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Whitley County WD ^N1/"/>
    </mc:Choice>
  </mc:AlternateContent>
  <xr:revisionPtr revIDLastSave="9" documentId="8_{9173B14F-FF4E-477A-A047-FE7CEAE7C84B}" xr6:coauthVersionLast="47" xr6:coauthVersionMax="47" xr10:uidLastSave="{F3667CDF-BBDE-4230-B3C3-68D1FA176365}"/>
  <bookViews>
    <workbookView xWindow="-98" yWindow="-98" windowWidth="20715" windowHeight="13155" firstSheet="5" activeTab="12" xr2:uid="{00000000-000D-0000-FFFF-FFFF00000000}"/>
  </bookViews>
  <sheets>
    <sheet name="SAO" sheetId="6" r:id="rId1"/>
    <sheet name="Revenue Requirements" sheetId="56" r:id="rId2"/>
    <sheet name="Wages" sheetId="49" r:id="rId3"/>
    <sheet name="Medical" sheetId="40" r:id="rId4"/>
    <sheet name="Depreciation" sheetId="52" r:id="rId5"/>
    <sheet name="Debt Service" sheetId="53" r:id="rId6"/>
    <sheet name="Capital" sheetId="54" r:id="rId7"/>
    <sheet name="Water Loss" sheetId="55" r:id="rId8"/>
    <sheet name="Rates" sheetId="2" r:id="rId9"/>
    <sheet name="Rates with Surcharge" sheetId="57" r:id="rId10"/>
    <sheet name="Bills" sheetId="42" r:id="rId11"/>
    <sheet name="Bills with Surcharge" sheetId="58" r:id="rId12"/>
    <sheet name="ExBA" sheetId="51" r:id="rId13"/>
    <sheet name="PrBA" sheetId="43" r:id="rId14"/>
  </sheets>
  <externalReferences>
    <externalReference r:id="rId15"/>
  </externalReferences>
  <definedNames>
    <definedName name="AHV">#REF!</definedName>
    <definedName name="_xlnm.Print_Area" localSheetId="10">Bills!$A$1:$I$27</definedName>
    <definedName name="_xlnm.Print_Area" localSheetId="11">'Bills with Surcharge'!$A$1:$I$27</definedName>
    <definedName name="_xlnm.Print_Area" localSheetId="5">'Debt Service'!$A$1:$O$26</definedName>
    <definedName name="_xlnm.Print_Area" localSheetId="4">Depreciation!$A$1:$L$43</definedName>
    <definedName name="_xlnm.Print_Area" localSheetId="12">ExBA!$A$1:$I$29</definedName>
    <definedName name="_xlnm.Print_Area" localSheetId="13">PrBA!$A$1:$N$29</definedName>
    <definedName name="_xlnm.Print_Area" localSheetId="8">Rates!$A$1:$L$13</definedName>
    <definedName name="_xlnm.Print_Area" localSheetId="9">'Rates with Surcharge'!$A$1:$L$15</definedName>
    <definedName name="_xlnm.Print_Area" localSheetId="1">'Revenue Requirements'!$A$3:$G$26</definedName>
    <definedName name="_xlnm.Print_Area" localSheetId="0">SAO!$A$1:$H$46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6" l="1"/>
  <c r="D37" i="6"/>
  <c r="E42" i="6"/>
  <c r="G42" i="6" s="1"/>
  <c r="D24" i="58"/>
  <c r="D23" i="58"/>
  <c r="D22" i="58"/>
  <c r="D21" i="58"/>
  <c r="D20" i="58"/>
  <c r="D19" i="58"/>
  <c r="D18" i="58"/>
  <c r="D17" i="58"/>
  <c r="D16" i="58"/>
  <c r="D15" i="58"/>
  <c r="D14" i="58"/>
  <c r="D13" i="58"/>
  <c r="D12" i="58"/>
  <c r="D11" i="58"/>
  <c r="D10" i="58"/>
  <c r="D9" i="58"/>
  <c r="C4" i="58"/>
  <c r="C6" i="57"/>
  <c r="B20" i="55"/>
  <c r="E21" i="6"/>
  <c r="G22" i="6" s="1"/>
  <c r="H18" i="40"/>
  <c r="F18" i="40"/>
  <c r="E22" i="6"/>
  <c r="H46" i="52"/>
  <c r="H38" i="52" l="1"/>
  <c r="F38" i="52"/>
  <c r="H35" i="52"/>
  <c r="F35" i="52"/>
  <c r="H31" i="52"/>
  <c r="F31" i="52"/>
  <c r="H30" i="52"/>
  <c r="F30" i="52"/>
  <c r="H28" i="52"/>
  <c r="F28" i="52"/>
  <c r="H27" i="52"/>
  <c r="F27" i="52"/>
  <c r="H26" i="52"/>
  <c r="F26" i="52"/>
  <c r="H25" i="52"/>
  <c r="F25" i="52"/>
  <c r="H15" i="52"/>
  <c r="F15" i="52"/>
  <c r="H14" i="52"/>
  <c r="F14" i="52"/>
  <c r="H13" i="52"/>
  <c r="F13" i="52"/>
  <c r="H12" i="52"/>
  <c r="F12" i="52"/>
  <c r="H11" i="52"/>
  <c r="F11" i="52"/>
  <c r="G7" i="51"/>
  <c r="E27" i="6"/>
  <c r="G27" i="6" s="1"/>
  <c r="E18" i="6"/>
  <c r="H23" i="49"/>
  <c r="C24" i="40"/>
  <c r="G14" i="49"/>
  <c r="G13" i="49"/>
  <c r="F13" i="49"/>
  <c r="H13" i="49" s="1"/>
  <c r="H19" i="49" s="1"/>
  <c r="C14" i="49"/>
  <c r="C13" i="49"/>
  <c r="C11" i="49"/>
  <c r="C10" i="49"/>
  <c r="C9" i="49"/>
  <c r="C7" i="49"/>
  <c r="C5" i="49"/>
  <c r="C6" i="49"/>
  <c r="C8" i="49"/>
  <c r="F12" i="49"/>
  <c r="G12" i="49"/>
  <c r="L15" i="53"/>
  <c r="J15" i="53"/>
  <c r="H15" i="53"/>
  <c r="F15" i="53"/>
  <c r="D15" i="53"/>
  <c r="L14" i="53"/>
  <c r="K14" i="53"/>
  <c r="J14" i="53"/>
  <c r="I14" i="53"/>
  <c r="H14" i="53"/>
  <c r="G14" i="53"/>
  <c r="F14" i="53"/>
  <c r="E14" i="53"/>
  <c r="D14" i="53"/>
  <c r="C14" i="53"/>
  <c r="L13" i="53"/>
  <c r="K13" i="53"/>
  <c r="J13" i="53"/>
  <c r="I13" i="53"/>
  <c r="H13" i="53"/>
  <c r="G13" i="53"/>
  <c r="F13" i="53"/>
  <c r="E13" i="53"/>
  <c r="D13" i="53"/>
  <c r="C13" i="53"/>
  <c r="L12" i="53"/>
  <c r="J12" i="53"/>
  <c r="H12" i="53"/>
  <c r="F12" i="53"/>
  <c r="D12" i="53"/>
  <c r="F14" i="49" l="1"/>
  <c r="H14" i="49" s="1"/>
  <c r="H12" i="49"/>
  <c r="G7" i="43"/>
  <c r="A2" i="51" l="1"/>
  <c r="D24" i="42"/>
  <c r="D23" i="42"/>
  <c r="D22" i="42"/>
  <c r="D21" i="42"/>
  <c r="D20" i="42"/>
  <c r="D19" i="42"/>
  <c r="D18" i="42"/>
  <c r="D17" i="42"/>
  <c r="D16" i="42"/>
  <c r="D15" i="42"/>
  <c r="D14" i="42"/>
  <c r="D13" i="42"/>
  <c r="D12" i="42"/>
  <c r="D11" i="42"/>
  <c r="D10" i="42"/>
  <c r="G22" i="56"/>
  <c r="D35" i="6"/>
  <c r="G36" i="6" s="1"/>
  <c r="D28" i="6"/>
  <c r="F7" i="49"/>
  <c r="G7" i="49"/>
  <c r="F11" i="49"/>
  <c r="G11" i="49"/>
  <c r="D17" i="49"/>
  <c r="G9" i="51"/>
  <c r="D19" i="43"/>
  <c r="D18" i="43"/>
  <c r="D17" i="43"/>
  <c r="D16" i="43"/>
  <c r="C18" i="43"/>
  <c r="C17" i="43"/>
  <c r="C16" i="43"/>
  <c r="C19" i="43"/>
  <c r="J32" i="52"/>
  <c r="K32" i="52" s="1"/>
  <c r="H7" i="49" l="1"/>
  <c r="H11" i="49"/>
  <c r="C17" i="49"/>
  <c r="B21" i="55"/>
  <c r="B19" i="55"/>
  <c r="E16" i="51"/>
  <c r="I16" i="51" s="1"/>
  <c r="B28" i="43"/>
  <c r="B27" i="43"/>
  <c r="B26" i="43"/>
  <c r="B25" i="43"/>
  <c r="B19" i="43"/>
  <c r="H15" i="43" s="1"/>
  <c r="B18" i="43"/>
  <c r="G15" i="43" s="1"/>
  <c r="B17" i="43"/>
  <c r="F15" i="43" s="1"/>
  <c r="E16" i="43"/>
  <c r="B16" i="43"/>
  <c r="E15" i="43" s="1"/>
  <c r="A2" i="43"/>
  <c r="F40" i="52"/>
  <c r="G12" i="6"/>
  <c r="B19" i="51"/>
  <c r="H15" i="51" s="1"/>
  <c r="B18" i="51"/>
  <c r="G15" i="51" s="1"/>
  <c r="B17" i="51"/>
  <c r="F15" i="51" s="1"/>
  <c r="B16" i="51"/>
  <c r="E15" i="51" s="1"/>
  <c r="B19" i="40"/>
  <c r="B13" i="40"/>
  <c r="H19" i="40"/>
  <c r="D18" i="40"/>
  <c r="E18" i="40" s="1"/>
  <c r="F19" i="40" s="1"/>
  <c r="H12" i="40"/>
  <c r="H11" i="40"/>
  <c r="H10" i="40"/>
  <c r="H9" i="40"/>
  <c r="H8" i="40"/>
  <c r="H7" i="40"/>
  <c r="H6" i="40"/>
  <c r="D12" i="40"/>
  <c r="E12" i="40" s="1"/>
  <c r="F12" i="40" s="1"/>
  <c r="D11" i="40"/>
  <c r="E11" i="40" s="1"/>
  <c r="F11" i="40" s="1"/>
  <c r="D10" i="40"/>
  <c r="E10" i="40" s="1"/>
  <c r="F10" i="40" s="1"/>
  <c r="D9" i="40"/>
  <c r="E9" i="40" s="1"/>
  <c r="F9" i="40" s="1"/>
  <c r="D8" i="40"/>
  <c r="E8" i="40" s="1"/>
  <c r="F8" i="40" s="1"/>
  <c r="D7" i="40"/>
  <c r="E7" i="40" s="1"/>
  <c r="F7" i="40" s="1"/>
  <c r="D6" i="40"/>
  <c r="E6" i="40" s="1"/>
  <c r="F6" i="40" s="1"/>
  <c r="B28" i="51"/>
  <c r="B27" i="51"/>
  <c r="B26" i="51"/>
  <c r="B25" i="51"/>
  <c r="E28" i="51"/>
  <c r="E27" i="51"/>
  <c r="E26" i="51"/>
  <c r="E25" i="51"/>
  <c r="D9" i="42"/>
  <c r="C14" i="55"/>
  <c r="G9" i="6"/>
  <c r="D14" i="6"/>
  <c r="G13" i="6"/>
  <c r="G11" i="6"/>
  <c r="G21" i="56" s="1"/>
  <c r="G8" i="56" l="1"/>
  <c r="B22" i="55"/>
  <c r="F18" i="43"/>
  <c r="C20" i="43"/>
  <c r="C25" i="43" s="1"/>
  <c r="D6" i="43" s="1"/>
  <c r="D20" i="43"/>
  <c r="E17" i="43"/>
  <c r="G19" i="43"/>
  <c r="E18" i="43"/>
  <c r="E19" i="43"/>
  <c r="I16" i="43"/>
  <c r="F19" i="43"/>
  <c r="D20" i="51"/>
  <c r="C20" i="51"/>
  <c r="C25" i="51" s="1"/>
  <c r="D6" i="51" s="1"/>
  <c r="E18" i="51"/>
  <c r="F19" i="51"/>
  <c r="F18" i="51"/>
  <c r="G19" i="51"/>
  <c r="E17" i="51"/>
  <c r="F17" i="51" s="1"/>
  <c r="I17" i="51" s="1"/>
  <c r="E19" i="51"/>
  <c r="H19" i="51" l="1"/>
  <c r="H20" i="51" s="1"/>
  <c r="D28" i="51" s="1"/>
  <c r="G28" i="51" s="1"/>
  <c r="H19" i="43"/>
  <c r="H20" i="43" s="1"/>
  <c r="D28" i="43" s="1"/>
  <c r="G25" i="51"/>
  <c r="F17" i="43"/>
  <c r="F20" i="43" s="1"/>
  <c r="D26" i="43" s="1"/>
  <c r="G18" i="43"/>
  <c r="G20" i="43" s="1"/>
  <c r="D27" i="43" s="1"/>
  <c r="E20" i="43"/>
  <c r="D25" i="43" s="1"/>
  <c r="G18" i="51"/>
  <c r="G20" i="51" s="1"/>
  <c r="D27" i="51" s="1"/>
  <c r="G27" i="51" s="1"/>
  <c r="F20" i="51"/>
  <c r="D26" i="51" s="1"/>
  <c r="G26" i="51" s="1"/>
  <c r="E20" i="51"/>
  <c r="D25" i="51" s="1"/>
  <c r="D14" i="55"/>
  <c r="D16" i="55" s="1"/>
  <c r="C9" i="55"/>
  <c r="C6" i="54"/>
  <c r="C5" i="54"/>
  <c r="G5" i="49"/>
  <c r="F5" i="49"/>
  <c r="D19" i="55" l="1"/>
  <c r="E23" i="6" s="1"/>
  <c r="D21" i="55"/>
  <c r="E26" i="6" s="1"/>
  <c r="G26" i="6" s="1"/>
  <c r="D20" i="55"/>
  <c r="E25" i="6" s="1"/>
  <c r="G25" i="6" s="1"/>
  <c r="I19" i="43"/>
  <c r="I18" i="43"/>
  <c r="D29" i="43"/>
  <c r="E6" i="43" s="1"/>
  <c r="I17" i="43"/>
  <c r="I19" i="51"/>
  <c r="I18" i="51"/>
  <c r="H5" i="49"/>
  <c r="D22" i="55" l="1"/>
  <c r="D25" i="55" s="1"/>
  <c r="D27" i="55" s="1"/>
  <c r="H14" i="57" s="1"/>
  <c r="J14" i="57" s="1"/>
  <c r="I20" i="43"/>
  <c r="K19" i="53" l="1"/>
  <c r="I19" i="53"/>
  <c r="G19" i="53"/>
  <c r="E19" i="53"/>
  <c r="C19" i="53"/>
  <c r="M17" i="53"/>
  <c r="M16" i="53"/>
  <c r="M15" i="53"/>
  <c r="M14" i="53"/>
  <c r="L19" i="53"/>
  <c r="M13" i="53"/>
  <c r="J19" i="53"/>
  <c r="F19" i="53"/>
  <c r="M12" i="53"/>
  <c r="H40" i="52"/>
  <c r="H45" i="52" s="1"/>
  <c r="H47" i="52" s="1"/>
  <c r="E39" i="6" s="1"/>
  <c r="J38" i="52"/>
  <c r="K38" i="52" s="1"/>
  <c r="J35" i="52"/>
  <c r="K35" i="52" s="1"/>
  <c r="J31" i="52"/>
  <c r="K31" i="52" s="1"/>
  <c r="J30" i="52"/>
  <c r="K30" i="52" s="1"/>
  <c r="J29" i="52"/>
  <c r="K29" i="52" s="1"/>
  <c r="J28" i="52"/>
  <c r="K28" i="52" s="1"/>
  <c r="J27" i="52"/>
  <c r="K27" i="52" s="1"/>
  <c r="J26" i="52"/>
  <c r="K26" i="52" s="1"/>
  <c r="J25" i="52"/>
  <c r="K25" i="52" s="1"/>
  <c r="J24" i="52"/>
  <c r="K24" i="52" s="1"/>
  <c r="J21" i="52"/>
  <c r="K21" i="52" s="1"/>
  <c r="J20" i="52"/>
  <c r="K20" i="52" s="1"/>
  <c r="J19" i="52"/>
  <c r="K19" i="52" s="1"/>
  <c r="J16" i="52"/>
  <c r="K16" i="52" s="1"/>
  <c r="J15" i="52"/>
  <c r="K15" i="52" s="1"/>
  <c r="J14" i="52"/>
  <c r="K14" i="52" s="1"/>
  <c r="J13" i="52"/>
  <c r="K13" i="52" s="1"/>
  <c r="J12" i="52"/>
  <c r="K12" i="52" s="1"/>
  <c r="J11" i="52"/>
  <c r="K11" i="52" s="1"/>
  <c r="M19" i="53" l="1"/>
  <c r="M22" i="53" s="1"/>
  <c r="H19" i="53"/>
  <c r="D19" i="53"/>
  <c r="M27" i="53" s="1"/>
  <c r="M29" i="53" s="1"/>
  <c r="G19" i="56" s="1"/>
  <c r="K40" i="52"/>
  <c r="E40" i="6" s="1"/>
  <c r="G40" i="6" s="1"/>
  <c r="G43" i="6" s="1"/>
  <c r="J40" i="52"/>
  <c r="M24" i="53" l="1"/>
  <c r="G6" i="56" s="1"/>
  <c r="G5" i="56"/>
  <c r="E43" i="6"/>
  <c r="C4" i="42"/>
  <c r="C6" i="2"/>
  <c r="F15" i="49" l="1"/>
  <c r="F10" i="49"/>
  <c r="F9" i="49"/>
  <c r="F8" i="49"/>
  <c r="G29" i="6"/>
  <c r="G31" i="6"/>
  <c r="G15" i="49" l="1"/>
  <c r="G10" i="49"/>
  <c r="G9" i="49"/>
  <c r="H9" i="49" s="1"/>
  <c r="G8" i="49"/>
  <c r="H8" i="49" s="1"/>
  <c r="G6" i="49"/>
  <c r="F6" i="49"/>
  <c r="F17" i="49" s="1"/>
  <c r="H15" i="49" l="1"/>
  <c r="G17" i="49"/>
  <c r="H6" i="49"/>
  <c r="H10" i="49"/>
  <c r="G34" i="6"/>
  <c r="G32" i="6"/>
  <c r="G30" i="6"/>
  <c r="G28" i="6"/>
  <c r="G20" i="6"/>
  <c r="G7" i="6"/>
  <c r="H17" i="49" l="1"/>
  <c r="H26" i="49" l="1"/>
  <c r="H28" i="49" s="1"/>
  <c r="H30" i="49" s="1"/>
  <c r="H32" i="49"/>
  <c r="H34" i="49" s="1"/>
  <c r="H36" i="49" s="1"/>
  <c r="H22" i="49"/>
  <c r="F13" i="40" l="1"/>
  <c r="F21" i="40" s="1"/>
  <c r="H13" i="40"/>
  <c r="H21" i="40" s="1"/>
  <c r="C23" i="40" s="1"/>
  <c r="C25" i="40" l="1"/>
  <c r="G33" i="6" l="1"/>
  <c r="G23" i="6" l="1"/>
  <c r="H24" i="49" l="1"/>
  <c r="E19" i="6" s="1"/>
  <c r="G19" i="6" s="1"/>
  <c r="G37" i="6" l="1"/>
  <c r="G4" i="56" l="1"/>
  <c r="G7" i="56" s="1"/>
  <c r="G16" i="56"/>
  <c r="G18" i="56" s="1"/>
  <c r="G20" i="56" s="1"/>
  <c r="G23" i="56" s="1"/>
  <c r="E37" i="6"/>
  <c r="G10" i="56" l="1"/>
  <c r="G9" i="43" s="1"/>
  <c r="I20" i="51"/>
  <c r="G29" i="51" l="1"/>
  <c r="G6" i="51" s="1"/>
  <c r="D29" i="51"/>
  <c r="E6" i="51" s="1"/>
  <c r="G8" i="51" l="1"/>
  <c r="G8" i="6" l="1"/>
  <c r="G10" i="51" l="1"/>
  <c r="E6" i="6" s="1"/>
  <c r="G6" i="6" l="1"/>
  <c r="G24" i="56" s="1"/>
  <c r="E14" i="6"/>
  <c r="E45" i="6" s="1"/>
  <c r="G11" i="51"/>
  <c r="G25" i="56" l="1"/>
  <c r="G26" i="56" s="1"/>
  <c r="G11" i="56"/>
  <c r="G14" i="6"/>
  <c r="G45" i="6" s="1"/>
  <c r="G12" i="56" l="1"/>
  <c r="G13" i="56" s="1"/>
  <c r="H12" i="57" l="1"/>
  <c r="J12" i="57" s="1"/>
  <c r="K12" i="57" s="1"/>
  <c r="H11" i="57"/>
  <c r="J11" i="57" s="1"/>
  <c r="K11" i="57" s="1"/>
  <c r="H10" i="57"/>
  <c r="J10" i="57" s="1"/>
  <c r="K10" i="57" s="1"/>
  <c r="H9" i="57"/>
  <c r="J9" i="57" s="1"/>
  <c r="K9" i="57" s="1"/>
  <c r="H10" i="2"/>
  <c r="J10" i="2" s="1"/>
  <c r="K10" i="2" s="1"/>
  <c r="H11" i="2"/>
  <c r="E27" i="43" s="1"/>
  <c r="G27" i="43" s="1"/>
  <c r="H9" i="2"/>
  <c r="H12" i="2"/>
  <c r="J12" i="2" s="1"/>
  <c r="K12" i="2" s="1"/>
  <c r="E25" i="43" l="1"/>
  <c r="G25" i="43" s="1"/>
  <c r="E17" i="58"/>
  <c r="F17" i="58" s="1"/>
  <c r="G17" i="58" s="1"/>
  <c r="E9" i="58"/>
  <c r="F9" i="58" s="1"/>
  <c r="G9" i="58" s="1"/>
  <c r="E24" i="58"/>
  <c r="F24" i="58" s="1"/>
  <c r="G24" i="58" s="1"/>
  <c r="E16" i="58"/>
  <c r="F16" i="58" s="1"/>
  <c r="G16" i="58" s="1"/>
  <c r="E23" i="58"/>
  <c r="F23" i="58" s="1"/>
  <c r="G23" i="58" s="1"/>
  <c r="E15" i="58"/>
  <c r="F15" i="58" s="1"/>
  <c r="G15" i="58" s="1"/>
  <c r="E22" i="58"/>
  <c r="F22" i="58" s="1"/>
  <c r="G22" i="58" s="1"/>
  <c r="E14" i="58"/>
  <c r="F14" i="58" s="1"/>
  <c r="G14" i="58" s="1"/>
  <c r="E21" i="58"/>
  <c r="F21" i="58" s="1"/>
  <c r="G21" i="58" s="1"/>
  <c r="E13" i="58"/>
  <c r="F13" i="58" s="1"/>
  <c r="G13" i="58" s="1"/>
  <c r="E20" i="58"/>
  <c r="F20" i="58" s="1"/>
  <c r="G20" i="58" s="1"/>
  <c r="E12" i="58"/>
  <c r="F12" i="58" s="1"/>
  <c r="G12" i="58" s="1"/>
  <c r="E19" i="58"/>
  <c r="F19" i="58" s="1"/>
  <c r="G19" i="58" s="1"/>
  <c r="E11" i="58"/>
  <c r="F11" i="58" s="1"/>
  <c r="G11" i="58" s="1"/>
  <c r="E18" i="58"/>
  <c r="F18" i="58" s="1"/>
  <c r="G18" i="58" s="1"/>
  <c r="E10" i="58"/>
  <c r="F10" i="58" s="1"/>
  <c r="G10" i="58" s="1"/>
  <c r="E26" i="43"/>
  <c r="G26" i="43" s="1"/>
  <c r="J11" i="2"/>
  <c r="K11" i="2" s="1"/>
  <c r="E28" i="43"/>
  <c r="G28" i="43" s="1"/>
  <c r="E19" i="42"/>
  <c r="F19" i="42" s="1"/>
  <c r="G19" i="42" s="1"/>
  <c r="E11" i="42"/>
  <c r="F11" i="42" s="1"/>
  <c r="G11" i="42" s="1"/>
  <c r="E24" i="42"/>
  <c r="F24" i="42" s="1"/>
  <c r="G24" i="42" s="1"/>
  <c r="E23" i="42"/>
  <c r="F23" i="42" s="1"/>
  <c r="G23" i="42" s="1"/>
  <c r="E17" i="42"/>
  <c r="F17" i="42" s="1"/>
  <c r="G17" i="42" s="1"/>
  <c r="E16" i="42"/>
  <c r="F16" i="42" s="1"/>
  <c r="G16" i="42" s="1"/>
  <c r="E9" i="42"/>
  <c r="F9" i="42" s="1"/>
  <c r="G9" i="42" s="1"/>
  <c r="E18" i="42"/>
  <c r="F18" i="42" s="1"/>
  <c r="G18" i="42" s="1"/>
  <c r="E15" i="42"/>
  <c r="F15" i="42" s="1"/>
  <c r="G15" i="42" s="1"/>
  <c r="E13" i="42"/>
  <c r="F13" i="42" s="1"/>
  <c r="G13" i="42" s="1"/>
  <c r="E10" i="42"/>
  <c r="F10" i="42" s="1"/>
  <c r="G10" i="42" s="1"/>
  <c r="E22" i="42"/>
  <c r="F22" i="42" s="1"/>
  <c r="G22" i="42" s="1"/>
  <c r="E14" i="42"/>
  <c r="F14" i="42" s="1"/>
  <c r="G14" i="42" s="1"/>
  <c r="E21" i="42"/>
  <c r="F21" i="42" s="1"/>
  <c r="G21" i="42" s="1"/>
  <c r="E20" i="42"/>
  <c r="F20" i="42" s="1"/>
  <c r="G20" i="42" s="1"/>
  <c r="E12" i="42"/>
  <c r="F12" i="42" s="1"/>
  <c r="G12" i="42" s="1"/>
  <c r="J9" i="2"/>
  <c r="K9" i="2" s="1"/>
  <c r="G29" i="43" l="1"/>
  <c r="G6" i="43" s="1"/>
  <c r="G8" i="43" s="1"/>
  <c r="G10" i="43" s="1"/>
  <c r="G11" i="43" s="1"/>
  <c r="D45" i="6"/>
</calcChain>
</file>

<file path=xl/sharedStrings.xml><?xml version="1.0" encoding="utf-8"?>
<sst xmlns="http://schemas.openxmlformats.org/spreadsheetml/2006/main" count="515" uniqueCount="295">
  <si>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</si>
  <si>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</si>
  <si>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</si>
  <si>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</si>
  <si>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</si>
  <si>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</si>
  <si>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</si>
  <si>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</si>
  <si>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Contractual Services</t>
  </si>
  <si>
    <t>Miscellaneous Expenses</t>
  </si>
  <si>
    <t>Transportation Expenses</t>
  </si>
  <si>
    <t>Proposed</t>
  </si>
  <si>
    <t>Total</t>
  </si>
  <si>
    <t>Gallons</t>
  </si>
  <si>
    <t>Operating Revenues</t>
  </si>
  <si>
    <t>Sales for Resale</t>
  </si>
  <si>
    <t>Other Water Revenues:</t>
  </si>
  <si>
    <t>Total Operating Revenues</t>
  </si>
  <si>
    <t>Operating Expenses</t>
  </si>
  <si>
    <t>Depreciation Expense</t>
  </si>
  <si>
    <t>Plus:</t>
  </si>
  <si>
    <t>Less:</t>
  </si>
  <si>
    <t>Other Operating Revenue</t>
  </si>
  <si>
    <t>Existing</t>
  </si>
  <si>
    <t>Change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</si>
  <si>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</si>
  <si>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</si>
  <si>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</si>
  <si>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</si>
  <si>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</si>
  <si>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</si>
  <si>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</si>
  <si>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Insurance - Gen. Liab. &amp; Workers Comp.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</si>
  <si>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</si>
  <si>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</si>
  <si>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</si>
  <si>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</si>
  <si>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</si>
  <si>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</si>
  <si>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DEPRECIATION EXPENSE ADJUSTMENTS</t>
  </si>
  <si>
    <t>Depreciation</t>
  </si>
  <si>
    <t>Date in</t>
  </si>
  <si>
    <t>Original</t>
  </si>
  <si>
    <t>Expense</t>
  </si>
  <si>
    <t>Service</t>
  </si>
  <si>
    <t>Life</t>
  </si>
  <si>
    <t>Depr. Exp.</t>
  </si>
  <si>
    <t>SUMMARY</t>
  </si>
  <si>
    <t>USAGE</t>
  </si>
  <si>
    <t>BILLS</t>
  </si>
  <si>
    <t>GALLONS</t>
  </si>
  <si>
    <t>TOTAL</t>
  </si>
  <si>
    <t>RATE</t>
  </si>
  <si>
    <t>REVENUE</t>
  </si>
  <si>
    <t>CURRENT AND PROPOSED RATES</t>
  </si>
  <si>
    <t>Private Fire Protection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</si>
  <si>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</si>
  <si>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</si>
  <si>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</si>
  <si>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</si>
  <si>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</si>
  <si>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</si>
  <si>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</si>
  <si>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various</t>
  </si>
  <si>
    <t>Difference</t>
  </si>
  <si>
    <t>Bill</t>
  </si>
  <si>
    <t>Percentage</t>
  </si>
  <si>
    <t>EXISTING AND PROPOSED BILLS</t>
  </si>
  <si>
    <t>MONTHLY</t>
  </si>
  <si>
    <t>EMPLOYEE</t>
  </si>
  <si>
    <t xml:space="preserve">WATER DIST </t>
  </si>
  <si>
    <t>PREMIUM</t>
  </si>
  <si>
    <t>ANNUAL</t>
  </si>
  <si>
    <t>Employer</t>
  </si>
  <si>
    <t>Share</t>
  </si>
  <si>
    <t>Premium</t>
  </si>
  <si>
    <t>Medical Insurance Adjustment</t>
  </si>
  <si>
    <t>CONTRIB</t>
  </si>
  <si>
    <t>CONTRIB %</t>
  </si>
  <si>
    <t>TOTALS</t>
  </si>
  <si>
    <t>TABLE C</t>
  </si>
  <si>
    <t>per Month*</t>
  </si>
  <si>
    <t>* Highlighted usage represents the average residential bill.</t>
  </si>
  <si>
    <t>Chemicals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</si>
  <si>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</si>
  <si>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</si>
  <si>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</si>
  <si>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</si>
  <si>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</si>
  <si>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</si>
  <si>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</si>
  <si>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</si>
  <si>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</si>
  <si>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</si>
  <si>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</si>
  <si>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Less: Test Year Salaries &amp; Wages Exp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</si>
  <si>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</si>
  <si>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</si>
  <si>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</si>
  <si>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</si>
  <si>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</si>
  <si>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</si>
  <si>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</si>
  <si>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</si>
  <si>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</si>
  <si>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</si>
  <si>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</si>
  <si>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</si>
  <si>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Rental of Equipment</t>
  </si>
  <si>
    <t>Insurance - Vehicle</t>
  </si>
  <si>
    <t>per month</t>
  </si>
  <si>
    <t>COMPONENT</t>
  </si>
  <si>
    <t>Less Adjustments</t>
  </si>
  <si>
    <t xml:space="preserve">Total  </t>
  </si>
  <si>
    <t>From PSC Annual Report</t>
  </si>
  <si>
    <t>Medical Adjustment</t>
  </si>
  <si>
    <t>Reported</t>
  </si>
  <si>
    <t>Asset</t>
  </si>
  <si>
    <t>Cost *</t>
  </si>
  <si>
    <t>General Plant</t>
  </si>
  <si>
    <t>Structures &amp; Improvements</t>
  </si>
  <si>
    <t>varies</t>
  </si>
  <si>
    <t>Communication &amp; Computer Eqmt.</t>
  </si>
  <si>
    <t>Office Furniture &amp; Equipment</t>
  </si>
  <si>
    <t>Power Operated Equipment</t>
  </si>
  <si>
    <t>Tools, Shop, &amp; Garage Equipment</t>
  </si>
  <si>
    <t>Tank Repairs &amp; Painting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</si>
  <si>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</si>
  <si>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</si>
  <si>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</si>
  <si>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</si>
  <si>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</si>
  <si>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</si>
  <si>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</si>
  <si>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</si>
  <si>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</si>
  <si>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</si>
  <si>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</si>
  <si>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</si>
  <si>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Transportation Equipment</t>
  </si>
  <si>
    <t>Entire Group</t>
  </si>
  <si>
    <t>Water Treatment Plant</t>
  </si>
  <si>
    <t xml:space="preserve">              *  Includes only costs associated with assets that contributed to depreciation expense in the test year.</t>
  </si>
  <si>
    <t>Table B</t>
  </si>
  <si>
    <t>DEBT SERVICE SCHDULE</t>
  </si>
  <si>
    <t>CY 2023</t>
  </si>
  <si>
    <t>CY 2024</t>
  </si>
  <si>
    <t>CY 2025</t>
  </si>
  <si>
    <t>CY 2026</t>
  </si>
  <si>
    <t>Interest</t>
  </si>
  <si>
    <t>Principal</t>
  </si>
  <si>
    <t>&amp; Fees</t>
  </si>
  <si>
    <t>Average Annual Principal &amp; Interest</t>
  </si>
  <si>
    <t>Average Annual Coverage</t>
  </si>
  <si>
    <t>Average Annual Principal and Interest Payments</t>
  </si>
  <si>
    <t>Additional Working Capital</t>
  </si>
  <si>
    <t>DISTRICT'S</t>
  </si>
  <si>
    <t>Allowable</t>
  </si>
  <si>
    <t>TOTAL MEDICAL AND DENTAL INSURANCE</t>
  </si>
  <si>
    <t>Allowable Employer Premium</t>
  </si>
  <si>
    <t>Total Gross Wages</t>
  </si>
  <si>
    <t>Gross Wages for Full Time Employees CERS Eligible</t>
  </si>
  <si>
    <t>Labor and Materials Adjustment for New Service Installations</t>
  </si>
  <si>
    <t>New Tapping Fees Collected</t>
  </si>
  <si>
    <t xml:space="preserve">Labor </t>
  </si>
  <si>
    <t xml:space="preserve">Materials </t>
  </si>
  <si>
    <t>`</t>
  </si>
  <si>
    <t>Water Loss Adjustment</t>
  </si>
  <si>
    <t>Produced &amp; Purchased</t>
  </si>
  <si>
    <t>Sold</t>
  </si>
  <si>
    <t>Uses:</t>
  </si>
  <si>
    <t xml:space="preserve">  WTP</t>
  </si>
  <si>
    <t xml:space="preserve">  Flushing</t>
  </si>
  <si>
    <t xml:space="preserve">  Fire</t>
  </si>
  <si>
    <t xml:space="preserve">  Other</t>
  </si>
  <si>
    <t>Tank O.F.</t>
  </si>
  <si>
    <t>Line Brks.</t>
  </si>
  <si>
    <t>Line Leaks</t>
  </si>
  <si>
    <t xml:space="preserve">  water loss percentage</t>
  </si>
  <si>
    <t xml:space="preserve">  allowable in rates</t>
  </si>
  <si>
    <t xml:space="preserve">  adjustment percentage</t>
  </si>
  <si>
    <t>Other</t>
  </si>
  <si>
    <t>TABLE D</t>
  </si>
  <si>
    <t>Miscellaneous Service Revenues</t>
  </si>
  <si>
    <t>Interdepartments Rents</t>
  </si>
  <si>
    <t>Interdepartmental Sales</t>
  </si>
  <si>
    <t>Current</t>
  </si>
  <si>
    <t>Location</t>
  </si>
  <si>
    <t>per gallon</t>
  </si>
  <si>
    <t>gallons</t>
  </si>
  <si>
    <t>First</t>
  </si>
  <si>
    <t>Next</t>
  </si>
  <si>
    <t>Over</t>
  </si>
  <si>
    <t>MEDICAL</t>
  </si>
  <si>
    <t>DENTAL</t>
  </si>
  <si>
    <t>Less Annual Premium</t>
  </si>
  <si>
    <t>REVENUE BY RATE INCREMENT</t>
  </si>
  <si>
    <t>CONSUMPTION BY RATE INCREMENT</t>
  </si>
  <si>
    <t>Total Retail Sales</t>
  </si>
  <si>
    <t>Costs Subject to Water Loss Adjustment</t>
  </si>
  <si>
    <t>Computation of Water Loss Surcharge</t>
  </si>
  <si>
    <t>Total Adjustment</t>
  </si>
  <si>
    <t>/ Number of Bills</t>
  </si>
  <si>
    <t>Monthly Surcharge Amount</t>
  </si>
  <si>
    <t>REVENUE REQUIREMENTS USING DEBT SERVICE COVERAGE METHOD</t>
  </si>
  <si>
    <t>REVENUE REQUIREMENTS USING OPERATING RATIO METHOD</t>
  </si>
  <si>
    <t>Divided by:  Operating Ratio</t>
  </si>
  <si>
    <t>Interest Expense</t>
  </si>
  <si>
    <t>Interest Only</t>
  </si>
  <si>
    <t>Average Interest Only</t>
  </si>
  <si>
    <t>PROPOSED BILLING ANALYSIS WITH 2021 USAGE &amp; PROPOSED RATES</t>
  </si>
  <si>
    <t>CURRENT BILLING ANALYSIS WITH 2021 USAGE &amp; EXISTING RATES</t>
  </si>
  <si>
    <t>WHITLEY COUNTY WATER DISTRICT #1</t>
  </si>
  <si>
    <t>Interest Income</t>
  </si>
  <si>
    <t>Less Required Revenue</t>
  </si>
  <si>
    <t>Whitley County Water District #1</t>
  </si>
  <si>
    <t>CY 2023 - 2027</t>
  </si>
  <si>
    <t>CY 2027</t>
  </si>
  <si>
    <t>Loan 91-13</t>
  </si>
  <si>
    <t>Loan B08-03</t>
  </si>
  <si>
    <t>Loan F15-30</t>
  </si>
  <si>
    <t>S Smith</t>
  </si>
  <si>
    <t>A Meadors</t>
  </si>
  <si>
    <t>C Bryant</t>
  </si>
  <si>
    <t>G Lawson</t>
  </si>
  <si>
    <t>C Mayne</t>
  </si>
  <si>
    <t>A Rose</t>
  </si>
  <si>
    <t>C Hale</t>
  </si>
  <si>
    <t>A Perry</t>
  </si>
  <si>
    <t>B Reynolds</t>
  </si>
  <si>
    <t>D Adkins</t>
  </si>
  <si>
    <t>J Caudill</t>
  </si>
  <si>
    <t>CERS</t>
  </si>
  <si>
    <t>Eligible</t>
  </si>
  <si>
    <t>Y</t>
  </si>
  <si>
    <t>N</t>
  </si>
  <si>
    <t>2021 General Ledger</t>
  </si>
  <si>
    <t>Tank Painting &amp; Repairs</t>
  </si>
  <si>
    <t>Adjustment to Correct PSC Annual Report</t>
  </si>
  <si>
    <t>Depreciation Listed on Fixed Assets Report</t>
  </si>
  <si>
    <t>Less Depreciation Listed on PSC Annual Report</t>
  </si>
  <si>
    <t>Adjust Annual Report to Fixed Assets Report</t>
  </si>
  <si>
    <t>Tab Depreciation Cell H47</t>
  </si>
  <si>
    <t>Adjust to Allowable Depreciable Lives</t>
  </si>
  <si>
    <t>All</t>
  </si>
  <si>
    <t>Tab Medical Cell C25</t>
  </si>
  <si>
    <t>Adjust Revenues to Billing Analysis</t>
  </si>
  <si>
    <t>Tab ExBA Cell G10</t>
  </si>
  <si>
    <t>Tab Capital Cell C5</t>
  </si>
  <si>
    <t>Adjust Wages to exclude Tap Installation Labor</t>
  </si>
  <si>
    <t>Adjust Materials to exclude Tap Installation Materials</t>
  </si>
  <si>
    <t>Tab Capital Cell C6</t>
  </si>
  <si>
    <t>Adjust Wages to current amounts</t>
  </si>
  <si>
    <t>Adjust Medical and Dental to allowable amounts</t>
  </si>
  <si>
    <t>Adjust Payroll Taxes to reflect current Wages</t>
  </si>
  <si>
    <t>Tab Wages Cell H 30</t>
  </si>
  <si>
    <t>Tab Depreciation Cell K40</t>
  </si>
  <si>
    <t>Tab Wages H24</t>
  </si>
  <si>
    <t>Adjust Pension Contribution to current rate</t>
  </si>
  <si>
    <t>Tab Wages Cell H36</t>
  </si>
  <si>
    <t>Correct Purchased Power recorded as Miscellaneous</t>
  </si>
  <si>
    <t>Adjust Purchased Water for allowable water loss</t>
  </si>
  <si>
    <t>Tab Water Loss Cell D19</t>
  </si>
  <si>
    <t>Adjust Purchased Power for allowable water loss</t>
  </si>
  <si>
    <t>Tab Water Loss Cell D20</t>
  </si>
  <si>
    <t>Miscellaneous Expenses - Utilities</t>
  </si>
  <si>
    <t>Adjust Chemicals for allowable water loss</t>
  </si>
  <si>
    <t>Tab Water Loss Cell D21</t>
  </si>
  <si>
    <t xml:space="preserve">Proposed </t>
  </si>
  <si>
    <t>Water Loss Reduction Surcharge</t>
  </si>
  <si>
    <t>CURRENT AND PROPOSED RATES with WATER LOSS REDUCTION SURCHARGE</t>
  </si>
  <si>
    <t>Bill**</t>
  </si>
  <si>
    <t>** Includes Water Loss Reduction Surcharge $3.95 per bill.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</si>
  <si>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</si>
  <si>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</si>
  <si>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</si>
  <si>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</si>
  <si>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</si>
  <si>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</si>
  <si>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</si>
  <si>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</si>
  <si>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</si>
  <si>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</si>
  <si>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</si>
  <si>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</si>
  <si>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Subtotal</t>
  </si>
  <si>
    <t>20% average principal and interest</t>
  </si>
  <si>
    <t>Tab Debt Service Cell M22</t>
  </si>
  <si>
    <t>Tab Debt Service Cell M24</t>
  </si>
  <si>
    <t>Average annual principal and interest</t>
  </si>
  <si>
    <t>Average annual interest</t>
  </si>
  <si>
    <t>Tab Debt Service Cell M29</t>
  </si>
  <si>
    <t>Correct Payroll Taxes recorded as Miscellaneous</t>
  </si>
  <si>
    <t>M</t>
  </si>
  <si>
    <t>Capital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</si>
</sst>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0.0%"/>
    <numFmt numFmtId="168" formatCode="_(* #,##0.0_);_(* \(#,##0.0\);_(* &quot;-&quot;??_);_(@_)"/>
    <numFmt numFmtId="169" formatCode="mm/dd/yy;@"/>
    <numFmt numFmtId="170" formatCode="_([$$-409]* #,##0_);_([$$-409]* \(#,##0\);_([$$-409]* &quot;-&quot;??_);_(@_)"/>
    <numFmt numFmtId="171" formatCode="[$$-409]#,##0"/>
    <numFmt numFmtId="172" formatCode="_(* #,##0.0000_);_(* \(#,##0.0000\);_(* &quot;-&quot;??_);_(@_)"/>
    <numFmt numFmtId="173" formatCode="&quot;$&quot;#,##0.00000"/>
  </numFmts>
  <fonts count="29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320">
    <xf numFmtId="0" fontId="0" fillId="0" borderId="0" xfId="0"/>
    <xf numFmtId="0" fontId="4" fillId="0" borderId="0" xfId="0" applyFont="1"/>
    <xf numFmtId="165" fontId="4" fillId="0" borderId="1" xfId="1" applyNumberFormat="1" applyFont="1" applyBorder="1"/>
    <xf numFmtId="165" fontId="4" fillId="0" borderId="0" xfId="1" applyNumberFormat="1" applyFont="1" applyBorder="1"/>
    <xf numFmtId="165" fontId="4" fillId="0" borderId="0" xfId="1" applyNumberFormat="1" applyFont="1"/>
    <xf numFmtId="165" fontId="4" fillId="0" borderId="3" xfId="1" applyNumberFormat="1" applyFont="1" applyBorder="1"/>
    <xf numFmtId="165" fontId="4" fillId="0" borderId="2" xfId="1" applyNumberFormat="1" applyFont="1" applyBorder="1"/>
    <xf numFmtId="165" fontId="4" fillId="0" borderId="4" xfId="1" applyNumberFormat="1" applyFont="1" applyBorder="1"/>
    <xf numFmtId="165" fontId="4" fillId="0" borderId="7" xfId="1" applyNumberFormat="1" applyFont="1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43" fontId="4" fillId="0" borderId="0" xfId="1" applyFont="1"/>
    <xf numFmtId="165" fontId="10" fillId="0" borderId="0" xfId="1" applyNumberFormat="1" applyFont="1" applyBorder="1" applyAlignment="1">
      <alignment horizontal="center"/>
    </xf>
    <xf numFmtId="43" fontId="4" fillId="0" borderId="0" xfId="1" applyFont="1" applyBorder="1"/>
    <xf numFmtId="165" fontId="4" fillId="0" borderId="0" xfId="5" applyNumberFormat="1" applyFont="1"/>
    <xf numFmtId="165" fontId="4" fillId="0" borderId="7" xfId="5" applyNumberFormat="1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0" xfId="5" applyNumberFormat="1" applyFont="1" applyBorder="1"/>
    <xf numFmtId="164" fontId="4" fillId="0" borderId="0" xfId="0" applyNumberFormat="1" applyFont="1"/>
    <xf numFmtId="168" fontId="4" fillId="0" borderId="0" xfId="5" applyNumberFormat="1" applyFont="1" applyBorder="1"/>
    <xf numFmtId="168" fontId="9" fillId="0" borderId="0" xfId="5" applyNumberFormat="1" applyFont="1" applyBorder="1" applyAlignment="1">
      <alignment horizontal="center"/>
    </xf>
    <xf numFmtId="43" fontId="4" fillId="0" borderId="0" xfId="1" applyFont="1" applyBorder="1" applyAlignment="1"/>
    <xf numFmtId="165" fontId="10" fillId="0" borderId="0" xfId="5" applyNumberFormat="1" applyFont="1"/>
    <xf numFmtId="164" fontId="4" fillId="0" borderId="0" xfId="6" applyNumberFormat="1" applyFont="1"/>
    <xf numFmtId="165" fontId="10" fillId="0" borderId="8" xfId="1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167" fontId="4" fillId="0" borderId="8" xfId="3" applyNumberFormat="1" applyFont="1" applyBorder="1"/>
    <xf numFmtId="165" fontId="4" fillId="2" borderId="0" xfId="1" applyNumberFormat="1" applyFont="1" applyFill="1" applyBorder="1"/>
    <xf numFmtId="167" fontId="4" fillId="2" borderId="8" xfId="3" applyNumberFormat="1" applyFont="1" applyFill="1" applyBorder="1"/>
    <xf numFmtId="164" fontId="4" fillId="0" borderId="0" xfId="6" applyNumberFormat="1" applyFont="1" applyBorder="1"/>
    <xf numFmtId="165" fontId="14" fillId="0" borderId="0" xfId="1" applyNumberFormat="1" applyFont="1"/>
    <xf numFmtId="44" fontId="4" fillId="0" borderId="0" xfId="10" applyFont="1"/>
    <xf numFmtId="165" fontId="10" fillId="0" borderId="0" xfId="1" applyNumberFormat="1" applyFont="1" applyBorder="1"/>
    <xf numFmtId="0" fontId="17" fillId="0" borderId="0" xfId="0" applyFont="1"/>
    <xf numFmtId="0" fontId="20" fillId="0" borderId="0" xfId="0" applyFont="1" applyAlignment="1">
      <alignment horizontal="center"/>
    </xf>
    <xf numFmtId="10" fontId="4" fillId="0" borderId="0" xfId="3" applyNumberFormat="1" applyFont="1" applyAlignment="1">
      <alignment horizontal="center"/>
    </xf>
    <xf numFmtId="44" fontId="4" fillId="0" borderId="0" xfId="0" applyNumberFormat="1" applyFont="1"/>
    <xf numFmtId="165" fontId="4" fillId="0" borderId="0" xfId="5" quotePrefix="1" applyNumberFormat="1" applyFont="1"/>
    <xf numFmtId="166" fontId="4" fillId="0" borderId="0" xfId="1" applyNumberFormat="1" applyFont="1" applyBorder="1" applyAlignment="1"/>
    <xf numFmtId="0" fontId="4" fillId="0" borderId="7" xfId="0" applyFont="1" applyBorder="1"/>
    <xf numFmtId="165" fontId="18" fillId="0" borderId="0" xfId="1" applyNumberFormat="1" applyFont="1"/>
    <xf numFmtId="165" fontId="4" fillId="0" borderId="0" xfId="1" applyNumberFormat="1" applyFont="1" applyAlignment="1">
      <alignment horizontal="centerContinuous" vertical="center"/>
    </xf>
    <xf numFmtId="165" fontId="4" fillId="0" borderId="0" xfId="1" applyNumberFormat="1" applyFont="1" applyAlignment="1">
      <alignment vertical="center"/>
    </xf>
    <xf numFmtId="165" fontId="12" fillId="0" borderId="0" xfId="1" applyNumberFormat="1" applyFont="1" applyAlignment="1">
      <alignment horizontal="centerContinuous" vertical="center"/>
    </xf>
    <xf numFmtId="165" fontId="9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165" fontId="13" fillId="0" borderId="0" xfId="1" applyNumberFormat="1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8" fillId="0" borderId="0" xfId="1" quotePrefix="1" applyNumberFormat="1" applyFont="1" applyAlignment="1">
      <alignment horizontal="center" vertical="center"/>
    </xf>
    <xf numFmtId="165" fontId="19" fillId="0" borderId="0" xfId="1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165" fontId="11" fillId="0" borderId="0" xfId="1" applyNumberFormat="1" applyFont="1" applyAlignment="1">
      <alignment horizontal="center" vertical="center"/>
    </xf>
    <xf numFmtId="165" fontId="4" fillId="0" borderId="0" xfId="1" applyNumberFormat="1" applyFont="1" applyAlignment="1"/>
    <xf numFmtId="10" fontId="4" fillId="0" borderId="0" xfId="3" applyNumberFormat="1" applyFont="1" applyAlignment="1">
      <alignment vertical="center"/>
    </xf>
    <xf numFmtId="165" fontId="4" fillId="0" borderId="0" xfId="5" applyNumberFormat="1" applyFont="1" applyBorder="1" applyAlignment="1">
      <alignment horizontal="center"/>
    </xf>
    <xf numFmtId="10" fontId="4" fillId="0" borderId="0" xfId="3" applyNumberFormat="1" applyFont="1" applyBorder="1" applyAlignment="1">
      <alignment vertical="center"/>
    </xf>
    <xf numFmtId="10" fontId="4" fillId="0" borderId="0" xfId="3" applyNumberFormat="1" applyFont="1" applyBorder="1"/>
    <xf numFmtId="43" fontId="4" fillId="0" borderId="0" xfId="5" applyFont="1"/>
    <xf numFmtId="43" fontId="4" fillId="0" borderId="0" xfId="5" applyFont="1" applyBorder="1"/>
    <xf numFmtId="165" fontId="4" fillId="0" borderId="8" xfId="5" applyNumberFormat="1" applyFont="1" applyBorder="1"/>
    <xf numFmtId="0" fontId="23" fillId="0" borderId="0" xfId="0" applyFont="1" applyAlignment="1">
      <alignment horizontal="center"/>
    </xf>
    <xf numFmtId="165" fontId="22" fillId="0" borderId="0" xfId="5" applyNumberFormat="1" applyFont="1"/>
    <xf numFmtId="170" fontId="4" fillId="0" borderId="0" xfId="0" applyNumberFormat="1" applyFont="1"/>
    <xf numFmtId="164" fontId="17" fillId="0" borderId="9" xfId="6" applyNumberFormat="1" applyFont="1" applyBorder="1"/>
    <xf numFmtId="10" fontId="4" fillId="0" borderId="1" xfId="0" applyNumberFormat="1" applyFont="1" applyBorder="1"/>
    <xf numFmtId="164" fontId="4" fillId="0" borderId="1" xfId="6" applyNumberFormat="1" applyFont="1" applyBorder="1"/>
    <xf numFmtId="0" fontId="7" fillId="0" borderId="0" xfId="0" applyFont="1"/>
    <xf numFmtId="0" fontId="4" fillId="0" borderId="3" xfId="0" applyFont="1" applyBorder="1"/>
    <xf numFmtId="0" fontId="4" fillId="0" borderId="5" xfId="0" applyFont="1" applyBorder="1"/>
    <xf numFmtId="0" fontId="4" fillId="0" borderId="0" xfId="1" applyNumberFormat="1" applyFont="1" applyBorder="1" applyAlignment="1"/>
    <xf numFmtId="43" fontId="4" fillId="0" borderId="0" xfId="5" applyFont="1" applyFill="1"/>
    <xf numFmtId="37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10" fillId="0" borderId="0" xfId="5" applyNumberFormat="1" applyFont="1" applyBorder="1"/>
    <xf numFmtId="165" fontId="10" fillId="0" borderId="0" xfId="0" applyNumberFormat="1" applyFont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3" fontId="4" fillId="0" borderId="0" xfId="0" applyNumberFormat="1" applyFont="1" applyAlignment="1">
      <alignment horizontal="right"/>
    </xf>
    <xf numFmtId="0" fontId="4" fillId="0" borderId="0" xfId="0" quotePrefix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1" applyNumberFormat="1" applyFont="1" applyBorder="1" applyAlignment="1"/>
    <xf numFmtId="165" fontId="4" fillId="0" borderId="0" xfId="1" applyNumberFormat="1" applyFont="1" applyBorder="1" applyAlignment="1">
      <alignment horizontal="centerContinuous"/>
    </xf>
    <xf numFmtId="165" fontId="4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64" fontId="10" fillId="0" borderId="0" xfId="6" applyNumberFormat="1" applyFont="1" applyBorder="1"/>
    <xf numFmtId="44" fontId="4" fillId="0" borderId="0" xfId="0" applyNumberFormat="1" applyFont="1" applyAlignment="1">
      <alignment horizontal="centerContinuous"/>
    </xf>
    <xf numFmtId="44" fontId="4" fillId="0" borderId="0" xfId="0" applyNumberFormat="1" applyFont="1" applyAlignment="1">
      <alignment horizontal="center"/>
    </xf>
    <xf numFmtId="44" fontId="4" fillId="0" borderId="0" xfId="5" applyNumberFormat="1" applyFont="1" applyBorder="1"/>
    <xf numFmtId="44" fontId="10" fillId="0" borderId="0" xfId="5" applyNumberFormat="1" applyFont="1" applyBorder="1"/>
    <xf numFmtId="44" fontId="0" fillId="0" borderId="0" xfId="0" applyNumberFormat="1"/>
    <xf numFmtId="44" fontId="4" fillId="0" borderId="2" xfId="1" applyNumberFormat="1" applyFont="1" applyBorder="1"/>
    <xf numFmtId="44" fontId="4" fillId="0" borderId="1" xfId="1" applyNumberFormat="1" applyFont="1" applyBorder="1"/>
    <xf numFmtId="44" fontId="12" fillId="0" borderId="7" xfId="0" applyNumberFormat="1" applyFont="1" applyBorder="1" applyAlignment="1">
      <alignment horizontal="center" vertical="center"/>
    </xf>
    <xf numFmtId="44" fontId="10" fillId="0" borderId="7" xfId="1" applyNumberFormat="1" applyFont="1" applyBorder="1" applyAlignment="1">
      <alignment horizontal="center"/>
    </xf>
    <xf numFmtId="44" fontId="4" fillId="0" borderId="7" xfId="1" applyNumberFormat="1" applyFont="1" applyBorder="1"/>
    <xf numFmtId="44" fontId="4" fillId="0" borderId="5" xfId="1" applyNumberFormat="1" applyFont="1" applyBorder="1"/>
    <xf numFmtId="44" fontId="4" fillId="0" borderId="0" xfId="1" applyNumberFormat="1" applyFont="1"/>
    <xf numFmtId="44" fontId="12" fillId="0" borderId="0" xfId="0" applyNumberFormat="1" applyFont="1" applyAlignment="1">
      <alignment horizontal="center" vertical="center"/>
    </xf>
    <xf numFmtId="44" fontId="10" fillId="0" borderId="0" xfId="1" applyNumberFormat="1" applyFont="1" applyBorder="1" applyAlignment="1">
      <alignment horizontal="center"/>
    </xf>
    <xf numFmtId="44" fontId="4" fillId="0" borderId="0" xfId="1" applyNumberFormat="1" applyFont="1" applyBorder="1"/>
    <xf numFmtId="44" fontId="4" fillId="0" borderId="0" xfId="2" applyFont="1" applyBorder="1"/>
    <xf numFmtId="0" fontId="8" fillId="0" borderId="0" xfId="0" applyFont="1"/>
    <xf numFmtId="165" fontId="4" fillId="0" borderId="0" xfId="9" applyNumberFormat="1" applyFont="1" applyFill="1" applyBorder="1"/>
    <xf numFmtId="165" fontId="10" fillId="0" borderId="0" xfId="9" applyNumberFormat="1" applyFont="1" applyFill="1" applyBorder="1"/>
    <xf numFmtId="0" fontId="2" fillId="0" borderId="0" xfId="4"/>
    <xf numFmtId="167" fontId="4" fillId="0" borderId="0" xfId="3" applyNumberFormat="1" applyFont="1" applyFill="1" applyBorder="1"/>
    <xf numFmtId="165" fontId="4" fillId="0" borderId="0" xfId="9" applyNumberFormat="1" applyFont="1" applyFill="1" applyBorder="1" applyAlignment="1">
      <alignment horizontal="center"/>
    </xf>
    <xf numFmtId="165" fontId="8" fillId="0" borderId="7" xfId="5" applyNumberFormat="1" applyFont="1" applyBorder="1" applyAlignment="1">
      <alignment horizontal="center"/>
    </xf>
    <xf numFmtId="3" fontId="4" fillId="0" borderId="0" xfId="0" applyNumberFormat="1" applyFont="1"/>
    <xf numFmtId="168" fontId="4" fillId="0" borderId="0" xfId="5" applyNumberFormat="1" applyFont="1" applyAlignment="1"/>
    <xf numFmtId="3" fontId="4" fillId="0" borderId="2" xfId="0" applyNumberFormat="1" applyFont="1" applyBorder="1"/>
    <xf numFmtId="168" fontId="4" fillId="0" borderId="2" xfId="5" applyNumberFormat="1" applyFont="1" applyBorder="1"/>
    <xf numFmtId="3" fontId="4" fillId="0" borderId="4" xfId="0" applyNumberFormat="1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168" fontId="4" fillId="0" borderId="0" xfId="5" applyNumberFormat="1" applyFont="1" applyBorder="1" applyAlignment="1"/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8" fontId="9" fillId="0" borderId="0" xfId="5" applyNumberFormat="1" applyFont="1" applyBorder="1" applyAlignment="1">
      <alignment horizontal="centerContinuous"/>
    </xf>
    <xf numFmtId="3" fontId="9" fillId="0" borderId="0" xfId="0" applyNumberFormat="1" applyFont="1" applyAlignment="1">
      <alignment horizontal="centerContinuous"/>
    </xf>
    <xf numFmtId="44" fontId="11" fillId="0" borderId="0" xfId="0" applyNumberFormat="1" applyFont="1" applyAlignment="1">
      <alignment horizontal="center"/>
    </xf>
    <xf numFmtId="3" fontId="9" fillId="0" borderId="0" xfId="0" applyNumberFormat="1" applyFont="1"/>
    <xf numFmtId="169" fontId="4" fillId="0" borderId="0" xfId="0" applyNumberFormat="1" applyFont="1" applyAlignment="1">
      <alignment horizontal="center"/>
    </xf>
    <xf numFmtId="168" fontId="4" fillId="0" borderId="0" xfId="5" applyNumberFormat="1" applyFont="1" applyBorder="1" applyAlignment="1">
      <alignment horizontal="center"/>
    </xf>
    <xf numFmtId="168" fontId="4" fillId="0" borderId="0" xfId="5" quotePrefix="1" applyNumberFormat="1" applyFont="1" applyBorder="1" applyAlignment="1">
      <alignment horizontal="center"/>
    </xf>
    <xf numFmtId="168" fontId="14" fillId="0" borderId="0" xfId="5" applyNumberFormat="1" applyFont="1" applyBorder="1" applyAlignment="1"/>
    <xf numFmtId="165" fontId="4" fillId="0" borderId="0" xfId="5" applyNumberFormat="1" applyFont="1" applyBorder="1" applyAlignment="1"/>
    <xf numFmtId="3" fontId="8" fillId="0" borderId="0" xfId="0" applyNumberFormat="1" applyFont="1"/>
    <xf numFmtId="171" fontId="4" fillId="0" borderId="0" xfId="0" applyNumberFormat="1" applyFont="1"/>
    <xf numFmtId="170" fontId="8" fillId="0" borderId="0" xfId="0" applyNumberFormat="1" applyFont="1"/>
    <xf numFmtId="3" fontId="4" fillId="0" borderId="1" xfId="0" applyNumberFormat="1" applyFont="1" applyBorder="1"/>
    <xf numFmtId="168" fontId="4" fillId="0" borderId="1" xfId="5" applyNumberFormat="1" applyFont="1" applyBorder="1" applyAlignment="1"/>
    <xf numFmtId="3" fontId="4" fillId="0" borderId="6" xfId="0" applyNumberFormat="1" applyFont="1" applyBorder="1"/>
    <xf numFmtId="4" fontId="4" fillId="0" borderId="7" xfId="0" applyNumberFormat="1" applyFont="1" applyBorder="1"/>
    <xf numFmtId="165" fontId="4" fillId="0" borderId="3" xfId="5" applyNumberFormat="1" applyFont="1" applyBorder="1"/>
    <xf numFmtId="165" fontId="4" fillId="0" borderId="2" xfId="5" applyNumberFormat="1" applyFont="1" applyBorder="1"/>
    <xf numFmtId="165" fontId="4" fillId="0" borderId="4" xfId="5" applyNumberFormat="1" applyFont="1" applyBorder="1"/>
    <xf numFmtId="165" fontId="5" fillId="0" borderId="7" xfId="5" applyNumberFormat="1" applyFont="1" applyBorder="1" applyAlignment="1">
      <alignment horizontal="centerContinuous"/>
    </xf>
    <xf numFmtId="165" fontId="8" fillId="0" borderId="0" xfId="5" applyNumberFormat="1" applyFont="1" applyAlignment="1">
      <alignment horizontal="centerContinuous"/>
    </xf>
    <xf numFmtId="165" fontId="6" fillId="0" borderId="7" xfId="5" applyNumberFormat="1" applyFont="1" applyBorder="1" applyAlignment="1">
      <alignment horizontal="centerContinuous"/>
    </xf>
    <xf numFmtId="165" fontId="9" fillId="0" borderId="0" xfId="5" applyNumberFormat="1" applyFont="1" applyAlignment="1">
      <alignment horizontal="centerContinuous"/>
    </xf>
    <xf numFmtId="3" fontId="12" fillId="0" borderId="7" xfId="0" applyNumberFormat="1" applyFont="1" applyBorder="1" applyAlignment="1">
      <alignment horizontal="centerContinuous" vertical="center"/>
    </xf>
    <xf numFmtId="165" fontId="24" fillId="0" borderId="7" xfId="5" applyNumberFormat="1" applyFont="1" applyBorder="1" applyAlignment="1">
      <alignment horizontal="centerContinuous"/>
    </xf>
    <xf numFmtId="165" fontId="4" fillId="0" borderId="0" xfId="5" applyNumberFormat="1" applyFont="1" applyAlignment="1">
      <alignment horizontal="centerContinuous"/>
    </xf>
    <xf numFmtId="165" fontId="4" fillId="0" borderId="7" xfId="5" applyNumberFormat="1" applyFont="1" applyBorder="1" applyAlignment="1">
      <alignment horizontal="centerContinuous"/>
    </xf>
    <xf numFmtId="165" fontId="4" fillId="0" borderId="10" xfId="5" applyNumberFormat="1" applyFont="1" applyBorder="1" applyAlignment="1">
      <alignment horizontal="left"/>
    </xf>
    <xf numFmtId="165" fontId="4" fillId="0" borderId="3" xfId="5" applyNumberFormat="1" applyFont="1" applyBorder="1" applyAlignment="1">
      <alignment horizontal="left"/>
    </xf>
    <xf numFmtId="165" fontId="4" fillId="0" borderId="2" xfId="5" applyNumberFormat="1" applyFont="1" applyBorder="1" applyAlignment="1">
      <alignment horizontal="left"/>
    </xf>
    <xf numFmtId="165" fontId="4" fillId="0" borderId="4" xfId="5" applyNumberFormat="1" applyFont="1" applyBorder="1" applyAlignment="1">
      <alignment horizontal="left"/>
    </xf>
    <xf numFmtId="165" fontId="4" fillId="0" borderId="11" xfId="5" applyNumberFormat="1" applyFont="1" applyBorder="1"/>
    <xf numFmtId="165" fontId="11" fillId="0" borderId="0" xfId="5" applyNumberFormat="1" applyFont="1" applyAlignment="1">
      <alignment horizontal="center" vertical="center"/>
    </xf>
    <xf numFmtId="165" fontId="8" fillId="0" borderId="8" xfId="5" applyNumberFormat="1" applyFont="1" applyBorder="1" applyAlignment="1">
      <alignment horizontal="center" vertical="center"/>
    </xf>
    <xf numFmtId="165" fontId="8" fillId="0" borderId="0" xfId="5" applyNumberFormat="1" applyFont="1" applyAlignment="1">
      <alignment horizontal="center" vertical="center"/>
    </xf>
    <xf numFmtId="165" fontId="11" fillId="0" borderId="8" xfId="5" applyNumberFormat="1" applyFont="1" applyBorder="1" applyAlignment="1">
      <alignment horizontal="center" vertical="center"/>
    </xf>
    <xf numFmtId="165" fontId="11" fillId="0" borderId="0" xfId="5" applyNumberFormat="1" applyFont="1" applyBorder="1" applyAlignment="1">
      <alignment horizontal="center" vertical="center"/>
    </xf>
    <xf numFmtId="165" fontId="4" fillId="0" borderId="11" xfId="5" applyNumberFormat="1" applyFont="1" applyBorder="1" applyAlignment="1">
      <alignment horizontal="left"/>
    </xf>
    <xf numFmtId="165" fontId="4" fillId="0" borderId="7" xfId="5" applyNumberFormat="1" applyFont="1" applyBorder="1" applyAlignment="1">
      <alignment horizontal="center"/>
    </xf>
    <xf numFmtId="165" fontId="4" fillId="0" borderId="0" xfId="5" applyNumberFormat="1" applyFont="1" applyAlignment="1">
      <alignment horizontal="center"/>
    </xf>
    <xf numFmtId="165" fontId="4" fillId="0" borderId="8" xfId="5" applyNumberFormat="1" applyFont="1" applyBorder="1" applyAlignment="1">
      <alignment horizontal="center"/>
    </xf>
    <xf numFmtId="164" fontId="4" fillId="0" borderId="0" xfId="6" quotePrefix="1" applyNumberFormat="1" applyFont="1" applyBorder="1" applyAlignment="1">
      <alignment horizontal="center"/>
    </xf>
    <xf numFmtId="165" fontId="4" fillId="0" borderId="0" xfId="5" quotePrefix="1" applyNumberFormat="1" applyFont="1" applyBorder="1" applyAlignment="1">
      <alignment horizontal="center"/>
    </xf>
    <xf numFmtId="165" fontId="4" fillId="0" borderId="11" xfId="5" quotePrefix="1" applyNumberFormat="1" applyFont="1" applyBorder="1" applyAlignment="1">
      <alignment horizontal="center"/>
    </xf>
    <xf numFmtId="165" fontId="4" fillId="0" borderId="7" xfId="5" quotePrefix="1" applyNumberFormat="1" applyFont="1" applyBorder="1" applyAlignment="1">
      <alignment horizontal="left"/>
    </xf>
    <xf numFmtId="165" fontId="4" fillId="0" borderId="0" xfId="5" quotePrefix="1" applyNumberFormat="1" applyFont="1" applyAlignment="1">
      <alignment horizontal="left"/>
    </xf>
    <xf numFmtId="165" fontId="4" fillId="0" borderId="8" xfId="5" quotePrefix="1" applyNumberFormat="1" applyFont="1" applyBorder="1" applyAlignment="1">
      <alignment horizontal="left"/>
    </xf>
    <xf numFmtId="165" fontId="8" fillId="0" borderId="7" xfId="5" quotePrefix="1" applyNumberFormat="1" applyFont="1" applyBorder="1" applyAlignment="1">
      <alignment horizontal="left"/>
    </xf>
    <xf numFmtId="165" fontId="8" fillId="0" borderId="0" xfId="5" quotePrefix="1" applyNumberFormat="1" applyFont="1" applyAlignment="1">
      <alignment horizontal="left"/>
    </xf>
    <xf numFmtId="165" fontId="8" fillId="0" borderId="8" xfId="5" quotePrefix="1" applyNumberFormat="1" applyFont="1" applyBorder="1" applyAlignment="1">
      <alignment horizontal="left"/>
    </xf>
    <xf numFmtId="164" fontId="8" fillId="0" borderId="0" xfId="6" quotePrefix="1" applyNumberFormat="1" applyFont="1" applyBorder="1" applyAlignment="1">
      <alignment horizontal="left"/>
    </xf>
    <xf numFmtId="165" fontId="8" fillId="0" borderId="12" xfId="5" applyNumberFormat="1" applyFont="1" applyBorder="1" applyAlignment="1">
      <alignment horizontal="right"/>
    </xf>
    <xf numFmtId="165" fontId="8" fillId="0" borderId="5" xfId="5" applyNumberFormat="1" applyFont="1" applyBorder="1" applyAlignment="1">
      <alignment horizontal="right"/>
    </xf>
    <xf numFmtId="165" fontId="8" fillId="0" borderId="1" xfId="5" applyNumberFormat="1" applyFont="1" applyBorder="1" applyAlignment="1">
      <alignment horizontal="right"/>
    </xf>
    <xf numFmtId="165" fontId="8" fillId="0" borderId="6" xfId="5" applyNumberFormat="1" applyFont="1" applyBorder="1" applyAlignment="1">
      <alignment horizontal="right"/>
    </xf>
    <xf numFmtId="165" fontId="8" fillId="0" borderId="8" xfId="5" applyNumberFormat="1" applyFont="1" applyBorder="1" applyAlignment="1">
      <alignment horizontal="right"/>
    </xf>
    <xf numFmtId="165" fontId="4" fillId="0" borderId="6" xfId="5" applyNumberFormat="1" applyFont="1" applyBorder="1"/>
    <xf numFmtId="165" fontId="8" fillId="0" borderId="7" xfId="5" applyNumberFormat="1" applyFont="1" applyBorder="1" applyAlignment="1">
      <alignment horizontal="right"/>
    </xf>
    <xf numFmtId="165" fontId="8" fillId="0" borderId="0" xfId="5" applyNumberFormat="1" applyFont="1" applyAlignment="1">
      <alignment horizontal="right"/>
    </xf>
    <xf numFmtId="165" fontId="8" fillId="0" borderId="2" xfId="5" applyNumberFormat="1" applyFont="1" applyBorder="1" applyAlignment="1">
      <alignment horizontal="right"/>
    </xf>
    <xf numFmtId="165" fontId="8" fillId="0" borderId="7" xfId="5" applyNumberFormat="1" applyFont="1" applyBorder="1"/>
    <xf numFmtId="164" fontId="8" fillId="0" borderId="0" xfId="6" applyNumberFormat="1" applyFont="1"/>
    <xf numFmtId="165" fontId="8" fillId="0" borderId="0" xfId="5" applyNumberFormat="1" applyFont="1"/>
    <xf numFmtId="165" fontId="8" fillId="0" borderId="0" xfId="5" applyNumberFormat="1" applyFont="1" applyBorder="1"/>
    <xf numFmtId="164" fontId="8" fillId="0" borderId="0" xfId="6" applyNumberFormat="1" applyFont="1" applyBorder="1"/>
    <xf numFmtId="165" fontId="4" fillId="0" borderId="5" xfId="5" applyNumberFormat="1" applyFont="1" applyBorder="1" applyAlignment="1">
      <alignment horizontal="center"/>
    </xf>
    <xf numFmtId="165" fontId="4" fillId="0" borderId="1" xfId="5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9" fontId="4" fillId="0" borderId="0" xfId="0" applyNumberFormat="1" applyFont="1" applyAlignment="1">
      <alignment horizontal="center"/>
    </xf>
    <xf numFmtId="9" fontId="20" fillId="0" borderId="0" xfId="0" applyNumberFormat="1" applyFont="1" applyAlignment="1">
      <alignment horizontal="center"/>
    </xf>
    <xf numFmtId="9" fontId="4" fillId="0" borderId="0" xfId="3" applyFont="1" applyAlignment="1">
      <alignment horizontal="center"/>
    </xf>
    <xf numFmtId="164" fontId="4" fillId="0" borderId="0" xfId="5" applyNumberFormat="1" applyFont="1" applyBorder="1"/>
    <xf numFmtId="164" fontId="4" fillId="0" borderId="0" xfId="2" applyNumberFormat="1" applyFont="1" applyBorder="1"/>
    <xf numFmtId="9" fontId="4" fillId="0" borderId="0" xfId="3" applyFont="1"/>
    <xf numFmtId="42" fontId="4" fillId="0" borderId="0" xfId="0" applyNumberFormat="1" applyFont="1"/>
    <xf numFmtId="165" fontId="4" fillId="0" borderId="0" xfId="1" applyNumberFormat="1" applyFont="1" applyAlignment="1">
      <alignment horizontal="right" vertical="center"/>
    </xf>
    <xf numFmtId="10" fontId="4" fillId="0" borderId="0" xfId="0" applyNumberFormat="1" applyFont="1"/>
    <xf numFmtId="165" fontId="4" fillId="0" borderId="1" xfId="5" applyNumberFormat="1" applyFont="1" applyBorder="1"/>
    <xf numFmtId="164" fontId="8" fillId="0" borderId="9" xfId="6" applyNumberFormat="1" applyFont="1" applyBorder="1"/>
    <xf numFmtId="9" fontId="4" fillId="0" borderId="0" xfId="9" applyNumberFormat="1" applyFont="1" applyFill="1" applyBorder="1" applyAlignment="1">
      <alignment horizontal="center"/>
    </xf>
    <xf numFmtId="9" fontId="10" fillId="0" borderId="0" xfId="9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 indent="1"/>
    </xf>
    <xf numFmtId="164" fontId="8" fillId="0" borderId="0" xfId="4" applyNumberFormat="1" applyFont="1" applyAlignment="1">
      <alignment horizontal="left" indent="1"/>
    </xf>
    <xf numFmtId="165" fontId="4" fillId="0" borderId="0" xfId="1" applyNumberFormat="1" applyFont="1" applyBorder="1" applyAlignment="1">
      <alignment vertical="center"/>
    </xf>
    <xf numFmtId="165" fontId="10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center" vertical="center"/>
    </xf>
    <xf numFmtId="165" fontId="10" fillId="0" borderId="0" xfId="1" applyNumberFormat="1" applyFont="1" applyBorder="1" applyAlignment="1">
      <alignment horizontal="center" vertical="center"/>
    </xf>
    <xf numFmtId="172" fontId="4" fillId="0" borderId="0" xfId="1" applyNumberFormat="1" applyFont="1" applyBorder="1"/>
    <xf numFmtId="172" fontId="0" fillId="0" borderId="0" xfId="1" applyNumberFormat="1" applyFont="1" applyBorder="1"/>
    <xf numFmtId="43" fontId="0" fillId="0" borderId="0" xfId="1" applyFont="1" applyBorder="1"/>
    <xf numFmtId="44" fontId="4" fillId="2" borderId="7" xfId="1" applyNumberFormat="1" applyFont="1" applyFill="1" applyBorder="1"/>
    <xf numFmtId="44" fontId="4" fillId="2" borderId="0" xfId="1" applyNumberFormat="1" applyFont="1" applyFill="1" applyBorder="1"/>
    <xf numFmtId="10" fontId="4" fillId="2" borderId="0" xfId="3" applyNumberFormat="1" applyFont="1" applyFill="1" applyBorder="1"/>
    <xf numFmtId="10" fontId="4" fillId="0" borderId="0" xfId="3" applyNumberFormat="1" applyFont="1" applyBorder="1" applyAlignment="1"/>
    <xf numFmtId="172" fontId="4" fillId="0" borderId="0" xfId="1" applyNumberFormat="1" applyFont="1" applyBorder="1" applyAlignment="1">
      <alignment horizontal="center"/>
    </xf>
    <xf numFmtId="165" fontId="26" fillId="0" borderId="0" xfId="11" applyNumberFormat="1" applyFont="1" applyAlignment="1">
      <alignment vertical="center"/>
    </xf>
    <xf numFmtId="165" fontId="11" fillId="0" borderId="0" xfId="1" applyNumberFormat="1" applyFont="1" applyAlignment="1">
      <alignment vertical="center"/>
    </xf>
    <xf numFmtId="173" fontId="4" fillId="0" borderId="0" xfId="1" applyNumberFormat="1" applyFont="1" applyBorder="1" applyAlignment="1"/>
    <xf numFmtId="165" fontId="7" fillId="0" borderId="0" xfId="1" applyNumberFormat="1" applyFont="1" applyBorder="1"/>
    <xf numFmtId="0" fontId="4" fillId="0" borderId="0" xfId="1" applyNumberFormat="1" applyFont="1" applyBorder="1" applyAlignment="1">
      <alignment horizontal="left"/>
    </xf>
    <xf numFmtId="0" fontId="4" fillId="0" borderId="0" xfId="1" applyNumberFormat="1" applyFont="1" applyBorder="1" applyAlignment="1">
      <alignment horizontal="right"/>
    </xf>
    <xf numFmtId="166" fontId="4" fillId="0" borderId="0" xfId="1" applyNumberFormat="1" applyFont="1" applyBorder="1" applyAlignment="1">
      <alignment horizontal="right"/>
    </xf>
    <xf numFmtId="173" fontId="4" fillId="0" borderId="0" xfId="1" applyNumberFormat="1" applyFont="1" applyBorder="1" applyAlignment="1">
      <alignment horizontal="right"/>
    </xf>
    <xf numFmtId="43" fontId="4" fillId="0" borderId="13" xfId="1" applyFont="1" applyBorder="1" applyAlignment="1"/>
    <xf numFmtId="43" fontId="4" fillId="0" borderId="14" xfId="1" applyFont="1" applyBorder="1" applyAlignment="1"/>
    <xf numFmtId="165" fontId="4" fillId="0" borderId="14" xfId="1" applyNumberFormat="1" applyFont="1" applyBorder="1" applyAlignment="1"/>
    <xf numFmtId="0" fontId="4" fillId="0" borderId="14" xfId="1" applyNumberFormat="1" applyFont="1" applyBorder="1" applyAlignment="1"/>
    <xf numFmtId="10" fontId="4" fillId="0" borderId="14" xfId="3" applyNumberFormat="1" applyFont="1" applyBorder="1" applyAlignment="1"/>
    <xf numFmtId="43" fontId="4" fillId="0" borderId="15" xfId="1" applyFont="1" applyBorder="1" applyAlignment="1"/>
    <xf numFmtId="43" fontId="4" fillId="0" borderId="16" xfId="1" applyFont="1" applyBorder="1" applyAlignment="1"/>
    <xf numFmtId="43" fontId="4" fillId="0" borderId="17" xfId="1" applyFont="1" applyBorder="1" applyAlignment="1"/>
    <xf numFmtId="43" fontId="4" fillId="0" borderId="17" xfId="1" applyFont="1" applyBorder="1" applyAlignment="1">
      <alignment vertical="center"/>
    </xf>
    <xf numFmtId="0" fontId="4" fillId="0" borderId="16" xfId="0" applyFont="1" applyBorder="1"/>
    <xf numFmtId="43" fontId="4" fillId="0" borderId="18" xfId="1" applyFont="1" applyBorder="1" applyAlignment="1"/>
    <xf numFmtId="43" fontId="4" fillId="0" borderId="19" xfId="1" applyFont="1" applyBorder="1" applyAlignment="1"/>
    <xf numFmtId="165" fontId="4" fillId="0" borderId="19" xfId="1" applyNumberFormat="1" applyFont="1" applyBorder="1" applyAlignment="1"/>
    <xf numFmtId="0" fontId="4" fillId="0" borderId="19" xfId="1" applyNumberFormat="1" applyFont="1" applyBorder="1" applyAlignment="1"/>
    <xf numFmtId="10" fontId="4" fillId="0" borderId="19" xfId="3" applyNumberFormat="1" applyFont="1" applyBorder="1" applyAlignment="1"/>
    <xf numFmtId="43" fontId="4" fillId="0" borderId="20" xfId="1" applyFont="1" applyBorder="1" applyAlignment="1"/>
    <xf numFmtId="0" fontId="4" fillId="0" borderId="14" xfId="1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19" xfId="1" applyNumberFormat="1" applyFont="1" applyBorder="1" applyAlignment="1">
      <alignment horizontal="left"/>
    </xf>
    <xf numFmtId="3" fontId="4" fillId="0" borderId="0" xfId="1" applyNumberFormat="1" applyFont="1" applyBorder="1"/>
    <xf numFmtId="0" fontId="17" fillId="0" borderId="1" xfId="0" applyFont="1" applyBorder="1"/>
    <xf numFmtId="165" fontId="4" fillId="0" borderId="0" xfId="0" applyNumberFormat="1" applyFont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Fill="1" applyAlignment="1">
      <alignment vertical="center"/>
    </xf>
    <xf numFmtId="165" fontId="10" fillId="0" borderId="0" xfId="1" applyNumberFormat="1" applyFont="1" applyAlignment="1">
      <alignment vertical="center"/>
    </xf>
    <xf numFmtId="37" fontId="4" fillId="0" borderId="0" xfId="0" applyNumberFormat="1" applyFont="1" applyAlignment="1">
      <alignment horizontal="right"/>
    </xf>
    <xf numFmtId="165" fontId="4" fillId="0" borderId="0" xfId="1" quotePrefix="1" applyNumberFormat="1" applyFont="1" applyAlignment="1">
      <alignment horizontal="left" vertical="center"/>
    </xf>
    <xf numFmtId="164" fontId="10" fillId="0" borderId="0" xfId="0" applyNumberFormat="1" applyFont="1"/>
    <xf numFmtId="42" fontId="4" fillId="0" borderId="0" xfId="2" applyNumberFormat="1" applyFont="1"/>
    <xf numFmtId="164" fontId="4" fillId="0" borderId="0" xfId="2" applyNumberFormat="1" applyFont="1"/>
    <xf numFmtId="164" fontId="4" fillId="0" borderId="1" xfId="2" applyNumberFormat="1" applyFont="1" applyBorder="1"/>
    <xf numFmtId="0" fontId="4" fillId="0" borderId="1" xfId="0" applyFont="1" applyBorder="1"/>
    <xf numFmtId="42" fontId="4" fillId="0" borderId="1" xfId="2" applyNumberFormat="1" applyFont="1" applyBorder="1"/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6" fillId="0" borderId="0" xfId="0" applyFont="1"/>
    <xf numFmtId="165" fontId="4" fillId="0" borderId="0" xfId="1" applyNumberFormat="1" applyFont="1" applyFill="1"/>
    <xf numFmtId="165" fontId="4" fillId="0" borderId="0" xfId="1" applyNumberFormat="1" applyFont="1" applyFill="1" applyBorder="1"/>
    <xf numFmtId="165" fontId="10" fillId="0" borderId="0" xfId="1" applyNumberFormat="1" applyFont="1" applyFill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1" applyNumberFormat="1" applyFont="1" applyAlignment="1">
      <alignment vertical="center"/>
    </xf>
    <xf numFmtId="165" fontId="4" fillId="0" borderId="0" xfId="5" applyNumberFormat="1" applyFont="1" applyFill="1"/>
    <xf numFmtId="165" fontId="10" fillId="0" borderId="0" xfId="5" applyNumberFormat="1" applyFont="1" applyFill="1" applyBorder="1"/>
    <xf numFmtId="43" fontId="4" fillId="0" borderId="0" xfId="1" applyFont="1" applyFill="1"/>
    <xf numFmtId="0" fontId="8" fillId="0" borderId="0" xfId="0" applyFont="1" applyAlignment="1">
      <alignment horizontal="center"/>
    </xf>
    <xf numFmtId="165" fontId="4" fillId="0" borderId="1" xfId="1" applyNumberFormat="1" applyFont="1" applyBorder="1" applyAlignment="1">
      <alignment vertical="center"/>
    </xf>
    <xf numFmtId="164" fontId="4" fillId="0" borderId="0" xfId="5" applyNumberFormat="1" applyFont="1" applyBorder="1" applyAlignment="1">
      <alignment horizontal="left"/>
    </xf>
    <xf numFmtId="164" fontId="10" fillId="0" borderId="0" xfId="5" applyNumberFormat="1" applyFont="1" applyBorder="1" applyAlignment="1">
      <alignment horizontal="left"/>
    </xf>
    <xf numFmtId="164" fontId="4" fillId="0" borderId="1" xfId="0" applyNumberFormat="1" applyFont="1" applyBorder="1"/>
    <xf numFmtId="10" fontId="4" fillId="0" borderId="0" xfId="3" applyNumberFormat="1" applyFont="1"/>
    <xf numFmtId="44" fontId="10" fillId="0" borderId="0" xfId="10" applyFont="1"/>
    <xf numFmtId="44" fontId="10" fillId="0" borderId="0" xfId="0" applyNumberFormat="1" applyFont="1"/>
    <xf numFmtId="0" fontId="28" fillId="0" borderId="0" xfId="0" applyFont="1"/>
    <xf numFmtId="165" fontId="28" fillId="0" borderId="0" xfId="0" applyNumberFormat="1" applyFont="1"/>
    <xf numFmtId="164" fontId="8" fillId="0" borderId="0" xfId="0" applyNumberFormat="1" applyFont="1"/>
    <xf numFmtId="165" fontId="10" fillId="0" borderId="0" xfId="1" applyNumberFormat="1" applyFont="1" applyFill="1"/>
    <xf numFmtId="164" fontId="26" fillId="0" borderId="0" xfId="2" applyNumberFormat="1" applyFont="1"/>
    <xf numFmtId="170" fontId="26" fillId="0" borderId="1" xfId="0" applyNumberFormat="1" applyFont="1" applyBorder="1"/>
    <xf numFmtId="164" fontId="26" fillId="0" borderId="0" xfId="0" applyNumberFormat="1" applyFont="1"/>
    <xf numFmtId="44" fontId="10" fillId="0" borderId="0" xfId="10" applyFont="1" applyFill="1"/>
    <xf numFmtId="0" fontId="1" fillId="0" borderId="0" xfId="4" applyFont="1" applyAlignment="1">
      <alignment horizontal="center"/>
    </xf>
    <xf numFmtId="0" fontId="1" fillId="0" borderId="0" xfId="4" applyFont="1" applyAlignment="1">
      <alignment horizontal="left"/>
    </xf>
    <xf numFmtId="164" fontId="4" fillId="0" borderId="1" xfId="4" applyNumberFormat="1" applyFont="1" applyBorder="1" applyAlignment="1">
      <alignment horizontal="left" indent="1"/>
    </xf>
    <xf numFmtId="164" fontId="4" fillId="0" borderId="0" xfId="6" applyNumberFormat="1" applyFont="1" applyFill="1"/>
    <xf numFmtId="165" fontId="4" fillId="0" borderId="0" xfId="1" applyNumberFormat="1" applyFont="1" applyFill="1" applyAlignment="1">
      <alignment horizontal="right" vertical="center"/>
    </xf>
    <xf numFmtId="0" fontId="9" fillId="0" borderId="0" xfId="1" applyNumberFormat="1" applyFont="1" applyAlignment="1">
      <alignment vertical="center"/>
    </xf>
    <xf numFmtId="0" fontId="4" fillId="0" borderId="0" xfId="1" applyNumberFormat="1" applyFont="1"/>
    <xf numFmtId="0" fontId="7" fillId="0" borderId="0" xfId="1" applyNumberFormat="1" applyFont="1"/>
    <xf numFmtId="0" fontId="4" fillId="0" borderId="0" xfId="3" applyNumberFormat="1" applyFont="1"/>
    <xf numFmtId="165" fontId="4" fillId="0" borderId="0" xfId="1" applyNumberFormat="1" applyFont="1" applyFill="1" applyBorder="1" applyAlignment="1">
      <alignment vertical="center"/>
    </xf>
    <xf numFmtId="165" fontId="10" fillId="0" borderId="1" xfId="1" applyNumberFormat="1" applyFont="1" applyBorder="1"/>
    <xf numFmtId="165" fontId="5" fillId="0" borderId="0" xfId="1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165" fontId="11" fillId="0" borderId="7" xfId="5" applyNumberFormat="1" applyFont="1" applyBorder="1" applyAlignment="1">
      <alignment horizontal="center" vertical="center"/>
    </xf>
    <xf numFmtId="165" fontId="11" fillId="0" borderId="8" xfId="5" applyNumberFormat="1" applyFont="1" applyBorder="1" applyAlignment="1">
      <alignment horizontal="center" vertical="center"/>
    </xf>
    <xf numFmtId="43" fontId="5" fillId="0" borderId="0" xfId="1" applyFont="1" applyBorder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3" fontId="12" fillId="0" borderId="8" xfId="0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165" fontId="5" fillId="0" borderId="8" xfId="1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165" fontId="12" fillId="0" borderId="0" xfId="5" applyNumberFormat="1" applyFont="1" applyBorder="1" applyAlignment="1">
      <alignment horizontal="center" vertical="center"/>
    </xf>
  </cellXfs>
  <cellStyles count="12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Hyperlink" xfId="11" builtinId="8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preciation%20Det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LIST(60844)"/>
    </sheetNames>
    <sheetDataSet>
      <sheetData sheetId="0">
        <row r="11">
          <cell r="D11">
            <v>74504</v>
          </cell>
          <cell r="F11">
            <v>2321</v>
          </cell>
        </row>
        <row r="20">
          <cell r="D20">
            <v>112270</v>
          </cell>
          <cell r="F20">
            <v>15162</v>
          </cell>
        </row>
        <row r="29">
          <cell r="D29">
            <v>16587</v>
          </cell>
          <cell r="F29">
            <v>1357</v>
          </cell>
        </row>
        <row r="34">
          <cell r="D34">
            <v>1642</v>
          </cell>
          <cell r="F34">
            <v>117</v>
          </cell>
        </row>
        <row r="40">
          <cell r="D40">
            <v>9193</v>
          </cell>
          <cell r="F40">
            <v>1193</v>
          </cell>
        </row>
        <row r="57">
          <cell r="D57">
            <v>16240158</v>
          </cell>
          <cell r="F57">
            <v>406129</v>
          </cell>
        </row>
        <row r="61">
          <cell r="D61">
            <v>94178</v>
          </cell>
          <cell r="F61">
            <v>4152</v>
          </cell>
        </row>
        <row r="80">
          <cell r="D80">
            <v>794032</v>
          </cell>
          <cell r="F80">
            <v>24966</v>
          </cell>
        </row>
        <row r="83">
          <cell r="D83">
            <v>1182</v>
          </cell>
          <cell r="F83">
            <v>30</v>
          </cell>
        </row>
        <row r="86">
          <cell r="D86">
            <v>12098</v>
          </cell>
          <cell r="F86">
            <v>1210</v>
          </cell>
        </row>
        <row r="88">
          <cell r="D88">
            <v>176323</v>
          </cell>
          <cell r="F88">
            <v>4408</v>
          </cell>
        </row>
        <row r="101">
          <cell r="D101">
            <v>88599</v>
          </cell>
          <cell r="F101">
            <v>13429</v>
          </cell>
        </row>
        <row r="105">
          <cell r="D105">
            <v>1448559</v>
          </cell>
          <cell r="F105">
            <v>36214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workbookViewId="0">
      <selection activeCell="H45" sqref="A1:H45"/>
    </sheetView>
  </sheetViews>
  <sheetFormatPr defaultColWidth="8.77734375" defaultRowHeight="14.25" x14ac:dyDescent="0.45"/>
  <cols>
    <col min="1" max="1" width="3.6640625" style="4" customWidth="1"/>
    <col min="2" max="2" width="2.6640625" style="4" customWidth="1"/>
    <col min="3" max="3" width="29.44140625" style="4" customWidth="1"/>
    <col min="4" max="4" width="11.33203125" style="4" customWidth="1"/>
    <col min="5" max="5" width="11.5546875" style="4" customWidth="1"/>
    <col min="6" max="6" width="5.33203125" style="4" customWidth="1"/>
    <col min="7" max="7" width="11.5546875" style="4" customWidth="1"/>
    <col min="8" max="8" width="3.609375" style="4" customWidth="1"/>
    <col min="9" max="9" width="14.5546875" style="4" customWidth="1"/>
    <col min="10" max="11" width="11.33203125" style="4" customWidth="1"/>
    <col min="12" max="12" width="10.88671875" style="4" customWidth="1"/>
    <col min="13" max="16384" width="8.77734375" style="4"/>
  </cols>
  <sheetData>
    <row r="1" spans="1:12" ht="18" x14ac:dyDescent="0.45">
      <c r="A1" s="301" t="s">
        <v>26</v>
      </c>
      <c r="B1" s="301"/>
      <c r="C1" s="301"/>
      <c r="D1" s="301"/>
      <c r="E1" s="301"/>
      <c r="F1" s="301"/>
      <c r="G1" s="301"/>
      <c r="H1" s="45"/>
      <c r="I1" s="45"/>
      <c r="J1" s="45"/>
      <c r="K1" s="45"/>
    </row>
    <row r="2" spans="1:12" ht="15.75" x14ac:dyDescent="0.45">
      <c r="A2" s="46" t="s">
        <v>212</v>
      </c>
      <c r="B2" s="44"/>
      <c r="C2" s="44"/>
      <c r="D2" s="44"/>
      <c r="E2" s="44"/>
      <c r="F2" s="44"/>
      <c r="G2" s="44"/>
      <c r="H2" s="45"/>
      <c r="I2" s="45"/>
      <c r="J2" s="45"/>
      <c r="K2" s="45"/>
      <c r="L2" s="45"/>
    </row>
    <row r="3" spans="1:12" x14ac:dyDescent="0.45">
      <c r="A3" s="33"/>
      <c r="B3" s="44"/>
      <c r="C3" s="44"/>
      <c r="D3" s="44"/>
      <c r="E3" s="44"/>
      <c r="F3" s="44"/>
      <c r="G3" s="44"/>
      <c r="H3" s="45"/>
      <c r="I3" s="45"/>
      <c r="J3" s="45"/>
      <c r="K3" s="45"/>
    </row>
    <row r="4" spans="1:12" ht="16.5" x14ac:dyDescent="0.45">
      <c r="A4" s="45"/>
      <c r="B4" s="45"/>
      <c r="C4" s="45"/>
      <c r="D4" s="47" t="s">
        <v>27</v>
      </c>
      <c r="E4" s="47" t="s">
        <v>28</v>
      </c>
      <c r="F4" s="47" t="s">
        <v>29</v>
      </c>
      <c r="G4" s="47" t="s">
        <v>30</v>
      </c>
      <c r="H4" s="45"/>
      <c r="I4" s="58" t="s">
        <v>36</v>
      </c>
      <c r="J4" s="45"/>
      <c r="L4" s="222" t="s">
        <v>187</v>
      </c>
    </row>
    <row r="5" spans="1:12" x14ac:dyDescent="0.45">
      <c r="A5" s="48" t="s">
        <v>14</v>
      </c>
      <c r="B5" s="45"/>
      <c r="C5" s="45"/>
      <c r="D5" s="45"/>
      <c r="F5" s="45"/>
      <c r="G5" s="45"/>
      <c r="H5" s="45"/>
      <c r="J5" s="45"/>
      <c r="K5" s="45"/>
    </row>
    <row r="6" spans="1:12" x14ac:dyDescent="0.45">
      <c r="A6" s="45"/>
      <c r="B6" s="45" t="s">
        <v>38</v>
      </c>
      <c r="C6" s="45"/>
      <c r="D6" s="45">
        <v>1861535</v>
      </c>
      <c r="E6" s="252">
        <f>ExBA!G10</f>
        <v>-22500.020000000019</v>
      </c>
      <c r="F6" s="49" t="s">
        <v>273</v>
      </c>
      <c r="G6" s="45">
        <f>D6+E6</f>
        <v>1839034.98</v>
      </c>
      <c r="H6" s="50"/>
      <c r="I6" s="45" t="s">
        <v>246</v>
      </c>
      <c r="J6" s="45"/>
      <c r="K6" s="221"/>
      <c r="L6" s="4" t="s">
        <v>247</v>
      </c>
    </row>
    <row r="7" spans="1:12" x14ac:dyDescent="0.45">
      <c r="A7" s="45"/>
      <c r="B7" s="45" t="s">
        <v>55</v>
      </c>
      <c r="C7" s="45"/>
      <c r="D7" s="45">
        <v>0</v>
      </c>
      <c r="E7" s="252"/>
      <c r="F7" s="49"/>
      <c r="G7" s="45">
        <f>D7+E7</f>
        <v>0</v>
      </c>
      <c r="H7" s="51"/>
      <c r="I7" s="43"/>
      <c r="J7" s="45"/>
      <c r="K7" s="45"/>
    </row>
    <row r="8" spans="1:12" x14ac:dyDescent="0.45">
      <c r="A8" s="45"/>
      <c r="B8" s="45" t="s">
        <v>15</v>
      </c>
      <c r="C8" s="45"/>
      <c r="D8" s="45">
        <v>0</v>
      </c>
      <c r="E8" s="252"/>
      <c r="F8" s="49"/>
      <c r="G8" s="45">
        <f>D8+E8</f>
        <v>0</v>
      </c>
      <c r="H8" s="50"/>
      <c r="I8" s="255"/>
      <c r="J8" s="45"/>
    </row>
    <row r="9" spans="1:12" x14ac:dyDescent="0.45">
      <c r="A9" s="45"/>
      <c r="B9" s="45" t="s">
        <v>185</v>
      </c>
      <c r="C9" s="45"/>
      <c r="D9" s="45">
        <v>0</v>
      </c>
      <c r="E9" s="45"/>
      <c r="F9" s="49"/>
      <c r="G9" s="45">
        <f>D9+E9</f>
        <v>0</v>
      </c>
      <c r="H9" s="50"/>
      <c r="I9" s="52"/>
      <c r="J9" s="45"/>
    </row>
    <row r="10" spans="1:12" x14ac:dyDescent="0.45">
      <c r="A10" s="45"/>
      <c r="B10" s="45" t="s">
        <v>16</v>
      </c>
      <c r="C10" s="45"/>
      <c r="D10" s="45"/>
      <c r="E10" s="45"/>
      <c r="F10" s="49"/>
      <c r="G10" s="45"/>
      <c r="H10" s="53"/>
      <c r="I10" s="45"/>
      <c r="J10" s="45"/>
      <c r="K10" s="45"/>
    </row>
    <row r="11" spans="1:12" x14ac:dyDescent="0.45">
      <c r="A11" s="45"/>
      <c r="B11" s="45"/>
      <c r="C11" s="45" t="s">
        <v>37</v>
      </c>
      <c r="D11" s="45">
        <v>0</v>
      </c>
      <c r="E11" s="45"/>
      <c r="F11" s="49"/>
      <c r="G11" s="45">
        <f>D11+E11</f>
        <v>0</v>
      </c>
      <c r="H11" s="50"/>
      <c r="I11" s="45"/>
      <c r="J11" s="45"/>
      <c r="K11" s="45"/>
    </row>
    <row r="12" spans="1:12" x14ac:dyDescent="0.45">
      <c r="A12" s="45"/>
      <c r="B12" s="45"/>
      <c r="C12" s="45" t="s">
        <v>183</v>
      </c>
      <c r="D12" s="252">
        <v>310690</v>
      </c>
      <c r="E12" s="252"/>
      <c r="F12" s="49"/>
      <c r="G12" s="45">
        <f>D12+E12</f>
        <v>310690</v>
      </c>
      <c r="H12" s="50"/>
      <c r="I12" s="45"/>
      <c r="J12" s="45"/>
      <c r="K12" s="45"/>
    </row>
    <row r="13" spans="1:12" ht="16.5" x14ac:dyDescent="0.45">
      <c r="A13" s="45"/>
      <c r="B13" s="45"/>
      <c r="C13" s="45" t="s">
        <v>184</v>
      </c>
      <c r="D13" s="253">
        <v>0</v>
      </c>
      <c r="E13" s="253"/>
      <c r="F13" s="49"/>
      <c r="G13" s="253">
        <f>D13+E13</f>
        <v>0</v>
      </c>
      <c r="H13" s="50"/>
      <c r="I13" s="45"/>
      <c r="J13" s="45"/>
      <c r="K13" s="45"/>
    </row>
    <row r="14" spans="1:12" x14ac:dyDescent="0.45">
      <c r="A14" s="54" t="s">
        <v>17</v>
      </c>
      <c r="B14" s="45"/>
      <c r="C14" s="45"/>
      <c r="D14" s="45">
        <f>SUM(D6:D13)</f>
        <v>2172225</v>
      </c>
      <c r="E14" s="45">
        <f>SUM(E6:E13)</f>
        <v>-22500.020000000019</v>
      </c>
      <c r="F14" s="49"/>
      <c r="G14" s="45">
        <f>SUM(G6:G13)</f>
        <v>2149724.98</v>
      </c>
      <c r="H14" s="53"/>
      <c r="J14" s="45"/>
      <c r="K14" s="45"/>
    </row>
    <row r="15" spans="1:12" x14ac:dyDescent="0.45">
      <c r="A15" s="45"/>
      <c r="B15" s="45"/>
      <c r="C15" s="45"/>
      <c r="D15" s="45"/>
      <c r="E15" s="45"/>
      <c r="F15" s="49"/>
      <c r="G15" s="45"/>
      <c r="H15" s="53"/>
      <c r="I15" s="45"/>
      <c r="J15" s="45"/>
      <c r="K15" s="45"/>
    </row>
    <row r="16" spans="1:12" x14ac:dyDescent="0.45">
      <c r="A16" s="48" t="s">
        <v>18</v>
      </c>
      <c r="B16" s="45"/>
      <c r="C16" s="45"/>
      <c r="D16" s="45"/>
      <c r="E16" s="45"/>
      <c r="F16" s="49"/>
      <c r="G16" s="45"/>
      <c r="H16" s="53"/>
      <c r="I16" s="45"/>
      <c r="J16" s="45"/>
      <c r="K16" s="45"/>
    </row>
    <row r="17" spans="1:12" x14ac:dyDescent="0.45">
      <c r="A17" s="45"/>
      <c r="B17" s="45" t="s">
        <v>31</v>
      </c>
      <c r="C17" s="45"/>
      <c r="D17" s="45"/>
      <c r="E17" s="45"/>
      <c r="F17" s="49"/>
      <c r="G17" s="45"/>
      <c r="H17" s="53"/>
      <c r="I17" s="45"/>
      <c r="J17" s="45"/>
      <c r="K17" s="45"/>
    </row>
    <row r="18" spans="1:12" x14ac:dyDescent="0.45">
      <c r="A18" s="45"/>
      <c r="B18" s="45"/>
      <c r="C18" s="45" t="s">
        <v>2</v>
      </c>
      <c r="D18" s="45">
        <v>286270</v>
      </c>
      <c r="E18" s="45">
        <f>-Capital!C5</f>
        <v>-9750</v>
      </c>
      <c r="F18" s="55" t="s">
        <v>274</v>
      </c>
      <c r="G18" s="45"/>
      <c r="H18" s="50"/>
      <c r="I18" s="4" t="s">
        <v>249</v>
      </c>
      <c r="J18" s="45"/>
      <c r="K18" s="45"/>
      <c r="L18" s="4" t="s">
        <v>248</v>
      </c>
    </row>
    <row r="19" spans="1:12" x14ac:dyDescent="0.45">
      <c r="A19" s="45"/>
      <c r="B19" s="45"/>
      <c r="C19" s="45"/>
      <c r="D19" s="45"/>
      <c r="E19" s="201">
        <f>Wages!H24</f>
        <v>5390.9160000000265</v>
      </c>
      <c r="F19" s="55" t="s">
        <v>275</v>
      </c>
      <c r="G19" s="45">
        <f>D18+E18+E19</f>
        <v>281910.91600000003</v>
      </c>
      <c r="H19" s="50"/>
      <c r="I19" s="45" t="s">
        <v>252</v>
      </c>
      <c r="J19" s="45"/>
      <c r="K19" s="45"/>
      <c r="L19" s="4" t="s">
        <v>257</v>
      </c>
    </row>
    <row r="20" spans="1:12" x14ac:dyDescent="0.45">
      <c r="A20" s="45"/>
      <c r="B20" s="45"/>
      <c r="C20" s="45" t="s">
        <v>3</v>
      </c>
      <c r="D20" s="45">
        <v>10000</v>
      </c>
      <c r="E20" s="45"/>
      <c r="F20" s="49"/>
      <c r="G20" s="45">
        <f>D20+E20</f>
        <v>10000</v>
      </c>
      <c r="H20" s="50"/>
    </row>
    <row r="21" spans="1:12" x14ac:dyDescent="0.45">
      <c r="A21" s="45"/>
      <c r="B21" s="45"/>
      <c r="C21" s="45" t="s">
        <v>4</v>
      </c>
      <c r="D21" s="45">
        <v>101440</v>
      </c>
      <c r="E21" s="45">
        <f>Medical!C25</f>
        <v>-5671.686400000006</v>
      </c>
      <c r="F21" s="55" t="s">
        <v>281</v>
      </c>
      <c r="G21" s="45"/>
      <c r="H21" s="50"/>
      <c r="I21" s="45" t="s">
        <v>253</v>
      </c>
      <c r="J21" s="45"/>
      <c r="K21" s="45"/>
      <c r="L21" s="4" t="s">
        <v>245</v>
      </c>
    </row>
    <row r="22" spans="1:12" x14ac:dyDescent="0.45">
      <c r="A22" s="45"/>
      <c r="B22" s="45"/>
      <c r="C22" s="45"/>
      <c r="D22" s="45"/>
      <c r="E22" s="294">
        <f>Wages!H36</f>
        <v>26009.766553400026</v>
      </c>
      <c r="F22" s="55" t="s">
        <v>276</v>
      </c>
      <c r="G22" s="45">
        <f>D21+E21+E22</f>
        <v>121778.08015340002</v>
      </c>
      <c r="H22" s="50"/>
      <c r="I22" s="45" t="s">
        <v>258</v>
      </c>
      <c r="J22" s="45"/>
      <c r="K22" s="45"/>
      <c r="L22" s="4" t="s">
        <v>259</v>
      </c>
    </row>
    <row r="23" spans="1:12" x14ac:dyDescent="0.45">
      <c r="A23" s="45"/>
      <c r="B23" s="45"/>
      <c r="C23" s="45" t="s">
        <v>5</v>
      </c>
      <c r="D23" s="45">
        <v>746436</v>
      </c>
      <c r="E23" s="201">
        <f>-'Water Loss'!D19</f>
        <v>-143268.66643256089</v>
      </c>
      <c r="F23" s="55" t="s">
        <v>280</v>
      </c>
      <c r="G23" s="45">
        <f>D23+E23</f>
        <v>603167.33356743911</v>
      </c>
      <c r="H23" s="56"/>
      <c r="I23" s="265" t="s">
        <v>261</v>
      </c>
      <c r="L23" s="4" t="s">
        <v>262</v>
      </c>
    </row>
    <row r="24" spans="1:12" x14ac:dyDescent="0.45">
      <c r="A24" s="45"/>
      <c r="B24" s="45"/>
      <c r="C24" s="45" t="s">
        <v>6</v>
      </c>
      <c r="D24" s="45"/>
      <c r="E24" s="201">
        <v>32801.43</v>
      </c>
      <c r="F24" s="55" t="s">
        <v>279</v>
      </c>
      <c r="G24" s="45"/>
      <c r="H24" s="57"/>
      <c r="I24" s="4" t="s">
        <v>260</v>
      </c>
      <c r="J24" s="45"/>
      <c r="K24" s="45"/>
      <c r="L24" s="4" t="s">
        <v>265</v>
      </c>
    </row>
    <row r="25" spans="1:12" x14ac:dyDescent="0.45">
      <c r="A25" s="45"/>
      <c r="B25" s="45"/>
      <c r="C25" s="45"/>
      <c r="D25" s="45"/>
      <c r="E25" s="45">
        <f>-'Water Loss'!D20</f>
        <v>-6295.807186658998</v>
      </c>
      <c r="F25" s="55" t="s">
        <v>280</v>
      </c>
      <c r="G25" s="45">
        <f>D24+E24+E25</f>
        <v>26505.622813341004</v>
      </c>
      <c r="H25" s="57"/>
      <c r="I25" s="4" t="s">
        <v>263</v>
      </c>
      <c r="J25" s="45"/>
      <c r="K25" s="45"/>
      <c r="L25" s="4" t="s">
        <v>264</v>
      </c>
    </row>
    <row r="26" spans="1:12" x14ac:dyDescent="0.45">
      <c r="A26" s="45"/>
      <c r="B26" s="45"/>
      <c r="C26" s="45" t="s">
        <v>83</v>
      </c>
      <c r="D26" s="45">
        <v>201</v>
      </c>
      <c r="E26" s="45">
        <f>-'Water Loss'!D21</f>
        <v>-38.57933158763074</v>
      </c>
      <c r="F26" s="55" t="s">
        <v>280</v>
      </c>
      <c r="G26" s="45">
        <f>D26+E26</f>
        <v>162.42066841236925</v>
      </c>
      <c r="H26" s="57"/>
      <c r="I26" s="4" t="s">
        <v>266</v>
      </c>
      <c r="J26" s="45"/>
      <c r="K26" s="45"/>
      <c r="L26" s="4" t="s">
        <v>267</v>
      </c>
    </row>
    <row r="27" spans="1:12" x14ac:dyDescent="0.45">
      <c r="A27" s="45"/>
      <c r="B27" s="45"/>
      <c r="C27" s="45" t="s">
        <v>7</v>
      </c>
      <c r="D27" s="45">
        <v>33799</v>
      </c>
      <c r="E27" s="45">
        <f>-Capital!C6</f>
        <v>-22750</v>
      </c>
      <c r="F27" s="55" t="s">
        <v>274</v>
      </c>
      <c r="G27" s="45">
        <f>D27+E27</f>
        <v>11049</v>
      </c>
      <c r="H27" s="50"/>
      <c r="I27" s="45" t="s">
        <v>250</v>
      </c>
      <c r="J27" s="45"/>
      <c r="K27" s="45"/>
      <c r="L27" s="4" t="s">
        <v>251</v>
      </c>
    </row>
    <row r="28" spans="1:12" x14ac:dyDescent="0.45">
      <c r="A28" s="45"/>
      <c r="B28" s="45"/>
      <c r="C28" s="45" t="s">
        <v>8</v>
      </c>
      <c r="D28" s="45">
        <f>421+20285+19949</f>
        <v>40655</v>
      </c>
      <c r="E28" s="45"/>
      <c r="F28" s="55"/>
      <c r="G28" s="45">
        <f t="shared" ref="G28:G34" si="0">D28+E28</f>
        <v>40655</v>
      </c>
      <c r="H28" s="50"/>
      <c r="I28" s="45"/>
      <c r="J28" s="45"/>
      <c r="K28" s="45"/>
    </row>
    <row r="29" spans="1:12" x14ac:dyDescent="0.45">
      <c r="A29" s="45"/>
      <c r="B29" s="45"/>
      <c r="C29" s="45" t="s">
        <v>108</v>
      </c>
      <c r="D29" s="45">
        <v>279</v>
      </c>
      <c r="E29" s="45"/>
      <c r="F29" s="55"/>
      <c r="G29" s="45">
        <f t="shared" si="0"/>
        <v>279</v>
      </c>
      <c r="H29" s="50"/>
      <c r="J29" s="45"/>
      <c r="K29" s="45"/>
    </row>
    <row r="30" spans="1:12" x14ac:dyDescent="0.45">
      <c r="A30" s="45"/>
      <c r="B30" s="45"/>
      <c r="C30" s="45" t="s">
        <v>10</v>
      </c>
      <c r="D30" s="45">
        <v>36435</v>
      </c>
      <c r="E30" s="45"/>
      <c r="F30" s="55"/>
      <c r="G30" s="45">
        <f t="shared" si="0"/>
        <v>36435</v>
      </c>
      <c r="H30" s="53"/>
      <c r="I30" s="45"/>
      <c r="J30" s="45"/>
      <c r="K30" s="45"/>
    </row>
    <row r="31" spans="1:12" x14ac:dyDescent="0.45">
      <c r="A31" s="45"/>
      <c r="B31" s="45"/>
      <c r="C31" s="45" t="s">
        <v>109</v>
      </c>
      <c r="D31" s="45">
        <v>3587</v>
      </c>
      <c r="E31" s="45"/>
      <c r="F31" s="55"/>
      <c r="G31" s="45">
        <f t="shared" si="0"/>
        <v>3587</v>
      </c>
      <c r="H31" s="53"/>
      <c r="I31" s="45"/>
      <c r="J31" s="45"/>
      <c r="K31" s="45"/>
    </row>
    <row r="32" spans="1:12" x14ac:dyDescent="0.45">
      <c r="A32" s="45"/>
      <c r="B32" s="45"/>
      <c r="C32" s="45" t="s">
        <v>32</v>
      </c>
      <c r="D32" s="45">
        <v>18538</v>
      </c>
      <c r="E32" s="45"/>
      <c r="F32" s="55"/>
      <c r="G32" s="45">
        <f t="shared" si="0"/>
        <v>18538</v>
      </c>
      <c r="H32" s="53"/>
      <c r="I32" s="45"/>
      <c r="J32" s="45"/>
      <c r="K32" s="45"/>
    </row>
    <row r="33" spans="1:12" x14ac:dyDescent="0.45">
      <c r="A33" s="45"/>
      <c r="B33" s="45"/>
      <c r="C33" s="45" t="s">
        <v>56</v>
      </c>
      <c r="D33" s="45">
        <v>3450</v>
      </c>
      <c r="E33" s="45"/>
      <c r="F33" s="55"/>
      <c r="G33" s="45">
        <f t="shared" si="0"/>
        <v>3450</v>
      </c>
      <c r="H33" s="53"/>
      <c r="I33" s="45"/>
      <c r="J33" s="45"/>
      <c r="K33" s="45"/>
    </row>
    <row r="34" spans="1:12" x14ac:dyDescent="0.45">
      <c r="A34" s="45"/>
      <c r="B34" s="45"/>
      <c r="C34" s="45" t="s">
        <v>57</v>
      </c>
      <c r="D34" s="45">
        <v>0</v>
      </c>
      <c r="E34" s="45"/>
      <c r="F34" s="49"/>
      <c r="G34" s="45">
        <f t="shared" si="0"/>
        <v>0</v>
      </c>
      <c r="H34" s="53"/>
      <c r="I34" s="45"/>
      <c r="J34" s="45"/>
      <c r="K34" s="45"/>
    </row>
    <row r="35" spans="1:12" x14ac:dyDescent="0.45">
      <c r="A35" s="45"/>
      <c r="B35" s="45"/>
      <c r="C35" s="45" t="s">
        <v>9</v>
      </c>
      <c r="D35" s="299">
        <f>400+383013</f>
        <v>383413</v>
      </c>
      <c r="E35" s="3">
        <v>-18357.939999999999</v>
      </c>
      <c r="F35" s="49" t="s">
        <v>277</v>
      </c>
      <c r="G35" s="45"/>
      <c r="H35" s="53"/>
      <c r="I35" s="4" t="s">
        <v>292</v>
      </c>
      <c r="L35" s="4" t="s">
        <v>236</v>
      </c>
    </row>
    <row r="36" spans="1:12" ht="16.5" x14ac:dyDescent="0.75">
      <c r="A36" s="45"/>
      <c r="B36" s="45"/>
      <c r="D36" s="300">
        <v>0</v>
      </c>
      <c r="E36" s="210">
        <v>-32801.43</v>
      </c>
      <c r="F36" s="55" t="s">
        <v>279</v>
      </c>
      <c r="G36" s="210">
        <f>D35+E35+E36</f>
        <v>332253.63</v>
      </c>
      <c r="H36" s="53"/>
      <c r="I36" s="4" t="s">
        <v>260</v>
      </c>
      <c r="J36" s="45"/>
      <c r="K36" s="45"/>
      <c r="L36" s="4" t="s">
        <v>265</v>
      </c>
    </row>
    <row r="37" spans="1:12" x14ac:dyDescent="0.45">
      <c r="A37" s="45"/>
      <c r="B37" s="45" t="s">
        <v>33</v>
      </c>
      <c r="C37" s="45"/>
      <c r="D37" s="45">
        <f>SUM(D18:D36)</f>
        <v>1664503</v>
      </c>
      <c r="E37" s="45">
        <f>SUM(E18:E36)</f>
        <v>-174731.99679740748</v>
      </c>
      <c r="F37" s="49"/>
      <c r="G37" s="45">
        <f>SUM(G18:G36)</f>
        <v>1489771.0032025925</v>
      </c>
      <c r="H37" s="53"/>
      <c r="I37" s="45"/>
      <c r="J37" s="45"/>
      <c r="K37" s="45"/>
    </row>
    <row r="38" spans="1:12" ht="4.1500000000000004" customHeight="1" x14ac:dyDescent="0.45">
      <c r="A38" s="45"/>
      <c r="B38" s="45"/>
      <c r="C38" s="45"/>
      <c r="D38" s="45"/>
      <c r="E38" s="45"/>
      <c r="F38" s="49"/>
      <c r="G38" s="45"/>
      <c r="H38" s="53"/>
      <c r="I38" s="45"/>
      <c r="J38" s="45"/>
      <c r="K38" s="45"/>
    </row>
    <row r="39" spans="1:12" x14ac:dyDescent="0.45">
      <c r="A39" s="45"/>
      <c r="B39" s="45" t="s">
        <v>19</v>
      </c>
      <c r="C39" s="45"/>
      <c r="D39" s="45">
        <v>643000</v>
      </c>
      <c r="E39" s="252">
        <f>Depreciation!H47</f>
        <v>-132312</v>
      </c>
      <c r="F39" s="49" t="s">
        <v>282</v>
      </c>
      <c r="G39" s="45"/>
      <c r="H39" s="53"/>
      <c r="I39" s="45" t="s">
        <v>241</v>
      </c>
      <c r="J39" s="45"/>
      <c r="L39" s="4" t="s">
        <v>242</v>
      </c>
    </row>
    <row r="40" spans="1:12" x14ac:dyDescent="0.45">
      <c r="A40" s="45"/>
      <c r="B40" s="45"/>
      <c r="C40" s="45"/>
      <c r="D40" s="45"/>
      <c r="E40" s="252">
        <f>Depreciation!K40</f>
        <v>-141095.73038095242</v>
      </c>
      <c r="F40" s="49" t="s">
        <v>283</v>
      </c>
      <c r="G40" s="45">
        <f>D39+E39+E40</f>
        <v>369592.26961904758</v>
      </c>
      <c r="H40" s="53"/>
      <c r="I40" s="45" t="s">
        <v>243</v>
      </c>
      <c r="J40" s="45"/>
      <c r="L40" s="4" t="s">
        <v>256</v>
      </c>
    </row>
    <row r="41" spans="1:12" x14ac:dyDescent="0.45">
      <c r="A41" s="45"/>
      <c r="B41" s="45" t="s">
        <v>1</v>
      </c>
      <c r="C41" s="45"/>
      <c r="D41" s="209"/>
      <c r="E41" s="3">
        <v>18357.939999999999</v>
      </c>
      <c r="F41" s="211" t="s">
        <v>277</v>
      </c>
      <c r="G41" s="209"/>
      <c r="H41" s="53"/>
      <c r="I41" s="4" t="s">
        <v>292</v>
      </c>
      <c r="L41" s="4" t="s">
        <v>236</v>
      </c>
    </row>
    <row r="42" spans="1:12" ht="16.5" x14ac:dyDescent="0.45">
      <c r="A42" s="45"/>
      <c r="B42" s="45"/>
      <c r="C42" s="45"/>
      <c r="D42" s="210">
        <v>0</v>
      </c>
      <c r="E42" s="210">
        <f>Wages!H30</f>
        <v>3954.1200740000022</v>
      </c>
      <c r="F42" s="211" t="s">
        <v>278</v>
      </c>
      <c r="G42" s="210">
        <f>D41+E41+E42</f>
        <v>22312.060074000001</v>
      </c>
      <c r="H42" s="53"/>
      <c r="I42" s="45" t="s">
        <v>254</v>
      </c>
      <c r="J42" s="45"/>
      <c r="L42" s="4" t="s">
        <v>255</v>
      </c>
    </row>
    <row r="43" spans="1:12" ht="16.5" x14ac:dyDescent="0.45">
      <c r="A43" s="54" t="s">
        <v>0</v>
      </c>
      <c r="B43" s="45"/>
      <c r="C43" s="45"/>
      <c r="D43" s="210">
        <f>SUM(D37:D42)</f>
        <v>2307503</v>
      </c>
      <c r="E43" s="210">
        <f>SUM(E37:E42)</f>
        <v>-425827.66710435995</v>
      </c>
      <c r="F43" s="212"/>
      <c r="G43" s="210">
        <f>SUM(G37:G42)</f>
        <v>1881675.3328956401</v>
      </c>
      <c r="H43" s="53"/>
      <c r="I43" s="45"/>
      <c r="J43" s="45"/>
      <c r="K43" s="45"/>
    </row>
    <row r="44" spans="1:12" ht="4.1500000000000004" customHeight="1" x14ac:dyDescent="0.45">
      <c r="A44" s="54"/>
      <c r="B44" s="45"/>
      <c r="C44" s="45"/>
      <c r="D44" s="45"/>
      <c r="E44" s="45"/>
      <c r="F44" s="49"/>
      <c r="G44" s="45"/>
      <c r="H44" s="45"/>
      <c r="I44" s="45"/>
      <c r="J44" s="45"/>
      <c r="K44" s="45"/>
    </row>
    <row r="45" spans="1:12" x14ac:dyDescent="0.45">
      <c r="A45" s="54" t="s">
        <v>34</v>
      </c>
      <c r="B45" s="45"/>
      <c r="C45" s="45"/>
      <c r="D45" s="45">
        <f>D14-D43</f>
        <v>-135278</v>
      </c>
      <c r="E45" s="45">
        <f>E14-E43</f>
        <v>403327.64710435993</v>
      </c>
      <c r="F45" s="49"/>
      <c r="G45" s="45">
        <f>G14-G43</f>
        <v>268049.64710435993</v>
      </c>
      <c r="H45" s="45"/>
      <c r="I45" s="45"/>
      <c r="K45" s="45"/>
    </row>
    <row r="46" spans="1:12" x14ac:dyDescent="0.45">
      <c r="A46" s="45"/>
      <c r="B46" s="45"/>
      <c r="C46" s="45"/>
      <c r="D46" s="45"/>
      <c r="E46" s="45"/>
      <c r="F46" s="49"/>
      <c r="G46" s="45"/>
      <c r="H46" s="45"/>
      <c r="I46" s="45"/>
      <c r="J46" s="45"/>
      <c r="K46" s="45"/>
    </row>
  </sheetData>
  <mergeCells count="1">
    <mergeCell ref="A1:G1"/>
  </mergeCells>
  <printOptions horizontalCentered="1"/>
  <pageMargins left="0.45" right="0.25" top="0.5" bottom="0.5" header="0.3" footer="0.3"/>
  <pageSetup orientation="portrait" horizontalDpi="4294967293" r:id="rId1"/>
  <rowBreaks count="2" manualBreakCount="2">
    <brk id="45" max="16383" man="1"/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038AB-10A9-4C15-AC4E-FA4EF6D9906C}">
  <sheetPr>
    <pageSetUpPr fitToPage="1"/>
  </sheetPr>
  <dimension ref="B1:GH15"/>
  <sheetViews>
    <sheetView showGridLines="0" workbookViewId="0">
      <selection activeCell="L16" sqref="A1:L16"/>
    </sheetView>
  </sheetViews>
  <sheetFormatPr defaultColWidth="8.88671875" defaultRowHeight="14.25" x14ac:dyDescent="0.45"/>
  <cols>
    <col min="1" max="1" width="2.609375" style="13" customWidth="1"/>
    <col min="2" max="2" width="1.77734375" style="22" customWidth="1"/>
    <col min="3" max="3" width="4.609375" style="22" customWidth="1"/>
    <col min="4" max="4" width="7.609375" style="88" customWidth="1"/>
    <col min="5" max="5" width="10.609375" style="225" customWidth="1"/>
    <col min="6" max="6" width="10.609375" style="22" customWidth="1"/>
    <col min="7" max="7" width="12.609375" style="22" customWidth="1"/>
    <col min="8" max="8" width="10.609375" style="22" customWidth="1"/>
    <col min="9" max="9" width="12.609375" style="76" customWidth="1"/>
    <col min="10" max="10" width="10.609375" style="22" customWidth="1"/>
    <col min="11" max="11" width="6.33203125" style="219" bestFit="1" customWidth="1"/>
    <col min="12" max="12" width="1.77734375" style="22" customWidth="1"/>
    <col min="13" max="190" width="9.6640625" style="22" customWidth="1"/>
    <col min="191" max="16384" width="8.88671875" style="13"/>
  </cols>
  <sheetData>
    <row r="1" spans="2:190" ht="14.65" thickBot="1" x14ac:dyDescent="0.5"/>
    <row r="2" spans="2:190" x14ac:dyDescent="0.45">
      <c r="B2" s="229"/>
      <c r="C2" s="230"/>
      <c r="D2" s="231"/>
      <c r="E2" s="245"/>
      <c r="F2" s="230"/>
      <c r="G2" s="230"/>
      <c r="H2" s="230"/>
      <c r="I2" s="232"/>
      <c r="J2" s="230"/>
      <c r="K2" s="233"/>
      <c r="L2" s="234"/>
    </row>
    <row r="3" spans="2:190" ht="18" x14ac:dyDescent="0.55000000000000004">
      <c r="B3" s="235"/>
      <c r="C3" s="308" t="s">
        <v>80</v>
      </c>
      <c r="D3" s="308"/>
      <c r="E3" s="308"/>
      <c r="F3" s="308"/>
      <c r="G3" s="308"/>
      <c r="H3" s="308"/>
      <c r="I3" s="308"/>
      <c r="J3" s="308"/>
      <c r="K3" s="308"/>
      <c r="L3" s="236"/>
    </row>
    <row r="4" spans="2:190" ht="7.15" customHeight="1" x14ac:dyDescent="0.45">
      <c r="B4" s="235"/>
      <c r="L4" s="236"/>
    </row>
    <row r="5" spans="2:190" ht="18" x14ac:dyDescent="0.55000000000000004">
      <c r="B5" s="235"/>
      <c r="C5" s="304" t="s">
        <v>270</v>
      </c>
      <c r="D5" s="304"/>
      <c r="E5" s="304"/>
      <c r="F5" s="304"/>
      <c r="G5" s="304"/>
      <c r="H5" s="304"/>
      <c r="I5" s="304"/>
      <c r="J5" s="304"/>
      <c r="K5" s="304"/>
      <c r="L5" s="236"/>
    </row>
    <row r="6" spans="2:190" ht="18" customHeight="1" x14ac:dyDescent="0.45">
      <c r="B6" s="235"/>
      <c r="C6" s="305" t="str">
        <f>SAO!A2</f>
        <v>WHITLEY COUNTY WATER DISTRICT #1</v>
      </c>
      <c r="D6" s="305"/>
      <c r="E6" s="305"/>
      <c r="F6" s="305"/>
      <c r="G6" s="305"/>
      <c r="H6" s="305"/>
      <c r="I6" s="305"/>
      <c r="J6" s="305"/>
      <c r="K6" s="305"/>
      <c r="L6" s="236"/>
    </row>
    <row r="7" spans="2:190" ht="6" customHeight="1" x14ac:dyDescent="0.45">
      <c r="B7" s="235"/>
      <c r="L7" s="236"/>
    </row>
    <row r="8" spans="2:190" ht="14.25" customHeight="1" x14ac:dyDescent="0.45">
      <c r="B8" s="235"/>
      <c r="C8" s="73"/>
      <c r="D8" s="224"/>
      <c r="E8" s="246"/>
      <c r="F8" s="309" t="s">
        <v>186</v>
      </c>
      <c r="G8" s="309"/>
      <c r="H8" s="309" t="s">
        <v>268</v>
      </c>
      <c r="I8" s="309"/>
      <c r="J8" s="309" t="s">
        <v>64</v>
      </c>
      <c r="K8" s="309"/>
      <c r="L8" s="237"/>
      <c r="GH8" s="13"/>
    </row>
    <row r="9" spans="2:190" ht="17.25" customHeight="1" x14ac:dyDescent="0.45">
      <c r="B9" s="235"/>
      <c r="C9" s="86" t="s">
        <v>190</v>
      </c>
      <c r="D9" s="3">
        <v>1000</v>
      </c>
      <c r="E9" s="87" t="s">
        <v>189</v>
      </c>
      <c r="F9" s="227">
        <v>19.72</v>
      </c>
      <c r="G9" s="41" t="s">
        <v>110</v>
      </c>
      <c r="H9" s="41">
        <f>ROUND(F9*(1+'Revenue Requirements'!$G$13),2)</f>
        <v>20.81</v>
      </c>
      <c r="I9" s="76" t="s">
        <v>110</v>
      </c>
      <c r="J9" s="41">
        <f>H9-F9</f>
        <v>1.0899999999999999</v>
      </c>
      <c r="K9" s="62">
        <f>J9/F9</f>
        <v>5.527383367139959E-2</v>
      </c>
      <c r="L9" s="237"/>
      <c r="GH9" s="13"/>
    </row>
    <row r="10" spans="2:190" ht="14.25" customHeight="1" x14ac:dyDescent="0.45">
      <c r="B10" s="235"/>
      <c r="C10" s="86" t="s">
        <v>191</v>
      </c>
      <c r="D10" s="3">
        <v>4000</v>
      </c>
      <c r="E10" s="87" t="s">
        <v>189</v>
      </c>
      <c r="F10" s="228">
        <v>7.1799999999999998E-3</v>
      </c>
      <c r="G10" s="41" t="s">
        <v>188</v>
      </c>
      <c r="H10" s="223">
        <f>ROUND(F10*(1+'Revenue Requirements'!$G$13),5)</f>
        <v>7.5799999999999999E-3</v>
      </c>
      <c r="I10" s="76" t="s">
        <v>188</v>
      </c>
      <c r="J10" s="223">
        <f>H10-F10</f>
        <v>4.0000000000000018E-4</v>
      </c>
      <c r="K10" s="62">
        <f t="shared" ref="K10:K12" si="0">J10/F10</f>
        <v>5.5710306406685263E-2</v>
      </c>
      <c r="L10" s="237"/>
      <c r="GH10" s="13"/>
    </row>
    <row r="11" spans="2:190" ht="14.25" customHeight="1" x14ac:dyDescent="0.45">
      <c r="B11" s="238"/>
      <c r="C11" s="86" t="s">
        <v>191</v>
      </c>
      <c r="D11" s="3">
        <v>95000</v>
      </c>
      <c r="E11" s="87" t="s">
        <v>189</v>
      </c>
      <c r="F11" s="228">
        <v>6.7600000000000004E-3</v>
      </c>
      <c r="G11" s="41" t="s">
        <v>188</v>
      </c>
      <c r="H11" s="223">
        <f>ROUND(F11*(1+'Revenue Requirements'!$G$13),5)</f>
        <v>7.1399999999999996E-3</v>
      </c>
      <c r="I11" s="76" t="s">
        <v>188</v>
      </c>
      <c r="J11" s="223">
        <f t="shared" ref="J11:J12" si="1">H11-F11</f>
        <v>3.7999999999999926E-4</v>
      </c>
      <c r="K11" s="62">
        <f t="shared" si="0"/>
        <v>5.6213017751479175E-2</v>
      </c>
      <c r="L11" s="237"/>
      <c r="GH11" s="13"/>
    </row>
    <row r="12" spans="2:190" ht="15" customHeight="1" x14ac:dyDescent="0.45">
      <c r="B12" s="235"/>
      <c r="C12" s="226" t="s">
        <v>192</v>
      </c>
      <c r="D12" s="90">
        <v>100000</v>
      </c>
      <c r="E12" s="225" t="s">
        <v>189</v>
      </c>
      <c r="F12" s="228">
        <v>6.2100000000000002E-3</v>
      </c>
      <c r="G12" s="41" t="s">
        <v>188</v>
      </c>
      <c r="H12" s="223">
        <f>ROUND(F12*(1+'Revenue Requirements'!$G$13),5)</f>
        <v>6.5500000000000003E-3</v>
      </c>
      <c r="I12" s="76" t="s">
        <v>188</v>
      </c>
      <c r="J12" s="223">
        <f t="shared" si="1"/>
        <v>3.4000000000000002E-4</v>
      </c>
      <c r="K12" s="62">
        <f t="shared" si="0"/>
        <v>5.4750402576489533E-2</v>
      </c>
      <c r="L12" s="237"/>
      <c r="GH12" s="13"/>
    </row>
    <row r="13" spans="2:190" ht="15" customHeight="1" x14ac:dyDescent="0.45">
      <c r="B13" s="235"/>
      <c r="C13" s="226"/>
      <c r="D13" s="90"/>
      <c r="F13" s="228"/>
      <c r="G13" s="41"/>
      <c r="H13" s="223"/>
      <c r="J13" s="223"/>
      <c r="K13" s="62"/>
      <c r="L13" s="237"/>
      <c r="GH13" s="13"/>
    </row>
    <row r="14" spans="2:190" ht="15" customHeight="1" x14ac:dyDescent="0.45">
      <c r="B14" s="235"/>
      <c r="C14" s="225" t="s">
        <v>269</v>
      </c>
      <c r="D14" s="90"/>
      <c r="F14" s="227">
        <v>0</v>
      </c>
      <c r="G14" s="41" t="s">
        <v>110</v>
      </c>
      <c r="H14" s="41">
        <f>'Water Loss'!D27</f>
        <v>3.95</v>
      </c>
      <c r="I14" s="41" t="s">
        <v>110</v>
      </c>
      <c r="J14" s="41">
        <f>H14-F14</f>
        <v>3.95</v>
      </c>
      <c r="K14" s="62">
        <v>1</v>
      </c>
      <c r="L14" s="237"/>
      <c r="GH14" s="13"/>
    </row>
    <row r="15" spans="2:190" ht="14.65" thickBot="1" x14ac:dyDescent="0.5">
      <c r="B15" s="239"/>
      <c r="C15" s="240"/>
      <c r="D15" s="241"/>
      <c r="E15" s="247"/>
      <c r="F15" s="240"/>
      <c r="G15" s="240"/>
      <c r="H15" s="240"/>
      <c r="I15" s="242"/>
      <c r="J15" s="240"/>
      <c r="K15" s="243"/>
      <c r="L15" s="244"/>
    </row>
  </sheetData>
  <mergeCells count="6">
    <mergeCell ref="C3:K3"/>
    <mergeCell ref="F8:G8"/>
    <mergeCell ref="H8:I8"/>
    <mergeCell ref="J8:K8"/>
    <mergeCell ref="C5:K5"/>
    <mergeCell ref="C6:K6"/>
  </mergeCells>
  <printOptions horizontalCentered="1" verticalCentered="1"/>
  <pageMargins left="0.5" right="0.5" top="0.75" bottom="0.75" header="0" footer="0"/>
  <pageSetup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27"/>
  <sheetViews>
    <sheetView showGridLines="0" zoomScaleNormal="100" workbookViewId="0">
      <selection activeCell="M14" sqref="M14"/>
    </sheetView>
  </sheetViews>
  <sheetFormatPr defaultColWidth="8.88671875" defaultRowHeight="14.25" x14ac:dyDescent="0.45"/>
  <cols>
    <col min="1" max="1" width="3.609375" style="4" customWidth="1"/>
    <col min="2" max="2" width="1.77734375" style="4" customWidth="1"/>
    <col min="3" max="3" width="9.77734375" style="4" customWidth="1"/>
    <col min="4" max="6" width="9.77734375" style="104" customWidth="1"/>
    <col min="7" max="7" width="9.77734375" style="4" customWidth="1"/>
    <col min="8" max="8" width="1.77734375" style="4" customWidth="1"/>
    <col min="9" max="9" width="3.609375" style="4" customWidth="1"/>
    <col min="10" max="16384" width="8.88671875" style="4"/>
  </cols>
  <sheetData>
    <row r="1" spans="2:10" x14ac:dyDescent="0.45">
      <c r="B1" s="5"/>
      <c r="C1" s="6"/>
      <c r="D1" s="98"/>
      <c r="E1" s="98"/>
      <c r="F1" s="98"/>
      <c r="G1" s="6"/>
      <c r="H1" s="7"/>
    </row>
    <row r="2" spans="2:10" ht="18" x14ac:dyDescent="0.55000000000000004">
      <c r="B2" s="8"/>
      <c r="C2" s="313" t="s">
        <v>182</v>
      </c>
      <c r="D2" s="313"/>
      <c r="E2" s="313"/>
      <c r="F2" s="313"/>
      <c r="G2" s="313"/>
      <c r="H2" s="314"/>
    </row>
    <row r="3" spans="2:10" ht="18" x14ac:dyDescent="0.55000000000000004">
      <c r="B3" s="8"/>
      <c r="C3" s="310" t="s">
        <v>67</v>
      </c>
      <c r="D3" s="310"/>
      <c r="E3" s="310"/>
      <c r="F3" s="310"/>
      <c r="G3" s="310"/>
      <c r="H3" s="311"/>
    </row>
    <row r="4" spans="2:10" ht="15.75" x14ac:dyDescent="0.45">
      <c r="B4" s="8"/>
      <c r="C4" s="305" t="str">
        <f>SAO!A2</f>
        <v>WHITLEY COUNTY WATER DISTRICT #1</v>
      </c>
      <c r="D4" s="305"/>
      <c r="E4" s="305"/>
      <c r="F4" s="305"/>
      <c r="G4" s="305"/>
      <c r="H4" s="312"/>
    </row>
    <row r="5" spans="2:10" x14ac:dyDescent="0.45">
      <c r="B5" s="9"/>
      <c r="C5" s="2"/>
      <c r="D5" s="99"/>
      <c r="E5" s="99"/>
      <c r="F5" s="99"/>
      <c r="G5" s="2"/>
      <c r="H5" s="10"/>
    </row>
    <row r="6" spans="2:10" ht="6" customHeight="1" x14ac:dyDescent="0.45">
      <c r="B6" s="8"/>
      <c r="C6" s="3"/>
      <c r="D6" s="100"/>
      <c r="E6" s="105"/>
      <c r="F6" s="105"/>
      <c r="G6" s="27"/>
      <c r="H6" s="28"/>
      <c r="I6" s="26"/>
      <c r="J6" s="26"/>
    </row>
    <row r="7" spans="2:10" ht="16.5" x14ac:dyDescent="0.75">
      <c r="B7" s="8"/>
      <c r="C7" s="12" t="s">
        <v>13</v>
      </c>
      <c r="D7" s="101" t="s">
        <v>23</v>
      </c>
      <c r="E7" s="106" t="s">
        <v>11</v>
      </c>
      <c r="F7" s="106"/>
      <c r="G7" s="12"/>
      <c r="H7" s="25"/>
    </row>
    <row r="8" spans="2:10" ht="16.5" x14ac:dyDescent="0.75">
      <c r="B8" s="8"/>
      <c r="C8" s="12" t="s">
        <v>81</v>
      </c>
      <c r="D8" s="101" t="s">
        <v>65</v>
      </c>
      <c r="E8" s="106" t="s">
        <v>65</v>
      </c>
      <c r="F8" s="106" t="s">
        <v>24</v>
      </c>
      <c r="G8" s="12" t="s">
        <v>66</v>
      </c>
      <c r="H8" s="25"/>
    </row>
    <row r="9" spans="2:10" x14ac:dyDescent="0.45">
      <c r="B9" s="8"/>
      <c r="C9" s="13">
        <v>0</v>
      </c>
      <c r="D9" s="102">
        <f>Rates!F9</f>
        <v>19.72</v>
      </c>
      <c r="E9" s="102">
        <f>Rates!H9</f>
        <v>20.81</v>
      </c>
      <c r="F9" s="108">
        <f>E9-D9</f>
        <v>1.0899999999999999</v>
      </c>
      <c r="G9" s="63">
        <f>F9/D9</f>
        <v>5.527383367139959E-2</v>
      </c>
      <c r="H9" s="29"/>
    </row>
    <row r="10" spans="2:10" x14ac:dyDescent="0.45">
      <c r="B10" s="8"/>
      <c r="C10" s="3">
        <v>2000</v>
      </c>
      <c r="D10" s="102">
        <f>Rates!$F$9+(C10-1000)*Rates!$F$10</f>
        <v>26.9</v>
      </c>
      <c r="E10" s="102">
        <f>Rates!$H$9+(C10-1000)*Rates!$H$10</f>
        <v>28.39</v>
      </c>
      <c r="F10" s="107">
        <f t="shared" ref="F10:F17" si="0">E10-D10</f>
        <v>1.490000000000002</v>
      </c>
      <c r="G10" s="63">
        <f t="shared" ref="G10:G17" si="1">F10/D10</f>
        <v>5.5390334572490783E-2</v>
      </c>
      <c r="H10" s="29"/>
    </row>
    <row r="11" spans="2:10" x14ac:dyDescent="0.45">
      <c r="B11" s="8"/>
      <c r="C11" s="30">
        <v>4000</v>
      </c>
      <c r="D11" s="216">
        <f>Rates!$F$9+(C11-1000)*Rates!$F$10</f>
        <v>41.26</v>
      </c>
      <c r="E11" s="216">
        <f>Rates!$H$9+(C11-1000)*Rates!$H$10</f>
        <v>43.55</v>
      </c>
      <c r="F11" s="217">
        <f t="shared" ref="F11:F16" si="2">E11-D11</f>
        <v>2.2899999999999991</v>
      </c>
      <c r="G11" s="218">
        <f t="shared" ref="G11:G16" si="3">F11/D11</f>
        <v>5.5501696558410064E-2</v>
      </c>
      <c r="H11" s="31"/>
    </row>
    <row r="12" spans="2:10" x14ac:dyDescent="0.45">
      <c r="B12" s="8"/>
      <c r="C12" s="3">
        <v>6000</v>
      </c>
      <c r="D12" s="102">
        <f>Rates!$F$9+(4000*Rates!$F$10)+(C12-5000)*Rates!$F$11</f>
        <v>55.199999999999996</v>
      </c>
      <c r="E12" s="102">
        <f>Rates!$H$9+4000*Rates!$H$10+(C12-5000)*Rates!$H$11</f>
        <v>58.269999999999996</v>
      </c>
      <c r="F12" s="107">
        <f t="shared" si="2"/>
        <v>3.0700000000000003</v>
      </c>
      <c r="G12" s="63">
        <f t="shared" si="3"/>
        <v>5.5615942028985517E-2</v>
      </c>
      <c r="H12" s="29"/>
    </row>
    <row r="13" spans="2:10" x14ac:dyDescent="0.45">
      <c r="B13" s="8"/>
      <c r="C13" s="3">
        <v>8000</v>
      </c>
      <c r="D13" s="102">
        <f>Rates!$F$9+(4000*Rates!$F$10)+(C13-5000)*Rates!$F$11</f>
        <v>68.72</v>
      </c>
      <c r="E13" s="102">
        <f>Rates!$H$9+4000*Rates!$H$10+(C13-5000)*Rates!$H$11</f>
        <v>72.55</v>
      </c>
      <c r="F13" s="107">
        <f t="shared" si="2"/>
        <v>3.8299999999999983</v>
      </c>
      <c r="G13" s="63">
        <f t="shared" si="3"/>
        <v>5.5733410942956904E-2</v>
      </c>
      <c r="H13" s="29"/>
    </row>
    <row r="14" spans="2:10" x14ac:dyDescent="0.45">
      <c r="B14" s="8"/>
      <c r="C14" s="3">
        <v>10000</v>
      </c>
      <c r="D14" s="102">
        <f>Rates!$F$9+(4000*Rates!$F$10)+(C14-5000)*Rates!$F$11</f>
        <v>82.240000000000009</v>
      </c>
      <c r="E14" s="102">
        <f>Rates!$H$9+4000*Rates!$H$10+(C14-5000)*Rates!$H$11</f>
        <v>86.829999999999984</v>
      </c>
      <c r="F14" s="107">
        <f t="shared" si="2"/>
        <v>4.589999999999975</v>
      </c>
      <c r="G14" s="63">
        <f t="shared" si="3"/>
        <v>5.5812256809338212E-2</v>
      </c>
      <c r="H14" s="29"/>
    </row>
    <row r="15" spans="2:10" x14ac:dyDescent="0.45">
      <c r="B15" s="8"/>
      <c r="C15" s="3">
        <v>15000</v>
      </c>
      <c r="D15" s="102">
        <f>Rates!$F$9+(4000*Rates!$F$10)+(C15-5000)*Rates!$F$11</f>
        <v>116.04</v>
      </c>
      <c r="E15" s="102">
        <f>Rates!$H$9+4000*Rates!$H$10+(C15-5000)*Rates!$H$11</f>
        <v>122.52999999999999</v>
      </c>
      <c r="F15" s="107">
        <f t="shared" si="2"/>
        <v>6.4899999999999807</v>
      </c>
      <c r="G15" s="63">
        <f t="shared" si="3"/>
        <v>5.5928990003446914E-2</v>
      </c>
      <c r="H15" s="29"/>
    </row>
    <row r="16" spans="2:10" x14ac:dyDescent="0.45">
      <c r="B16" s="8"/>
      <c r="C16" s="3">
        <v>20000</v>
      </c>
      <c r="D16" s="102">
        <f>Rates!$F$9+(4000*Rates!$F$10)+(C16-5000)*Rates!$F$11</f>
        <v>149.84</v>
      </c>
      <c r="E16" s="102">
        <f>Rates!$H$9+4000*Rates!$H$10+(C16-5000)*Rates!$H$11</f>
        <v>158.22999999999999</v>
      </c>
      <c r="F16" s="107">
        <f t="shared" si="2"/>
        <v>8.3899999999999864</v>
      </c>
      <c r="G16" s="63">
        <f t="shared" si="3"/>
        <v>5.5993059263214004E-2</v>
      </c>
      <c r="H16" s="29"/>
    </row>
    <row r="17" spans="2:14" x14ac:dyDescent="0.45">
      <c r="B17" s="8"/>
      <c r="C17" s="3">
        <v>25000</v>
      </c>
      <c r="D17" s="102">
        <f>Rates!$F$9+(4000*Rates!$F$10)+(C17-5000)*Rates!$F$11</f>
        <v>183.64000000000001</v>
      </c>
      <c r="E17" s="102">
        <f>Rates!$H$9+4000*Rates!$H$10+(C17-5000)*Rates!$H$11</f>
        <v>193.92999999999998</v>
      </c>
      <c r="F17" s="107">
        <f t="shared" si="0"/>
        <v>10.289999999999964</v>
      </c>
      <c r="G17" s="63">
        <f t="shared" si="1"/>
        <v>5.6033543890219792E-2</v>
      </c>
      <c r="H17" s="29"/>
    </row>
    <row r="18" spans="2:14" x14ac:dyDescent="0.45">
      <c r="B18" s="8"/>
      <c r="C18" s="3">
        <v>30000</v>
      </c>
      <c r="D18" s="102">
        <f>Rates!$F$9+(4000*Rates!$F$10)+(C18-5000)*Rates!$F$11</f>
        <v>217.44</v>
      </c>
      <c r="E18" s="102">
        <f>Rates!$H$9+4000*Rates!$H$10+(C18-5000)*Rates!$H$11</f>
        <v>229.63</v>
      </c>
      <c r="F18" s="107">
        <f t="shared" ref="F18:F21" si="4">E18-D18</f>
        <v>12.189999999999998</v>
      </c>
      <c r="G18" s="63">
        <f t="shared" ref="G18:G21" si="5">F18/D18</f>
        <v>5.6061442236938916E-2</v>
      </c>
      <c r="H18" s="29"/>
      <c r="N18" s="3"/>
    </row>
    <row r="19" spans="2:14" x14ac:dyDescent="0.45">
      <c r="B19" s="8"/>
      <c r="C19" s="3">
        <v>40000</v>
      </c>
      <c r="D19" s="102">
        <f>Rates!$F$9+(4000*Rates!$F$10)+(C19-5000)*Rates!$F$11</f>
        <v>285.04000000000002</v>
      </c>
      <c r="E19" s="102">
        <f>Rates!$H$9+4000*Rates!$H$10+(C19-5000)*Rates!$H$11</f>
        <v>301.02999999999997</v>
      </c>
      <c r="F19" s="107">
        <f t="shared" si="4"/>
        <v>15.989999999999952</v>
      </c>
      <c r="G19" s="63">
        <f t="shared" si="5"/>
        <v>5.6097389840022278E-2</v>
      </c>
      <c r="H19" s="29"/>
    </row>
    <row r="20" spans="2:14" x14ac:dyDescent="0.45">
      <c r="B20" s="8"/>
      <c r="C20" s="3">
        <v>50000</v>
      </c>
      <c r="D20" s="102">
        <f>Rates!$F$9+(4000*Rates!$F$10)+(C20-5000)*Rates!$F$11</f>
        <v>352.64000000000004</v>
      </c>
      <c r="E20" s="102">
        <f>Rates!$H$9+4000*Rates!$H$10+(C20-5000)*Rates!$H$11</f>
        <v>372.43</v>
      </c>
      <c r="F20" s="107">
        <f t="shared" si="4"/>
        <v>19.789999999999964</v>
      </c>
      <c r="G20" s="63">
        <f>F20/D20</f>
        <v>5.6119555353901888E-2</v>
      </c>
      <c r="H20" s="29"/>
    </row>
    <row r="21" spans="2:14" x14ac:dyDescent="0.45">
      <c r="B21" s="8"/>
      <c r="C21" s="3">
        <v>75000</v>
      </c>
      <c r="D21" s="102">
        <f>Rates!$F$9+(4000*Rates!$F$10)+(C21-5000)*Rates!$F$11</f>
        <v>521.6400000000001</v>
      </c>
      <c r="E21" s="102">
        <f>Rates!$H$9+4000*Rates!$H$10+(C21-5000)*Rates!$H$11</f>
        <v>550.92999999999995</v>
      </c>
      <c r="F21" s="107">
        <f t="shared" si="4"/>
        <v>29.28999999999985</v>
      </c>
      <c r="G21" s="63">
        <f t="shared" si="5"/>
        <v>5.614983513534208E-2</v>
      </c>
      <c r="H21" s="29"/>
    </row>
    <row r="22" spans="2:14" x14ac:dyDescent="0.45">
      <c r="B22" s="8"/>
      <c r="C22" s="3">
        <v>100000</v>
      </c>
      <c r="D22" s="102">
        <f>Rates!$F$9+(4000*Rates!$F$10)+(C22-5000)*Rates!$F$11</f>
        <v>690.6400000000001</v>
      </c>
      <c r="E22" s="102">
        <f>Rates!$H$9+4000*Rates!$H$10+(C22-5000)*Rates!$H$11</f>
        <v>729.43</v>
      </c>
      <c r="F22" s="107">
        <f t="shared" ref="F22:F24" si="6">E22-D22</f>
        <v>38.78999999999985</v>
      </c>
      <c r="G22" s="63">
        <f t="shared" ref="G22:G24" si="7">F22/D22</f>
        <v>5.6165295957372643E-2</v>
      </c>
      <c r="H22" s="29"/>
    </row>
    <row r="23" spans="2:14" x14ac:dyDescent="0.45">
      <c r="B23" s="8"/>
      <c r="C23" s="3">
        <v>200000</v>
      </c>
      <c r="D23" s="102">
        <f>Rates!$F$9+4000*Rates!$F$10+95000*Rates!$F$11+(C23-100000)*Rates!$F$12</f>
        <v>1311.64</v>
      </c>
      <c r="E23" s="102">
        <f>Rates!$H$9+4000*Rates!$H$10+95000*Rates!$H$11+(C23-100000)*Rates!$H$12</f>
        <v>1384.4299999999998</v>
      </c>
      <c r="F23" s="107">
        <f t="shared" si="6"/>
        <v>72.789999999999736</v>
      </c>
      <c r="G23" s="63">
        <f t="shared" si="7"/>
        <v>5.5495410326003879E-2</v>
      </c>
      <c r="H23" s="29"/>
    </row>
    <row r="24" spans="2:14" x14ac:dyDescent="0.45">
      <c r="B24" s="8"/>
      <c r="C24" s="3">
        <v>500000</v>
      </c>
      <c r="D24" s="102">
        <f>Rates!$F$9+4000*Rates!$F$10+95000*Rates!$F$11+(C24-100000)*Rates!$F$12</f>
        <v>3174.6400000000003</v>
      </c>
      <c r="E24" s="102">
        <f>Rates!$H$9+4000*Rates!$H$10+95000*Rates!$H$11+(C24-100000)*Rates!$H$12</f>
        <v>3349.43</v>
      </c>
      <c r="F24" s="107">
        <f t="shared" si="6"/>
        <v>174.78999999999951</v>
      </c>
      <c r="G24" s="63">
        <f t="shared" si="7"/>
        <v>5.5058211324748474E-2</v>
      </c>
      <c r="H24" s="29"/>
    </row>
    <row r="25" spans="2:14" ht="6" customHeight="1" x14ac:dyDescent="0.45">
      <c r="B25" s="9"/>
      <c r="C25" s="2"/>
      <c r="D25" s="103"/>
      <c r="E25" s="99"/>
      <c r="F25" s="99"/>
      <c r="G25" s="2"/>
      <c r="H25" s="10"/>
    </row>
    <row r="27" spans="2:14" x14ac:dyDescent="0.45">
      <c r="C27" s="40" t="s">
        <v>82</v>
      </c>
    </row>
  </sheetData>
  <mergeCells count="3">
    <mergeCell ref="C3:H3"/>
    <mergeCell ref="C4:H4"/>
    <mergeCell ref="C2:H2"/>
  </mergeCells>
  <printOptions horizontalCentered="1"/>
  <pageMargins left="0.7" right="0.7" top="1.1000000000000001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49A4-D8B2-4C08-94B3-CAD934F9C55B}">
  <sheetPr>
    <pageSetUpPr fitToPage="1"/>
  </sheetPr>
  <dimension ref="B1:N28"/>
  <sheetViews>
    <sheetView showGridLines="0" workbookViewId="0">
      <selection activeCell="L12" sqref="L12"/>
    </sheetView>
  </sheetViews>
  <sheetFormatPr defaultColWidth="8.88671875" defaultRowHeight="14.25" x14ac:dyDescent="0.45"/>
  <cols>
    <col min="1" max="1" width="3.609375" style="4" customWidth="1"/>
    <col min="2" max="2" width="1.77734375" style="4" customWidth="1"/>
    <col min="3" max="3" width="9.77734375" style="4" customWidth="1"/>
    <col min="4" max="6" width="9.77734375" style="104" customWidth="1"/>
    <col min="7" max="7" width="9.77734375" style="4" customWidth="1"/>
    <col min="8" max="8" width="1.77734375" style="4" customWidth="1"/>
    <col min="9" max="9" width="3.609375" style="4" customWidth="1"/>
    <col min="10" max="16384" width="8.88671875" style="4"/>
  </cols>
  <sheetData>
    <row r="1" spans="2:10" x14ac:dyDescent="0.45">
      <c r="B1" s="5"/>
      <c r="C1" s="6"/>
      <c r="D1" s="98"/>
      <c r="E1" s="98"/>
      <c r="F1" s="98"/>
      <c r="G1" s="6"/>
      <c r="H1" s="7"/>
    </row>
    <row r="2" spans="2:10" ht="18" x14ac:dyDescent="0.55000000000000004">
      <c r="B2" s="8"/>
      <c r="C2" s="313" t="s">
        <v>182</v>
      </c>
      <c r="D2" s="313"/>
      <c r="E2" s="313"/>
      <c r="F2" s="313"/>
      <c r="G2" s="313"/>
      <c r="H2" s="314"/>
    </row>
    <row r="3" spans="2:10" ht="18" x14ac:dyDescent="0.55000000000000004">
      <c r="B3" s="8"/>
      <c r="C3" s="310" t="s">
        <v>67</v>
      </c>
      <c r="D3" s="310"/>
      <c r="E3" s="310"/>
      <c r="F3" s="310"/>
      <c r="G3" s="310"/>
      <c r="H3" s="311"/>
    </row>
    <row r="4" spans="2:10" ht="15.75" x14ac:dyDescent="0.45">
      <c r="B4" s="8"/>
      <c r="C4" s="305" t="str">
        <f>SAO!A2</f>
        <v>WHITLEY COUNTY WATER DISTRICT #1</v>
      </c>
      <c r="D4" s="305"/>
      <c r="E4" s="305"/>
      <c r="F4" s="305"/>
      <c r="G4" s="305"/>
      <c r="H4" s="312"/>
    </row>
    <row r="5" spans="2:10" x14ac:dyDescent="0.45">
      <c r="B5" s="9"/>
      <c r="C5" s="2"/>
      <c r="D5" s="99"/>
      <c r="E5" s="99"/>
      <c r="F5" s="99"/>
      <c r="G5" s="2"/>
      <c r="H5" s="10"/>
    </row>
    <row r="6" spans="2:10" ht="6" customHeight="1" x14ac:dyDescent="0.45">
      <c r="B6" s="8"/>
      <c r="C6" s="3"/>
      <c r="D6" s="100"/>
      <c r="E6" s="105"/>
      <c r="F6" s="105"/>
      <c r="G6" s="27"/>
      <c r="H6" s="28"/>
      <c r="I6" s="26"/>
      <c r="J6" s="26"/>
    </row>
    <row r="7" spans="2:10" ht="16.5" x14ac:dyDescent="0.75">
      <c r="B7" s="8"/>
      <c r="C7" s="12" t="s">
        <v>13</v>
      </c>
      <c r="D7" s="101" t="s">
        <v>23</v>
      </c>
      <c r="E7" s="106" t="s">
        <v>11</v>
      </c>
      <c r="F7" s="106"/>
      <c r="G7" s="12"/>
      <c r="H7" s="25"/>
    </row>
    <row r="8" spans="2:10" ht="16.5" x14ac:dyDescent="0.75">
      <c r="B8" s="8"/>
      <c r="C8" s="12" t="s">
        <v>81</v>
      </c>
      <c r="D8" s="101" t="s">
        <v>65</v>
      </c>
      <c r="E8" s="106" t="s">
        <v>271</v>
      </c>
      <c r="F8" s="106" t="s">
        <v>24</v>
      </c>
      <c r="G8" s="12" t="s">
        <v>66</v>
      </c>
      <c r="H8" s="25"/>
    </row>
    <row r="9" spans="2:10" x14ac:dyDescent="0.45">
      <c r="B9" s="8"/>
      <c r="C9" s="13">
        <v>0</v>
      </c>
      <c r="D9" s="102">
        <f>Rates!F9</f>
        <v>19.72</v>
      </c>
      <c r="E9" s="102">
        <f>Rates!H9+'Rates with Surcharge'!H14</f>
        <v>24.759999999999998</v>
      </c>
      <c r="F9" s="108">
        <f>E9-D9</f>
        <v>5.0399999999999991</v>
      </c>
      <c r="G9" s="63">
        <f>F9/D9</f>
        <v>0.255578093306288</v>
      </c>
      <c r="H9" s="29"/>
    </row>
    <row r="10" spans="2:10" x14ac:dyDescent="0.45">
      <c r="B10" s="8"/>
      <c r="C10" s="3">
        <v>2000</v>
      </c>
      <c r="D10" s="102">
        <f>Rates!$F$9+(C10-1000)*Rates!$F$10</f>
        <v>26.9</v>
      </c>
      <c r="E10" s="102">
        <f>Rates!$H$9+(C10-1000)*Rates!$H$10+'Rates with Surcharge'!H14</f>
        <v>32.340000000000003</v>
      </c>
      <c r="F10" s="107">
        <f t="shared" ref="F10:F24" si="0">E10-D10</f>
        <v>5.4400000000000048</v>
      </c>
      <c r="G10" s="63">
        <f t="shared" ref="G10:G24" si="1">F10/D10</f>
        <v>0.20223048327137566</v>
      </c>
      <c r="H10" s="29"/>
    </row>
    <row r="11" spans="2:10" x14ac:dyDescent="0.45">
      <c r="B11" s="8"/>
      <c r="C11" s="30">
        <v>4000</v>
      </c>
      <c r="D11" s="216">
        <f>Rates!$F$9+(C11-1000)*Rates!$F$10</f>
        <v>41.26</v>
      </c>
      <c r="E11" s="216">
        <f>Rates!$H$9+(C11-1000)*Rates!$H$10+'Rates with Surcharge'!H14</f>
        <v>47.5</v>
      </c>
      <c r="F11" s="217">
        <f t="shared" si="0"/>
        <v>6.240000000000002</v>
      </c>
      <c r="G11" s="218">
        <f t="shared" si="1"/>
        <v>0.15123606398448866</v>
      </c>
      <c r="H11" s="31"/>
    </row>
    <row r="12" spans="2:10" x14ac:dyDescent="0.45">
      <c r="B12" s="8"/>
      <c r="C12" s="3">
        <v>6000</v>
      </c>
      <c r="D12" s="102">
        <f>Rates!$F$9+(4000*Rates!$F$10)+(C12-5000)*Rates!$F$11</f>
        <v>55.199999999999996</v>
      </c>
      <c r="E12" s="102">
        <f>Rates!$H$9+4000*Rates!$H$10+(C12-5000)*Rates!$H$11+'Rates with Surcharge'!H14</f>
        <v>62.22</v>
      </c>
      <c r="F12" s="107">
        <f t="shared" si="0"/>
        <v>7.0200000000000031</v>
      </c>
      <c r="G12" s="63">
        <f t="shared" si="1"/>
        <v>0.12717391304347833</v>
      </c>
      <c r="H12" s="29"/>
    </row>
    <row r="13" spans="2:10" x14ac:dyDescent="0.45">
      <c r="B13" s="8"/>
      <c r="C13" s="3">
        <v>8000</v>
      </c>
      <c r="D13" s="102">
        <f>Rates!$F$9+(4000*Rates!$F$10)+(C13-5000)*Rates!$F$11</f>
        <v>68.72</v>
      </c>
      <c r="E13" s="102">
        <f>Rates!$H$9+4000*Rates!$H$10+(C13-5000)*Rates!$H$11+'Rates with Surcharge'!H14</f>
        <v>76.5</v>
      </c>
      <c r="F13" s="107">
        <f t="shared" si="0"/>
        <v>7.7800000000000011</v>
      </c>
      <c r="G13" s="63">
        <f t="shared" si="1"/>
        <v>0.11321303841676369</v>
      </c>
      <c r="H13" s="29"/>
    </row>
    <row r="14" spans="2:10" x14ac:dyDescent="0.45">
      <c r="B14" s="8"/>
      <c r="C14" s="3">
        <v>10000</v>
      </c>
      <c r="D14" s="102">
        <f>Rates!$F$9+(4000*Rates!$F$10)+(C14-5000)*Rates!$F$11</f>
        <v>82.240000000000009</v>
      </c>
      <c r="E14" s="102">
        <f>Rates!$H$9+4000*Rates!$H$10+(C14-5000)*Rates!$H$11+'Rates with Surcharge'!H14</f>
        <v>90.779999999999987</v>
      </c>
      <c r="F14" s="107">
        <f t="shared" si="0"/>
        <v>8.5399999999999778</v>
      </c>
      <c r="G14" s="63">
        <f t="shared" si="1"/>
        <v>0.10384241245136158</v>
      </c>
      <c r="H14" s="29"/>
    </row>
    <row r="15" spans="2:10" x14ac:dyDescent="0.45">
      <c r="B15" s="8"/>
      <c r="C15" s="3">
        <v>15000</v>
      </c>
      <c r="D15" s="102">
        <f>Rates!$F$9+(4000*Rates!$F$10)+(C15-5000)*Rates!$F$11</f>
        <v>116.04</v>
      </c>
      <c r="E15" s="102">
        <f>Rates!$H$9+4000*Rates!$H$10+(C15-5000)*Rates!$H$11+'Rates with Surcharge'!H14</f>
        <v>126.47999999999999</v>
      </c>
      <c r="F15" s="107">
        <f t="shared" si="0"/>
        <v>10.439999999999984</v>
      </c>
      <c r="G15" s="63">
        <f t="shared" si="1"/>
        <v>8.9968976215098098E-2</v>
      </c>
      <c r="H15" s="29"/>
    </row>
    <row r="16" spans="2:10" x14ac:dyDescent="0.45">
      <c r="B16" s="8"/>
      <c r="C16" s="3">
        <v>20000</v>
      </c>
      <c r="D16" s="102">
        <f>Rates!$F$9+(4000*Rates!$F$10)+(C16-5000)*Rates!$F$11</f>
        <v>149.84</v>
      </c>
      <c r="E16" s="102">
        <f>Rates!$H$9+4000*Rates!$H$10+(C16-5000)*Rates!$H$11+'Rates with Surcharge'!H14</f>
        <v>162.17999999999998</v>
      </c>
      <c r="F16" s="107">
        <f t="shared" si="0"/>
        <v>12.339999999999975</v>
      </c>
      <c r="G16" s="63">
        <f t="shared" si="1"/>
        <v>8.2354511478910666E-2</v>
      </c>
      <c r="H16" s="29"/>
    </row>
    <row r="17" spans="2:14" x14ac:dyDescent="0.45">
      <c r="B17" s="8"/>
      <c r="C17" s="3">
        <v>25000</v>
      </c>
      <c r="D17" s="102">
        <f>Rates!$F$9+(4000*Rates!$F$10)+(C17-5000)*Rates!$F$11</f>
        <v>183.64000000000001</v>
      </c>
      <c r="E17" s="102">
        <f>Rates!$H$9+4000*Rates!$H$10+(C17-5000)*Rates!$H$11+'Rates with Surcharge'!H14</f>
        <v>197.87999999999997</v>
      </c>
      <c r="F17" s="107">
        <f t="shared" si="0"/>
        <v>14.239999999999952</v>
      </c>
      <c r="G17" s="63">
        <f t="shared" si="1"/>
        <v>7.754301895011953E-2</v>
      </c>
      <c r="H17" s="29"/>
    </row>
    <row r="18" spans="2:14" x14ac:dyDescent="0.45">
      <c r="B18" s="8"/>
      <c r="C18" s="3">
        <v>30000</v>
      </c>
      <c r="D18" s="102">
        <f>Rates!$F$9+(4000*Rates!$F$10)+(C18-5000)*Rates!$F$11</f>
        <v>217.44</v>
      </c>
      <c r="E18" s="102">
        <f>Rates!$H$9+4000*Rates!$H$10+(C18-5000)*Rates!$H$11+'Rates with Surcharge'!H14</f>
        <v>233.57999999999998</v>
      </c>
      <c r="F18" s="107">
        <f t="shared" si="0"/>
        <v>16.139999999999986</v>
      </c>
      <c r="G18" s="63">
        <f t="shared" si="1"/>
        <v>7.4227373068432606E-2</v>
      </c>
      <c r="H18" s="29"/>
      <c r="N18" s="3"/>
    </row>
    <row r="19" spans="2:14" x14ac:dyDescent="0.45">
      <c r="B19" s="8"/>
      <c r="C19" s="3">
        <v>40000</v>
      </c>
      <c r="D19" s="102">
        <f>Rates!$F$9+(4000*Rates!$F$10)+(C19-5000)*Rates!$F$11</f>
        <v>285.04000000000002</v>
      </c>
      <c r="E19" s="102">
        <f>Rates!$H$9+4000*Rates!$H$10+(C19-5000)*Rates!$H$11+'Rates with Surcharge'!H14</f>
        <v>304.97999999999996</v>
      </c>
      <c r="F19" s="107">
        <f t="shared" si="0"/>
        <v>19.939999999999941</v>
      </c>
      <c r="G19" s="63">
        <f t="shared" si="1"/>
        <v>6.9955094021891456E-2</v>
      </c>
      <c r="H19" s="29"/>
    </row>
    <row r="20" spans="2:14" x14ac:dyDescent="0.45">
      <c r="B20" s="8"/>
      <c r="C20" s="3">
        <v>50000</v>
      </c>
      <c r="D20" s="102">
        <f>Rates!$F$9+(4000*Rates!$F$10)+(C20-5000)*Rates!$F$11</f>
        <v>352.64000000000004</v>
      </c>
      <c r="E20" s="102">
        <f>Rates!$H$9+4000*Rates!$H$10+(C20-5000)*Rates!$H$11+'Rates with Surcharge'!H14</f>
        <v>376.38</v>
      </c>
      <c r="F20" s="107">
        <f t="shared" si="0"/>
        <v>23.739999999999952</v>
      </c>
      <c r="G20" s="63">
        <f>F20/D20</f>
        <v>6.7320780399273902E-2</v>
      </c>
      <c r="H20" s="29"/>
    </row>
    <row r="21" spans="2:14" x14ac:dyDescent="0.45">
      <c r="B21" s="8"/>
      <c r="C21" s="3">
        <v>75000</v>
      </c>
      <c r="D21" s="102">
        <f>Rates!$F$9+(4000*Rates!$F$10)+(C21-5000)*Rates!$F$11</f>
        <v>521.6400000000001</v>
      </c>
      <c r="E21" s="102">
        <f>Rates!$H$9+4000*Rates!$H$10+(C21-5000)*Rates!$H$11+'Rates with Surcharge'!H14</f>
        <v>554.88</v>
      </c>
      <c r="F21" s="107">
        <f t="shared" si="0"/>
        <v>33.239999999999895</v>
      </c>
      <c r="G21" s="63">
        <f t="shared" si="1"/>
        <v>6.3722107200367861E-2</v>
      </c>
      <c r="H21" s="29"/>
    </row>
    <row r="22" spans="2:14" x14ac:dyDescent="0.45">
      <c r="B22" s="8"/>
      <c r="C22" s="3">
        <v>100000</v>
      </c>
      <c r="D22" s="102">
        <f>Rates!$F$9+(4000*Rates!$F$10)+(C22-5000)*Rates!$F$11</f>
        <v>690.6400000000001</v>
      </c>
      <c r="E22" s="102">
        <f>Rates!$H$9+4000*Rates!$H$10+(C22-5000)*Rates!$H$11+'Rates with Surcharge'!H14</f>
        <v>733.38</v>
      </c>
      <c r="F22" s="107">
        <f t="shared" si="0"/>
        <v>42.739999999999895</v>
      </c>
      <c r="G22" s="63">
        <f t="shared" si="1"/>
        <v>6.1884628750144631E-2</v>
      </c>
      <c r="H22" s="29"/>
    </row>
    <row r="23" spans="2:14" x14ac:dyDescent="0.45">
      <c r="B23" s="8"/>
      <c r="C23" s="3">
        <v>200000</v>
      </c>
      <c r="D23" s="102">
        <f>Rates!$F$9+4000*Rates!$F$10+95000*Rates!$F$11+(C23-100000)*Rates!$F$12</f>
        <v>1311.64</v>
      </c>
      <c r="E23" s="102">
        <f>Rates!$H$9+4000*Rates!$H$10+95000*Rates!$H$11+(C23-100000)*Rates!$H$12+'Rates with Surcharge'!H14</f>
        <v>1388.3799999999999</v>
      </c>
      <c r="F23" s="107">
        <f t="shared" si="0"/>
        <v>76.739999999999782</v>
      </c>
      <c r="G23" s="63">
        <f t="shared" si="1"/>
        <v>5.8506907383123245E-2</v>
      </c>
      <c r="H23" s="29"/>
    </row>
    <row r="24" spans="2:14" x14ac:dyDescent="0.45">
      <c r="B24" s="8"/>
      <c r="C24" s="3">
        <v>500000</v>
      </c>
      <c r="D24" s="102">
        <f>Rates!$F$9+4000*Rates!$F$10+95000*Rates!$F$11+(C24-100000)*Rates!$F$12</f>
        <v>3174.6400000000003</v>
      </c>
      <c r="E24" s="102">
        <f>Rates!$H$9+4000*Rates!$H$10+95000*Rates!$H$11+(C24-100000)*Rates!$H$12+'Rates with Surcharge'!H14</f>
        <v>3353.3799999999997</v>
      </c>
      <c r="F24" s="107">
        <f t="shared" si="0"/>
        <v>178.73999999999933</v>
      </c>
      <c r="G24" s="63">
        <f t="shared" si="1"/>
        <v>5.6302446891615843E-2</v>
      </c>
      <c r="H24" s="29"/>
    </row>
    <row r="25" spans="2:14" ht="6" customHeight="1" x14ac:dyDescent="0.45">
      <c r="B25" s="9"/>
      <c r="C25" s="2"/>
      <c r="D25" s="103"/>
      <c r="E25" s="99"/>
      <c r="F25" s="99"/>
      <c r="G25" s="2"/>
      <c r="H25" s="10"/>
    </row>
    <row r="27" spans="2:14" x14ac:dyDescent="0.45">
      <c r="C27" s="40" t="s">
        <v>82</v>
      </c>
    </row>
    <row r="28" spans="2:14" x14ac:dyDescent="0.45">
      <c r="C28" s="4" t="s">
        <v>272</v>
      </c>
    </row>
  </sheetData>
  <mergeCells count="3">
    <mergeCell ref="C2:H2"/>
    <mergeCell ref="C3:H3"/>
    <mergeCell ref="C4:H4"/>
  </mergeCells>
  <printOptions horizontalCentered="1"/>
  <pageMargins left="0.7" right="0.7" top="1.100000000000000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B43C-08DA-4F35-AF2D-4D6BA18A1447}">
  <sheetPr>
    <pageSetUpPr fitToPage="1"/>
  </sheetPr>
  <dimension ref="A1:M285"/>
  <sheetViews>
    <sheetView showGridLines="0" tabSelected="1" topLeftCell="A3" zoomScaleNormal="100" workbookViewId="0">
      <selection activeCell="H9" sqref="H9"/>
    </sheetView>
  </sheetViews>
  <sheetFormatPr defaultRowHeight="15" x14ac:dyDescent="0.4"/>
  <cols>
    <col min="1" max="1" width="7.77734375" customWidth="1"/>
    <col min="2" max="2" width="8" style="91" customWidth="1"/>
    <col min="3" max="4" width="10.5546875" customWidth="1"/>
    <col min="5" max="6" width="12.609375" customWidth="1"/>
    <col min="7" max="7" width="12.609375" style="97" customWidth="1"/>
    <col min="8" max="8" width="12.609375" customWidth="1"/>
    <col min="9" max="9" width="11.21875"/>
    <col min="10" max="11" width="8.77734375" customWidth="1"/>
  </cols>
  <sheetData>
    <row r="1" spans="1:13" ht="21" x14ac:dyDescent="0.65">
      <c r="B1" s="318" t="s">
        <v>211</v>
      </c>
      <c r="C1" s="318"/>
      <c r="D1" s="318"/>
      <c r="E1" s="318"/>
      <c r="F1" s="318"/>
      <c r="G1" s="318"/>
      <c r="H1" s="1"/>
      <c r="I1" s="1"/>
      <c r="J1" s="1"/>
      <c r="K1" s="1"/>
      <c r="L1" s="1"/>
      <c r="M1" s="1"/>
    </row>
    <row r="2" spans="1:13" ht="18" x14ac:dyDescent="0.45">
      <c r="A2" s="317" t="str">
        <f>SAO!A2</f>
        <v>WHITLEY COUNTY WATER DISTRICT #1</v>
      </c>
      <c r="B2" s="317"/>
      <c r="C2" s="317"/>
      <c r="D2" s="317"/>
      <c r="E2" s="317"/>
      <c r="F2" s="317"/>
      <c r="G2" s="317"/>
      <c r="H2" s="317"/>
      <c r="I2" s="1"/>
      <c r="J2" s="1"/>
      <c r="K2" s="1"/>
      <c r="L2" s="1"/>
      <c r="M2" s="1"/>
    </row>
    <row r="3" spans="1:13" ht="18" x14ac:dyDescent="0.45">
      <c r="A3" s="26"/>
      <c r="B3" s="26"/>
      <c r="C3" s="26"/>
      <c r="D3" s="26"/>
      <c r="E3" s="26"/>
      <c r="F3" s="26"/>
      <c r="G3" s="26"/>
      <c r="H3" s="1"/>
      <c r="J3" s="1"/>
      <c r="K3" s="1"/>
      <c r="L3" s="1"/>
      <c r="M3" s="1"/>
    </row>
    <row r="4" spans="1:13" ht="15.75" x14ac:dyDescent="0.45">
      <c r="A4" s="1"/>
      <c r="B4" s="319" t="s">
        <v>47</v>
      </c>
      <c r="C4" s="319"/>
      <c r="D4" s="319"/>
      <c r="E4" s="319"/>
      <c r="F4" s="319"/>
      <c r="G4" s="319"/>
      <c r="H4" s="1"/>
      <c r="I4" s="1"/>
      <c r="J4" s="1"/>
      <c r="K4" s="1"/>
      <c r="L4" s="1"/>
      <c r="M4" s="1"/>
    </row>
    <row r="5" spans="1:13" s="1" customFormat="1" ht="14.25" x14ac:dyDescent="0.45">
      <c r="B5" s="3" t="s">
        <v>111</v>
      </c>
      <c r="C5" s="87"/>
      <c r="D5" s="254" t="s">
        <v>49</v>
      </c>
      <c r="E5" s="254" t="s">
        <v>50</v>
      </c>
      <c r="F5" s="78"/>
      <c r="G5" s="94" t="s">
        <v>53</v>
      </c>
    </row>
    <row r="6" spans="1:13" s="1" customFormat="1" ht="14.25" x14ac:dyDescent="0.45">
      <c r="B6" s="3" t="s">
        <v>198</v>
      </c>
      <c r="D6" s="116">
        <f>C25</f>
        <v>51656</v>
      </c>
      <c r="E6" s="116">
        <f>D29</f>
        <v>183928600</v>
      </c>
      <c r="F6" s="79"/>
      <c r="G6" s="19">
        <f>G29</f>
        <v>2012935</v>
      </c>
    </row>
    <row r="7" spans="1:13" s="1" customFormat="1" ht="16.5" x14ac:dyDescent="0.75">
      <c r="B7" s="3" t="s">
        <v>112</v>
      </c>
      <c r="C7" s="84"/>
      <c r="D7" s="92"/>
      <c r="E7" s="35"/>
      <c r="F7" s="35"/>
      <c r="G7" s="256">
        <f>-7849.37-30711.19-5281.91-130057.55</f>
        <v>-173900.02000000002</v>
      </c>
    </row>
    <row r="8" spans="1:13" s="1" customFormat="1" ht="14.25" x14ac:dyDescent="0.45">
      <c r="B8" s="3" t="s">
        <v>113</v>
      </c>
      <c r="C8" s="84"/>
      <c r="D8" s="32"/>
      <c r="E8" s="79"/>
      <c r="F8" s="79"/>
      <c r="G8" s="19">
        <f>G6+G7</f>
        <v>1839034.98</v>
      </c>
    </row>
    <row r="9" spans="1:13" s="1" customFormat="1" ht="16.5" x14ac:dyDescent="0.75">
      <c r="B9" s="3" t="s">
        <v>114</v>
      </c>
      <c r="C9" s="84"/>
      <c r="D9" s="32"/>
      <c r="E9" s="81"/>
      <c r="F9" s="81"/>
      <c r="G9" s="256">
        <f>SAO!D6</f>
        <v>1861535</v>
      </c>
    </row>
    <row r="10" spans="1:13" s="1" customFormat="1" ht="14.25" x14ac:dyDescent="0.45">
      <c r="B10" s="3" t="s">
        <v>64</v>
      </c>
      <c r="C10" s="84"/>
      <c r="D10" s="32"/>
      <c r="E10" s="79"/>
      <c r="F10" s="79"/>
      <c r="G10" s="19">
        <f>G8-G9</f>
        <v>-22500.020000000019</v>
      </c>
    </row>
    <row r="11" spans="1:13" s="1" customFormat="1" ht="14.25" x14ac:dyDescent="0.45">
      <c r="B11" s="3"/>
      <c r="C11" s="84"/>
      <c r="D11" s="32"/>
      <c r="E11" s="79"/>
      <c r="F11" s="79"/>
      <c r="G11" s="63">
        <f>G10/G9</f>
        <v>-1.2086810078779082E-2</v>
      </c>
    </row>
    <row r="12" spans="1:13" s="1" customFormat="1" ht="14.25" x14ac:dyDescent="0.45">
      <c r="B12" s="3"/>
      <c r="C12" s="84"/>
      <c r="D12" s="254"/>
      <c r="E12" s="254"/>
      <c r="F12" s="79"/>
      <c r="G12" s="63"/>
    </row>
    <row r="13" spans="1:13" s="1" customFormat="1" ht="15.75" x14ac:dyDescent="0.5">
      <c r="B13" s="316" t="s">
        <v>197</v>
      </c>
      <c r="C13" s="316"/>
      <c r="D13" s="316"/>
      <c r="E13" s="316"/>
      <c r="F13" s="316"/>
      <c r="G13" s="316"/>
    </row>
    <row r="14" spans="1:13" s="1" customFormat="1" ht="14.25" x14ac:dyDescent="0.45">
      <c r="A14" s="109"/>
      <c r="B14" s="3"/>
      <c r="C14" s="84"/>
      <c r="D14" s="274"/>
      <c r="E14" s="86" t="s">
        <v>190</v>
      </c>
      <c r="F14" s="86" t="s">
        <v>191</v>
      </c>
      <c r="G14" s="86" t="s">
        <v>191</v>
      </c>
      <c r="H14" s="226" t="s">
        <v>192</v>
      </c>
    </row>
    <row r="15" spans="1:13" s="1" customFormat="1" ht="14.25" x14ac:dyDescent="0.45">
      <c r="B15" s="90" t="s">
        <v>48</v>
      </c>
      <c r="C15" s="78" t="s">
        <v>49</v>
      </c>
      <c r="D15" s="78" t="s">
        <v>50</v>
      </c>
      <c r="E15" s="250">
        <f>B16</f>
        <v>1000</v>
      </c>
      <c r="F15" s="250">
        <f>B17</f>
        <v>4000</v>
      </c>
      <c r="G15" s="250">
        <f>B18</f>
        <v>95000</v>
      </c>
      <c r="H15" s="251">
        <f>B19</f>
        <v>100000</v>
      </c>
      <c r="I15" s="86" t="s">
        <v>12</v>
      </c>
    </row>
    <row r="16" spans="1:13" s="1" customFormat="1" ht="14.35" customHeight="1" x14ac:dyDescent="0.45">
      <c r="A16" s="86" t="s">
        <v>190</v>
      </c>
      <c r="B16" s="3">
        <f>Rates!D9</f>
        <v>1000</v>
      </c>
      <c r="C16" s="18">
        <v>14298</v>
      </c>
      <c r="D16" s="3">
        <v>3684000</v>
      </c>
      <c r="E16" s="251">
        <f>D16</f>
        <v>3684000</v>
      </c>
      <c r="F16" s="251"/>
      <c r="G16" s="251"/>
      <c r="H16" s="251"/>
      <c r="I16" s="3">
        <f>SUM(E16:H16)</f>
        <v>3684000</v>
      </c>
    </row>
    <row r="17" spans="1:9" s="1" customFormat="1" ht="14.35" customHeight="1" x14ac:dyDescent="0.45">
      <c r="A17" s="86" t="s">
        <v>191</v>
      </c>
      <c r="B17" s="3">
        <f>Rates!D10</f>
        <v>4000</v>
      </c>
      <c r="C17" s="18">
        <v>28081</v>
      </c>
      <c r="D17" s="3">
        <v>77937700</v>
      </c>
      <c r="E17" s="251">
        <f>C17*E15</f>
        <v>28081000</v>
      </c>
      <c r="F17" s="251">
        <f>D17-E17</f>
        <v>49856700</v>
      </c>
      <c r="G17" s="251"/>
      <c r="H17" s="251"/>
      <c r="I17" s="3">
        <f>SUM(E17:H17)</f>
        <v>77937700</v>
      </c>
    </row>
    <row r="18" spans="1:9" s="1" customFormat="1" ht="14.35" customHeight="1" x14ac:dyDescent="0.45">
      <c r="A18" s="86" t="s">
        <v>191</v>
      </c>
      <c r="B18" s="3">
        <f>Rates!D11</f>
        <v>95000</v>
      </c>
      <c r="C18" s="18">
        <v>9243</v>
      </c>
      <c r="D18" s="3">
        <v>84071000</v>
      </c>
      <c r="E18" s="251">
        <f>C18*E15</f>
        <v>9243000</v>
      </c>
      <c r="F18" s="251">
        <f>C18*F15</f>
        <v>36972000</v>
      </c>
      <c r="G18" s="251">
        <f>D18-E18-F18</f>
        <v>37856000</v>
      </c>
      <c r="H18" s="251"/>
      <c r="I18" s="3">
        <f>SUM(E18:H18)</f>
        <v>84071000</v>
      </c>
    </row>
    <row r="19" spans="1:9" s="1" customFormat="1" ht="14.35" customHeight="1" x14ac:dyDescent="0.75">
      <c r="A19" s="226" t="s">
        <v>192</v>
      </c>
      <c r="B19" s="3">
        <f>Rates!D12</f>
        <v>100000</v>
      </c>
      <c r="C19" s="80">
        <v>34</v>
      </c>
      <c r="D19" s="35">
        <v>18235900</v>
      </c>
      <c r="E19" s="35">
        <f>C19*E15</f>
        <v>34000</v>
      </c>
      <c r="F19" s="35">
        <f>C19*F15</f>
        <v>136000</v>
      </c>
      <c r="G19" s="35">
        <f>C19*G15</f>
        <v>3230000</v>
      </c>
      <c r="H19" s="35">
        <f>D19-E19-F19-G19</f>
        <v>14835900</v>
      </c>
      <c r="I19" s="35">
        <f>SUM(E19:H19)</f>
        <v>18235900</v>
      </c>
    </row>
    <row r="20" spans="1:9" s="1" customFormat="1" ht="14.35" customHeight="1" x14ac:dyDescent="0.45">
      <c r="A20" s="86"/>
      <c r="B20" s="3"/>
      <c r="C20" s="18">
        <f t="shared" ref="C20:I20" si="0">SUM(C16:C19)</f>
        <v>51656</v>
      </c>
      <c r="D20" s="3">
        <f t="shared" si="0"/>
        <v>183928600</v>
      </c>
      <c r="E20" s="3">
        <f t="shared" si="0"/>
        <v>41042000</v>
      </c>
      <c r="F20" s="3">
        <f t="shared" si="0"/>
        <v>86964700</v>
      </c>
      <c r="G20" s="3">
        <f t="shared" si="0"/>
        <v>41086000</v>
      </c>
      <c r="H20" s="3">
        <f t="shared" si="0"/>
        <v>14835900</v>
      </c>
      <c r="I20" s="3">
        <f t="shared" si="0"/>
        <v>183928600</v>
      </c>
    </row>
    <row r="21" spans="1:9" s="1" customFormat="1" ht="14.35" customHeight="1" x14ac:dyDescent="0.45">
      <c r="B21" s="3"/>
      <c r="C21" s="84"/>
      <c r="D21" s="32"/>
      <c r="E21" s="79"/>
      <c r="F21" s="79"/>
      <c r="G21" s="39"/>
    </row>
    <row r="22" spans="1:9" s="1" customFormat="1" ht="14.35" customHeight="1" x14ac:dyDescent="0.5">
      <c r="B22" s="316" t="s">
        <v>196</v>
      </c>
      <c r="C22" s="316"/>
      <c r="D22" s="316"/>
      <c r="E22" s="316"/>
      <c r="F22" s="316"/>
      <c r="G22" s="316"/>
      <c r="H22" s="3"/>
      <c r="I22" s="85"/>
    </row>
    <row r="23" spans="1:9" s="1" customFormat="1" ht="14.35" customHeight="1" x14ac:dyDescent="0.45">
      <c r="A23" s="109"/>
      <c r="D23" s="274"/>
      <c r="E23" s="274"/>
      <c r="F23" s="109"/>
      <c r="G23" s="109"/>
      <c r="H23" s="3"/>
      <c r="I23" s="85"/>
    </row>
    <row r="24" spans="1:9" s="1" customFormat="1" ht="14.35" customHeight="1" x14ac:dyDescent="0.45">
      <c r="B24" s="90" t="s">
        <v>48</v>
      </c>
      <c r="C24" s="78" t="s">
        <v>49</v>
      </c>
      <c r="D24" s="78" t="s">
        <v>50</v>
      </c>
      <c r="E24" s="315" t="s">
        <v>52</v>
      </c>
      <c r="F24" s="315"/>
      <c r="G24" s="94" t="s">
        <v>53</v>
      </c>
    </row>
    <row r="25" spans="1:9" s="1" customFormat="1" ht="14.35" customHeight="1" x14ac:dyDescent="0.45">
      <c r="A25" s="86" t="s">
        <v>190</v>
      </c>
      <c r="B25" s="3">
        <f>Rates!D9</f>
        <v>1000</v>
      </c>
      <c r="C25" s="18">
        <f>C20</f>
        <v>51656</v>
      </c>
      <c r="D25" s="18">
        <f>E20</f>
        <v>41042000</v>
      </c>
      <c r="E25" s="227">
        <f>Rates!F9</f>
        <v>19.72</v>
      </c>
      <c r="F25" s="41" t="s">
        <v>110</v>
      </c>
      <c r="G25" s="276">
        <f>ROUND(C25*E25,0)</f>
        <v>1018656</v>
      </c>
    </row>
    <row r="26" spans="1:9" s="1" customFormat="1" ht="14.35" customHeight="1" x14ac:dyDescent="0.45">
      <c r="A26" s="86" t="s">
        <v>191</v>
      </c>
      <c r="B26" s="3">
        <f>Rates!D10</f>
        <v>4000</v>
      </c>
      <c r="C26" s="18"/>
      <c r="D26" s="18">
        <f>F20</f>
        <v>86964700</v>
      </c>
      <c r="E26" s="228">
        <f>Rates!F10</f>
        <v>7.1799999999999998E-3</v>
      </c>
      <c r="F26" s="41" t="s">
        <v>188</v>
      </c>
      <c r="G26" s="276">
        <f>ROUND(D26*E26,0)</f>
        <v>624407</v>
      </c>
    </row>
    <row r="27" spans="1:9" s="1" customFormat="1" ht="14.35" customHeight="1" x14ac:dyDescent="0.45">
      <c r="A27" s="86" t="s">
        <v>191</v>
      </c>
      <c r="B27" s="3">
        <f>Rates!D11</f>
        <v>95000</v>
      </c>
      <c r="C27" s="18"/>
      <c r="D27" s="18">
        <f>G20</f>
        <v>41086000</v>
      </c>
      <c r="E27" s="228">
        <f>Rates!F11</f>
        <v>6.7600000000000004E-3</v>
      </c>
      <c r="F27" s="41" t="s">
        <v>188</v>
      </c>
      <c r="G27" s="276">
        <f t="shared" ref="G27:G28" si="1">ROUND(D27*E27,0)</f>
        <v>277741</v>
      </c>
    </row>
    <row r="28" spans="1:9" s="1" customFormat="1" ht="14.35" customHeight="1" x14ac:dyDescent="0.75">
      <c r="A28" s="226" t="s">
        <v>192</v>
      </c>
      <c r="B28" s="3">
        <f>Rates!D12</f>
        <v>100000</v>
      </c>
      <c r="C28" s="80"/>
      <c r="D28" s="80">
        <f>H20</f>
        <v>14835900</v>
      </c>
      <c r="E28" s="228">
        <f>Rates!F12</f>
        <v>6.2100000000000002E-3</v>
      </c>
      <c r="F28" s="41" t="s">
        <v>188</v>
      </c>
      <c r="G28" s="277">
        <f t="shared" si="1"/>
        <v>92131</v>
      </c>
    </row>
    <row r="29" spans="1:9" s="1" customFormat="1" ht="14.35" customHeight="1" x14ac:dyDescent="0.45">
      <c r="A29" s="86"/>
      <c r="B29" s="3"/>
      <c r="C29" s="18"/>
      <c r="D29" s="248">
        <f>SUM(D25:D28)</f>
        <v>183928600</v>
      </c>
      <c r="E29" s="18"/>
      <c r="F29" s="18"/>
      <c r="G29" s="276">
        <f>SUM(G25:G28)</f>
        <v>2012935</v>
      </c>
    </row>
    <row r="30" spans="1:9" s="1" customFormat="1" ht="14.35" customHeight="1" x14ac:dyDescent="0.45">
      <c r="B30" s="3"/>
      <c r="G30" s="39"/>
    </row>
    <row r="31" spans="1:9" s="1" customFormat="1" ht="14.35" customHeight="1" x14ac:dyDescent="0.45">
      <c r="B31" s="3"/>
      <c r="G31" s="39"/>
    </row>
    <row r="32" spans="1:9" s="1" customFormat="1" ht="14.35" customHeight="1" x14ac:dyDescent="0.45">
      <c r="B32" s="3"/>
      <c r="G32" s="39"/>
    </row>
    <row r="33" spans="2:7" s="1" customFormat="1" ht="14.35" customHeight="1" x14ac:dyDescent="0.45">
      <c r="B33" s="3"/>
      <c r="G33" s="39"/>
    </row>
    <row r="34" spans="2:7" s="1" customFormat="1" ht="14.35" customHeight="1" x14ac:dyDescent="0.45">
      <c r="B34" s="3"/>
      <c r="G34" s="39"/>
    </row>
    <row r="35" spans="2:7" s="1" customFormat="1" ht="14.35" customHeight="1" x14ac:dyDescent="0.45">
      <c r="B35" s="3"/>
      <c r="G35" s="39"/>
    </row>
    <row r="36" spans="2:7" s="1" customFormat="1" ht="14.35" customHeight="1" x14ac:dyDescent="0.45">
      <c r="B36" s="3"/>
      <c r="G36" s="39"/>
    </row>
    <row r="37" spans="2:7" s="1" customFormat="1" ht="14.35" customHeight="1" x14ac:dyDescent="0.45">
      <c r="B37" s="3"/>
      <c r="G37" s="39"/>
    </row>
    <row r="38" spans="2:7" s="1" customFormat="1" ht="14.35" customHeight="1" x14ac:dyDescent="0.45">
      <c r="B38" s="3"/>
      <c r="G38" s="39"/>
    </row>
    <row r="39" spans="2:7" s="1" customFormat="1" ht="14.35" customHeight="1" x14ac:dyDescent="0.45">
      <c r="B39" s="3"/>
      <c r="G39" s="39"/>
    </row>
    <row r="40" spans="2:7" s="1" customFormat="1" ht="14.35" customHeight="1" x14ac:dyDescent="0.45">
      <c r="B40" s="3"/>
      <c r="G40" s="39"/>
    </row>
    <row r="41" spans="2:7" s="1" customFormat="1" ht="14.35" customHeight="1" x14ac:dyDescent="0.45">
      <c r="B41" s="3"/>
      <c r="G41" s="39"/>
    </row>
    <row r="42" spans="2:7" s="1" customFormat="1" ht="14.35" customHeight="1" x14ac:dyDescent="0.45">
      <c r="B42" s="3"/>
      <c r="G42" s="39"/>
    </row>
    <row r="43" spans="2:7" s="1" customFormat="1" ht="14.35" customHeight="1" x14ac:dyDescent="0.45">
      <c r="B43" s="3"/>
      <c r="G43" s="39"/>
    </row>
    <row r="44" spans="2:7" s="1" customFormat="1" ht="14.35" customHeight="1" x14ac:dyDescent="0.45">
      <c r="B44" s="3"/>
      <c r="G44" s="39"/>
    </row>
    <row r="45" spans="2:7" s="1" customFormat="1" ht="14.35" customHeight="1" x14ac:dyDescent="0.45">
      <c r="B45" s="3"/>
      <c r="G45" s="39"/>
    </row>
    <row r="46" spans="2:7" s="1" customFormat="1" ht="14.35" customHeight="1" x14ac:dyDescent="0.45">
      <c r="B46" s="3"/>
      <c r="G46" s="39"/>
    </row>
    <row r="47" spans="2:7" s="1" customFormat="1" ht="14.35" customHeight="1" x14ac:dyDescent="0.45">
      <c r="B47" s="3"/>
      <c r="G47" s="39"/>
    </row>
    <row r="48" spans="2:7" s="1" customFormat="1" ht="14.35" customHeight="1" x14ac:dyDescent="0.45">
      <c r="B48" s="3"/>
      <c r="G48" s="39"/>
    </row>
    <row r="49" spans="2:7" s="1" customFormat="1" ht="14.35" customHeight="1" x14ac:dyDescent="0.45">
      <c r="B49" s="3"/>
      <c r="G49" s="39"/>
    </row>
    <row r="50" spans="2:7" s="1" customFormat="1" ht="14.35" customHeight="1" x14ac:dyDescent="0.45">
      <c r="B50" s="3"/>
      <c r="G50" s="39"/>
    </row>
    <row r="51" spans="2:7" s="1" customFormat="1" ht="14.35" customHeight="1" x14ac:dyDescent="0.45">
      <c r="B51" s="3"/>
      <c r="G51" s="39"/>
    </row>
    <row r="52" spans="2:7" s="1" customFormat="1" ht="14.35" customHeight="1" x14ac:dyDescent="0.45">
      <c r="B52" s="3"/>
      <c r="G52" s="39"/>
    </row>
    <row r="53" spans="2:7" s="1" customFormat="1" ht="14.35" customHeight="1" x14ac:dyDescent="0.45">
      <c r="B53" s="3"/>
      <c r="G53" s="39"/>
    </row>
    <row r="54" spans="2:7" s="1" customFormat="1" ht="14.35" customHeight="1" x14ac:dyDescent="0.45">
      <c r="B54" s="3"/>
      <c r="G54" s="39"/>
    </row>
    <row r="55" spans="2:7" s="1" customFormat="1" ht="14.35" customHeight="1" x14ac:dyDescent="0.45">
      <c r="B55" s="3"/>
      <c r="G55" s="39"/>
    </row>
    <row r="56" spans="2:7" s="1" customFormat="1" ht="14.35" customHeight="1" x14ac:dyDescent="0.45">
      <c r="B56" s="3"/>
      <c r="G56" s="39"/>
    </row>
    <row r="57" spans="2:7" s="1" customFormat="1" ht="14.35" customHeight="1" x14ac:dyDescent="0.45">
      <c r="B57" s="3"/>
      <c r="G57" s="39"/>
    </row>
    <row r="58" spans="2:7" s="1" customFormat="1" ht="14.35" customHeight="1" x14ac:dyDescent="0.45">
      <c r="B58" s="3"/>
      <c r="G58" s="39"/>
    </row>
    <row r="59" spans="2:7" s="1" customFormat="1" ht="14.35" customHeight="1" x14ac:dyDescent="0.45">
      <c r="B59" s="3"/>
      <c r="G59" s="39"/>
    </row>
    <row r="60" spans="2:7" s="1" customFormat="1" ht="14.35" customHeight="1" x14ac:dyDescent="0.45">
      <c r="B60" s="3"/>
      <c r="G60" s="39"/>
    </row>
    <row r="61" spans="2:7" s="1" customFormat="1" ht="14.35" customHeight="1" x14ac:dyDescent="0.45">
      <c r="B61" s="3"/>
      <c r="G61" s="39"/>
    </row>
    <row r="62" spans="2:7" s="1" customFormat="1" ht="14.35" customHeight="1" x14ac:dyDescent="0.45">
      <c r="B62" s="3"/>
      <c r="G62" s="39"/>
    </row>
    <row r="63" spans="2:7" s="1" customFormat="1" ht="14.35" customHeight="1" x14ac:dyDescent="0.45">
      <c r="B63" s="3"/>
      <c r="G63" s="39"/>
    </row>
    <row r="64" spans="2:7" s="1" customFormat="1" ht="14.35" customHeight="1" x14ac:dyDescent="0.45">
      <c r="B64" s="3"/>
      <c r="G64" s="39"/>
    </row>
    <row r="65" spans="2:7" s="1" customFormat="1" ht="14.35" customHeight="1" x14ac:dyDescent="0.45">
      <c r="B65" s="3"/>
      <c r="G65" s="39"/>
    </row>
    <row r="66" spans="2:7" s="1" customFormat="1" ht="14.35" customHeight="1" x14ac:dyDescent="0.45">
      <c r="B66" s="3"/>
      <c r="G66" s="39"/>
    </row>
    <row r="67" spans="2:7" s="1" customFormat="1" ht="14.35" customHeight="1" x14ac:dyDescent="0.45">
      <c r="B67" s="3"/>
      <c r="G67" s="39"/>
    </row>
    <row r="68" spans="2:7" s="1" customFormat="1" ht="14.35" customHeight="1" x14ac:dyDescent="0.45">
      <c r="B68" s="3"/>
      <c r="G68" s="39"/>
    </row>
    <row r="69" spans="2:7" s="1" customFormat="1" ht="14.35" customHeight="1" x14ac:dyDescent="0.45">
      <c r="B69" s="3"/>
      <c r="G69" s="39"/>
    </row>
    <row r="70" spans="2:7" s="1" customFormat="1" ht="14.35" customHeight="1" x14ac:dyDescent="0.45">
      <c r="B70" s="3"/>
      <c r="G70" s="39"/>
    </row>
    <row r="71" spans="2:7" s="1" customFormat="1" ht="14.35" customHeight="1" x14ac:dyDescent="0.45">
      <c r="B71" s="3"/>
      <c r="G71" s="39"/>
    </row>
    <row r="72" spans="2:7" s="1" customFormat="1" ht="14.35" customHeight="1" x14ac:dyDescent="0.45">
      <c r="B72" s="3"/>
      <c r="G72" s="39"/>
    </row>
    <row r="73" spans="2:7" s="1" customFormat="1" ht="14.35" customHeight="1" x14ac:dyDescent="0.45">
      <c r="B73" s="3"/>
      <c r="G73" s="39"/>
    </row>
    <row r="74" spans="2:7" s="1" customFormat="1" ht="14.35" customHeight="1" x14ac:dyDescent="0.45">
      <c r="B74" s="3"/>
      <c r="G74" s="39"/>
    </row>
    <row r="75" spans="2:7" s="1" customFormat="1" ht="14.35" customHeight="1" x14ac:dyDescent="0.45">
      <c r="B75" s="3"/>
      <c r="G75" s="39"/>
    </row>
    <row r="76" spans="2:7" s="1" customFormat="1" ht="14.35" customHeight="1" x14ac:dyDescent="0.45">
      <c r="B76" s="3"/>
      <c r="G76" s="39"/>
    </row>
    <row r="77" spans="2:7" s="1" customFormat="1" ht="14.35" customHeight="1" x14ac:dyDescent="0.45">
      <c r="B77" s="3"/>
      <c r="G77" s="39"/>
    </row>
    <row r="78" spans="2:7" s="1" customFormat="1" ht="14.35" customHeight="1" x14ac:dyDescent="0.45">
      <c r="B78" s="3"/>
      <c r="G78" s="39"/>
    </row>
    <row r="79" spans="2:7" s="1" customFormat="1" ht="14.35" customHeight="1" x14ac:dyDescent="0.45">
      <c r="B79" s="3"/>
      <c r="G79" s="39"/>
    </row>
    <row r="80" spans="2:7" s="1" customFormat="1" ht="14.35" customHeight="1" x14ac:dyDescent="0.45">
      <c r="B80" s="3"/>
      <c r="G80" s="39"/>
    </row>
    <row r="81" spans="2:7" s="1" customFormat="1" ht="14.35" customHeight="1" x14ac:dyDescent="0.45">
      <c r="B81" s="3"/>
      <c r="G81" s="39"/>
    </row>
    <row r="82" spans="2:7" s="1" customFormat="1" ht="14.35" customHeight="1" x14ac:dyDescent="0.45">
      <c r="B82" s="3"/>
      <c r="G82" s="39"/>
    </row>
    <row r="83" spans="2:7" s="1" customFormat="1" ht="14.35" customHeight="1" x14ac:dyDescent="0.45">
      <c r="B83" s="3"/>
      <c r="G83" s="39"/>
    </row>
    <row r="84" spans="2:7" s="1" customFormat="1" ht="14.35" customHeight="1" x14ac:dyDescent="0.45">
      <c r="B84" s="3"/>
      <c r="G84" s="39"/>
    </row>
    <row r="85" spans="2:7" s="1" customFormat="1" ht="14.35" customHeight="1" x14ac:dyDescent="0.45">
      <c r="B85" s="3"/>
      <c r="G85" s="39"/>
    </row>
    <row r="86" spans="2:7" s="1" customFormat="1" ht="14.35" customHeight="1" x14ac:dyDescent="0.45">
      <c r="B86" s="3"/>
      <c r="G86" s="39"/>
    </row>
    <row r="87" spans="2:7" s="1" customFormat="1" ht="14.35" customHeight="1" x14ac:dyDescent="0.45">
      <c r="B87" s="3"/>
      <c r="G87" s="39"/>
    </row>
    <row r="88" spans="2:7" s="1" customFormat="1" ht="14.35" customHeight="1" x14ac:dyDescent="0.45">
      <c r="B88" s="3"/>
      <c r="G88" s="39"/>
    </row>
    <row r="89" spans="2:7" s="1" customFormat="1" ht="14.35" customHeight="1" x14ac:dyDescent="0.45">
      <c r="B89" s="3"/>
      <c r="G89" s="39"/>
    </row>
    <row r="90" spans="2:7" s="1" customFormat="1" ht="14.35" customHeight="1" x14ac:dyDescent="0.45">
      <c r="B90" s="3"/>
      <c r="G90" s="39"/>
    </row>
    <row r="91" spans="2:7" s="1" customFormat="1" ht="14.35" customHeight="1" x14ac:dyDescent="0.45">
      <c r="B91" s="3"/>
      <c r="G91" s="39"/>
    </row>
    <row r="92" spans="2:7" s="1" customFormat="1" ht="14.35" customHeight="1" x14ac:dyDescent="0.45">
      <c r="B92" s="3"/>
      <c r="G92" s="39"/>
    </row>
    <row r="93" spans="2:7" s="1" customFormat="1" ht="14.35" customHeight="1" x14ac:dyDescent="0.45">
      <c r="B93" s="3"/>
      <c r="G93" s="39"/>
    </row>
    <row r="94" spans="2:7" s="1" customFormat="1" ht="14.35" customHeight="1" x14ac:dyDescent="0.45">
      <c r="B94" s="3"/>
      <c r="G94" s="39"/>
    </row>
    <row r="95" spans="2:7" s="1" customFormat="1" ht="14.25" x14ac:dyDescent="0.45">
      <c r="B95" s="3"/>
      <c r="G95" s="39"/>
    </row>
    <row r="96" spans="2:7" s="1" customFormat="1" ht="14.25" x14ac:dyDescent="0.45">
      <c r="B96" s="3"/>
      <c r="G96" s="39"/>
    </row>
    <row r="97" spans="2:7" s="1" customFormat="1" ht="14.25" x14ac:dyDescent="0.45">
      <c r="B97" s="3"/>
      <c r="G97" s="39"/>
    </row>
    <row r="98" spans="2:7" s="1" customFormat="1" ht="14.25" x14ac:dyDescent="0.45">
      <c r="B98" s="3"/>
      <c r="G98" s="39"/>
    </row>
    <row r="99" spans="2:7" s="1" customFormat="1" ht="14.25" x14ac:dyDescent="0.45">
      <c r="B99" s="3"/>
      <c r="G99" s="39"/>
    </row>
    <row r="100" spans="2:7" s="1" customFormat="1" ht="14.25" x14ac:dyDescent="0.45">
      <c r="B100" s="3"/>
      <c r="G100" s="39"/>
    </row>
    <row r="101" spans="2:7" s="1" customFormat="1" ht="14.25" x14ac:dyDescent="0.45">
      <c r="B101" s="3"/>
      <c r="G101" s="39"/>
    </row>
    <row r="102" spans="2:7" s="1" customFormat="1" ht="14.25" x14ac:dyDescent="0.45">
      <c r="B102" s="3"/>
      <c r="G102" s="39"/>
    </row>
    <row r="103" spans="2:7" s="1" customFormat="1" ht="14.25" x14ac:dyDescent="0.45">
      <c r="B103" s="3"/>
      <c r="G103" s="39"/>
    </row>
    <row r="104" spans="2:7" s="1" customFormat="1" ht="14.25" x14ac:dyDescent="0.45">
      <c r="B104" s="3"/>
      <c r="G104" s="39"/>
    </row>
    <row r="105" spans="2:7" s="1" customFormat="1" ht="14.25" x14ac:dyDescent="0.45">
      <c r="B105" s="3"/>
      <c r="G105" s="39"/>
    </row>
    <row r="106" spans="2:7" s="1" customFormat="1" ht="14.25" x14ac:dyDescent="0.45">
      <c r="B106" s="3"/>
      <c r="G106" s="39"/>
    </row>
    <row r="107" spans="2:7" s="1" customFormat="1" ht="14.25" x14ac:dyDescent="0.45">
      <c r="B107" s="3"/>
      <c r="G107" s="39"/>
    </row>
    <row r="108" spans="2:7" s="1" customFormat="1" ht="14.25" x14ac:dyDescent="0.45">
      <c r="B108" s="3"/>
      <c r="G108" s="39"/>
    </row>
    <row r="109" spans="2:7" s="1" customFormat="1" ht="14.25" x14ac:dyDescent="0.45">
      <c r="B109" s="3"/>
      <c r="G109" s="39"/>
    </row>
    <row r="110" spans="2:7" s="1" customFormat="1" ht="14.25" x14ac:dyDescent="0.45">
      <c r="B110" s="3"/>
      <c r="G110" s="39"/>
    </row>
    <row r="111" spans="2:7" s="1" customFormat="1" ht="14.25" x14ac:dyDescent="0.45">
      <c r="B111" s="3"/>
      <c r="G111" s="39"/>
    </row>
    <row r="112" spans="2:7" s="1" customFormat="1" ht="14.25" x14ac:dyDescent="0.45">
      <c r="B112" s="3"/>
      <c r="G112" s="39"/>
    </row>
    <row r="113" spans="2:7" s="1" customFormat="1" ht="14.25" x14ac:dyDescent="0.45">
      <c r="B113" s="3"/>
      <c r="G113" s="39"/>
    </row>
    <row r="114" spans="2:7" s="1" customFormat="1" ht="14.25" x14ac:dyDescent="0.45">
      <c r="B114" s="3"/>
      <c r="G114" s="39"/>
    </row>
    <row r="115" spans="2:7" s="1" customFormat="1" ht="14.25" x14ac:dyDescent="0.45">
      <c r="B115" s="3"/>
      <c r="G115" s="39"/>
    </row>
    <row r="116" spans="2:7" s="1" customFormat="1" ht="14.25" x14ac:dyDescent="0.45">
      <c r="B116" s="3"/>
      <c r="G116" s="39"/>
    </row>
    <row r="117" spans="2:7" s="1" customFormat="1" ht="14.25" x14ac:dyDescent="0.45">
      <c r="B117" s="3"/>
      <c r="G117" s="39"/>
    </row>
    <row r="118" spans="2:7" s="1" customFormat="1" ht="14.25" x14ac:dyDescent="0.45">
      <c r="B118" s="3"/>
      <c r="G118" s="39"/>
    </row>
    <row r="119" spans="2:7" s="1" customFormat="1" ht="14.25" x14ac:dyDescent="0.45">
      <c r="B119" s="3"/>
      <c r="G119" s="39"/>
    </row>
    <row r="120" spans="2:7" s="1" customFormat="1" ht="14.25" x14ac:dyDescent="0.45">
      <c r="B120" s="3"/>
      <c r="G120" s="39"/>
    </row>
    <row r="121" spans="2:7" s="1" customFormat="1" ht="14.25" x14ac:dyDescent="0.45">
      <c r="B121" s="3"/>
      <c r="G121" s="39"/>
    </row>
    <row r="122" spans="2:7" s="1" customFormat="1" ht="14.25" x14ac:dyDescent="0.45">
      <c r="B122" s="3"/>
      <c r="G122" s="39"/>
    </row>
    <row r="123" spans="2:7" s="1" customFormat="1" ht="14.25" x14ac:dyDescent="0.45">
      <c r="B123" s="3"/>
      <c r="G123" s="39"/>
    </row>
    <row r="124" spans="2:7" s="1" customFormat="1" ht="14.25" x14ac:dyDescent="0.45">
      <c r="B124" s="3"/>
      <c r="G124" s="39"/>
    </row>
    <row r="125" spans="2:7" s="1" customFormat="1" ht="14.25" x14ac:dyDescent="0.45">
      <c r="B125" s="3"/>
      <c r="G125" s="39"/>
    </row>
    <row r="126" spans="2:7" s="1" customFormat="1" ht="14.25" x14ac:dyDescent="0.45">
      <c r="B126" s="3"/>
      <c r="G126" s="39"/>
    </row>
    <row r="127" spans="2:7" s="1" customFormat="1" ht="14.25" x14ac:dyDescent="0.45">
      <c r="B127" s="3"/>
      <c r="G127" s="39"/>
    </row>
    <row r="128" spans="2:7" s="1" customFormat="1" ht="14.25" x14ac:dyDescent="0.45">
      <c r="B128" s="3"/>
      <c r="G128" s="39"/>
    </row>
    <row r="129" spans="2:7" s="1" customFormat="1" ht="14.25" x14ac:dyDescent="0.45">
      <c r="B129" s="3"/>
      <c r="G129" s="39"/>
    </row>
    <row r="130" spans="2:7" s="1" customFormat="1" ht="14.25" x14ac:dyDescent="0.45">
      <c r="B130" s="3"/>
      <c r="G130" s="39"/>
    </row>
    <row r="131" spans="2:7" s="1" customFormat="1" ht="14.25" x14ac:dyDescent="0.45">
      <c r="B131" s="3"/>
      <c r="G131" s="39"/>
    </row>
    <row r="132" spans="2:7" s="1" customFormat="1" ht="14.25" x14ac:dyDescent="0.45">
      <c r="B132" s="3"/>
      <c r="G132" s="39"/>
    </row>
    <row r="133" spans="2:7" s="1" customFormat="1" ht="14.25" x14ac:dyDescent="0.45">
      <c r="B133" s="3"/>
      <c r="G133" s="39"/>
    </row>
    <row r="134" spans="2:7" s="1" customFormat="1" ht="14.25" x14ac:dyDescent="0.45">
      <c r="B134" s="3"/>
      <c r="G134" s="39"/>
    </row>
    <row r="135" spans="2:7" s="1" customFormat="1" ht="14.25" x14ac:dyDescent="0.45">
      <c r="B135" s="3"/>
      <c r="G135" s="39"/>
    </row>
    <row r="136" spans="2:7" s="1" customFormat="1" ht="14.25" x14ac:dyDescent="0.45">
      <c r="B136" s="3"/>
      <c r="G136" s="39"/>
    </row>
    <row r="137" spans="2:7" s="1" customFormat="1" ht="14.25" x14ac:dyDescent="0.45">
      <c r="B137" s="3"/>
      <c r="G137" s="39"/>
    </row>
    <row r="138" spans="2:7" s="1" customFormat="1" ht="14.25" x14ac:dyDescent="0.45">
      <c r="B138" s="3"/>
      <c r="G138" s="39"/>
    </row>
    <row r="139" spans="2:7" s="1" customFormat="1" ht="14.25" x14ac:dyDescent="0.45">
      <c r="B139" s="3"/>
      <c r="G139" s="39"/>
    </row>
    <row r="140" spans="2:7" s="1" customFormat="1" ht="14.25" x14ac:dyDescent="0.45">
      <c r="B140" s="3"/>
      <c r="G140" s="39"/>
    </row>
    <row r="141" spans="2:7" s="1" customFormat="1" ht="14.25" x14ac:dyDescent="0.45">
      <c r="B141" s="3"/>
      <c r="G141" s="39"/>
    </row>
    <row r="142" spans="2:7" s="1" customFormat="1" ht="14.25" x14ac:dyDescent="0.45">
      <c r="B142" s="3"/>
      <c r="G142" s="39"/>
    </row>
    <row r="143" spans="2:7" s="1" customFormat="1" ht="14.25" x14ac:dyDescent="0.45">
      <c r="B143" s="3"/>
      <c r="G143" s="39"/>
    </row>
    <row r="144" spans="2:7" s="1" customFormat="1" ht="14.25" x14ac:dyDescent="0.45">
      <c r="B144" s="3"/>
      <c r="G144" s="39"/>
    </row>
    <row r="145" spans="2:7" s="1" customFormat="1" ht="14.25" x14ac:dyDescent="0.45">
      <c r="B145" s="3"/>
      <c r="G145" s="39"/>
    </row>
    <row r="146" spans="2:7" s="1" customFormat="1" ht="14.25" x14ac:dyDescent="0.45">
      <c r="B146" s="3"/>
      <c r="G146" s="39"/>
    </row>
    <row r="147" spans="2:7" s="1" customFormat="1" ht="14.25" x14ac:dyDescent="0.45">
      <c r="B147" s="3"/>
      <c r="G147" s="39"/>
    </row>
    <row r="148" spans="2:7" s="1" customFormat="1" ht="14.25" x14ac:dyDescent="0.45">
      <c r="B148" s="3"/>
      <c r="G148" s="39"/>
    </row>
    <row r="149" spans="2:7" s="1" customFormat="1" ht="14.25" x14ac:dyDescent="0.45">
      <c r="B149" s="3"/>
      <c r="G149" s="39"/>
    </row>
    <row r="150" spans="2:7" s="1" customFormat="1" ht="14.25" x14ac:dyDescent="0.45">
      <c r="B150" s="3"/>
      <c r="G150" s="39"/>
    </row>
    <row r="151" spans="2:7" s="1" customFormat="1" ht="14.25" x14ac:dyDescent="0.45">
      <c r="B151" s="3"/>
      <c r="G151" s="39"/>
    </row>
    <row r="152" spans="2:7" s="1" customFormat="1" ht="14.25" x14ac:dyDescent="0.45">
      <c r="B152" s="3"/>
      <c r="G152" s="39"/>
    </row>
    <row r="153" spans="2:7" s="1" customFormat="1" ht="14.25" x14ac:dyDescent="0.45">
      <c r="B153" s="3"/>
      <c r="G153" s="39"/>
    </row>
    <row r="154" spans="2:7" s="1" customFormat="1" ht="14.25" x14ac:dyDescent="0.45">
      <c r="B154" s="3"/>
      <c r="G154" s="39"/>
    </row>
    <row r="155" spans="2:7" s="1" customFormat="1" ht="14.25" x14ac:dyDescent="0.45">
      <c r="B155" s="3"/>
      <c r="G155" s="39"/>
    </row>
    <row r="156" spans="2:7" s="1" customFormat="1" ht="14.25" x14ac:dyDescent="0.45">
      <c r="B156" s="3"/>
      <c r="G156" s="39"/>
    </row>
    <row r="157" spans="2:7" s="1" customFormat="1" ht="14.25" x14ac:dyDescent="0.45">
      <c r="B157" s="3"/>
      <c r="G157" s="39"/>
    </row>
    <row r="158" spans="2:7" s="1" customFormat="1" ht="14.25" x14ac:dyDescent="0.45">
      <c r="B158" s="3"/>
      <c r="G158" s="39"/>
    </row>
    <row r="159" spans="2:7" s="1" customFormat="1" ht="14.25" x14ac:dyDescent="0.45">
      <c r="B159" s="3"/>
      <c r="G159" s="39"/>
    </row>
    <row r="160" spans="2:7" s="1" customFormat="1" ht="14.25" x14ac:dyDescent="0.45">
      <c r="B160" s="3"/>
      <c r="G160" s="39"/>
    </row>
    <row r="161" spans="2:7" s="1" customFormat="1" ht="14.25" x14ac:dyDescent="0.45">
      <c r="B161" s="3"/>
      <c r="G161" s="39"/>
    </row>
    <row r="162" spans="2:7" s="1" customFormat="1" ht="14.25" x14ac:dyDescent="0.45">
      <c r="B162" s="3"/>
      <c r="G162" s="39"/>
    </row>
    <row r="163" spans="2:7" s="1" customFormat="1" ht="14.25" x14ac:dyDescent="0.45">
      <c r="B163" s="3"/>
      <c r="G163" s="39"/>
    </row>
    <row r="164" spans="2:7" s="1" customFormat="1" ht="14.25" x14ac:dyDescent="0.45">
      <c r="B164" s="3"/>
      <c r="G164" s="39"/>
    </row>
    <row r="165" spans="2:7" s="1" customFormat="1" ht="14.25" x14ac:dyDescent="0.45">
      <c r="B165" s="3"/>
      <c r="G165" s="39"/>
    </row>
    <row r="166" spans="2:7" s="1" customFormat="1" ht="14.25" x14ac:dyDescent="0.45">
      <c r="B166" s="3"/>
      <c r="G166" s="39"/>
    </row>
    <row r="167" spans="2:7" s="1" customFormat="1" ht="14.25" x14ac:dyDescent="0.45">
      <c r="B167" s="3"/>
      <c r="G167" s="39"/>
    </row>
    <row r="168" spans="2:7" s="1" customFormat="1" ht="14.25" x14ac:dyDescent="0.45">
      <c r="B168" s="3"/>
      <c r="G168" s="39"/>
    </row>
    <row r="169" spans="2:7" s="1" customFormat="1" ht="14.25" x14ac:dyDescent="0.45">
      <c r="B169" s="3"/>
      <c r="G169" s="39"/>
    </row>
    <row r="170" spans="2:7" s="1" customFormat="1" ht="14.25" x14ac:dyDescent="0.45">
      <c r="B170" s="3"/>
      <c r="G170" s="39"/>
    </row>
    <row r="171" spans="2:7" s="1" customFormat="1" ht="14.25" x14ac:dyDescent="0.45">
      <c r="B171" s="3"/>
      <c r="G171" s="39"/>
    </row>
    <row r="172" spans="2:7" s="1" customFormat="1" ht="14.25" x14ac:dyDescent="0.45">
      <c r="B172" s="3"/>
      <c r="G172" s="39"/>
    </row>
    <row r="173" spans="2:7" s="1" customFormat="1" ht="14.25" x14ac:dyDescent="0.45">
      <c r="B173" s="3"/>
      <c r="G173" s="39"/>
    </row>
    <row r="174" spans="2:7" s="1" customFormat="1" ht="14.25" x14ac:dyDescent="0.45">
      <c r="B174" s="3"/>
      <c r="G174" s="39"/>
    </row>
    <row r="175" spans="2:7" s="1" customFormat="1" ht="14.25" x14ac:dyDescent="0.45">
      <c r="B175" s="3"/>
      <c r="G175" s="39"/>
    </row>
    <row r="176" spans="2:7" s="1" customFormat="1" ht="14.25" x14ac:dyDescent="0.45">
      <c r="B176" s="3"/>
      <c r="G176" s="39"/>
    </row>
    <row r="177" spans="2:7" s="1" customFormat="1" ht="14.25" x14ac:dyDescent="0.45">
      <c r="B177" s="3"/>
      <c r="G177" s="39"/>
    </row>
    <row r="178" spans="2:7" s="1" customFormat="1" ht="14.25" x14ac:dyDescent="0.45">
      <c r="B178" s="3"/>
      <c r="G178" s="39"/>
    </row>
    <row r="179" spans="2:7" s="1" customFormat="1" ht="14.25" x14ac:dyDescent="0.45">
      <c r="B179" s="3"/>
      <c r="G179" s="39"/>
    </row>
    <row r="180" spans="2:7" s="1" customFormat="1" ht="14.25" x14ac:dyDescent="0.45">
      <c r="B180" s="3"/>
      <c r="G180" s="39"/>
    </row>
    <row r="181" spans="2:7" s="1" customFormat="1" ht="14.25" x14ac:dyDescent="0.45">
      <c r="B181" s="3"/>
      <c r="G181" s="39"/>
    </row>
    <row r="182" spans="2:7" s="1" customFormat="1" ht="14.25" x14ac:dyDescent="0.45">
      <c r="B182" s="3"/>
      <c r="G182" s="39"/>
    </row>
    <row r="183" spans="2:7" s="1" customFormat="1" ht="14.25" x14ac:dyDescent="0.45">
      <c r="B183" s="3"/>
      <c r="G183" s="39"/>
    </row>
    <row r="184" spans="2:7" s="1" customFormat="1" ht="14.25" x14ac:dyDescent="0.45">
      <c r="B184" s="3"/>
      <c r="G184" s="39"/>
    </row>
    <row r="185" spans="2:7" s="1" customFormat="1" ht="14.25" x14ac:dyDescent="0.45">
      <c r="B185" s="3"/>
      <c r="G185" s="39"/>
    </row>
    <row r="186" spans="2:7" s="1" customFormat="1" ht="14.25" x14ac:dyDescent="0.45">
      <c r="B186" s="3"/>
      <c r="G186" s="39"/>
    </row>
    <row r="187" spans="2:7" s="1" customFormat="1" ht="14.25" x14ac:dyDescent="0.45">
      <c r="B187" s="3"/>
      <c r="G187" s="39"/>
    </row>
    <row r="188" spans="2:7" s="1" customFormat="1" ht="14.25" x14ac:dyDescent="0.45">
      <c r="B188" s="3"/>
      <c r="G188" s="39"/>
    </row>
    <row r="189" spans="2:7" s="1" customFormat="1" ht="14.25" x14ac:dyDescent="0.45">
      <c r="B189" s="3"/>
      <c r="G189" s="39"/>
    </row>
    <row r="190" spans="2:7" s="1" customFormat="1" ht="14.25" x14ac:dyDescent="0.45">
      <c r="B190" s="3"/>
      <c r="G190" s="39"/>
    </row>
    <row r="191" spans="2:7" s="1" customFormat="1" ht="14.25" x14ac:dyDescent="0.45">
      <c r="B191" s="3"/>
      <c r="G191" s="39"/>
    </row>
    <row r="192" spans="2:7" s="1" customFormat="1" ht="14.25" x14ac:dyDescent="0.45">
      <c r="B192" s="3"/>
      <c r="G192" s="39"/>
    </row>
    <row r="193" spans="2:7" s="1" customFormat="1" ht="14.25" x14ac:dyDescent="0.45">
      <c r="B193" s="3"/>
      <c r="G193" s="39"/>
    </row>
    <row r="194" spans="2:7" s="1" customFormat="1" ht="14.25" x14ac:dyDescent="0.45">
      <c r="B194" s="3"/>
      <c r="G194" s="39"/>
    </row>
    <row r="195" spans="2:7" s="1" customFormat="1" ht="14.25" x14ac:dyDescent="0.45">
      <c r="B195" s="3"/>
      <c r="G195" s="39"/>
    </row>
    <row r="196" spans="2:7" s="1" customFormat="1" ht="14.25" x14ac:dyDescent="0.45">
      <c r="B196" s="3"/>
      <c r="G196" s="39"/>
    </row>
    <row r="197" spans="2:7" s="1" customFormat="1" ht="14.25" x14ac:dyDescent="0.45">
      <c r="B197" s="3"/>
      <c r="G197" s="39"/>
    </row>
    <row r="198" spans="2:7" s="1" customFormat="1" ht="14.25" x14ac:dyDescent="0.45">
      <c r="B198" s="3"/>
      <c r="G198" s="39"/>
    </row>
    <row r="199" spans="2:7" s="1" customFormat="1" ht="14.25" x14ac:dyDescent="0.45">
      <c r="B199" s="3"/>
      <c r="G199" s="39"/>
    </row>
    <row r="200" spans="2:7" s="1" customFormat="1" ht="14.25" x14ac:dyDescent="0.45">
      <c r="B200" s="3"/>
      <c r="G200" s="39"/>
    </row>
    <row r="201" spans="2:7" s="1" customFormat="1" ht="14.25" x14ac:dyDescent="0.45">
      <c r="B201" s="3"/>
      <c r="G201" s="39"/>
    </row>
    <row r="202" spans="2:7" s="1" customFormat="1" ht="14.25" x14ac:dyDescent="0.45">
      <c r="B202" s="3"/>
      <c r="G202" s="39"/>
    </row>
    <row r="203" spans="2:7" s="1" customFormat="1" ht="14.25" x14ac:dyDescent="0.45">
      <c r="B203" s="3"/>
      <c r="G203" s="39"/>
    </row>
    <row r="204" spans="2:7" s="1" customFormat="1" ht="14.25" x14ac:dyDescent="0.45">
      <c r="B204" s="3"/>
      <c r="G204" s="39"/>
    </row>
    <row r="205" spans="2:7" s="1" customFormat="1" ht="14.25" x14ac:dyDescent="0.45">
      <c r="B205" s="3"/>
      <c r="G205" s="39"/>
    </row>
    <row r="206" spans="2:7" s="1" customFormat="1" ht="14.25" x14ac:dyDescent="0.45">
      <c r="B206" s="3"/>
      <c r="G206" s="39"/>
    </row>
    <row r="207" spans="2:7" s="1" customFormat="1" ht="14.25" x14ac:dyDescent="0.45">
      <c r="B207" s="3"/>
      <c r="G207" s="39"/>
    </row>
    <row r="208" spans="2:7" s="1" customFormat="1" ht="14.25" x14ac:dyDescent="0.45">
      <c r="B208" s="3"/>
      <c r="G208" s="39"/>
    </row>
    <row r="209" spans="2:7" s="1" customFormat="1" ht="14.25" x14ac:dyDescent="0.45">
      <c r="B209" s="3"/>
      <c r="G209" s="39"/>
    </row>
    <row r="210" spans="2:7" s="1" customFormat="1" ht="14.25" x14ac:dyDescent="0.45">
      <c r="B210" s="3"/>
      <c r="G210" s="39"/>
    </row>
    <row r="211" spans="2:7" s="1" customFormat="1" ht="14.25" x14ac:dyDescent="0.45">
      <c r="B211" s="3"/>
      <c r="G211" s="39"/>
    </row>
    <row r="212" spans="2:7" s="1" customFormat="1" ht="14.25" x14ac:dyDescent="0.45">
      <c r="B212" s="3"/>
      <c r="G212" s="39"/>
    </row>
    <row r="213" spans="2:7" s="1" customFormat="1" ht="14.25" x14ac:dyDescent="0.45">
      <c r="B213" s="3"/>
      <c r="G213" s="39"/>
    </row>
    <row r="214" spans="2:7" s="1" customFormat="1" ht="14.25" x14ac:dyDescent="0.45">
      <c r="B214" s="3"/>
      <c r="G214" s="39"/>
    </row>
    <row r="215" spans="2:7" s="1" customFormat="1" ht="14.25" x14ac:dyDescent="0.45">
      <c r="B215" s="3"/>
      <c r="G215" s="39"/>
    </row>
    <row r="216" spans="2:7" s="1" customFormat="1" ht="14.25" x14ac:dyDescent="0.45">
      <c r="B216" s="3"/>
      <c r="G216" s="39"/>
    </row>
    <row r="217" spans="2:7" s="1" customFormat="1" ht="14.25" x14ac:dyDescent="0.45">
      <c r="B217" s="3"/>
      <c r="G217" s="39"/>
    </row>
    <row r="218" spans="2:7" s="1" customFormat="1" ht="14.25" x14ac:dyDescent="0.45">
      <c r="B218" s="3"/>
      <c r="G218" s="39"/>
    </row>
    <row r="219" spans="2:7" s="1" customFormat="1" ht="14.25" x14ac:dyDescent="0.45">
      <c r="B219" s="3"/>
      <c r="G219" s="39"/>
    </row>
    <row r="220" spans="2:7" s="1" customFormat="1" ht="14.25" x14ac:dyDescent="0.45">
      <c r="B220" s="3"/>
      <c r="G220" s="39"/>
    </row>
    <row r="221" spans="2:7" s="1" customFormat="1" ht="14.25" x14ac:dyDescent="0.45">
      <c r="B221" s="3"/>
      <c r="G221" s="39"/>
    </row>
    <row r="222" spans="2:7" s="1" customFormat="1" ht="14.25" x14ac:dyDescent="0.45">
      <c r="B222" s="3"/>
      <c r="G222" s="39"/>
    </row>
    <row r="223" spans="2:7" s="1" customFormat="1" ht="14.25" x14ac:dyDescent="0.45">
      <c r="B223" s="3"/>
      <c r="G223" s="39"/>
    </row>
    <row r="224" spans="2:7" s="1" customFormat="1" ht="14.25" x14ac:dyDescent="0.45">
      <c r="B224" s="3"/>
      <c r="G224" s="39"/>
    </row>
    <row r="225" spans="2:7" s="1" customFormat="1" ht="14.25" x14ac:dyDescent="0.45">
      <c r="B225" s="3"/>
      <c r="G225" s="39"/>
    </row>
    <row r="226" spans="2:7" s="1" customFormat="1" ht="14.25" x14ac:dyDescent="0.45">
      <c r="B226" s="3"/>
      <c r="G226" s="39"/>
    </row>
    <row r="227" spans="2:7" s="1" customFormat="1" ht="14.25" x14ac:dyDescent="0.45">
      <c r="B227" s="3"/>
      <c r="G227" s="39"/>
    </row>
    <row r="228" spans="2:7" s="1" customFormat="1" ht="14.25" x14ac:dyDescent="0.45">
      <c r="B228" s="3"/>
      <c r="G228" s="39"/>
    </row>
    <row r="229" spans="2:7" s="1" customFormat="1" ht="14.25" x14ac:dyDescent="0.45">
      <c r="B229" s="3"/>
      <c r="G229" s="39"/>
    </row>
    <row r="230" spans="2:7" s="1" customFormat="1" ht="14.25" x14ac:dyDescent="0.45">
      <c r="B230" s="3"/>
      <c r="G230" s="39"/>
    </row>
    <row r="231" spans="2:7" s="1" customFormat="1" ht="14.25" x14ac:dyDescent="0.45">
      <c r="B231" s="3"/>
      <c r="G231" s="39"/>
    </row>
    <row r="232" spans="2:7" s="1" customFormat="1" ht="14.25" x14ac:dyDescent="0.45">
      <c r="B232" s="3"/>
      <c r="G232" s="39"/>
    </row>
    <row r="233" spans="2:7" s="1" customFormat="1" ht="14.25" x14ac:dyDescent="0.45">
      <c r="B233" s="3"/>
      <c r="G233" s="39"/>
    </row>
    <row r="234" spans="2:7" s="1" customFormat="1" ht="14.25" x14ac:dyDescent="0.45">
      <c r="B234" s="3"/>
      <c r="G234" s="39"/>
    </row>
    <row r="235" spans="2:7" s="1" customFormat="1" ht="14.25" x14ac:dyDescent="0.45">
      <c r="B235" s="3"/>
      <c r="G235" s="39"/>
    </row>
    <row r="236" spans="2:7" s="1" customFormat="1" ht="14.25" x14ac:dyDescent="0.45">
      <c r="B236" s="3"/>
      <c r="G236" s="39"/>
    </row>
    <row r="237" spans="2:7" s="1" customFormat="1" ht="14.25" x14ac:dyDescent="0.45">
      <c r="B237" s="3"/>
      <c r="G237" s="39"/>
    </row>
    <row r="238" spans="2:7" s="1" customFormat="1" ht="14.25" x14ac:dyDescent="0.45">
      <c r="B238" s="3"/>
      <c r="G238" s="39"/>
    </row>
    <row r="239" spans="2:7" s="1" customFormat="1" ht="14.25" x14ac:dyDescent="0.45">
      <c r="B239" s="3"/>
      <c r="G239" s="39"/>
    </row>
    <row r="240" spans="2:7" s="1" customFormat="1" ht="14.25" x14ac:dyDescent="0.45">
      <c r="B240" s="3"/>
      <c r="G240" s="39"/>
    </row>
    <row r="241" spans="2:7" s="1" customFormat="1" ht="14.25" x14ac:dyDescent="0.45">
      <c r="B241" s="3"/>
      <c r="G241" s="39"/>
    </row>
    <row r="242" spans="2:7" s="1" customFormat="1" ht="14.25" x14ac:dyDescent="0.45">
      <c r="B242" s="3"/>
      <c r="G242" s="39"/>
    </row>
    <row r="243" spans="2:7" s="1" customFormat="1" ht="14.25" x14ac:dyDescent="0.45">
      <c r="B243" s="3"/>
      <c r="G243" s="39"/>
    </row>
    <row r="244" spans="2:7" s="1" customFormat="1" ht="14.25" x14ac:dyDescent="0.45">
      <c r="B244" s="3"/>
      <c r="G244" s="39"/>
    </row>
    <row r="245" spans="2:7" s="1" customFormat="1" ht="14.25" x14ac:dyDescent="0.45">
      <c r="B245" s="3"/>
      <c r="G245" s="39"/>
    </row>
    <row r="246" spans="2:7" s="1" customFormat="1" ht="14.25" x14ac:dyDescent="0.45">
      <c r="B246" s="3"/>
      <c r="G246" s="39"/>
    </row>
    <row r="247" spans="2:7" s="1" customFormat="1" ht="14.25" x14ac:dyDescent="0.45">
      <c r="B247" s="3"/>
      <c r="G247" s="39"/>
    </row>
    <row r="248" spans="2:7" s="1" customFormat="1" ht="14.25" x14ac:dyDescent="0.45">
      <c r="B248" s="3"/>
      <c r="G248" s="39"/>
    </row>
    <row r="249" spans="2:7" s="1" customFormat="1" ht="14.25" x14ac:dyDescent="0.45">
      <c r="B249" s="3"/>
      <c r="G249" s="39"/>
    </row>
    <row r="250" spans="2:7" s="1" customFormat="1" ht="14.25" x14ac:dyDescent="0.45">
      <c r="B250" s="3"/>
      <c r="G250" s="39"/>
    </row>
    <row r="251" spans="2:7" s="1" customFormat="1" ht="14.25" x14ac:dyDescent="0.45">
      <c r="B251" s="3"/>
      <c r="G251" s="39"/>
    </row>
    <row r="252" spans="2:7" s="1" customFormat="1" ht="14.25" x14ac:dyDescent="0.45">
      <c r="B252" s="3"/>
      <c r="G252" s="39"/>
    </row>
    <row r="253" spans="2:7" s="1" customFormat="1" ht="14.25" x14ac:dyDescent="0.45">
      <c r="B253" s="3"/>
      <c r="G253" s="39"/>
    </row>
    <row r="254" spans="2:7" s="1" customFormat="1" ht="14.25" x14ac:dyDescent="0.45">
      <c r="B254" s="3"/>
      <c r="G254" s="39"/>
    </row>
    <row r="255" spans="2:7" s="1" customFormat="1" ht="14.25" x14ac:dyDescent="0.45">
      <c r="B255" s="3"/>
      <c r="G255" s="39"/>
    </row>
    <row r="256" spans="2:7" s="1" customFormat="1" ht="14.25" x14ac:dyDescent="0.45">
      <c r="B256" s="3"/>
      <c r="G256" s="39"/>
    </row>
    <row r="257" spans="2:7" s="1" customFormat="1" ht="14.25" x14ac:dyDescent="0.45">
      <c r="B257" s="3"/>
      <c r="G257" s="39"/>
    </row>
    <row r="258" spans="2:7" s="1" customFormat="1" ht="14.25" x14ac:dyDescent="0.45">
      <c r="B258" s="3"/>
      <c r="G258" s="39"/>
    </row>
    <row r="259" spans="2:7" s="1" customFormat="1" ht="14.25" x14ac:dyDescent="0.45">
      <c r="B259" s="3"/>
      <c r="G259" s="39"/>
    </row>
    <row r="260" spans="2:7" s="1" customFormat="1" ht="14.25" x14ac:dyDescent="0.45">
      <c r="B260" s="3"/>
      <c r="G260" s="39"/>
    </row>
    <row r="261" spans="2:7" s="1" customFormat="1" ht="14.25" x14ac:dyDescent="0.45">
      <c r="B261" s="3"/>
      <c r="G261" s="39"/>
    </row>
    <row r="262" spans="2:7" s="1" customFormat="1" ht="14.25" x14ac:dyDescent="0.45">
      <c r="B262" s="3"/>
      <c r="G262" s="39"/>
    </row>
    <row r="263" spans="2:7" s="1" customFormat="1" ht="14.25" x14ac:dyDescent="0.45">
      <c r="B263" s="3"/>
      <c r="G263" s="39"/>
    </row>
    <row r="264" spans="2:7" s="1" customFormat="1" ht="14.25" x14ac:dyDescent="0.45">
      <c r="B264" s="3"/>
      <c r="G264" s="39"/>
    </row>
    <row r="265" spans="2:7" s="1" customFormat="1" ht="14.25" x14ac:dyDescent="0.45">
      <c r="B265" s="3"/>
      <c r="G265" s="39"/>
    </row>
    <row r="266" spans="2:7" s="1" customFormat="1" ht="14.25" x14ac:dyDescent="0.45">
      <c r="B266" s="3"/>
      <c r="G266" s="39"/>
    </row>
    <row r="267" spans="2:7" s="1" customFormat="1" ht="14.25" x14ac:dyDescent="0.45">
      <c r="B267" s="3"/>
      <c r="G267" s="39"/>
    </row>
    <row r="268" spans="2:7" s="1" customFormat="1" ht="14.25" x14ac:dyDescent="0.45">
      <c r="B268" s="3"/>
      <c r="G268" s="39"/>
    </row>
    <row r="269" spans="2:7" s="1" customFormat="1" ht="14.25" x14ac:dyDescent="0.45">
      <c r="B269" s="3"/>
      <c r="G269" s="39"/>
    </row>
    <row r="270" spans="2:7" s="1" customFormat="1" ht="14.25" x14ac:dyDescent="0.45">
      <c r="B270" s="3"/>
      <c r="G270" s="39"/>
    </row>
    <row r="271" spans="2:7" s="1" customFormat="1" ht="14.25" x14ac:dyDescent="0.45">
      <c r="B271" s="3"/>
      <c r="G271" s="39"/>
    </row>
    <row r="272" spans="2:7" s="1" customFormat="1" ht="14.25" x14ac:dyDescent="0.45">
      <c r="B272" s="3"/>
      <c r="G272" s="39"/>
    </row>
    <row r="273" spans="1:9" ht="15.4" x14ac:dyDescent="0.45">
      <c r="A273" s="1"/>
      <c r="B273" s="3"/>
      <c r="C273" s="1"/>
      <c r="D273" s="1"/>
      <c r="E273" s="1"/>
      <c r="F273" s="1"/>
      <c r="G273" s="39"/>
      <c r="H273" s="1"/>
      <c r="I273" s="1"/>
    </row>
    <row r="274" spans="1:9" ht="15.4" x14ac:dyDescent="0.45">
      <c r="A274" s="1"/>
      <c r="B274" s="3"/>
      <c r="C274" s="1"/>
      <c r="D274" s="1"/>
      <c r="E274" s="1"/>
      <c r="F274" s="1"/>
      <c r="G274" s="39"/>
      <c r="H274" s="1"/>
      <c r="I274" s="1"/>
    </row>
    <row r="275" spans="1:9" ht="15.4" x14ac:dyDescent="0.45">
      <c r="A275" s="1"/>
      <c r="B275" s="3"/>
      <c r="C275" s="1"/>
      <c r="D275" s="1"/>
      <c r="E275" s="1"/>
      <c r="F275" s="1"/>
      <c r="G275" s="39"/>
      <c r="H275" s="1"/>
      <c r="I275" s="1"/>
    </row>
    <row r="276" spans="1:9" ht="15.4" x14ac:dyDescent="0.45">
      <c r="A276" s="1"/>
      <c r="B276" s="3"/>
      <c r="C276" s="1"/>
      <c r="D276" s="1"/>
      <c r="E276" s="1"/>
      <c r="F276" s="1"/>
      <c r="G276" s="39"/>
      <c r="H276" s="1"/>
      <c r="I276" s="1"/>
    </row>
    <row r="277" spans="1:9" ht="15.4" x14ac:dyDescent="0.45">
      <c r="A277" s="1"/>
      <c r="B277" s="3"/>
      <c r="C277" s="1"/>
      <c r="D277" s="1"/>
      <c r="E277" s="1"/>
      <c r="F277" s="1"/>
      <c r="G277" s="39"/>
      <c r="H277" s="1"/>
      <c r="I277" s="1"/>
    </row>
    <row r="278" spans="1:9" ht="15.4" x14ac:dyDescent="0.45">
      <c r="A278" s="1"/>
      <c r="B278" s="3"/>
      <c r="C278" s="1"/>
      <c r="D278" s="1"/>
      <c r="E278" s="1"/>
      <c r="F278" s="1"/>
      <c r="G278" s="39"/>
      <c r="H278" s="1"/>
      <c r="I278" s="1"/>
    </row>
    <row r="279" spans="1:9" ht="15.4" x14ac:dyDescent="0.45">
      <c r="A279" s="1"/>
      <c r="B279" s="3"/>
      <c r="C279" s="1"/>
      <c r="D279" s="1"/>
      <c r="E279" s="1"/>
      <c r="F279" s="1"/>
      <c r="G279" s="39"/>
      <c r="H279" s="1"/>
      <c r="I279" s="1"/>
    </row>
    <row r="280" spans="1:9" ht="15.4" x14ac:dyDescent="0.45">
      <c r="A280" s="1"/>
      <c r="B280" s="3"/>
      <c r="C280" s="1"/>
      <c r="D280" s="1"/>
      <c r="E280" s="1"/>
      <c r="F280" s="1"/>
      <c r="G280" s="39"/>
      <c r="H280" s="1"/>
      <c r="I280" s="1"/>
    </row>
    <row r="281" spans="1:9" ht="15.4" x14ac:dyDescent="0.45">
      <c r="A281" s="1"/>
      <c r="B281" s="3"/>
      <c r="C281" s="1"/>
      <c r="D281" s="1"/>
      <c r="E281" s="1"/>
      <c r="F281" s="1"/>
      <c r="G281" s="39"/>
      <c r="H281" s="1"/>
      <c r="I281" s="1"/>
    </row>
    <row r="282" spans="1:9" ht="15.4" x14ac:dyDescent="0.45">
      <c r="A282" s="1"/>
      <c r="B282" s="3"/>
      <c r="C282" s="1"/>
      <c r="D282" s="1"/>
      <c r="E282" s="1"/>
      <c r="F282" s="1"/>
      <c r="G282" s="39"/>
      <c r="H282" s="1"/>
      <c r="I282" s="1"/>
    </row>
    <row r="283" spans="1:9" ht="15.4" x14ac:dyDescent="0.45">
      <c r="A283" s="1"/>
      <c r="B283" s="3"/>
      <c r="C283" s="1"/>
      <c r="D283" s="1"/>
      <c r="E283" s="1"/>
      <c r="F283" s="1"/>
      <c r="G283" s="39"/>
      <c r="H283" s="1"/>
      <c r="I283" s="1"/>
    </row>
    <row r="284" spans="1:9" ht="15.4" x14ac:dyDescent="0.45">
      <c r="A284" s="1"/>
      <c r="B284" s="3"/>
      <c r="C284" s="1"/>
      <c r="D284" s="1"/>
      <c r="E284" s="1"/>
      <c r="F284" s="1"/>
      <c r="G284" s="39"/>
      <c r="H284" s="1"/>
      <c r="I284" s="1"/>
    </row>
    <row r="285" spans="1:9" ht="15.4" x14ac:dyDescent="0.45">
      <c r="A285" s="1"/>
      <c r="B285" s="3"/>
      <c r="C285" s="1"/>
      <c r="D285" s="1"/>
      <c r="E285" s="1"/>
      <c r="F285" s="1"/>
      <c r="G285" s="39"/>
      <c r="H285" s="1"/>
      <c r="I285" s="1"/>
    </row>
  </sheetData>
  <mergeCells count="6">
    <mergeCell ref="E24:F24"/>
    <mergeCell ref="B13:G13"/>
    <mergeCell ref="B22:G22"/>
    <mergeCell ref="A2:H2"/>
    <mergeCell ref="B1:G1"/>
    <mergeCell ref="B4:G4"/>
  </mergeCells>
  <pageMargins left="0.7" right="0.7" top="0.75" bottom="0.75" header="0.3" footer="0.3"/>
  <pageSetup scale="63" fitToHeight="8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73"/>
  <sheetViews>
    <sheetView showGridLines="0" zoomScaleNormal="100" workbookViewId="0">
      <selection activeCell="G7" sqref="G7"/>
    </sheetView>
  </sheetViews>
  <sheetFormatPr defaultRowHeight="15" x14ac:dyDescent="0.4"/>
  <cols>
    <col min="1" max="1" width="7.77734375" customWidth="1"/>
    <col min="2" max="2" width="8" style="91" customWidth="1"/>
    <col min="3" max="4" width="10.5546875" customWidth="1"/>
    <col min="5" max="6" width="12.609375" customWidth="1"/>
    <col min="7" max="7" width="12.609375" style="97" customWidth="1"/>
    <col min="8" max="8" width="12.609375" customWidth="1"/>
    <col min="9" max="9" width="12.609375" style="215" customWidth="1"/>
    <col min="10" max="10" width="12.609375" style="214" customWidth="1"/>
    <col min="11" max="14" width="12.609375" customWidth="1"/>
    <col min="15" max="16" width="8.77734375" customWidth="1"/>
  </cols>
  <sheetData>
    <row r="1" spans="1:18" ht="21" x14ac:dyDescent="0.65">
      <c r="A1" s="318" t="s">
        <v>210</v>
      </c>
      <c r="B1" s="318"/>
      <c r="C1" s="318"/>
      <c r="D1" s="318"/>
      <c r="E1" s="318"/>
      <c r="F1" s="318"/>
      <c r="G1" s="318"/>
      <c r="H1" s="318"/>
      <c r="I1" s="13"/>
      <c r="J1" s="213"/>
      <c r="K1" s="1"/>
      <c r="L1" s="1"/>
      <c r="M1" s="1"/>
      <c r="N1" s="1"/>
      <c r="O1" s="1"/>
      <c r="P1" s="1"/>
      <c r="Q1" s="1"/>
      <c r="R1" s="1"/>
    </row>
    <row r="2" spans="1:18" ht="18" x14ac:dyDescent="0.45">
      <c r="A2" s="317" t="str">
        <f>SAO!A2</f>
        <v>WHITLEY COUNTY WATER DISTRICT #1</v>
      </c>
      <c r="B2" s="317"/>
      <c r="C2" s="317"/>
      <c r="D2" s="317"/>
      <c r="E2" s="317"/>
      <c r="F2" s="317"/>
      <c r="G2" s="317"/>
      <c r="H2" s="317"/>
      <c r="I2" s="13"/>
      <c r="J2" s="213"/>
      <c r="K2" s="1"/>
      <c r="L2" s="1"/>
      <c r="M2" s="1"/>
      <c r="N2" s="1"/>
      <c r="O2" s="1"/>
      <c r="P2" s="1"/>
      <c r="Q2" s="1"/>
      <c r="R2" s="1"/>
    </row>
    <row r="3" spans="1:18" ht="15.4" x14ac:dyDescent="0.45">
      <c r="A3" s="82"/>
      <c r="B3" s="89"/>
      <c r="C3" s="83"/>
      <c r="D3" s="83"/>
      <c r="E3" s="83"/>
      <c r="F3" s="83"/>
      <c r="G3" s="93"/>
      <c r="H3" s="83"/>
      <c r="I3" s="13"/>
      <c r="J3" s="213"/>
      <c r="K3" s="1"/>
      <c r="L3" s="1"/>
      <c r="M3" s="1"/>
      <c r="N3" s="1"/>
      <c r="O3" s="1"/>
      <c r="P3" s="1"/>
      <c r="Q3" s="1"/>
      <c r="R3" s="1"/>
    </row>
    <row r="4" spans="1:18" ht="15.75" x14ac:dyDescent="0.45">
      <c r="A4" s="1"/>
      <c r="B4" s="319" t="s">
        <v>47</v>
      </c>
      <c r="C4" s="319"/>
      <c r="D4" s="319"/>
      <c r="E4" s="319"/>
      <c r="F4" s="319"/>
      <c r="G4" s="319"/>
      <c r="H4" s="1"/>
      <c r="I4" s="13"/>
      <c r="J4" s="213"/>
      <c r="K4" s="1"/>
      <c r="L4" s="1"/>
      <c r="M4" s="1"/>
      <c r="N4" s="1"/>
      <c r="O4" s="1"/>
      <c r="P4" s="1"/>
      <c r="Q4" s="1"/>
      <c r="R4" s="1"/>
    </row>
    <row r="5" spans="1:18" s="1" customFormat="1" ht="14.25" x14ac:dyDescent="0.45">
      <c r="B5" s="3" t="s">
        <v>111</v>
      </c>
      <c r="C5" s="87"/>
      <c r="D5" s="254" t="s">
        <v>49</v>
      </c>
      <c r="E5" s="254" t="s">
        <v>50</v>
      </c>
      <c r="F5" s="78"/>
      <c r="G5" s="94" t="s">
        <v>53</v>
      </c>
      <c r="I5" s="13"/>
      <c r="J5" s="213"/>
    </row>
    <row r="6" spans="1:18" s="1" customFormat="1" ht="14.25" x14ac:dyDescent="0.45">
      <c r="B6" s="3" t="s">
        <v>198</v>
      </c>
      <c r="D6" s="116">
        <f>C25</f>
        <v>51656</v>
      </c>
      <c r="E6" s="116">
        <f>D29</f>
        <v>183928600</v>
      </c>
      <c r="F6" s="79"/>
      <c r="G6" s="19">
        <f>G29</f>
        <v>2124682</v>
      </c>
      <c r="I6" s="13"/>
      <c r="J6" s="213"/>
      <c r="K6" s="3"/>
    </row>
    <row r="7" spans="1:18" s="1" customFormat="1" ht="16.5" x14ac:dyDescent="0.75">
      <c r="B7" s="3" t="s">
        <v>112</v>
      </c>
      <c r="C7" s="84"/>
      <c r="D7" s="92"/>
      <c r="E7" s="35"/>
      <c r="F7" s="35"/>
      <c r="G7" s="256">
        <f>ExBA!G7</f>
        <v>-173900.02000000002</v>
      </c>
      <c r="I7" s="13"/>
      <c r="J7" s="213"/>
      <c r="K7" s="81"/>
      <c r="L7" s="85"/>
    </row>
    <row r="8" spans="1:18" s="1" customFormat="1" ht="16.5" x14ac:dyDescent="0.75">
      <c r="B8" s="3" t="s">
        <v>113</v>
      </c>
      <c r="C8" s="84"/>
      <c r="D8" s="32"/>
      <c r="E8" s="79"/>
      <c r="F8" s="79"/>
      <c r="G8" s="19">
        <f>G6+G7</f>
        <v>1950781.98</v>
      </c>
      <c r="I8" s="13"/>
      <c r="J8" s="213"/>
      <c r="K8" s="81"/>
      <c r="L8" s="85"/>
    </row>
    <row r="9" spans="1:18" s="1" customFormat="1" ht="16.5" x14ac:dyDescent="0.75">
      <c r="B9" s="3" t="s">
        <v>214</v>
      </c>
      <c r="C9" s="84"/>
      <c r="D9" s="32"/>
      <c r="E9" s="79"/>
      <c r="F9" s="79"/>
      <c r="G9" s="278">
        <f>-'Revenue Requirements'!G10</f>
        <v>-1941153.4720956404</v>
      </c>
      <c r="I9" s="13"/>
      <c r="J9" s="213"/>
      <c r="K9" s="81"/>
      <c r="L9" s="85"/>
    </row>
    <row r="10" spans="1:18" s="1" customFormat="1" ht="16.5" x14ac:dyDescent="0.75">
      <c r="B10" s="3" t="s">
        <v>64</v>
      </c>
      <c r="C10" s="84"/>
      <c r="D10" s="32"/>
      <c r="E10" s="79"/>
      <c r="F10" s="79"/>
      <c r="G10" s="19">
        <f>G8+G9</f>
        <v>9628.5079043596052</v>
      </c>
      <c r="I10" s="13"/>
      <c r="J10" s="213"/>
      <c r="K10" s="81"/>
      <c r="L10" s="85"/>
    </row>
    <row r="11" spans="1:18" s="1" customFormat="1" ht="16.5" x14ac:dyDescent="0.75">
      <c r="B11" s="3"/>
      <c r="C11" s="84"/>
      <c r="D11" s="32"/>
      <c r="E11" s="79"/>
      <c r="F11" s="79"/>
      <c r="G11" s="279">
        <f>-G10/G9</f>
        <v>4.960199202572485E-3</v>
      </c>
      <c r="I11" s="13"/>
      <c r="J11" s="213"/>
      <c r="K11" s="81"/>
      <c r="L11" s="85"/>
    </row>
    <row r="12" spans="1:18" s="1" customFormat="1" ht="16.5" x14ac:dyDescent="0.75">
      <c r="B12" s="3"/>
      <c r="C12" s="84"/>
      <c r="D12" s="32"/>
      <c r="E12" s="79"/>
      <c r="F12" s="79"/>
      <c r="G12" s="39"/>
      <c r="I12" s="13"/>
      <c r="J12" s="220"/>
      <c r="K12" s="81"/>
      <c r="L12" s="85"/>
    </row>
    <row r="13" spans="1:18" s="1" customFormat="1" ht="17.649999999999999" x14ac:dyDescent="0.75">
      <c r="B13" s="316" t="s">
        <v>197</v>
      </c>
      <c r="C13" s="316"/>
      <c r="D13" s="316"/>
      <c r="E13" s="316"/>
      <c r="F13" s="316"/>
      <c r="G13" s="316"/>
      <c r="I13" s="13"/>
      <c r="J13" s="220"/>
      <c r="K13" s="81"/>
      <c r="L13" s="85"/>
    </row>
    <row r="14" spans="1:18" s="1" customFormat="1" ht="14.25" x14ac:dyDescent="0.45">
      <c r="A14" s="109"/>
      <c r="B14" s="3"/>
      <c r="C14" s="84"/>
      <c r="D14" s="274"/>
      <c r="E14" s="86" t="s">
        <v>190</v>
      </c>
      <c r="F14" s="86" t="s">
        <v>191</v>
      </c>
      <c r="G14" s="86" t="s">
        <v>191</v>
      </c>
      <c r="H14" s="226" t="s">
        <v>192</v>
      </c>
    </row>
    <row r="15" spans="1:18" s="1" customFormat="1" ht="14.25" x14ac:dyDescent="0.45">
      <c r="B15" s="90" t="s">
        <v>48</v>
      </c>
      <c r="C15" s="78" t="s">
        <v>49</v>
      </c>
      <c r="D15" s="78" t="s">
        <v>50</v>
      </c>
      <c r="E15" s="250">
        <f>B16</f>
        <v>1000</v>
      </c>
      <c r="F15" s="250">
        <f>B17</f>
        <v>4000</v>
      </c>
      <c r="G15" s="250">
        <f>B18</f>
        <v>95000</v>
      </c>
      <c r="H15" s="251">
        <f>B19</f>
        <v>100000</v>
      </c>
      <c r="I15" s="86" t="s">
        <v>12</v>
      </c>
    </row>
    <row r="16" spans="1:18" s="1" customFormat="1" ht="14.35" customHeight="1" x14ac:dyDescent="0.45">
      <c r="A16" s="86" t="s">
        <v>190</v>
      </c>
      <c r="B16" s="3">
        <f>Rates!D9</f>
        <v>1000</v>
      </c>
      <c r="C16" s="18">
        <f>ExBA!C16</f>
        <v>14298</v>
      </c>
      <c r="D16" s="18">
        <f>ExBA!D16</f>
        <v>3684000</v>
      </c>
      <c r="E16" s="251">
        <f>D16</f>
        <v>3684000</v>
      </c>
      <c r="F16" s="251"/>
      <c r="G16" s="251"/>
      <c r="H16" s="251"/>
      <c r="I16" s="3">
        <f>SUM(E16:H16)</f>
        <v>3684000</v>
      </c>
    </row>
    <row r="17" spans="1:14" s="1" customFormat="1" ht="14.35" customHeight="1" x14ac:dyDescent="0.45">
      <c r="A17" s="86" t="s">
        <v>191</v>
      </c>
      <c r="B17" s="3">
        <f>Rates!D10</f>
        <v>4000</v>
      </c>
      <c r="C17" s="18">
        <f>ExBA!C17</f>
        <v>28081</v>
      </c>
      <c r="D17" s="18">
        <f>ExBA!D17</f>
        <v>77937700</v>
      </c>
      <c r="E17" s="251">
        <f>C17*E15</f>
        <v>28081000</v>
      </c>
      <c r="F17" s="251">
        <f>D17-E17</f>
        <v>49856700</v>
      </c>
      <c r="G17" s="251"/>
      <c r="H17" s="251"/>
      <c r="I17" s="3">
        <f>SUM(E17:H17)</f>
        <v>77937700</v>
      </c>
    </row>
    <row r="18" spans="1:14" s="1" customFormat="1" ht="14.35" customHeight="1" x14ac:dyDescent="0.45">
      <c r="A18" s="86" t="s">
        <v>191</v>
      </c>
      <c r="B18" s="3">
        <f>Rates!D11</f>
        <v>95000</v>
      </c>
      <c r="C18" s="18">
        <f>ExBA!C18</f>
        <v>9243</v>
      </c>
      <c r="D18" s="18">
        <f>ExBA!D18</f>
        <v>84071000</v>
      </c>
      <c r="E18" s="251">
        <f>C18*E15</f>
        <v>9243000</v>
      </c>
      <c r="F18" s="251">
        <f>C18*F15</f>
        <v>36972000</v>
      </c>
      <c r="G18" s="251">
        <f>D18-E18-F18</f>
        <v>37856000</v>
      </c>
      <c r="H18" s="251"/>
      <c r="I18" s="3">
        <f>SUM(E18:H18)</f>
        <v>84071000</v>
      </c>
    </row>
    <row r="19" spans="1:14" s="1" customFormat="1" ht="14.35" customHeight="1" x14ac:dyDescent="0.75">
      <c r="A19" s="226" t="s">
        <v>192</v>
      </c>
      <c r="B19" s="3">
        <f>Rates!D12</f>
        <v>100000</v>
      </c>
      <c r="C19" s="80">
        <f>ExBA!C19</f>
        <v>34</v>
      </c>
      <c r="D19" s="80">
        <f>ExBA!D19</f>
        <v>18235900</v>
      </c>
      <c r="E19" s="35">
        <f>C19*E15</f>
        <v>34000</v>
      </c>
      <c r="F19" s="35">
        <f>C19*F15</f>
        <v>136000</v>
      </c>
      <c r="G19" s="35">
        <f>C19*G15</f>
        <v>3230000</v>
      </c>
      <c r="H19" s="35">
        <f>D19-E19-F19-G19</f>
        <v>14835900</v>
      </c>
      <c r="I19" s="35">
        <f>SUM(E19:H19)</f>
        <v>18235900</v>
      </c>
    </row>
    <row r="20" spans="1:14" s="1" customFormat="1" ht="14.35" customHeight="1" x14ac:dyDescent="0.45">
      <c r="A20" s="86"/>
      <c r="B20" s="3"/>
      <c r="C20" s="18">
        <f t="shared" ref="C20:I20" si="0">SUM(C16:C19)</f>
        <v>51656</v>
      </c>
      <c r="D20" s="3">
        <f t="shared" si="0"/>
        <v>183928600</v>
      </c>
      <c r="E20" s="3">
        <f t="shared" si="0"/>
        <v>41042000</v>
      </c>
      <c r="F20" s="3">
        <f t="shared" si="0"/>
        <v>86964700</v>
      </c>
      <c r="G20" s="3">
        <f t="shared" si="0"/>
        <v>41086000</v>
      </c>
      <c r="H20" s="3">
        <f t="shared" si="0"/>
        <v>14835900</v>
      </c>
      <c r="I20" s="3">
        <f t="shared" si="0"/>
        <v>183928600</v>
      </c>
    </row>
    <row r="21" spans="1:14" s="1" customFormat="1" ht="14.35" customHeight="1" x14ac:dyDescent="0.75">
      <c r="B21" s="3"/>
      <c r="C21" s="84"/>
      <c r="D21" s="32"/>
      <c r="E21" s="79"/>
      <c r="F21" s="79"/>
      <c r="G21" s="39"/>
      <c r="I21" s="13"/>
      <c r="J21" s="220"/>
      <c r="K21" s="81"/>
      <c r="L21" s="85"/>
    </row>
    <row r="22" spans="1:14" s="1" customFormat="1" ht="14.35" customHeight="1" x14ac:dyDescent="0.5">
      <c r="B22" s="316" t="s">
        <v>196</v>
      </c>
      <c r="C22" s="316"/>
      <c r="D22" s="316"/>
      <c r="E22" s="316"/>
      <c r="F22" s="316"/>
      <c r="G22" s="316"/>
      <c r="I22" s="13"/>
      <c r="J22" s="213"/>
      <c r="K22" s="3"/>
      <c r="M22" s="3"/>
      <c r="N22" s="85"/>
    </row>
    <row r="23" spans="1:14" s="1" customFormat="1" ht="14.35" customHeight="1" x14ac:dyDescent="0.45">
      <c r="A23" s="109"/>
      <c r="D23" s="274"/>
      <c r="E23" s="274"/>
      <c r="F23" s="109"/>
      <c r="G23" s="109"/>
      <c r="I23" s="13"/>
      <c r="J23" s="213"/>
      <c r="K23" s="3"/>
      <c r="M23" s="3"/>
      <c r="N23" s="85"/>
    </row>
    <row r="24" spans="1:14" s="1" customFormat="1" ht="14.35" customHeight="1" x14ac:dyDescent="0.45">
      <c r="B24" s="90" t="s">
        <v>48</v>
      </c>
      <c r="C24" s="78" t="s">
        <v>49</v>
      </c>
      <c r="D24" s="78" t="s">
        <v>50</v>
      </c>
      <c r="E24" s="315" t="s">
        <v>52</v>
      </c>
      <c r="F24" s="315"/>
      <c r="G24" s="94" t="s">
        <v>53</v>
      </c>
      <c r="H24" s="16"/>
      <c r="I24" s="13"/>
      <c r="J24" s="213"/>
    </row>
    <row r="25" spans="1:14" s="1" customFormat="1" ht="14.35" customHeight="1" x14ac:dyDescent="0.45">
      <c r="A25" s="86" t="s">
        <v>190</v>
      </c>
      <c r="B25" s="3">
        <f>Rates!D9</f>
        <v>1000</v>
      </c>
      <c r="C25" s="18">
        <f>C20</f>
        <v>51656</v>
      </c>
      <c r="D25" s="18">
        <f>E20</f>
        <v>41042000</v>
      </c>
      <c r="E25" s="227">
        <f>Rates!H9</f>
        <v>20.81</v>
      </c>
      <c r="F25" s="41" t="s">
        <v>110</v>
      </c>
      <c r="G25" s="95">
        <f>ROUND(C25*E25,0)</f>
        <v>1074961</v>
      </c>
      <c r="H25" s="18"/>
      <c r="I25" s="13"/>
      <c r="J25" s="213"/>
    </row>
    <row r="26" spans="1:14" s="1" customFormat="1" ht="14.35" customHeight="1" x14ac:dyDescent="0.45">
      <c r="A26" s="86" t="s">
        <v>191</v>
      </c>
      <c r="B26" s="3">
        <f>Rates!D10</f>
        <v>4000</v>
      </c>
      <c r="C26" s="18"/>
      <c r="D26" s="18">
        <f>F20</f>
        <v>86964700</v>
      </c>
      <c r="E26" s="228">
        <f>Rates!H10</f>
        <v>7.5799999999999999E-3</v>
      </c>
      <c r="F26" s="41" t="s">
        <v>188</v>
      </c>
      <c r="G26" s="95">
        <f>ROUND(D26*E26,0)</f>
        <v>659192</v>
      </c>
      <c r="H26" s="18"/>
      <c r="I26" s="13"/>
      <c r="J26" s="213"/>
    </row>
    <row r="27" spans="1:14" s="1" customFormat="1" ht="14.35" customHeight="1" x14ac:dyDescent="0.45">
      <c r="A27" s="86" t="s">
        <v>191</v>
      </c>
      <c r="B27" s="3">
        <f>Rates!D11</f>
        <v>95000</v>
      </c>
      <c r="C27" s="18"/>
      <c r="D27" s="18">
        <f>G20</f>
        <v>41086000</v>
      </c>
      <c r="E27" s="228">
        <f>Rates!H11</f>
        <v>7.1399999999999996E-3</v>
      </c>
      <c r="F27" s="41" t="s">
        <v>188</v>
      </c>
      <c r="G27" s="95">
        <f t="shared" ref="G27:G28" si="1">ROUND(D27*E27,0)</f>
        <v>293354</v>
      </c>
      <c r="H27" s="18"/>
      <c r="I27" s="13"/>
      <c r="J27" s="213"/>
    </row>
    <row r="28" spans="1:14" s="1" customFormat="1" ht="14.35" customHeight="1" x14ac:dyDescent="0.75">
      <c r="A28" s="226" t="s">
        <v>192</v>
      </c>
      <c r="B28" s="3">
        <f>Rates!D12</f>
        <v>100000</v>
      </c>
      <c r="C28" s="80"/>
      <c r="D28" s="80">
        <f>H20</f>
        <v>14835900</v>
      </c>
      <c r="E28" s="228">
        <f>Rates!H12</f>
        <v>6.5500000000000003E-3</v>
      </c>
      <c r="F28" s="41" t="s">
        <v>188</v>
      </c>
      <c r="G28" s="96">
        <f t="shared" si="1"/>
        <v>97175</v>
      </c>
      <c r="H28" s="80"/>
      <c r="I28" s="13"/>
      <c r="J28" s="213"/>
    </row>
    <row r="29" spans="1:14" s="1" customFormat="1" ht="14.35" customHeight="1" x14ac:dyDescent="0.45">
      <c r="A29" s="86"/>
      <c r="B29" s="3"/>
      <c r="C29" s="18"/>
      <c r="D29" s="248">
        <f>SUM(D25:D28)</f>
        <v>183928600</v>
      </c>
      <c r="E29" s="18"/>
      <c r="F29" s="18"/>
      <c r="G29" s="95">
        <f>SUM(G25:G28)</f>
        <v>2124682</v>
      </c>
      <c r="H29" s="18"/>
      <c r="I29" s="13"/>
      <c r="J29" s="213"/>
    </row>
    <row r="30" spans="1:14" s="1" customFormat="1" ht="14.35" customHeight="1" x14ac:dyDescent="0.45">
      <c r="B30" s="3"/>
      <c r="G30" s="39"/>
      <c r="I30" s="13"/>
      <c r="J30" s="213"/>
    </row>
    <row r="31" spans="1:14" s="1" customFormat="1" ht="14.35" customHeight="1" x14ac:dyDescent="0.45">
      <c r="B31" s="3"/>
      <c r="G31" s="39"/>
      <c r="I31" s="13"/>
      <c r="J31" s="213"/>
    </row>
    <row r="32" spans="1:14" s="1" customFormat="1" ht="14.35" customHeight="1" x14ac:dyDescent="0.45">
      <c r="B32" s="3"/>
      <c r="G32" s="39"/>
      <c r="I32" s="13"/>
      <c r="J32" s="213"/>
    </row>
    <row r="33" spans="2:10" s="1" customFormat="1" ht="14.35" customHeight="1" x14ac:dyDescent="0.45">
      <c r="B33" s="3"/>
      <c r="G33" s="39"/>
      <c r="I33" s="13"/>
      <c r="J33" s="213"/>
    </row>
    <row r="34" spans="2:10" s="1" customFormat="1" ht="14.35" customHeight="1" x14ac:dyDescent="0.45">
      <c r="B34" s="3"/>
      <c r="G34" s="39"/>
      <c r="I34" s="13"/>
      <c r="J34" s="213"/>
    </row>
    <row r="35" spans="2:10" s="1" customFormat="1" ht="14.35" customHeight="1" x14ac:dyDescent="0.45">
      <c r="B35" s="3"/>
      <c r="G35" s="39"/>
      <c r="I35" s="13"/>
      <c r="J35" s="213"/>
    </row>
    <row r="36" spans="2:10" s="1" customFormat="1" ht="14.35" customHeight="1" x14ac:dyDescent="0.45">
      <c r="B36" s="3"/>
      <c r="G36" s="39"/>
      <c r="I36" s="13"/>
      <c r="J36" s="213"/>
    </row>
    <row r="37" spans="2:10" s="1" customFormat="1" ht="14.35" customHeight="1" x14ac:dyDescent="0.45">
      <c r="B37" s="3"/>
      <c r="G37" s="39"/>
      <c r="I37" s="13"/>
      <c r="J37" s="213"/>
    </row>
    <row r="38" spans="2:10" s="1" customFormat="1" ht="14.35" customHeight="1" x14ac:dyDescent="0.45">
      <c r="B38" s="3"/>
      <c r="G38" s="39"/>
      <c r="I38" s="13"/>
      <c r="J38" s="213"/>
    </row>
    <row r="39" spans="2:10" s="1" customFormat="1" ht="14.35" customHeight="1" x14ac:dyDescent="0.45">
      <c r="B39" s="3"/>
      <c r="G39" s="39"/>
      <c r="I39" s="13"/>
      <c r="J39" s="213"/>
    </row>
    <row r="40" spans="2:10" s="1" customFormat="1" ht="14.35" customHeight="1" x14ac:dyDescent="0.45">
      <c r="B40" s="3"/>
      <c r="G40" s="39"/>
      <c r="I40" s="13"/>
      <c r="J40" s="213"/>
    </row>
    <row r="41" spans="2:10" s="1" customFormat="1" ht="14.35" customHeight="1" x14ac:dyDescent="0.45">
      <c r="B41" s="3"/>
      <c r="G41" s="39"/>
      <c r="I41" s="13"/>
      <c r="J41" s="213"/>
    </row>
    <row r="42" spans="2:10" s="1" customFormat="1" ht="14.35" customHeight="1" x14ac:dyDescent="0.45">
      <c r="B42" s="3"/>
      <c r="G42" s="39"/>
      <c r="I42" s="13"/>
      <c r="J42" s="213"/>
    </row>
    <row r="43" spans="2:10" s="1" customFormat="1" ht="14.35" customHeight="1" x14ac:dyDescent="0.45">
      <c r="B43" s="3"/>
      <c r="G43" s="39"/>
      <c r="I43" s="13"/>
      <c r="J43" s="213"/>
    </row>
    <row r="44" spans="2:10" s="1" customFormat="1" ht="14.35" customHeight="1" x14ac:dyDescent="0.45">
      <c r="B44" s="3"/>
      <c r="G44" s="39"/>
      <c r="I44" s="13"/>
      <c r="J44" s="213"/>
    </row>
    <row r="45" spans="2:10" s="1" customFormat="1" ht="14.35" customHeight="1" x14ac:dyDescent="0.45">
      <c r="B45" s="3"/>
      <c r="G45" s="39"/>
      <c r="I45" s="13"/>
      <c r="J45" s="213"/>
    </row>
    <row r="46" spans="2:10" s="1" customFormat="1" ht="14.35" customHeight="1" x14ac:dyDescent="0.45">
      <c r="B46" s="3"/>
      <c r="G46" s="39"/>
      <c r="I46" s="13"/>
      <c r="J46" s="213"/>
    </row>
    <row r="47" spans="2:10" s="1" customFormat="1" ht="14.35" customHeight="1" x14ac:dyDescent="0.45">
      <c r="B47" s="3"/>
      <c r="G47" s="39"/>
      <c r="I47" s="13"/>
      <c r="J47" s="213"/>
    </row>
    <row r="48" spans="2:10" s="1" customFormat="1" ht="14.35" customHeight="1" x14ac:dyDescent="0.45">
      <c r="B48" s="3"/>
      <c r="G48" s="39"/>
      <c r="I48" s="13"/>
      <c r="J48" s="213"/>
    </row>
    <row r="49" spans="2:10" s="1" customFormat="1" ht="14.35" customHeight="1" x14ac:dyDescent="0.45">
      <c r="B49" s="3"/>
      <c r="G49" s="39"/>
      <c r="I49" s="13"/>
      <c r="J49" s="213"/>
    </row>
    <row r="50" spans="2:10" s="1" customFormat="1" ht="14.35" customHeight="1" x14ac:dyDescent="0.45">
      <c r="B50" s="3"/>
      <c r="G50" s="39"/>
      <c r="I50" s="13"/>
      <c r="J50" s="213"/>
    </row>
    <row r="51" spans="2:10" s="1" customFormat="1" ht="14.35" customHeight="1" x14ac:dyDescent="0.45">
      <c r="B51" s="3"/>
      <c r="G51" s="39"/>
      <c r="I51" s="13"/>
      <c r="J51" s="213"/>
    </row>
    <row r="52" spans="2:10" s="1" customFormat="1" ht="14.35" customHeight="1" x14ac:dyDescent="0.45">
      <c r="B52" s="3"/>
      <c r="G52" s="39"/>
      <c r="I52" s="13"/>
      <c r="J52" s="213"/>
    </row>
    <row r="53" spans="2:10" s="1" customFormat="1" ht="14.35" customHeight="1" x14ac:dyDescent="0.45">
      <c r="B53" s="3"/>
      <c r="G53" s="39"/>
      <c r="I53" s="13"/>
      <c r="J53" s="213"/>
    </row>
    <row r="54" spans="2:10" s="1" customFormat="1" ht="14.35" customHeight="1" x14ac:dyDescent="0.45">
      <c r="B54" s="3"/>
      <c r="G54" s="39"/>
      <c r="I54" s="13"/>
      <c r="J54" s="213"/>
    </row>
    <row r="55" spans="2:10" s="1" customFormat="1" ht="14.35" customHeight="1" x14ac:dyDescent="0.45">
      <c r="B55" s="3"/>
      <c r="G55" s="39"/>
      <c r="I55" s="13"/>
      <c r="J55" s="213"/>
    </row>
    <row r="56" spans="2:10" s="1" customFormat="1" ht="14.35" customHeight="1" x14ac:dyDescent="0.45">
      <c r="B56" s="3"/>
      <c r="G56" s="39"/>
      <c r="I56" s="13"/>
      <c r="J56" s="213"/>
    </row>
    <row r="57" spans="2:10" s="1" customFormat="1" ht="14.35" customHeight="1" x14ac:dyDescent="0.45">
      <c r="B57" s="3"/>
      <c r="G57" s="39"/>
      <c r="I57" s="13"/>
      <c r="J57" s="213"/>
    </row>
    <row r="58" spans="2:10" s="1" customFormat="1" ht="14.35" customHeight="1" x14ac:dyDescent="0.45">
      <c r="B58" s="3"/>
      <c r="G58" s="39"/>
      <c r="I58" s="13"/>
      <c r="J58" s="213"/>
    </row>
    <row r="59" spans="2:10" s="1" customFormat="1" ht="14.35" customHeight="1" x14ac:dyDescent="0.45">
      <c r="B59" s="3"/>
      <c r="G59" s="39"/>
      <c r="I59" s="13"/>
      <c r="J59" s="213"/>
    </row>
    <row r="60" spans="2:10" s="1" customFormat="1" ht="14.35" customHeight="1" x14ac:dyDescent="0.45">
      <c r="B60" s="3"/>
      <c r="G60" s="39"/>
      <c r="I60" s="13"/>
      <c r="J60" s="213"/>
    </row>
    <row r="61" spans="2:10" s="1" customFormat="1" ht="14.35" customHeight="1" x14ac:dyDescent="0.45">
      <c r="B61" s="3"/>
      <c r="G61" s="39"/>
      <c r="I61" s="13"/>
      <c r="J61" s="213"/>
    </row>
    <row r="62" spans="2:10" s="1" customFormat="1" ht="14.35" customHeight="1" x14ac:dyDescent="0.45">
      <c r="B62" s="3"/>
      <c r="G62" s="39"/>
      <c r="I62" s="13"/>
      <c r="J62" s="213"/>
    </row>
    <row r="63" spans="2:10" s="1" customFormat="1" ht="14.35" customHeight="1" x14ac:dyDescent="0.45">
      <c r="B63" s="3"/>
      <c r="G63" s="39"/>
      <c r="I63" s="13"/>
      <c r="J63" s="213"/>
    </row>
    <row r="64" spans="2:10" s="1" customFormat="1" ht="14.35" customHeight="1" x14ac:dyDescent="0.45">
      <c r="B64" s="3"/>
      <c r="G64" s="39"/>
      <c r="I64" s="13"/>
      <c r="J64" s="213"/>
    </row>
    <row r="65" spans="2:10" s="1" customFormat="1" ht="14.35" customHeight="1" x14ac:dyDescent="0.45">
      <c r="B65" s="3"/>
      <c r="G65" s="39"/>
      <c r="I65" s="13"/>
      <c r="J65" s="213"/>
    </row>
    <row r="66" spans="2:10" s="1" customFormat="1" ht="14.35" customHeight="1" x14ac:dyDescent="0.45">
      <c r="B66" s="3"/>
      <c r="G66" s="39"/>
      <c r="I66" s="13"/>
      <c r="J66" s="213"/>
    </row>
    <row r="67" spans="2:10" s="1" customFormat="1" ht="14.35" customHeight="1" x14ac:dyDescent="0.45">
      <c r="B67" s="3"/>
      <c r="G67" s="39"/>
      <c r="I67" s="13"/>
      <c r="J67" s="213"/>
    </row>
    <row r="68" spans="2:10" s="1" customFormat="1" ht="14.35" customHeight="1" x14ac:dyDescent="0.45">
      <c r="B68" s="3"/>
      <c r="G68" s="39"/>
      <c r="I68" s="13"/>
      <c r="J68" s="213"/>
    </row>
    <row r="69" spans="2:10" s="1" customFormat="1" ht="14.35" customHeight="1" x14ac:dyDescent="0.45">
      <c r="B69" s="3"/>
      <c r="G69" s="39"/>
      <c r="I69" s="13"/>
      <c r="J69" s="213"/>
    </row>
    <row r="70" spans="2:10" s="1" customFormat="1" ht="14.35" customHeight="1" x14ac:dyDescent="0.45">
      <c r="B70" s="3"/>
      <c r="G70" s="39"/>
      <c r="I70" s="13"/>
      <c r="J70" s="213"/>
    </row>
    <row r="71" spans="2:10" s="1" customFormat="1" ht="14.35" customHeight="1" x14ac:dyDescent="0.45">
      <c r="B71" s="3"/>
      <c r="G71" s="39"/>
      <c r="I71" s="13"/>
      <c r="J71" s="213"/>
    </row>
    <row r="72" spans="2:10" s="1" customFormat="1" ht="14.35" customHeight="1" x14ac:dyDescent="0.45">
      <c r="B72" s="3"/>
      <c r="G72" s="39"/>
      <c r="I72" s="13"/>
      <c r="J72" s="213"/>
    </row>
    <row r="73" spans="2:10" s="1" customFormat="1" ht="14.35" customHeight="1" x14ac:dyDescent="0.45">
      <c r="B73" s="3"/>
      <c r="G73" s="39"/>
      <c r="I73" s="13"/>
      <c r="J73" s="213"/>
    </row>
    <row r="74" spans="2:10" s="1" customFormat="1" ht="14.35" customHeight="1" x14ac:dyDescent="0.45">
      <c r="B74" s="3"/>
      <c r="G74" s="39"/>
      <c r="I74" s="13"/>
      <c r="J74" s="213"/>
    </row>
    <row r="75" spans="2:10" s="1" customFormat="1" ht="14.35" customHeight="1" x14ac:dyDescent="0.45">
      <c r="B75" s="3"/>
      <c r="G75" s="39"/>
      <c r="I75" s="13"/>
      <c r="J75" s="213"/>
    </row>
    <row r="76" spans="2:10" s="1" customFormat="1" ht="14.35" customHeight="1" x14ac:dyDescent="0.45">
      <c r="B76" s="3"/>
      <c r="G76" s="39"/>
      <c r="I76" s="13"/>
      <c r="J76" s="213"/>
    </row>
    <row r="77" spans="2:10" s="1" customFormat="1" ht="14.35" customHeight="1" x14ac:dyDescent="0.45">
      <c r="B77" s="3"/>
      <c r="G77" s="39"/>
      <c r="I77" s="13"/>
      <c r="J77" s="213"/>
    </row>
    <row r="78" spans="2:10" s="1" customFormat="1" ht="14.35" customHeight="1" x14ac:dyDescent="0.45">
      <c r="B78" s="3"/>
      <c r="G78" s="39"/>
      <c r="I78" s="13"/>
      <c r="J78" s="213"/>
    </row>
    <row r="79" spans="2:10" s="1" customFormat="1" ht="14.35" customHeight="1" x14ac:dyDescent="0.45">
      <c r="B79" s="3"/>
      <c r="G79" s="39"/>
      <c r="I79" s="13"/>
      <c r="J79" s="213"/>
    </row>
    <row r="80" spans="2:10" s="1" customFormat="1" ht="14.35" customHeight="1" x14ac:dyDescent="0.45">
      <c r="B80" s="3"/>
      <c r="G80" s="39"/>
      <c r="I80" s="13"/>
      <c r="J80" s="213"/>
    </row>
    <row r="81" spans="2:10" s="1" customFormat="1" ht="14.35" customHeight="1" x14ac:dyDescent="0.45">
      <c r="B81" s="3"/>
      <c r="G81" s="39"/>
      <c r="I81" s="13"/>
      <c r="J81" s="213"/>
    </row>
    <row r="82" spans="2:10" s="1" customFormat="1" ht="14.35" customHeight="1" x14ac:dyDescent="0.45">
      <c r="B82" s="3"/>
      <c r="G82" s="39"/>
      <c r="I82" s="13"/>
      <c r="J82" s="213"/>
    </row>
    <row r="83" spans="2:10" s="1" customFormat="1" ht="14.25" x14ac:dyDescent="0.45">
      <c r="B83" s="3"/>
      <c r="G83" s="39"/>
      <c r="I83" s="13"/>
      <c r="J83" s="213"/>
    </row>
    <row r="84" spans="2:10" s="1" customFormat="1" ht="14.25" x14ac:dyDescent="0.45">
      <c r="B84" s="3"/>
      <c r="G84" s="39"/>
      <c r="I84" s="13"/>
      <c r="J84" s="213"/>
    </row>
    <row r="85" spans="2:10" s="1" customFormat="1" ht="14.25" x14ac:dyDescent="0.45">
      <c r="B85" s="3"/>
      <c r="G85" s="39"/>
      <c r="I85" s="13"/>
      <c r="J85" s="213"/>
    </row>
    <row r="86" spans="2:10" s="1" customFormat="1" ht="14.25" x14ac:dyDescent="0.45">
      <c r="B86" s="3"/>
      <c r="G86" s="39"/>
      <c r="I86" s="13"/>
      <c r="J86" s="213"/>
    </row>
    <row r="87" spans="2:10" s="1" customFormat="1" ht="14.25" x14ac:dyDescent="0.45">
      <c r="B87" s="3"/>
      <c r="G87" s="39"/>
      <c r="I87" s="13"/>
      <c r="J87" s="213"/>
    </row>
    <row r="88" spans="2:10" s="1" customFormat="1" ht="14.25" x14ac:dyDescent="0.45">
      <c r="B88" s="3"/>
      <c r="G88" s="39"/>
      <c r="I88" s="13"/>
      <c r="J88" s="213"/>
    </row>
    <row r="89" spans="2:10" s="1" customFormat="1" ht="14.25" x14ac:dyDescent="0.45">
      <c r="B89" s="3"/>
      <c r="G89" s="39"/>
      <c r="I89" s="13"/>
      <c r="J89" s="213"/>
    </row>
    <row r="90" spans="2:10" s="1" customFormat="1" ht="14.25" x14ac:dyDescent="0.45">
      <c r="B90" s="3"/>
      <c r="G90" s="39"/>
      <c r="I90" s="13"/>
      <c r="J90" s="213"/>
    </row>
    <row r="91" spans="2:10" s="1" customFormat="1" ht="14.25" x14ac:dyDescent="0.45">
      <c r="B91" s="3"/>
      <c r="G91" s="39"/>
      <c r="I91" s="13"/>
      <c r="J91" s="213"/>
    </row>
    <row r="92" spans="2:10" s="1" customFormat="1" ht="14.25" x14ac:dyDescent="0.45">
      <c r="B92" s="3"/>
      <c r="G92" s="39"/>
      <c r="I92" s="13"/>
      <c r="J92" s="213"/>
    </row>
    <row r="93" spans="2:10" s="1" customFormat="1" ht="14.25" x14ac:dyDescent="0.45">
      <c r="B93" s="3"/>
      <c r="G93" s="39"/>
      <c r="I93" s="13"/>
      <c r="J93" s="213"/>
    </row>
    <row r="94" spans="2:10" s="1" customFormat="1" ht="14.25" x14ac:dyDescent="0.45">
      <c r="B94" s="3"/>
      <c r="G94" s="39"/>
      <c r="I94" s="13"/>
      <c r="J94" s="213"/>
    </row>
    <row r="95" spans="2:10" s="1" customFormat="1" ht="14.25" x14ac:dyDescent="0.45">
      <c r="B95" s="3"/>
      <c r="G95" s="39"/>
      <c r="I95" s="13"/>
      <c r="J95" s="213"/>
    </row>
    <row r="96" spans="2:10" s="1" customFormat="1" ht="14.25" x14ac:dyDescent="0.45">
      <c r="B96" s="3"/>
      <c r="G96" s="39"/>
      <c r="I96" s="13"/>
      <c r="J96" s="213"/>
    </row>
    <row r="97" spans="2:10" s="1" customFormat="1" ht="14.25" x14ac:dyDescent="0.45">
      <c r="B97" s="3"/>
      <c r="G97" s="39"/>
      <c r="I97" s="13"/>
      <c r="J97" s="213"/>
    </row>
    <row r="98" spans="2:10" s="1" customFormat="1" ht="14.25" x14ac:dyDescent="0.45">
      <c r="B98" s="3"/>
      <c r="G98" s="39"/>
      <c r="I98" s="13"/>
      <c r="J98" s="213"/>
    </row>
    <row r="99" spans="2:10" s="1" customFormat="1" ht="14.25" x14ac:dyDescent="0.45">
      <c r="B99" s="3"/>
      <c r="G99" s="39"/>
      <c r="I99" s="13"/>
      <c r="J99" s="213"/>
    </row>
    <row r="100" spans="2:10" s="1" customFormat="1" ht="14.25" x14ac:dyDescent="0.45">
      <c r="B100" s="3"/>
      <c r="G100" s="39"/>
      <c r="I100" s="13"/>
      <c r="J100" s="213"/>
    </row>
    <row r="101" spans="2:10" s="1" customFormat="1" ht="14.25" x14ac:dyDescent="0.45">
      <c r="B101" s="3"/>
      <c r="G101" s="39"/>
      <c r="I101" s="13"/>
      <c r="J101" s="213"/>
    </row>
    <row r="102" spans="2:10" s="1" customFormat="1" ht="14.25" x14ac:dyDescent="0.45">
      <c r="B102" s="3"/>
      <c r="G102" s="39"/>
      <c r="I102" s="13"/>
      <c r="J102" s="213"/>
    </row>
    <row r="103" spans="2:10" s="1" customFormat="1" ht="14.25" x14ac:dyDescent="0.45">
      <c r="B103" s="3"/>
      <c r="G103" s="39"/>
      <c r="I103" s="13"/>
      <c r="J103" s="213"/>
    </row>
    <row r="104" spans="2:10" s="1" customFormat="1" ht="14.25" x14ac:dyDescent="0.45">
      <c r="B104" s="3"/>
      <c r="G104" s="39"/>
      <c r="I104" s="13"/>
      <c r="J104" s="213"/>
    </row>
    <row r="105" spans="2:10" s="1" customFormat="1" ht="14.25" x14ac:dyDescent="0.45">
      <c r="B105" s="3"/>
      <c r="G105" s="39"/>
      <c r="I105" s="13"/>
      <c r="J105" s="213"/>
    </row>
    <row r="106" spans="2:10" s="1" customFormat="1" ht="14.25" x14ac:dyDescent="0.45">
      <c r="B106" s="3"/>
      <c r="G106" s="39"/>
      <c r="I106" s="13"/>
      <c r="J106" s="213"/>
    </row>
    <row r="107" spans="2:10" s="1" customFormat="1" ht="14.25" x14ac:dyDescent="0.45">
      <c r="B107" s="3"/>
      <c r="G107" s="39"/>
      <c r="I107" s="13"/>
      <c r="J107" s="213"/>
    </row>
    <row r="108" spans="2:10" s="1" customFormat="1" ht="14.25" x14ac:dyDescent="0.45">
      <c r="B108" s="3"/>
      <c r="G108" s="39"/>
      <c r="I108" s="13"/>
      <c r="J108" s="213"/>
    </row>
    <row r="109" spans="2:10" s="1" customFormat="1" ht="14.25" x14ac:dyDescent="0.45">
      <c r="B109" s="3"/>
      <c r="G109" s="39"/>
      <c r="I109" s="13"/>
      <c r="J109" s="213"/>
    </row>
    <row r="110" spans="2:10" s="1" customFormat="1" ht="14.25" x14ac:dyDescent="0.45">
      <c r="B110" s="3"/>
      <c r="G110" s="39"/>
      <c r="I110" s="13"/>
      <c r="J110" s="213"/>
    </row>
    <row r="111" spans="2:10" s="1" customFormat="1" ht="14.25" x14ac:dyDescent="0.45">
      <c r="B111" s="3"/>
      <c r="G111" s="39"/>
      <c r="I111" s="13"/>
      <c r="J111" s="213"/>
    </row>
    <row r="112" spans="2:10" s="1" customFormat="1" ht="14.25" x14ac:dyDescent="0.45">
      <c r="B112" s="3"/>
      <c r="G112" s="39"/>
      <c r="I112" s="13"/>
      <c r="J112" s="213"/>
    </row>
    <row r="113" spans="2:10" s="1" customFormat="1" ht="14.25" x14ac:dyDescent="0.45">
      <c r="B113" s="3"/>
      <c r="G113" s="39"/>
      <c r="I113" s="13"/>
      <c r="J113" s="213"/>
    </row>
    <row r="114" spans="2:10" s="1" customFormat="1" ht="14.25" x14ac:dyDescent="0.45">
      <c r="B114" s="3"/>
      <c r="G114" s="39"/>
      <c r="I114" s="13"/>
      <c r="J114" s="213"/>
    </row>
    <row r="115" spans="2:10" s="1" customFormat="1" ht="14.25" x14ac:dyDescent="0.45">
      <c r="B115" s="3"/>
      <c r="G115" s="39"/>
      <c r="I115" s="13"/>
      <c r="J115" s="213"/>
    </row>
    <row r="116" spans="2:10" s="1" customFormat="1" ht="14.25" x14ac:dyDescent="0.45">
      <c r="B116" s="3"/>
      <c r="G116" s="39"/>
      <c r="I116" s="13"/>
      <c r="J116" s="213"/>
    </row>
    <row r="117" spans="2:10" s="1" customFormat="1" ht="14.25" x14ac:dyDescent="0.45">
      <c r="B117" s="3"/>
      <c r="G117" s="39"/>
      <c r="I117" s="13"/>
      <c r="J117" s="213"/>
    </row>
    <row r="118" spans="2:10" s="1" customFormat="1" ht="14.25" x14ac:dyDescent="0.45">
      <c r="B118" s="3"/>
      <c r="G118" s="39"/>
      <c r="I118" s="13"/>
      <c r="J118" s="213"/>
    </row>
    <row r="119" spans="2:10" s="1" customFormat="1" ht="14.25" x14ac:dyDescent="0.45">
      <c r="B119" s="3"/>
      <c r="G119" s="39"/>
      <c r="I119" s="13"/>
      <c r="J119" s="213"/>
    </row>
    <row r="120" spans="2:10" s="1" customFormat="1" ht="14.25" x14ac:dyDescent="0.45">
      <c r="B120" s="3"/>
      <c r="G120" s="39"/>
      <c r="I120" s="13"/>
      <c r="J120" s="213"/>
    </row>
    <row r="121" spans="2:10" s="1" customFormat="1" ht="14.25" x14ac:dyDescent="0.45">
      <c r="B121" s="3"/>
      <c r="G121" s="39"/>
      <c r="I121" s="13"/>
      <c r="J121" s="213"/>
    </row>
    <row r="122" spans="2:10" s="1" customFormat="1" ht="14.25" x14ac:dyDescent="0.45">
      <c r="B122" s="3"/>
      <c r="G122" s="39"/>
      <c r="I122" s="13"/>
      <c r="J122" s="213"/>
    </row>
    <row r="123" spans="2:10" s="1" customFormat="1" ht="14.25" x14ac:dyDescent="0.45">
      <c r="B123" s="3"/>
      <c r="G123" s="39"/>
      <c r="I123" s="13"/>
      <c r="J123" s="213"/>
    </row>
    <row r="124" spans="2:10" s="1" customFormat="1" ht="14.25" x14ac:dyDescent="0.45">
      <c r="B124" s="3"/>
      <c r="G124" s="39"/>
      <c r="I124" s="13"/>
      <c r="J124" s="213"/>
    </row>
    <row r="125" spans="2:10" s="1" customFormat="1" ht="14.25" x14ac:dyDescent="0.45">
      <c r="B125" s="3"/>
      <c r="G125" s="39"/>
      <c r="I125" s="13"/>
      <c r="J125" s="213"/>
    </row>
    <row r="126" spans="2:10" s="1" customFormat="1" ht="14.25" x14ac:dyDescent="0.45">
      <c r="B126" s="3"/>
      <c r="G126" s="39"/>
      <c r="I126" s="13"/>
      <c r="J126" s="213"/>
    </row>
    <row r="127" spans="2:10" s="1" customFormat="1" ht="14.25" x14ac:dyDescent="0.45">
      <c r="B127" s="3"/>
      <c r="G127" s="39"/>
      <c r="I127" s="13"/>
      <c r="J127" s="213"/>
    </row>
    <row r="128" spans="2:10" s="1" customFormat="1" ht="14.25" x14ac:dyDescent="0.45">
      <c r="B128" s="3"/>
      <c r="G128" s="39"/>
      <c r="I128" s="13"/>
      <c r="J128" s="213"/>
    </row>
    <row r="129" spans="2:10" s="1" customFormat="1" ht="14.25" x14ac:dyDescent="0.45">
      <c r="B129" s="3"/>
      <c r="G129" s="39"/>
      <c r="I129" s="13"/>
      <c r="J129" s="213"/>
    </row>
    <row r="130" spans="2:10" s="1" customFormat="1" ht="14.25" x14ac:dyDescent="0.45">
      <c r="B130" s="3"/>
      <c r="G130" s="39"/>
      <c r="I130" s="13"/>
      <c r="J130" s="213"/>
    </row>
    <row r="131" spans="2:10" s="1" customFormat="1" ht="14.25" x14ac:dyDescent="0.45">
      <c r="B131" s="3"/>
      <c r="G131" s="39"/>
      <c r="I131" s="13"/>
      <c r="J131" s="213"/>
    </row>
    <row r="132" spans="2:10" s="1" customFormat="1" ht="14.25" x14ac:dyDescent="0.45">
      <c r="B132" s="3"/>
      <c r="G132" s="39"/>
      <c r="I132" s="13"/>
      <c r="J132" s="213"/>
    </row>
    <row r="133" spans="2:10" s="1" customFormat="1" ht="14.25" x14ac:dyDescent="0.45">
      <c r="B133" s="3"/>
      <c r="G133" s="39"/>
      <c r="I133" s="13"/>
      <c r="J133" s="213"/>
    </row>
    <row r="134" spans="2:10" s="1" customFormat="1" ht="14.25" x14ac:dyDescent="0.45">
      <c r="B134" s="3"/>
      <c r="G134" s="39"/>
      <c r="I134" s="13"/>
      <c r="J134" s="213"/>
    </row>
    <row r="135" spans="2:10" s="1" customFormat="1" ht="14.25" x14ac:dyDescent="0.45">
      <c r="B135" s="3"/>
      <c r="G135" s="39"/>
      <c r="I135" s="13"/>
      <c r="J135" s="213"/>
    </row>
    <row r="136" spans="2:10" s="1" customFormat="1" ht="14.25" x14ac:dyDescent="0.45">
      <c r="B136" s="3"/>
      <c r="G136" s="39"/>
      <c r="I136" s="13"/>
      <c r="J136" s="213"/>
    </row>
    <row r="137" spans="2:10" s="1" customFormat="1" ht="14.25" x14ac:dyDescent="0.45">
      <c r="B137" s="3"/>
      <c r="G137" s="39"/>
      <c r="I137" s="13"/>
      <c r="J137" s="213"/>
    </row>
    <row r="138" spans="2:10" s="1" customFormat="1" ht="14.25" x14ac:dyDescent="0.45">
      <c r="B138" s="3"/>
      <c r="G138" s="39"/>
      <c r="I138" s="13"/>
      <c r="J138" s="213"/>
    </row>
    <row r="139" spans="2:10" s="1" customFormat="1" ht="14.25" x14ac:dyDescent="0.45">
      <c r="B139" s="3"/>
      <c r="G139" s="39"/>
      <c r="I139" s="13"/>
      <c r="J139" s="213"/>
    </row>
    <row r="140" spans="2:10" s="1" customFormat="1" ht="14.25" x14ac:dyDescent="0.45">
      <c r="B140" s="3"/>
      <c r="G140" s="39"/>
      <c r="I140" s="13"/>
      <c r="J140" s="213"/>
    </row>
    <row r="141" spans="2:10" s="1" customFormat="1" ht="14.25" x14ac:dyDescent="0.45">
      <c r="B141" s="3"/>
      <c r="G141" s="39"/>
      <c r="I141" s="13"/>
      <c r="J141" s="213"/>
    </row>
    <row r="142" spans="2:10" s="1" customFormat="1" ht="14.25" x14ac:dyDescent="0.45">
      <c r="B142" s="3"/>
      <c r="G142" s="39"/>
      <c r="I142" s="13"/>
      <c r="J142" s="213"/>
    </row>
    <row r="143" spans="2:10" s="1" customFormat="1" ht="14.25" x14ac:dyDescent="0.45">
      <c r="B143" s="3"/>
      <c r="G143" s="39"/>
      <c r="I143" s="13"/>
      <c r="J143" s="213"/>
    </row>
    <row r="144" spans="2:10" s="1" customFormat="1" ht="14.25" x14ac:dyDescent="0.45">
      <c r="B144" s="3"/>
      <c r="G144" s="39"/>
      <c r="I144" s="13"/>
      <c r="J144" s="213"/>
    </row>
    <row r="145" spans="2:10" s="1" customFormat="1" ht="14.25" x14ac:dyDescent="0.45">
      <c r="B145" s="3"/>
      <c r="G145" s="39"/>
      <c r="I145" s="13"/>
      <c r="J145" s="213"/>
    </row>
    <row r="146" spans="2:10" s="1" customFormat="1" ht="14.25" x14ac:dyDescent="0.45">
      <c r="B146" s="3"/>
      <c r="G146" s="39"/>
      <c r="I146" s="13"/>
      <c r="J146" s="213"/>
    </row>
    <row r="147" spans="2:10" s="1" customFormat="1" ht="14.25" x14ac:dyDescent="0.45">
      <c r="B147" s="3"/>
      <c r="G147" s="39"/>
      <c r="I147" s="13"/>
      <c r="J147" s="213"/>
    </row>
    <row r="148" spans="2:10" s="1" customFormat="1" ht="14.25" x14ac:dyDescent="0.45">
      <c r="B148" s="3"/>
      <c r="G148" s="39"/>
      <c r="I148" s="13"/>
      <c r="J148" s="213"/>
    </row>
    <row r="149" spans="2:10" s="1" customFormat="1" ht="14.25" x14ac:dyDescent="0.45">
      <c r="B149" s="3"/>
      <c r="G149" s="39"/>
      <c r="I149" s="13"/>
      <c r="J149" s="213"/>
    </row>
    <row r="150" spans="2:10" s="1" customFormat="1" ht="14.25" x14ac:dyDescent="0.45">
      <c r="B150" s="3"/>
      <c r="G150" s="39"/>
      <c r="I150" s="13"/>
      <c r="J150" s="213"/>
    </row>
    <row r="151" spans="2:10" s="1" customFormat="1" ht="14.25" x14ac:dyDescent="0.45">
      <c r="B151" s="3"/>
      <c r="G151" s="39"/>
      <c r="I151" s="13"/>
      <c r="J151" s="213"/>
    </row>
    <row r="152" spans="2:10" s="1" customFormat="1" ht="14.25" x14ac:dyDescent="0.45">
      <c r="B152" s="3"/>
      <c r="G152" s="39"/>
      <c r="I152" s="13"/>
      <c r="J152" s="213"/>
    </row>
    <row r="153" spans="2:10" s="1" customFormat="1" ht="14.25" x14ac:dyDescent="0.45">
      <c r="B153" s="3"/>
      <c r="G153" s="39"/>
      <c r="I153" s="13"/>
      <c r="J153" s="213"/>
    </row>
    <row r="154" spans="2:10" s="1" customFormat="1" ht="14.25" x14ac:dyDescent="0.45">
      <c r="B154" s="3"/>
      <c r="G154" s="39"/>
      <c r="I154" s="13"/>
      <c r="J154" s="213"/>
    </row>
    <row r="155" spans="2:10" s="1" customFormat="1" ht="14.25" x14ac:dyDescent="0.45">
      <c r="B155" s="3"/>
      <c r="G155" s="39"/>
      <c r="I155" s="13"/>
      <c r="J155" s="213"/>
    </row>
    <row r="156" spans="2:10" s="1" customFormat="1" ht="14.25" x14ac:dyDescent="0.45">
      <c r="B156" s="3"/>
      <c r="G156" s="39"/>
      <c r="I156" s="13"/>
      <c r="J156" s="213"/>
    </row>
    <row r="157" spans="2:10" s="1" customFormat="1" ht="14.25" x14ac:dyDescent="0.45">
      <c r="B157" s="3"/>
      <c r="G157" s="39"/>
      <c r="I157" s="13"/>
      <c r="J157" s="213"/>
    </row>
    <row r="158" spans="2:10" s="1" customFormat="1" ht="14.25" x14ac:dyDescent="0.45">
      <c r="B158" s="3"/>
      <c r="G158" s="39"/>
      <c r="I158" s="13"/>
      <c r="J158" s="213"/>
    </row>
    <row r="159" spans="2:10" s="1" customFormat="1" ht="14.25" x14ac:dyDescent="0.45">
      <c r="B159" s="3"/>
      <c r="G159" s="39"/>
      <c r="I159" s="13"/>
      <c r="J159" s="213"/>
    </row>
    <row r="160" spans="2:10" s="1" customFormat="1" ht="14.25" x14ac:dyDescent="0.45">
      <c r="B160" s="3"/>
      <c r="G160" s="39"/>
      <c r="I160" s="13"/>
      <c r="J160" s="213"/>
    </row>
    <row r="161" spans="2:10" s="1" customFormat="1" ht="14.25" x14ac:dyDescent="0.45">
      <c r="B161" s="3"/>
      <c r="G161" s="39"/>
      <c r="I161" s="13"/>
      <c r="J161" s="213"/>
    </row>
    <row r="162" spans="2:10" s="1" customFormat="1" ht="14.25" x14ac:dyDescent="0.45">
      <c r="B162" s="3"/>
      <c r="G162" s="39"/>
      <c r="I162" s="13"/>
      <c r="J162" s="213"/>
    </row>
    <row r="163" spans="2:10" s="1" customFormat="1" ht="14.25" x14ac:dyDescent="0.45">
      <c r="B163" s="3"/>
      <c r="G163" s="39"/>
      <c r="I163" s="13"/>
      <c r="J163" s="213"/>
    </row>
    <row r="164" spans="2:10" s="1" customFormat="1" ht="14.25" x14ac:dyDescent="0.45">
      <c r="B164" s="3"/>
      <c r="G164" s="39"/>
      <c r="I164" s="13"/>
      <c r="J164" s="213"/>
    </row>
    <row r="165" spans="2:10" s="1" customFormat="1" ht="14.25" x14ac:dyDescent="0.45">
      <c r="B165" s="3"/>
      <c r="G165" s="39"/>
      <c r="I165" s="13"/>
      <c r="J165" s="213"/>
    </row>
    <row r="166" spans="2:10" s="1" customFormat="1" ht="14.25" x14ac:dyDescent="0.45">
      <c r="B166" s="3"/>
      <c r="G166" s="39"/>
      <c r="I166" s="13"/>
      <c r="J166" s="213"/>
    </row>
    <row r="167" spans="2:10" s="1" customFormat="1" ht="14.25" x14ac:dyDescent="0.45">
      <c r="B167" s="3"/>
      <c r="G167" s="39"/>
      <c r="I167" s="13"/>
      <c r="J167" s="213"/>
    </row>
    <row r="168" spans="2:10" s="1" customFormat="1" ht="14.25" x14ac:dyDescent="0.45">
      <c r="B168" s="3"/>
      <c r="G168" s="39"/>
      <c r="I168" s="13"/>
      <c r="J168" s="213"/>
    </row>
    <row r="169" spans="2:10" s="1" customFormat="1" ht="14.25" x14ac:dyDescent="0.45">
      <c r="B169" s="3"/>
      <c r="G169" s="39"/>
      <c r="I169" s="13"/>
      <c r="J169" s="213"/>
    </row>
    <row r="170" spans="2:10" s="1" customFormat="1" ht="14.25" x14ac:dyDescent="0.45">
      <c r="B170" s="3"/>
      <c r="G170" s="39"/>
      <c r="I170" s="13"/>
      <c r="J170" s="213"/>
    </row>
    <row r="171" spans="2:10" s="1" customFormat="1" ht="14.25" x14ac:dyDescent="0.45">
      <c r="B171" s="3"/>
      <c r="G171" s="39"/>
      <c r="I171" s="13"/>
      <c r="J171" s="213"/>
    </row>
    <row r="172" spans="2:10" s="1" customFormat="1" ht="14.25" x14ac:dyDescent="0.45">
      <c r="B172" s="3"/>
      <c r="G172" s="39"/>
      <c r="I172" s="13"/>
      <c r="J172" s="213"/>
    </row>
    <row r="173" spans="2:10" s="1" customFormat="1" ht="14.25" x14ac:dyDescent="0.45">
      <c r="B173" s="3"/>
      <c r="G173" s="39"/>
      <c r="I173" s="13"/>
      <c r="J173" s="213"/>
    </row>
    <row r="174" spans="2:10" s="1" customFormat="1" ht="14.25" x14ac:dyDescent="0.45">
      <c r="B174" s="3"/>
      <c r="G174" s="39"/>
      <c r="I174" s="13"/>
      <c r="J174" s="213"/>
    </row>
    <row r="175" spans="2:10" s="1" customFormat="1" ht="14.25" x14ac:dyDescent="0.45">
      <c r="B175" s="3"/>
      <c r="G175" s="39"/>
      <c r="I175" s="13"/>
      <c r="J175" s="213"/>
    </row>
    <row r="176" spans="2:10" s="1" customFormat="1" ht="14.25" x14ac:dyDescent="0.45">
      <c r="B176" s="3"/>
      <c r="G176" s="39"/>
      <c r="I176" s="13"/>
      <c r="J176" s="213"/>
    </row>
    <row r="177" spans="2:10" s="1" customFormat="1" ht="14.25" x14ac:dyDescent="0.45">
      <c r="B177" s="3"/>
      <c r="G177" s="39"/>
      <c r="I177" s="13"/>
      <c r="J177" s="213"/>
    </row>
    <row r="178" spans="2:10" s="1" customFormat="1" ht="14.25" x14ac:dyDescent="0.45">
      <c r="B178" s="3"/>
      <c r="G178" s="39"/>
      <c r="I178" s="13"/>
      <c r="J178" s="213"/>
    </row>
    <row r="179" spans="2:10" s="1" customFormat="1" ht="14.25" x14ac:dyDescent="0.45">
      <c r="B179" s="3"/>
      <c r="G179" s="39"/>
      <c r="I179" s="13"/>
      <c r="J179" s="213"/>
    </row>
    <row r="180" spans="2:10" s="1" customFormat="1" ht="14.25" x14ac:dyDescent="0.45">
      <c r="B180" s="3"/>
      <c r="G180" s="39"/>
      <c r="I180" s="13"/>
      <c r="J180" s="213"/>
    </row>
    <row r="181" spans="2:10" s="1" customFormat="1" ht="14.25" x14ac:dyDescent="0.45">
      <c r="B181" s="3"/>
      <c r="G181" s="39"/>
      <c r="I181" s="13"/>
      <c r="J181" s="213"/>
    </row>
    <row r="182" spans="2:10" s="1" customFormat="1" ht="14.25" x14ac:dyDescent="0.45">
      <c r="B182" s="3"/>
      <c r="G182" s="39"/>
      <c r="I182" s="13"/>
      <c r="J182" s="213"/>
    </row>
    <row r="183" spans="2:10" s="1" customFormat="1" ht="14.25" x14ac:dyDescent="0.45">
      <c r="B183" s="3"/>
      <c r="G183" s="39"/>
      <c r="I183" s="13"/>
      <c r="J183" s="213"/>
    </row>
    <row r="184" spans="2:10" s="1" customFormat="1" ht="14.25" x14ac:dyDescent="0.45">
      <c r="B184" s="3"/>
      <c r="G184" s="39"/>
      <c r="I184" s="13"/>
      <c r="J184" s="213"/>
    </row>
    <row r="185" spans="2:10" s="1" customFormat="1" ht="14.25" x14ac:dyDescent="0.45">
      <c r="B185" s="3"/>
      <c r="G185" s="39"/>
      <c r="I185" s="13"/>
      <c r="J185" s="213"/>
    </row>
    <row r="186" spans="2:10" s="1" customFormat="1" ht="14.25" x14ac:dyDescent="0.45">
      <c r="B186" s="3"/>
      <c r="G186" s="39"/>
      <c r="I186" s="13"/>
      <c r="J186" s="213"/>
    </row>
    <row r="187" spans="2:10" s="1" customFormat="1" ht="14.25" x14ac:dyDescent="0.45">
      <c r="B187" s="3"/>
      <c r="G187" s="39"/>
      <c r="I187" s="13"/>
      <c r="J187" s="213"/>
    </row>
    <row r="188" spans="2:10" s="1" customFormat="1" ht="14.25" x14ac:dyDescent="0.45">
      <c r="B188" s="3"/>
      <c r="G188" s="39"/>
      <c r="I188" s="13"/>
      <c r="J188" s="213"/>
    </row>
    <row r="189" spans="2:10" s="1" customFormat="1" ht="14.25" x14ac:dyDescent="0.45">
      <c r="B189" s="3"/>
      <c r="G189" s="39"/>
      <c r="I189" s="13"/>
      <c r="J189" s="213"/>
    </row>
    <row r="190" spans="2:10" s="1" customFormat="1" ht="14.25" x14ac:dyDescent="0.45">
      <c r="B190" s="3"/>
      <c r="G190" s="39"/>
      <c r="I190" s="13"/>
      <c r="J190" s="213"/>
    </row>
    <row r="191" spans="2:10" s="1" customFormat="1" ht="14.25" x14ac:dyDescent="0.45">
      <c r="B191" s="3"/>
      <c r="G191" s="39"/>
      <c r="I191" s="13"/>
      <c r="J191" s="213"/>
    </row>
    <row r="192" spans="2:10" s="1" customFormat="1" ht="14.25" x14ac:dyDescent="0.45">
      <c r="B192" s="3"/>
      <c r="G192" s="39"/>
      <c r="I192" s="13"/>
      <c r="J192" s="213"/>
    </row>
    <row r="193" spans="2:10" s="1" customFormat="1" ht="14.25" x14ac:dyDescent="0.45">
      <c r="B193" s="3"/>
      <c r="G193" s="39"/>
      <c r="I193" s="13"/>
      <c r="J193" s="213"/>
    </row>
    <row r="194" spans="2:10" s="1" customFormat="1" ht="14.25" x14ac:dyDescent="0.45">
      <c r="B194" s="3"/>
      <c r="G194" s="39"/>
      <c r="I194" s="13"/>
      <c r="J194" s="213"/>
    </row>
    <row r="195" spans="2:10" s="1" customFormat="1" ht="14.25" x14ac:dyDescent="0.45">
      <c r="B195" s="3"/>
      <c r="G195" s="39"/>
      <c r="I195" s="13"/>
      <c r="J195" s="213"/>
    </row>
    <row r="196" spans="2:10" s="1" customFormat="1" ht="14.25" x14ac:dyDescent="0.45">
      <c r="B196" s="3"/>
      <c r="G196" s="39"/>
      <c r="I196" s="13"/>
      <c r="J196" s="213"/>
    </row>
    <row r="197" spans="2:10" s="1" customFormat="1" ht="14.25" x14ac:dyDescent="0.45">
      <c r="B197" s="3"/>
      <c r="G197" s="39"/>
      <c r="I197" s="13"/>
      <c r="J197" s="213"/>
    </row>
    <row r="198" spans="2:10" s="1" customFormat="1" ht="14.25" x14ac:dyDescent="0.45">
      <c r="B198" s="3"/>
      <c r="G198" s="39"/>
      <c r="I198" s="13"/>
      <c r="J198" s="213"/>
    </row>
    <row r="199" spans="2:10" s="1" customFormat="1" ht="14.25" x14ac:dyDescent="0.45">
      <c r="B199" s="3"/>
      <c r="G199" s="39"/>
      <c r="I199" s="13"/>
      <c r="J199" s="213"/>
    </row>
    <row r="200" spans="2:10" s="1" customFormat="1" ht="14.25" x14ac:dyDescent="0.45">
      <c r="B200" s="3"/>
      <c r="G200" s="39"/>
      <c r="I200" s="13"/>
      <c r="J200" s="213"/>
    </row>
    <row r="201" spans="2:10" s="1" customFormat="1" ht="14.25" x14ac:dyDescent="0.45">
      <c r="B201" s="3"/>
      <c r="G201" s="39"/>
      <c r="I201" s="13"/>
      <c r="J201" s="213"/>
    </row>
    <row r="202" spans="2:10" s="1" customFormat="1" ht="14.25" x14ac:dyDescent="0.45">
      <c r="B202" s="3"/>
      <c r="G202" s="39"/>
      <c r="I202" s="13"/>
      <c r="J202" s="213"/>
    </row>
    <row r="203" spans="2:10" s="1" customFormat="1" ht="14.25" x14ac:dyDescent="0.45">
      <c r="B203" s="3"/>
      <c r="G203" s="39"/>
      <c r="I203" s="13"/>
      <c r="J203" s="213"/>
    </row>
    <row r="204" spans="2:10" s="1" customFormat="1" ht="14.25" x14ac:dyDescent="0.45">
      <c r="B204" s="3"/>
      <c r="G204" s="39"/>
      <c r="I204" s="13"/>
      <c r="J204" s="213"/>
    </row>
    <row r="205" spans="2:10" s="1" customFormat="1" ht="14.25" x14ac:dyDescent="0.45">
      <c r="B205" s="3"/>
      <c r="G205" s="39"/>
      <c r="I205" s="13"/>
      <c r="J205" s="213"/>
    </row>
    <row r="206" spans="2:10" s="1" customFormat="1" ht="14.25" x14ac:dyDescent="0.45">
      <c r="B206" s="3"/>
      <c r="G206" s="39"/>
      <c r="I206" s="13"/>
      <c r="J206" s="213"/>
    </row>
    <row r="207" spans="2:10" s="1" customFormat="1" ht="14.25" x14ac:dyDescent="0.45">
      <c r="B207" s="3"/>
      <c r="G207" s="39"/>
      <c r="I207" s="13"/>
      <c r="J207" s="213"/>
    </row>
    <row r="208" spans="2:10" s="1" customFormat="1" ht="14.25" x14ac:dyDescent="0.45">
      <c r="B208" s="3"/>
      <c r="G208" s="39"/>
      <c r="I208" s="13"/>
      <c r="J208" s="213"/>
    </row>
    <row r="209" spans="2:10" s="1" customFormat="1" ht="14.25" x14ac:dyDescent="0.45">
      <c r="B209" s="3"/>
      <c r="G209" s="39"/>
      <c r="I209" s="13"/>
      <c r="J209" s="213"/>
    </row>
    <row r="210" spans="2:10" s="1" customFormat="1" ht="14.25" x14ac:dyDescent="0.45">
      <c r="B210" s="3"/>
      <c r="G210" s="39"/>
      <c r="I210" s="13"/>
      <c r="J210" s="213"/>
    </row>
    <row r="211" spans="2:10" s="1" customFormat="1" ht="14.25" x14ac:dyDescent="0.45">
      <c r="B211" s="3"/>
      <c r="G211" s="39"/>
      <c r="I211" s="13"/>
      <c r="J211" s="213"/>
    </row>
    <row r="212" spans="2:10" s="1" customFormat="1" ht="14.25" x14ac:dyDescent="0.45">
      <c r="B212" s="3"/>
      <c r="G212" s="39"/>
      <c r="I212" s="13"/>
      <c r="J212" s="213"/>
    </row>
    <row r="213" spans="2:10" s="1" customFormat="1" ht="14.25" x14ac:dyDescent="0.45">
      <c r="B213" s="3"/>
      <c r="G213" s="39"/>
      <c r="I213" s="13"/>
      <c r="J213" s="213"/>
    </row>
    <row r="214" spans="2:10" s="1" customFormat="1" ht="14.25" x14ac:dyDescent="0.45">
      <c r="B214" s="3"/>
      <c r="G214" s="39"/>
      <c r="I214" s="13"/>
      <c r="J214" s="213"/>
    </row>
    <row r="215" spans="2:10" s="1" customFormat="1" ht="14.25" x14ac:dyDescent="0.45">
      <c r="B215" s="3"/>
      <c r="G215" s="39"/>
      <c r="I215" s="13"/>
      <c r="J215" s="213"/>
    </row>
    <row r="216" spans="2:10" s="1" customFormat="1" ht="14.25" x14ac:dyDescent="0.45">
      <c r="B216" s="3"/>
      <c r="G216" s="39"/>
      <c r="I216" s="13"/>
      <c r="J216" s="213"/>
    </row>
    <row r="217" spans="2:10" s="1" customFormat="1" ht="14.25" x14ac:dyDescent="0.45">
      <c r="B217" s="3"/>
      <c r="G217" s="39"/>
      <c r="I217" s="13"/>
      <c r="J217" s="213"/>
    </row>
    <row r="218" spans="2:10" s="1" customFormat="1" ht="14.25" x14ac:dyDescent="0.45">
      <c r="B218" s="3"/>
      <c r="G218" s="39"/>
      <c r="I218" s="13"/>
      <c r="J218" s="213"/>
    </row>
    <row r="219" spans="2:10" s="1" customFormat="1" ht="14.25" x14ac:dyDescent="0.45">
      <c r="B219" s="3"/>
      <c r="G219" s="39"/>
      <c r="I219" s="13"/>
      <c r="J219" s="213"/>
    </row>
    <row r="220" spans="2:10" s="1" customFormat="1" ht="14.25" x14ac:dyDescent="0.45">
      <c r="B220" s="3"/>
      <c r="G220" s="39"/>
      <c r="I220" s="13"/>
      <c r="J220" s="213"/>
    </row>
    <row r="221" spans="2:10" s="1" customFormat="1" ht="14.25" x14ac:dyDescent="0.45">
      <c r="B221" s="3"/>
      <c r="G221" s="39"/>
      <c r="I221" s="13"/>
      <c r="J221" s="213"/>
    </row>
    <row r="222" spans="2:10" s="1" customFormat="1" ht="14.25" x14ac:dyDescent="0.45">
      <c r="B222" s="3"/>
      <c r="G222" s="39"/>
      <c r="I222" s="13"/>
      <c r="J222" s="213"/>
    </row>
    <row r="223" spans="2:10" s="1" customFormat="1" ht="14.25" x14ac:dyDescent="0.45">
      <c r="B223" s="3"/>
      <c r="G223" s="39"/>
      <c r="I223" s="13"/>
      <c r="J223" s="213"/>
    </row>
    <row r="224" spans="2:10" s="1" customFormat="1" ht="14.25" x14ac:dyDescent="0.45">
      <c r="B224" s="3"/>
      <c r="G224" s="39"/>
      <c r="I224" s="13"/>
      <c r="J224" s="213"/>
    </row>
    <row r="225" spans="2:10" s="1" customFormat="1" ht="14.25" x14ac:dyDescent="0.45">
      <c r="B225" s="3"/>
      <c r="G225" s="39"/>
      <c r="I225" s="13"/>
      <c r="J225" s="213"/>
    </row>
    <row r="226" spans="2:10" s="1" customFormat="1" ht="14.25" x14ac:dyDescent="0.45">
      <c r="B226" s="3"/>
      <c r="G226" s="39"/>
      <c r="I226" s="13"/>
      <c r="J226" s="213"/>
    </row>
    <row r="227" spans="2:10" s="1" customFormat="1" ht="14.25" x14ac:dyDescent="0.45">
      <c r="B227" s="3"/>
      <c r="G227" s="39"/>
      <c r="I227" s="13"/>
      <c r="J227" s="213"/>
    </row>
    <row r="228" spans="2:10" s="1" customFormat="1" ht="14.25" x14ac:dyDescent="0.45">
      <c r="B228" s="3"/>
      <c r="G228" s="39"/>
      <c r="I228" s="13"/>
      <c r="J228" s="213"/>
    </row>
    <row r="229" spans="2:10" s="1" customFormat="1" ht="14.25" x14ac:dyDescent="0.45">
      <c r="B229" s="3"/>
      <c r="G229" s="39"/>
      <c r="I229" s="13"/>
      <c r="J229" s="213"/>
    </row>
    <row r="230" spans="2:10" s="1" customFormat="1" ht="14.25" x14ac:dyDescent="0.45">
      <c r="B230" s="3"/>
      <c r="G230" s="39"/>
      <c r="I230" s="13"/>
      <c r="J230" s="213"/>
    </row>
    <row r="231" spans="2:10" s="1" customFormat="1" ht="14.25" x14ac:dyDescent="0.45">
      <c r="B231" s="3"/>
      <c r="G231" s="39"/>
      <c r="I231" s="13"/>
      <c r="J231" s="213"/>
    </row>
    <row r="232" spans="2:10" s="1" customFormat="1" ht="14.25" x14ac:dyDescent="0.45">
      <c r="B232" s="3"/>
      <c r="G232" s="39"/>
      <c r="I232" s="13"/>
      <c r="J232" s="213"/>
    </row>
    <row r="233" spans="2:10" s="1" customFormat="1" ht="14.25" x14ac:dyDescent="0.45">
      <c r="B233" s="3"/>
      <c r="G233" s="39"/>
      <c r="I233" s="13"/>
      <c r="J233" s="213"/>
    </row>
    <row r="234" spans="2:10" s="1" customFormat="1" ht="14.25" x14ac:dyDescent="0.45">
      <c r="B234" s="3"/>
      <c r="G234" s="39"/>
      <c r="I234" s="13"/>
      <c r="J234" s="213"/>
    </row>
    <row r="235" spans="2:10" s="1" customFormat="1" ht="14.25" x14ac:dyDescent="0.45">
      <c r="B235" s="3"/>
      <c r="G235" s="39"/>
      <c r="I235" s="13"/>
      <c r="J235" s="213"/>
    </row>
    <row r="236" spans="2:10" s="1" customFormat="1" ht="14.25" x14ac:dyDescent="0.45">
      <c r="B236" s="3"/>
      <c r="G236" s="39"/>
      <c r="I236" s="13"/>
      <c r="J236" s="213"/>
    </row>
    <row r="237" spans="2:10" s="1" customFormat="1" ht="14.25" x14ac:dyDescent="0.45">
      <c r="B237" s="3"/>
      <c r="G237" s="39"/>
      <c r="I237" s="13"/>
      <c r="J237" s="213"/>
    </row>
    <row r="238" spans="2:10" s="1" customFormat="1" ht="14.25" x14ac:dyDescent="0.45">
      <c r="B238" s="3"/>
      <c r="G238" s="39"/>
      <c r="I238" s="13"/>
      <c r="J238" s="213"/>
    </row>
    <row r="239" spans="2:10" s="1" customFormat="1" ht="14.25" x14ac:dyDescent="0.45">
      <c r="B239" s="3"/>
      <c r="G239" s="39"/>
      <c r="I239" s="13"/>
      <c r="J239" s="213"/>
    </row>
    <row r="240" spans="2:10" s="1" customFormat="1" ht="14.25" x14ac:dyDescent="0.45">
      <c r="B240" s="3"/>
      <c r="G240" s="39"/>
      <c r="I240" s="13"/>
      <c r="J240" s="213"/>
    </row>
    <row r="241" spans="2:10" s="1" customFormat="1" ht="14.25" x14ac:dyDescent="0.45">
      <c r="B241" s="3"/>
      <c r="G241" s="39"/>
      <c r="I241" s="13"/>
      <c r="J241" s="213"/>
    </row>
    <row r="242" spans="2:10" s="1" customFormat="1" ht="14.25" x14ac:dyDescent="0.45">
      <c r="B242" s="3"/>
      <c r="G242" s="39"/>
      <c r="I242" s="13"/>
      <c r="J242" s="213"/>
    </row>
    <row r="243" spans="2:10" s="1" customFormat="1" ht="14.25" x14ac:dyDescent="0.45">
      <c r="B243" s="3"/>
      <c r="G243" s="39"/>
      <c r="I243" s="13"/>
      <c r="J243" s="213"/>
    </row>
    <row r="244" spans="2:10" s="1" customFormat="1" ht="14.25" x14ac:dyDescent="0.45">
      <c r="B244" s="3"/>
      <c r="G244" s="39"/>
      <c r="I244" s="13"/>
      <c r="J244" s="213"/>
    </row>
    <row r="245" spans="2:10" s="1" customFormat="1" ht="14.25" x14ac:dyDescent="0.45">
      <c r="B245" s="3"/>
      <c r="G245" s="39"/>
      <c r="I245" s="13"/>
      <c r="J245" s="213"/>
    </row>
    <row r="246" spans="2:10" s="1" customFormat="1" ht="14.25" x14ac:dyDescent="0.45">
      <c r="B246" s="3"/>
      <c r="G246" s="39"/>
      <c r="I246" s="13"/>
      <c r="J246" s="213"/>
    </row>
    <row r="247" spans="2:10" s="1" customFormat="1" ht="14.25" x14ac:dyDescent="0.45">
      <c r="B247" s="3"/>
      <c r="G247" s="39"/>
      <c r="I247" s="13"/>
      <c r="J247" s="213"/>
    </row>
    <row r="248" spans="2:10" s="1" customFormat="1" ht="14.25" x14ac:dyDescent="0.45">
      <c r="B248" s="3"/>
      <c r="G248" s="39"/>
      <c r="I248" s="13"/>
      <c r="J248" s="213"/>
    </row>
    <row r="249" spans="2:10" s="1" customFormat="1" ht="14.25" x14ac:dyDescent="0.45">
      <c r="B249" s="3"/>
      <c r="G249" s="39"/>
      <c r="I249" s="13"/>
      <c r="J249" s="213"/>
    </row>
    <row r="250" spans="2:10" s="1" customFormat="1" ht="14.25" x14ac:dyDescent="0.45">
      <c r="B250" s="3"/>
      <c r="G250" s="39"/>
      <c r="I250" s="13"/>
      <c r="J250" s="213"/>
    </row>
    <row r="251" spans="2:10" s="1" customFormat="1" ht="14.25" x14ac:dyDescent="0.45">
      <c r="B251" s="3"/>
      <c r="G251" s="39"/>
      <c r="I251" s="13"/>
      <c r="J251" s="213"/>
    </row>
    <row r="252" spans="2:10" s="1" customFormat="1" ht="14.25" x14ac:dyDescent="0.45">
      <c r="B252" s="3"/>
      <c r="G252" s="39"/>
      <c r="I252" s="13"/>
      <c r="J252" s="213"/>
    </row>
    <row r="253" spans="2:10" s="1" customFormat="1" ht="14.25" x14ac:dyDescent="0.45">
      <c r="B253" s="3"/>
      <c r="G253" s="39"/>
      <c r="I253" s="13"/>
      <c r="J253" s="213"/>
    </row>
    <row r="254" spans="2:10" s="1" customFormat="1" ht="14.25" x14ac:dyDescent="0.45">
      <c r="B254" s="3"/>
      <c r="G254" s="39"/>
      <c r="I254" s="13"/>
      <c r="J254" s="213"/>
    </row>
    <row r="255" spans="2:10" s="1" customFormat="1" ht="14.25" x14ac:dyDescent="0.45">
      <c r="B255" s="3"/>
      <c r="G255" s="39"/>
      <c r="I255" s="13"/>
      <c r="J255" s="213"/>
    </row>
    <row r="256" spans="2:10" s="1" customFormat="1" ht="14.25" x14ac:dyDescent="0.45">
      <c r="B256" s="3"/>
      <c r="G256" s="39"/>
      <c r="I256" s="13"/>
      <c r="J256" s="213"/>
    </row>
    <row r="257" spans="1:14" s="1" customFormat="1" ht="14.25" x14ac:dyDescent="0.45">
      <c r="B257" s="3"/>
      <c r="G257" s="39"/>
      <c r="I257" s="13"/>
      <c r="J257" s="213"/>
    </row>
    <row r="258" spans="1:14" s="1" customFormat="1" ht="14.25" x14ac:dyDescent="0.45">
      <c r="B258" s="3"/>
      <c r="G258" s="39"/>
      <c r="I258" s="13"/>
      <c r="J258" s="213"/>
    </row>
    <row r="259" spans="1:14" s="1" customFormat="1" ht="14.25" x14ac:dyDescent="0.45">
      <c r="B259" s="3"/>
      <c r="G259" s="39"/>
      <c r="I259" s="13"/>
      <c r="J259" s="213"/>
    </row>
    <row r="260" spans="1:14" s="1" customFormat="1" ht="14.25" x14ac:dyDescent="0.45">
      <c r="B260" s="3"/>
      <c r="G260" s="39"/>
      <c r="I260" s="13"/>
      <c r="J260" s="213"/>
    </row>
    <row r="261" spans="1:14" ht="15.4" x14ac:dyDescent="0.45">
      <c r="A261" s="1"/>
      <c r="B261" s="3"/>
      <c r="C261" s="1"/>
      <c r="D261" s="1"/>
      <c r="E261" s="1"/>
      <c r="F261" s="1"/>
      <c r="G261" s="39"/>
      <c r="H261" s="1"/>
      <c r="I261" s="13"/>
      <c r="J261" s="213"/>
      <c r="K261" s="1"/>
      <c r="L261" s="1"/>
      <c r="M261" s="1"/>
      <c r="N261" s="1"/>
    </row>
    <row r="262" spans="1:14" ht="15.4" x14ac:dyDescent="0.45">
      <c r="A262" s="1"/>
      <c r="B262" s="3"/>
      <c r="C262" s="1"/>
      <c r="D262" s="1"/>
      <c r="E262" s="1"/>
      <c r="F262" s="1"/>
      <c r="G262" s="39"/>
      <c r="H262" s="1"/>
      <c r="I262" s="13"/>
      <c r="J262" s="213"/>
      <c r="K262" s="1"/>
      <c r="L262" s="1"/>
      <c r="M262" s="1"/>
      <c r="N262" s="1"/>
    </row>
    <row r="263" spans="1:14" ht="15.4" x14ac:dyDescent="0.45">
      <c r="A263" s="1"/>
      <c r="B263" s="3"/>
      <c r="C263" s="1"/>
      <c r="D263" s="1"/>
      <c r="E263" s="1"/>
      <c r="F263" s="1"/>
      <c r="G263" s="39"/>
      <c r="H263" s="1"/>
      <c r="I263" s="13"/>
      <c r="J263" s="213"/>
      <c r="K263" s="1"/>
      <c r="L263" s="1"/>
      <c r="M263" s="1"/>
      <c r="N263" s="1"/>
    </row>
    <row r="264" spans="1:14" ht="15.4" x14ac:dyDescent="0.45">
      <c r="A264" s="1"/>
      <c r="B264" s="3"/>
      <c r="C264" s="1"/>
      <c r="D264" s="1"/>
      <c r="E264" s="1"/>
      <c r="F264" s="1"/>
      <c r="G264" s="39"/>
      <c r="H264" s="1"/>
      <c r="I264" s="13"/>
      <c r="J264" s="213"/>
      <c r="K264" s="1"/>
      <c r="L264" s="1"/>
      <c r="M264" s="1"/>
      <c r="N264" s="1"/>
    </row>
    <row r="265" spans="1:14" ht="15.4" x14ac:dyDescent="0.45">
      <c r="A265" s="1"/>
      <c r="B265" s="3"/>
      <c r="C265" s="1"/>
      <c r="D265" s="1"/>
      <c r="E265" s="1"/>
      <c r="F265" s="1"/>
      <c r="G265" s="39"/>
      <c r="H265" s="1"/>
      <c r="I265" s="13"/>
      <c r="J265" s="213"/>
      <c r="K265" s="1"/>
      <c r="L265" s="1"/>
      <c r="M265" s="1"/>
      <c r="N265" s="1"/>
    </row>
    <row r="266" spans="1:14" ht="15.4" x14ac:dyDescent="0.45">
      <c r="A266" s="1"/>
      <c r="B266" s="3"/>
      <c r="C266" s="1"/>
      <c r="D266" s="1"/>
      <c r="E266" s="1"/>
      <c r="F266" s="1"/>
      <c r="G266" s="39"/>
      <c r="H266" s="1"/>
      <c r="I266" s="13"/>
      <c r="J266" s="213"/>
      <c r="K266" s="1"/>
      <c r="L266" s="1"/>
      <c r="M266" s="1"/>
      <c r="N266" s="1"/>
    </row>
    <row r="267" spans="1:14" ht="15.4" x14ac:dyDescent="0.45">
      <c r="A267" s="1"/>
      <c r="B267" s="3"/>
      <c r="C267" s="1"/>
      <c r="D267" s="1"/>
      <c r="E267" s="1"/>
      <c r="F267" s="1"/>
      <c r="G267" s="39"/>
      <c r="H267" s="1"/>
      <c r="I267" s="13"/>
      <c r="J267" s="213"/>
      <c r="K267" s="1"/>
      <c r="L267" s="1"/>
      <c r="M267" s="1"/>
      <c r="N267" s="1"/>
    </row>
    <row r="268" spans="1:14" ht="15.4" x14ac:dyDescent="0.45">
      <c r="A268" s="1"/>
      <c r="B268" s="3"/>
      <c r="C268" s="1"/>
      <c r="D268" s="1"/>
      <c r="E268" s="1"/>
      <c r="F268" s="1"/>
      <c r="G268" s="39"/>
      <c r="H268" s="1"/>
      <c r="I268" s="13"/>
      <c r="J268" s="213"/>
      <c r="K268" s="1"/>
      <c r="L268" s="1"/>
      <c r="M268" s="1"/>
      <c r="N268" s="1"/>
    </row>
    <row r="269" spans="1:14" ht="15.4" x14ac:dyDescent="0.45">
      <c r="A269" s="1"/>
      <c r="B269" s="3"/>
      <c r="C269" s="1"/>
      <c r="D269" s="1"/>
      <c r="E269" s="1"/>
      <c r="F269" s="1"/>
      <c r="G269" s="39"/>
      <c r="H269" s="1"/>
      <c r="I269" s="13"/>
      <c r="J269" s="213"/>
      <c r="K269" s="1"/>
      <c r="L269" s="1"/>
      <c r="M269" s="1"/>
      <c r="N269" s="1"/>
    </row>
    <row r="270" spans="1:14" ht="15.4" x14ac:dyDescent="0.45">
      <c r="A270" s="1"/>
      <c r="B270" s="3"/>
      <c r="C270" s="1"/>
      <c r="D270" s="1"/>
      <c r="E270" s="1"/>
      <c r="F270" s="1"/>
      <c r="G270" s="39"/>
      <c r="H270" s="1"/>
      <c r="I270" s="13"/>
      <c r="J270" s="213"/>
      <c r="K270" s="1"/>
      <c r="L270" s="1"/>
      <c r="M270" s="1"/>
      <c r="N270" s="1"/>
    </row>
    <row r="271" spans="1:14" ht="15.4" x14ac:dyDescent="0.45">
      <c r="A271" s="1"/>
      <c r="B271" s="3"/>
      <c r="C271" s="1"/>
      <c r="D271" s="1"/>
      <c r="E271" s="1"/>
      <c r="F271" s="1"/>
      <c r="G271" s="39"/>
      <c r="H271" s="1"/>
      <c r="I271" s="13"/>
      <c r="J271" s="213"/>
      <c r="K271" s="1"/>
      <c r="L271" s="1"/>
      <c r="M271" s="1"/>
      <c r="N271" s="1"/>
    </row>
    <row r="272" spans="1:14" ht="15.4" x14ac:dyDescent="0.45">
      <c r="A272" s="1"/>
      <c r="B272" s="3"/>
      <c r="C272" s="1"/>
      <c r="D272" s="1"/>
      <c r="E272" s="1"/>
      <c r="F272" s="1"/>
      <c r="G272" s="39"/>
      <c r="H272" s="1"/>
      <c r="I272" s="13"/>
      <c r="J272" s="213"/>
      <c r="K272" s="1"/>
      <c r="L272" s="1"/>
      <c r="M272" s="1"/>
      <c r="N272" s="1"/>
    </row>
    <row r="273" spans="1:14" ht="15.4" x14ac:dyDescent="0.45">
      <c r="A273" s="1"/>
      <c r="B273" s="3"/>
      <c r="C273" s="1"/>
      <c r="D273" s="1"/>
      <c r="E273" s="1"/>
      <c r="F273" s="1"/>
      <c r="G273" s="39"/>
      <c r="H273" s="1"/>
      <c r="I273" s="13"/>
      <c r="J273" s="213"/>
      <c r="K273" s="1"/>
      <c r="L273" s="1"/>
      <c r="M273" s="1"/>
      <c r="N273" s="1"/>
    </row>
  </sheetData>
  <mergeCells count="6">
    <mergeCell ref="B22:G22"/>
    <mergeCell ref="A1:H1"/>
    <mergeCell ref="A2:H2"/>
    <mergeCell ref="B4:G4"/>
    <mergeCell ref="E24:F24"/>
    <mergeCell ref="B13:G13"/>
  </mergeCells>
  <printOptions horizontalCentered="1"/>
  <pageMargins left="0.7" right="0.7" top="1" bottom="0.75" header="0.3" footer="0.3"/>
  <pageSetup scale="63" fitToHeight="4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56ECB-1166-4A19-BAC2-1CAB016DEA29}">
  <sheetPr>
    <pageSetUpPr fitToPage="1"/>
  </sheetPr>
  <dimension ref="A1:M26"/>
  <sheetViews>
    <sheetView workbookViewId="0">
      <selection activeCell="K13" sqref="K13"/>
    </sheetView>
  </sheetViews>
  <sheetFormatPr defaultRowHeight="15" x14ac:dyDescent="0.4"/>
  <cols>
    <col min="8" max="8" width="3.609375" customWidth="1"/>
  </cols>
  <sheetData>
    <row r="1" spans="1:13" x14ac:dyDescent="0.4">
      <c r="A1" s="302" t="s">
        <v>212</v>
      </c>
      <c r="B1" s="302"/>
      <c r="C1" s="302"/>
      <c r="D1" s="302"/>
      <c r="E1" s="302"/>
      <c r="F1" s="302"/>
      <c r="G1" s="302"/>
    </row>
    <row r="3" spans="1:13" ht="18" x14ac:dyDescent="0.45">
      <c r="A3" s="301" t="s">
        <v>204</v>
      </c>
      <c r="B3" s="301"/>
      <c r="C3" s="301"/>
      <c r="D3" s="301"/>
      <c r="E3" s="301"/>
      <c r="F3" s="301"/>
      <c r="G3" s="301"/>
      <c r="H3" s="45"/>
      <c r="I3" s="295" t="s">
        <v>36</v>
      </c>
      <c r="J3" s="270"/>
      <c r="K3" s="296"/>
      <c r="L3" s="295" t="s">
        <v>187</v>
      </c>
      <c r="M3" s="4"/>
    </row>
    <row r="4" spans="1:13" ht="15.4" x14ac:dyDescent="0.45">
      <c r="A4" s="54" t="s">
        <v>35</v>
      </c>
      <c r="B4" s="45"/>
      <c r="C4" s="45"/>
      <c r="D4" s="59"/>
      <c r="E4" s="45"/>
      <c r="F4" s="55"/>
      <c r="G4" s="4">
        <f>SAO!G43</f>
        <v>1881675.3328956401</v>
      </c>
      <c r="H4" s="45"/>
      <c r="I4" s="296"/>
      <c r="J4" s="270"/>
      <c r="K4" s="270"/>
      <c r="L4" s="296"/>
      <c r="M4" s="4"/>
    </row>
    <row r="5" spans="1:13" ht="15.4" x14ac:dyDescent="0.45">
      <c r="A5" s="45" t="s">
        <v>20</v>
      </c>
      <c r="B5" s="45" t="s">
        <v>154</v>
      </c>
      <c r="D5" s="59"/>
      <c r="E5" s="45"/>
      <c r="F5" s="55" t="s">
        <v>284</v>
      </c>
      <c r="G5" s="265">
        <f>'Debt Service'!M22</f>
        <v>314535.11600000004</v>
      </c>
      <c r="H5" s="45"/>
      <c r="I5" s="296" t="s">
        <v>289</v>
      </c>
      <c r="J5" s="270"/>
      <c r="K5" s="270"/>
      <c r="L5" s="296" t="s">
        <v>287</v>
      </c>
      <c r="M5" s="4"/>
    </row>
    <row r="6" spans="1:13" ht="17.649999999999999" x14ac:dyDescent="0.75">
      <c r="A6" s="45"/>
      <c r="B6" s="59" t="s">
        <v>155</v>
      </c>
      <c r="D6" s="59"/>
      <c r="E6" s="45"/>
      <c r="F6" s="55" t="s">
        <v>284</v>
      </c>
      <c r="G6" s="285">
        <f>'Debt Service'!M24</f>
        <v>62907.023200000011</v>
      </c>
      <c r="H6" s="45"/>
      <c r="I6" s="296" t="s">
        <v>286</v>
      </c>
      <c r="J6" s="270"/>
      <c r="K6" s="270"/>
      <c r="L6" s="296" t="s">
        <v>288</v>
      </c>
      <c r="M6" s="4"/>
    </row>
    <row r="7" spans="1:13" ht="15.4" x14ac:dyDescent="0.45">
      <c r="A7" s="54" t="s">
        <v>60</v>
      </c>
      <c r="B7" s="45"/>
      <c r="C7" s="45"/>
      <c r="D7" s="59"/>
      <c r="E7" s="45"/>
      <c r="F7" s="55"/>
      <c r="G7" s="4">
        <f>G4+G5+G6</f>
        <v>2259117.4720956404</v>
      </c>
      <c r="H7" s="45"/>
      <c r="I7" s="296"/>
      <c r="J7" s="270"/>
      <c r="K7" s="270"/>
      <c r="L7" s="296"/>
      <c r="M7" s="4"/>
    </row>
    <row r="8" spans="1:13" ht="15.4" x14ac:dyDescent="0.45">
      <c r="A8" s="45" t="s">
        <v>21</v>
      </c>
      <c r="B8" s="45" t="s">
        <v>22</v>
      </c>
      <c r="D8" s="59"/>
      <c r="E8" s="45"/>
      <c r="F8" s="55"/>
      <c r="G8" s="4">
        <f>SUM(SAO!G11:G13)</f>
        <v>310690</v>
      </c>
      <c r="H8" s="45"/>
      <c r="I8" s="296"/>
      <c r="J8" s="270"/>
      <c r="K8" s="270"/>
      <c r="L8" s="296"/>
      <c r="M8" s="4"/>
    </row>
    <row r="9" spans="1:13" ht="17.649999999999999" x14ac:dyDescent="0.75">
      <c r="A9" s="45"/>
      <c r="B9" s="45" t="s">
        <v>213</v>
      </c>
      <c r="D9" s="59"/>
      <c r="E9" s="45"/>
      <c r="F9" s="55"/>
      <c r="G9" s="35">
        <v>7274</v>
      </c>
      <c r="H9" s="45"/>
      <c r="I9" s="297"/>
      <c r="J9" s="270"/>
      <c r="K9" s="270"/>
      <c r="L9" s="296"/>
      <c r="M9" s="4"/>
    </row>
    <row r="10" spans="1:13" ht="15.4" x14ac:dyDescent="0.45">
      <c r="A10" s="54" t="s">
        <v>58</v>
      </c>
      <c r="B10" s="45"/>
      <c r="C10" s="45"/>
      <c r="D10" s="59"/>
      <c r="E10" s="45"/>
      <c r="F10" s="55"/>
      <c r="G10" s="4">
        <f>G7-G8-G9</f>
        <v>1941153.4720956404</v>
      </c>
      <c r="H10" s="45"/>
      <c r="I10" s="296"/>
      <c r="J10" s="270"/>
      <c r="K10" s="270"/>
      <c r="L10" s="296"/>
      <c r="M10" s="4"/>
    </row>
    <row r="11" spans="1:13" ht="15.4" x14ac:dyDescent="0.45">
      <c r="A11" s="45" t="s">
        <v>21</v>
      </c>
      <c r="B11" s="45" t="s">
        <v>59</v>
      </c>
      <c r="D11" s="59"/>
      <c r="E11" s="45"/>
      <c r="F11" s="55"/>
      <c r="G11" s="3">
        <f>SAO!G6</f>
        <v>1839034.98</v>
      </c>
      <c r="H11" s="45"/>
      <c r="I11" s="297"/>
      <c r="J11" s="270"/>
      <c r="K11" s="270"/>
      <c r="L11" s="296"/>
      <c r="M11" s="4"/>
    </row>
    <row r="12" spans="1:13" ht="15.4" x14ac:dyDescent="0.45">
      <c r="A12" s="54" t="s">
        <v>61</v>
      </c>
      <c r="B12" s="45"/>
      <c r="C12" s="45"/>
      <c r="D12" s="59"/>
      <c r="E12" s="45"/>
      <c r="F12" s="55"/>
      <c r="G12" s="275">
        <f>G10-G11</f>
        <v>102118.49209564039</v>
      </c>
      <c r="H12" s="45"/>
      <c r="I12" s="270"/>
      <c r="J12" s="270"/>
      <c r="K12" s="270"/>
      <c r="L12" s="296"/>
      <c r="M12" s="4"/>
    </row>
    <row r="13" spans="1:13" ht="15.4" x14ac:dyDescent="0.45">
      <c r="A13" s="54" t="s">
        <v>62</v>
      </c>
      <c r="B13" s="45"/>
      <c r="C13" s="45"/>
      <c r="D13" s="59"/>
      <c r="E13" s="45"/>
      <c r="F13" s="55"/>
      <c r="G13" s="60">
        <f>ROUND(G12/G11,4)</f>
        <v>5.5500000000000001E-2</v>
      </c>
      <c r="H13" s="45"/>
      <c r="I13" s="270"/>
      <c r="J13" s="296"/>
      <c r="K13" s="270"/>
      <c r="L13" s="296"/>
      <c r="M13" s="4"/>
    </row>
    <row r="14" spans="1:13" ht="15.4" x14ac:dyDescent="0.45">
      <c r="A14" s="4"/>
      <c r="B14" s="4"/>
      <c r="C14" s="4"/>
      <c r="D14" s="4"/>
      <c r="E14" s="4"/>
      <c r="F14" s="4"/>
      <c r="G14" s="4"/>
      <c r="H14" s="4"/>
      <c r="I14" s="296"/>
      <c r="J14" s="296"/>
      <c r="K14" s="296"/>
      <c r="L14" s="296"/>
      <c r="M14" s="4"/>
    </row>
    <row r="15" spans="1:13" ht="18" x14ac:dyDescent="0.45">
      <c r="A15" s="301" t="s">
        <v>205</v>
      </c>
      <c r="B15" s="301"/>
      <c r="C15" s="301"/>
      <c r="D15" s="301"/>
      <c r="E15" s="301"/>
      <c r="F15" s="301"/>
      <c r="G15" s="301"/>
      <c r="H15" s="4"/>
      <c r="I15" s="296"/>
      <c r="J15" s="296"/>
      <c r="K15" s="296"/>
      <c r="L15" s="296"/>
      <c r="M15" s="4"/>
    </row>
    <row r="16" spans="1:13" ht="15.4" x14ac:dyDescent="0.45">
      <c r="A16" s="262" t="s">
        <v>35</v>
      </c>
      <c r="B16" s="263"/>
      <c r="C16" s="263"/>
      <c r="D16" s="59"/>
      <c r="E16" s="45"/>
      <c r="F16" s="55"/>
      <c r="G16" s="4">
        <f>SAO!G43</f>
        <v>1881675.3328956401</v>
      </c>
      <c r="H16" s="4"/>
      <c r="I16" s="296"/>
      <c r="J16" s="296"/>
      <c r="K16" s="296"/>
      <c r="L16" s="296"/>
      <c r="M16" s="4"/>
    </row>
    <row r="17" spans="1:13" ht="15.4" x14ac:dyDescent="0.45">
      <c r="A17" s="263" t="s">
        <v>206</v>
      </c>
      <c r="B17" s="263"/>
      <c r="C17" s="263"/>
      <c r="D17" s="59"/>
      <c r="E17" s="45"/>
      <c r="F17" s="55"/>
      <c r="G17" s="199">
        <v>0.88</v>
      </c>
      <c r="H17" s="4"/>
      <c r="I17" s="296"/>
      <c r="J17" s="296"/>
      <c r="K17" s="296"/>
      <c r="L17" s="296"/>
      <c r="M17" s="4"/>
    </row>
    <row r="18" spans="1:13" ht="15.4" x14ac:dyDescent="0.45">
      <c r="A18" s="263" t="s">
        <v>285</v>
      </c>
      <c r="B18" s="116"/>
      <c r="C18" s="116"/>
      <c r="D18" s="59"/>
      <c r="E18" s="45"/>
      <c r="F18" s="55"/>
      <c r="G18" s="4">
        <f>G16/G17</f>
        <v>2138267.4237450454</v>
      </c>
      <c r="H18" s="4"/>
      <c r="I18" s="296"/>
      <c r="J18" s="296"/>
      <c r="K18" s="296"/>
      <c r="L18" s="296"/>
      <c r="M18" s="4"/>
    </row>
    <row r="19" spans="1:13" ht="17.649999999999999" x14ac:dyDescent="0.75">
      <c r="A19" s="263" t="s">
        <v>20</v>
      </c>
      <c r="B19" s="263" t="s">
        <v>207</v>
      </c>
      <c r="D19" s="59"/>
      <c r="E19" s="45"/>
      <c r="F19" s="55" t="s">
        <v>293</v>
      </c>
      <c r="G19" s="285">
        <f>'Debt Service'!M29</f>
        <v>108938.054</v>
      </c>
      <c r="H19" s="4"/>
      <c r="I19" s="296" t="s">
        <v>290</v>
      </c>
      <c r="J19" s="270"/>
      <c r="K19" s="270"/>
      <c r="L19" s="296" t="s">
        <v>291</v>
      </c>
      <c r="M19" s="4"/>
    </row>
    <row r="20" spans="1:13" ht="15.4" x14ac:dyDescent="0.45">
      <c r="A20" s="262" t="s">
        <v>60</v>
      </c>
      <c r="B20" s="263"/>
      <c r="C20" s="263"/>
      <c r="D20" s="59"/>
      <c r="E20" s="45"/>
      <c r="F20" s="55"/>
      <c r="G20" s="4">
        <f>G18+G19</f>
        <v>2247205.4777450454</v>
      </c>
      <c r="H20" s="4"/>
      <c r="I20" s="296"/>
      <c r="J20" s="296"/>
      <c r="K20" s="296"/>
      <c r="L20" s="296"/>
      <c r="M20" s="4"/>
    </row>
    <row r="21" spans="1:13" ht="15.4" x14ac:dyDescent="0.45">
      <c r="A21" s="263" t="s">
        <v>21</v>
      </c>
      <c r="B21" s="269" t="s">
        <v>22</v>
      </c>
      <c r="D21" s="59"/>
      <c r="E21" s="45"/>
      <c r="F21" s="55"/>
      <c r="G21" s="4">
        <f>SUM(SAO!G11:G13)</f>
        <v>310690</v>
      </c>
      <c r="H21" s="4"/>
      <c r="I21" s="296"/>
      <c r="J21" s="296"/>
      <c r="K21" s="296"/>
      <c r="L21" s="296"/>
      <c r="M21" s="4"/>
    </row>
    <row r="22" spans="1:13" ht="17.649999999999999" x14ac:dyDescent="0.75">
      <c r="A22" s="263"/>
      <c r="B22" s="270" t="s">
        <v>213</v>
      </c>
      <c r="D22" s="59"/>
      <c r="E22" s="45"/>
      <c r="F22" s="55"/>
      <c r="G22" s="35">
        <f>G9</f>
        <v>7274</v>
      </c>
      <c r="H22" s="4"/>
      <c r="I22" s="296"/>
      <c r="J22" s="296"/>
      <c r="K22" s="296"/>
      <c r="L22" s="296"/>
      <c r="M22" s="4"/>
    </row>
    <row r="23" spans="1:13" ht="15.4" x14ac:dyDescent="0.45">
      <c r="A23" s="262" t="s">
        <v>58</v>
      </c>
      <c r="B23" s="263"/>
      <c r="C23" s="263"/>
      <c r="D23" s="59"/>
      <c r="E23" s="45"/>
      <c r="F23" s="55"/>
      <c r="G23" s="4">
        <f>G20-G21-G22</f>
        <v>1929241.4777450454</v>
      </c>
      <c r="H23" s="4"/>
      <c r="I23" s="296"/>
      <c r="J23" s="296"/>
      <c r="K23" s="296"/>
      <c r="L23" s="296"/>
      <c r="M23" s="4"/>
    </row>
    <row r="24" spans="1:13" ht="15.4" x14ac:dyDescent="0.45">
      <c r="A24" s="263" t="s">
        <v>21</v>
      </c>
      <c r="B24" s="268" t="s">
        <v>59</v>
      </c>
      <c r="D24" s="59"/>
      <c r="E24" s="45"/>
      <c r="F24" s="55"/>
      <c r="G24" s="2">
        <f>SAO!G6</f>
        <v>1839034.98</v>
      </c>
      <c r="H24" s="4"/>
      <c r="I24" s="296"/>
      <c r="J24" s="296"/>
      <c r="K24" s="296"/>
      <c r="L24" s="296"/>
      <c r="M24" s="4"/>
    </row>
    <row r="25" spans="1:13" ht="15.4" x14ac:dyDescent="0.45">
      <c r="A25" s="262" t="s">
        <v>61</v>
      </c>
      <c r="B25" s="263"/>
      <c r="C25" s="263"/>
      <c r="D25" s="59"/>
      <c r="E25" s="45"/>
      <c r="F25" s="55"/>
      <c r="G25" s="3">
        <f>G23-G24</f>
        <v>90206.497745045461</v>
      </c>
      <c r="H25" s="4"/>
      <c r="I25" s="296"/>
      <c r="J25" s="296"/>
      <c r="K25" s="296"/>
      <c r="L25" s="296"/>
      <c r="M25" s="4"/>
    </row>
    <row r="26" spans="1:13" ht="15.4" x14ac:dyDescent="0.45">
      <c r="A26" s="262" t="s">
        <v>62</v>
      </c>
      <c r="B26" s="263"/>
      <c r="C26" s="263"/>
      <c r="D26" s="4"/>
      <c r="E26" s="4"/>
      <c r="F26" s="4"/>
      <c r="G26" s="60">
        <f>G25/G24</f>
        <v>4.905099616160942E-2</v>
      </c>
      <c r="H26" s="4"/>
      <c r="I26" s="298"/>
      <c r="J26" s="296"/>
      <c r="K26" s="296"/>
      <c r="L26" s="296"/>
      <c r="M26" s="4"/>
    </row>
  </sheetData>
  <mergeCells count="3">
    <mergeCell ref="A3:G3"/>
    <mergeCell ref="A15:G15"/>
    <mergeCell ref="A1:G1"/>
  </mergeCells>
  <printOptions horizontalCentered="1" verticalCentered="1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3153-D18D-47C6-A731-B4659C25EE06}">
  <dimension ref="A1:J41"/>
  <sheetViews>
    <sheetView topLeftCell="A11" workbookViewId="0">
      <selection activeCell="H29" sqref="H29"/>
    </sheetView>
  </sheetViews>
  <sheetFormatPr defaultRowHeight="14.25" x14ac:dyDescent="0.45"/>
  <cols>
    <col min="1" max="1" width="3.27734375" style="1" customWidth="1"/>
    <col min="2" max="2" width="34.38671875" style="1" customWidth="1"/>
    <col min="3" max="4" width="8.88671875" style="1"/>
    <col min="5" max="5" width="9.88671875" style="1" bestFit="1" customWidth="1"/>
    <col min="6" max="7" width="8.88671875" style="1"/>
    <col min="8" max="8" width="9.88671875" style="1" bestFit="1" customWidth="1"/>
    <col min="9" max="9" width="8.88671875" style="16"/>
    <col min="10" max="16384" width="8.88671875" style="1"/>
  </cols>
  <sheetData>
    <row r="1" spans="1:9" x14ac:dyDescent="0.45">
      <c r="B1" s="135" t="s">
        <v>84</v>
      </c>
    </row>
    <row r="2" spans="1:9" x14ac:dyDescent="0.45">
      <c r="H2" s="16" t="s">
        <v>12</v>
      </c>
    </row>
    <row r="3" spans="1:9" x14ac:dyDescent="0.45">
      <c r="C3" s="16" t="s">
        <v>85</v>
      </c>
      <c r="D3" s="16" t="s">
        <v>85</v>
      </c>
      <c r="E3" s="16" t="s">
        <v>86</v>
      </c>
      <c r="F3" s="16" t="s">
        <v>85</v>
      </c>
      <c r="G3" s="16" t="s">
        <v>85</v>
      </c>
      <c r="H3" s="16" t="s">
        <v>85</v>
      </c>
      <c r="I3" s="16" t="s">
        <v>232</v>
      </c>
    </row>
    <row r="4" spans="1:9" x14ac:dyDescent="0.45">
      <c r="B4" s="17" t="s">
        <v>87</v>
      </c>
      <c r="C4" s="17" t="s">
        <v>88</v>
      </c>
      <c r="D4" s="17" t="s">
        <v>89</v>
      </c>
      <c r="E4" s="17" t="s">
        <v>90</v>
      </c>
      <c r="F4" s="17" t="s">
        <v>91</v>
      </c>
      <c r="G4" s="17" t="s">
        <v>92</v>
      </c>
      <c r="H4" s="17" t="s">
        <v>93</v>
      </c>
      <c r="I4" s="17" t="s">
        <v>233</v>
      </c>
    </row>
    <row r="5" spans="1:9" x14ac:dyDescent="0.45">
      <c r="A5" s="109">
        <v>1</v>
      </c>
      <c r="B5" s="1" t="s">
        <v>221</v>
      </c>
      <c r="C5" s="271">
        <f>1959+73+128</f>
        <v>2160</v>
      </c>
      <c r="D5" s="265">
        <v>280.8</v>
      </c>
      <c r="E5" s="77">
        <v>20.83</v>
      </c>
      <c r="F5" s="14">
        <f>C5*E5</f>
        <v>44992.799999999996</v>
      </c>
      <c r="G5" s="14">
        <f>D5*E5*1.5</f>
        <v>8773.5959999999995</v>
      </c>
      <c r="H5" s="14">
        <f t="shared" ref="H5" si="0">F5+G5</f>
        <v>53766.395999999993</v>
      </c>
      <c r="I5" s="16" t="s">
        <v>234</v>
      </c>
    </row>
    <row r="6" spans="1:9" x14ac:dyDescent="0.45">
      <c r="A6" s="109">
        <v>2</v>
      </c>
      <c r="B6" s="1" t="s">
        <v>222</v>
      </c>
      <c r="C6" s="271">
        <f>1938+94+128</f>
        <v>2160</v>
      </c>
      <c r="D6" s="265">
        <v>102</v>
      </c>
      <c r="E6" s="77">
        <v>15.35</v>
      </c>
      <c r="F6" s="14">
        <f>C6*E6</f>
        <v>33156</v>
      </c>
      <c r="G6" s="14">
        <f>D6*E6*1.5</f>
        <v>2348.5500000000002</v>
      </c>
      <c r="H6" s="14">
        <f t="shared" ref="H6:H15" si="1">F6+G6</f>
        <v>35504.550000000003</v>
      </c>
      <c r="I6" s="16" t="s">
        <v>234</v>
      </c>
    </row>
    <row r="7" spans="1:9" x14ac:dyDescent="0.45">
      <c r="A7" s="109">
        <v>3</v>
      </c>
      <c r="B7" s="1" t="s">
        <v>223</v>
      </c>
      <c r="C7" s="271">
        <f>2016.5+15.5+128</f>
        <v>2160</v>
      </c>
      <c r="D7" s="265">
        <v>705.5</v>
      </c>
      <c r="E7" s="77">
        <v>16.420000000000002</v>
      </c>
      <c r="F7" s="14">
        <f>C7*E7</f>
        <v>35467.200000000004</v>
      </c>
      <c r="G7" s="14">
        <f>D7*E7*1.5</f>
        <v>17376.465000000004</v>
      </c>
      <c r="H7" s="14">
        <f t="shared" si="1"/>
        <v>52843.665000000008</v>
      </c>
      <c r="I7" s="16" t="s">
        <v>234</v>
      </c>
    </row>
    <row r="8" spans="1:9" x14ac:dyDescent="0.45">
      <c r="A8" s="109">
        <v>4</v>
      </c>
      <c r="B8" s="1" t="s">
        <v>224</v>
      </c>
      <c r="C8" s="271">
        <f>1933+92.5+8+128</f>
        <v>2161.5</v>
      </c>
      <c r="D8" s="265">
        <v>372</v>
      </c>
      <c r="E8" s="77">
        <v>12.56</v>
      </c>
      <c r="F8" s="14">
        <f>C8*E8</f>
        <v>27148.440000000002</v>
      </c>
      <c r="G8" s="14">
        <f>D8*E8*1.5</f>
        <v>7008.4800000000014</v>
      </c>
      <c r="H8" s="14">
        <f t="shared" si="1"/>
        <v>34156.920000000006</v>
      </c>
      <c r="I8" s="16" t="s">
        <v>234</v>
      </c>
    </row>
    <row r="9" spans="1:9" x14ac:dyDescent="0.45">
      <c r="A9" s="109">
        <v>5</v>
      </c>
      <c r="B9" s="1" t="s">
        <v>225</v>
      </c>
      <c r="C9" s="271">
        <f>1509+52</f>
        <v>1561</v>
      </c>
      <c r="D9" s="266">
        <v>229</v>
      </c>
      <c r="E9" s="77">
        <v>12.16</v>
      </c>
      <c r="F9" s="14">
        <f t="shared" ref="F9:F15" si="2">C9*E9</f>
        <v>18981.760000000002</v>
      </c>
      <c r="G9" s="18">
        <f t="shared" ref="G9:G15" si="3">D9*E9*1.5</f>
        <v>4176.96</v>
      </c>
      <c r="H9" s="18">
        <f t="shared" si="1"/>
        <v>23158.720000000001</v>
      </c>
      <c r="I9" s="16" t="s">
        <v>234</v>
      </c>
    </row>
    <row r="10" spans="1:9" x14ac:dyDescent="0.45">
      <c r="A10" s="109">
        <v>6</v>
      </c>
      <c r="B10" s="1" t="s">
        <v>226</v>
      </c>
      <c r="C10" s="271">
        <f>1460+48</f>
        <v>1508</v>
      </c>
      <c r="D10" s="266">
        <v>129.5</v>
      </c>
      <c r="E10" s="77">
        <v>11.5</v>
      </c>
      <c r="F10" s="14">
        <f t="shared" si="2"/>
        <v>17342</v>
      </c>
      <c r="G10" s="18">
        <f t="shared" si="3"/>
        <v>2233.875</v>
      </c>
      <c r="H10" s="18">
        <f t="shared" si="1"/>
        <v>19575.875</v>
      </c>
      <c r="I10" s="16" t="s">
        <v>234</v>
      </c>
    </row>
    <row r="11" spans="1:9" x14ac:dyDescent="0.45">
      <c r="A11" s="109">
        <v>7</v>
      </c>
      <c r="B11" s="1" t="s">
        <v>227</v>
      </c>
      <c r="C11" s="271">
        <f>416+8</f>
        <v>424</v>
      </c>
      <c r="D11" s="266">
        <v>85</v>
      </c>
      <c r="E11" s="77">
        <v>10.8</v>
      </c>
      <c r="F11" s="14">
        <f>C11*E11</f>
        <v>4579.2000000000007</v>
      </c>
      <c r="G11" s="18">
        <f t="shared" si="3"/>
        <v>1377.0000000000002</v>
      </c>
      <c r="H11" s="14">
        <f t="shared" si="1"/>
        <v>5956.2000000000007</v>
      </c>
      <c r="I11" s="16" t="s">
        <v>234</v>
      </c>
    </row>
    <row r="12" spans="1:9" x14ac:dyDescent="0.45">
      <c r="A12" s="109">
        <v>8</v>
      </c>
      <c r="B12" s="1" t="s">
        <v>228</v>
      </c>
      <c r="C12" s="271">
        <v>1021</v>
      </c>
      <c r="D12" s="266">
        <v>0</v>
      </c>
      <c r="E12" s="77">
        <v>15.63</v>
      </c>
      <c r="F12" s="14">
        <f>C12*E12</f>
        <v>15958.230000000001</v>
      </c>
      <c r="G12" s="18">
        <f t="shared" si="3"/>
        <v>0</v>
      </c>
      <c r="H12" s="14">
        <f t="shared" si="1"/>
        <v>15958.230000000001</v>
      </c>
      <c r="I12" s="16" t="s">
        <v>235</v>
      </c>
    </row>
    <row r="13" spans="1:9" x14ac:dyDescent="0.45">
      <c r="A13" s="109">
        <v>9</v>
      </c>
      <c r="B13" s="1" t="s">
        <v>230</v>
      </c>
      <c r="C13" s="271">
        <f>1135.5+460.5+101.5+110.5</f>
        <v>1808</v>
      </c>
      <c r="D13" s="266">
        <v>137.5</v>
      </c>
      <c r="E13" s="77">
        <v>16.239999999999998</v>
      </c>
      <c r="F13" s="14">
        <f t="shared" ref="F13:F14" si="4">C13*E13</f>
        <v>29361.919999999998</v>
      </c>
      <c r="G13" s="18">
        <f t="shared" ref="G13:G14" si="5">D13*E13*1.5</f>
        <v>3349.5</v>
      </c>
      <c r="H13" s="14">
        <f t="shared" ref="H13:H14" si="6">F13+G13</f>
        <v>32711.42</v>
      </c>
      <c r="I13" s="16" t="s">
        <v>234</v>
      </c>
    </row>
    <row r="14" spans="1:9" x14ac:dyDescent="0.45">
      <c r="A14" s="109">
        <v>10</v>
      </c>
      <c r="B14" s="1" t="s">
        <v>231</v>
      </c>
      <c r="C14" s="271">
        <f>345+17.5+56</f>
        <v>418.5</v>
      </c>
      <c r="D14" s="266">
        <v>81</v>
      </c>
      <c r="E14" s="77">
        <v>12</v>
      </c>
      <c r="F14" s="14">
        <f t="shared" si="4"/>
        <v>5022</v>
      </c>
      <c r="G14" s="18">
        <f t="shared" si="5"/>
        <v>1458</v>
      </c>
      <c r="H14" s="14">
        <f t="shared" si="6"/>
        <v>6480</v>
      </c>
      <c r="I14" s="16" t="s">
        <v>235</v>
      </c>
    </row>
    <row r="15" spans="1:9" ht="16.5" x14ac:dyDescent="0.75">
      <c r="A15" s="109">
        <v>11</v>
      </c>
      <c r="B15" s="1" t="s">
        <v>229</v>
      </c>
      <c r="C15" s="272">
        <v>1033</v>
      </c>
      <c r="D15" s="267">
        <v>0</v>
      </c>
      <c r="E15" s="273">
        <v>11.18</v>
      </c>
      <c r="F15" s="80">
        <f t="shared" si="2"/>
        <v>11548.94</v>
      </c>
      <c r="G15" s="80">
        <f t="shared" si="3"/>
        <v>0</v>
      </c>
      <c r="H15" s="80">
        <f t="shared" si="1"/>
        <v>11548.94</v>
      </c>
      <c r="I15" s="16" t="s">
        <v>235</v>
      </c>
    </row>
    <row r="16" spans="1:9" x14ac:dyDescent="0.45">
      <c r="A16" s="109"/>
      <c r="C16" s="18"/>
      <c r="D16" s="65"/>
      <c r="E16" s="77"/>
      <c r="F16" s="14"/>
      <c r="G16" s="18"/>
      <c r="H16" s="18"/>
    </row>
    <row r="17" spans="2:10" x14ac:dyDescent="0.45">
      <c r="B17" s="1" t="s">
        <v>160</v>
      </c>
      <c r="C17" s="18">
        <f>SUM(C5:C15)</f>
        <v>16415</v>
      </c>
      <c r="D17" s="18">
        <f>SUM(D5:D15)</f>
        <v>2122.3000000000002</v>
      </c>
      <c r="E17" s="18"/>
      <c r="F17" s="18">
        <f>SUM(F5:F15)</f>
        <v>243558.49000000005</v>
      </c>
      <c r="G17" s="18">
        <f>SUM(G5:G15)</f>
        <v>48102.426000000007</v>
      </c>
      <c r="H17" s="197">
        <f>SUM(H5:H15)</f>
        <v>291660.91600000003</v>
      </c>
    </row>
    <row r="18" spans="2:10" x14ac:dyDescent="0.45">
      <c r="C18" s="14"/>
      <c r="D18" s="14"/>
      <c r="E18" s="64"/>
      <c r="F18" s="18"/>
      <c r="G18" s="18"/>
      <c r="H18" s="18"/>
    </row>
    <row r="19" spans="2:10" x14ac:dyDescent="0.45">
      <c r="B19" s="1" t="s">
        <v>161</v>
      </c>
      <c r="C19" s="14"/>
      <c r="D19" s="14"/>
      <c r="E19" s="64"/>
      <c r="F19" s="18"/>
      <c r="G19" s="18"/>
      <c r="H19" s="198">
        <f>H5+H6+H7+H8+H9+H10+H11+H13</f>
        <v>257673.74600000004</v>
      </c>
    </row>
    <row r="20" spans="2:10" x14ac:dyDescent="0.45">
      <c r="B20" s="14"/>
      <c r="C20" s="14"/>
      <c r="D20" s="14"/>
      <c r="H20" s="67"/>
    </row>
    <row r="21" spans="2:10" x14ac:dyDescent="0.45">
      <c r="B21" s="68"/>
      <c r="C21" s="14"/>
      <c r="D21" s="14"/>
      <c r="H21" s="67" t="s">
        <v>28</v>
      </c>
    </row>
    <row r="22" spans="2:10" x14ac:dyDescent="0.45">
      <c r="B22" s="14"/>
      <c r="C22" s="14"/>
      <c r="D22" s="14"/>
      <c r="E22" s="1" t="s">
        <v>94</v>
      </c>
      <c r="H22" s="69">
        <f>H17</f>
        <v>291660.91600000003</v>
      </c>
    </row>
    <row r="23" spans="2:10" ht="16.5" x14ac:dyDescent="0.75">
      <c r="B23" s="14"/>
      <c r="C23" s="14"/>
      <c r="D23" s="14"/>
      <c r="E23" s="1" t="s">
        <v>95</v>
      </c>
      <c r="H23" s="23">
        <f>-SAO!D18</f>
        <v>-286270</v>
      </c>
    </row>
    <row r="24" spans="2:10" ht="14.65" thickBot="1" x14ac:dyDescent="0.5">
      <c r="B24" s="14"/>
      <c r="C24" s="14"/>
      <c r="D24" s="14"/>
      <c r="E24" s="36" t="s">
        <v>96</v>
      </c>
      <c r="F24" s="36"/>
      <c r="G24" s="36"/>
      <c r="H24" s="70">
        <f>H22+H23</f>
        <v>5390.9160000000265</v>
      </c>
    </row>
    <row r="25" spans="2:10" ht="14.65" thickTop="1" x14ac:dyDescent="0.45">
      <c r="B25" s="14"/>
      <c r="C25" s="14"/>
      <c r="D25" s="14"/>
      <c r="H25" s="1" t="s">
        <v>97</v>
      </c>
    </row>
    <row r="26" spans="2:10" x14ac:dyDescent="0.45">
      <c r="B26" s="14"/>
      <c r="C26" s="14"/>
      <c r="D26" s="14"/>
      <c r="E26" s="1" t="s">
        <v>98</v>
      </c>
      <c r="H26" s="24">
        <f>H17</f>
        <v>291660.91600000003</v>
      </c>
    </row>
    <row r="27" spans="2:10" x14ac:dyDescent="0.45">
      <c r="B27" s="14"/>
      <c r="C27" s="14"/>
      <c r="D27" s="14"/>
      <c r="E27" s="1" t="s">
        <v>99</v>
      </c>
      <c r="H27" s="71">
        <v>7.6499999999999999E-2</v>
      </c>
    </row>
    <row r="28" spans="2:10" x14ac:dyDescent="0.45">
      <c r="B28" s="14"/>
      <c r="C28" s="14"/>
      <c r="D28" s="14"/>
      <c r="E28" s="1" t="s">
        <v>100</v>
      </c>
      <c r="H28" s="14">
        <f>+H26*H27</f>
        <v>22312.060074000001</v>
      </c>
    </row>
    <row r="29" spans="2:10" x14ac:dyDescent="0.45">
      <c r="B29" s="14"/>
      <c r="C29" s="14"/>
      <c r="D29" s="14"/>
      <c r="E29" s="1" t="s">
        <v>101</v>
      </c>
      <c r="H29" s="72">
        <v>-18357.939999999999</v>
      </c>
      <c r="J29" s="1" t="s">
        <v>236</v>
      </c>
    </row>
    <row r="30" spans="2:10" ht="14.65" thickBot="1" x14ac:dyDescent="0.5">
      <c r="B30" s="14"/>
      <c r="C30" s="14"/>
      <c r="D30" s="14"/>
      <c r="E30" s="36" t="s">
        <v>102</v>
      </c>
      <c r="F30" s="36"/>
      <c r="G30" s="36"/>
      <c r="H30" s="70">
        <f>H28+H29</f>
        <v>3954.1200740000022</v>
      </c>
    </row>
    <row r="31" spans="2:10" ht="14.65" thickTop="1" x14ac:dyDescent="0.45">
      <c r="B31" s="14"/>
      <c r="C31" s="14"/>
      <c r="D31" s="14"/>
    </row>
    <row r="32" spans="2:10" x14ac:dyDescent="0.45">
      <c r="B32" s="14"/>
      <c r="C32" s="14"/>
      <c r="D32" s="14"/>
      <c r="E32" s="1" t="s">
        <v>103</v>
      </c>
      <c r="H32" s="293">
        <f>H19</f>
        <v>257673.74600000004</v>
      </c>
    </row>
    <row r="33" spans="2:10" x14ac:dyDescent="0.45">
      <c r="B33" s="14"/>
      <c r="C33" s="14"/>
      <c r="D33" s="14"/>
      <c r="E33" s="1" t="s">
        <v>104</v>
      </c>
      <c r="H33" s="71">
        <v>0.26790000000000003</v>
      </c>
    </row>
    <row r="34" spans="2:10" x14ac:dyDescent="0.45">
      <c r="B34" s="14"/>
      <c r="C34" s="14"/>
      <c r="D34" s="14"/>
      <c r="E34" s="1" t="s">
        <v>105</v>
      </c>
      <c r="H34" s="271">
        <f>+H32*H33</f>
        <v>69030.796553400025</v>
      </c>
    </row>
    <row r="35" spans="2:10" x14ac:dyDescent="0.45">
      <c r="B35" s="14"/>
      <c r="C35" s="14"/>
      <c r="D35" s="14"/>
      <c r="E35" s="1" t="s">
        <v>106</v>
      </c>
      <c r="H35" s="203">
        <v>-43021.03</v>
      </c>
      <c r="J35" s="1" t="s">
        <v>236</v>
      </c>
    </row>
    <row r="36" spans="2:10" ht="14.65" thickBot="1" x14ac:dyDescent="0.5">
      <c r="B36" s="14"/>
      <c r="C36" s="14"/>
      <c r="D36" s="14"/>
      <c r="E36" s="109" t="s">
        <v>107</v>
      </c>
      <c r="F36" s="109"/>
      <c r="G36" s="109"/>
      <c r="H36" s="204">
        <f>+H34+H35</f>
        <v>26009.766553400026</v>
      </c>
    </row>
    <row r="37" spans="2:10" ht="14.65" thickTop="1" x14ac:dyDescent="0.45">
      <c r="B37" s="14"/>
      <c r="C37" s="14"/>
      <c r="D37" s="14"/>
      <c r="E37" s="109"/>
      <c r="F37" s="109"/>
      <c r="G37" s="109"/>
      <c r="H37" s="190"/>
    </row>
    <row r="38" spans="2:10" x14ac:dyDescent="0.45">
      <c r="B38" s="14"/>
      <c r="C38" s="14"/>
      <c r="D38" s="14"/>
      <c r="F38" s="109"/>
      <c r="G38" s="109"/>
      <c r="H38" s="32"/>
    </row>
    <row r="39" spans="2:10" x14ac:dyDescent="0.45">
      <c r="B39" s="14"/>
      <c r="C39" s="14"/>
      <c r="D39" s="14"/>
      <c r="F39" s="109"/>
      <c r="G39" s="109"/>
      <c r="H39" s="32"/>
    </row>
    <row r="40" spans="2:10" x14ac:dyDescent="0.45">
      <c r="B40" s="14"/>
      <c r="C40" s="14"/>
      <c r="D40" s="14"/>
      <c r="F40" s="109"/>
      <c r="G40" s="109"/>
      <c r="H40" s="32"/>
    </row>
    <row r="41" spans="2:10" x14ac:dyDescent="0.45">
      <c r="E41" s="109"/>
      <c r="H41" s="284"/>
    </row>
  </sheetData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workbookViewId="0">
      <selection activeCell="D20" sqref="D20"/>
    </sheetView>
  </sheetViews>
  <sheetFormatPr defaultColWidth="8.88671875" defaultRowHeight="14.25" x14ac:dyDescent="0.45"/>
  <cols>
    <col min="1" max="1" width="11.5546875" style="1" bestFit="1" customWidth="1"/>
    <col min="2" max="2" width="9.88671875" style="1" customWidth="1"/>
    <col min="3" max="3" width="12.44140625" style="1" customWidth="1"/>
    <col min="4" max="5" width="9.77734375" style="1" customWidth="1"/>
    <col min="6" max="6" width="10.6640625" style="1" customWidth="1"/>
    <col min="7" max="7" width="10.109375" style="194" customWidth="1"/>
    <col min="8" max="8" width="10.5546875" style="1" customWidth="1"/>
    <col min="9" max="10" width="8.88671875" style="1"/>
    <col min="11" max="11" width="10.109375" style="1" customWidth="1"/>
    <col min="12" max="12" width="9" style="1" bestFit="1" customWidth="1"/>
    <col min="13" max="13" width="9.77734375" style="1" bestFit="1" customWidth="1"/>
    <col min="14" max="16384" width="8.88671875" style="1"/>
  </cols>
  <sheetData>
    <row r="1" spans="1:11" x14ac:dyDescent="0.45">
      <c r="A1" s="109" t="s">
        <v>76</v>
      </c>
    </row>
    <row r="3" spans="1:11" x14ac:dyDescent="0.45">
      <c r="C3" s="16" t="s">
        <v>68</v>
      </c>
      <c r="F3" s="16" t="s">
        <v>156</v>
      </c>
      <c r="G3" s="194" t="s">
        <v>157</v>
      </c>
      <c r="H3" s="16" t="s">
        <v>157</v>
      </c>
      <c r="J3" s="19"/>
      <c r="K3" s="19"/>
    </row>
    <row r="4" spans="1:11" x14ac:dyDescent="0.45">
      <c r="B4" s="16" t="s">
        <v>68</v>
      </c>
      <c r="C4" s="16" t="s">
        <v>69</v>
      </c>
      <c r="D4" s="16" t="s">
        <v>69</v>
      </c>
      <c r="E4" s="16" t="s">
        <v>70</v>
      </c>
      <c r="F4" s="16" t="s">
        <v>72</v>
      </c>
      <c r="G4" s="194" t="s">
        <v>73</v>
      </c>
      <c r="H4" s="16" t="s">
        <v>73</v>
      </c>
    </row>
    <row r="5" spans="1:11" x14ac:dyDescent="0.45">
      <c r="A5" s="249" t="s">
        <v>193</v>
      </c>
      <c r="B5" s="17" t="s">
        <v>71</v>
      </c>
      <c r="C5" s="17" t="s">
        <v>77</v>
      </c>
      <c r="D5" s="17" t="s">
        <v>78</v>
      </c>
      <c r="E5" s="17" t="s">
        <v>78</v>
      </c>
      <c r="F5" s="37" t="s">
        <v>71</v>
      </c>
      <c r="G5" s="195" t="s">
        <v>74</v>
      </c>
      <c r="H5" s="37" t="s">
        <v>75</v>
      </c>
    </row>
    <row r="6" spans="1:11" x14ac:dyDescent="0.45">
      <c r="A6" s="16">
        <v>1</v>
      </c>
      <c r="B6" s="34">
        <v>780.16</v>
      </c>
      <c r="C6" s="34">
        <v>0</v>
      </c>
      <c r="D6" s="38">
        <f>IF(B6&gt;0,C6/B6,0)</f>
        <v>0</v>
      </c>
      <c r="E6" s="38">
        <f>1-D6</f>
        <v>1</v>
      </c>
      <c r="F6" s="39">
        <f>B6*E6*12</f>
        <v>9361.92</v>
      </c>
      <c r="G6" s="196">
        <v>0.79</v>
      </c>
      <c r="H6" s="39">
        <f>B6*G6*12</f>
        <v>7395.9168000000009</v>
      </c>
    </row>
    <row r="7" spans="1:11" x14ac:dyDescent="0.45">
      <c r="A7" s="16">
        <v>2</v>
      </c>
      <c r="B7" s="34">
        <v>780.16</v>
      </c>
      <c r="C7" s="34">
        <v>0</v>
      </c>
      <c r="D7" s="38">
        <f t="shared" ref="D7:D12" si="0">IF(B7&gt;0,C7/B7,0)</f>
        <v>0</v>
      </c>
      <c r="E7" s="38">
        <f t="shared" ref="E7:E12" si="1">1-D7</f>
        <v>1</v>
      </c>
      <c r="F7" s="39">
        <f t="shared" ref="F7:F12" si="2">B7*E7*12</f>
        <v>9361.92</v>
      </c>
      <c r="G7" s="196">
        <v>0.79</v>
      </c>
      <c r="H7" s="39">
        <f t="shared" ref="H7:H12" si="3">B7*G7*12</f>
        <v>7395.9168000000009</v>
      </c>
    </row>
    <row r="8" spans="1:11" x14ac:dyDescent="0.45">
      <c r="A8" s="16">
        <v>3</v>
      </c>
      <c r="B8" s="34">
        <v>780.16</v>
      </c>
      <c r="C8" s="34">
        <v>0</v>
      </c>
      <c r="D8" s="38">
        <f t="shared" si="0"/>
        <v>0</v>
      </c>
      <c r="E8" s="38">
        <f t="shared" si="1"/>
        <v>1</v>
      </c>
      <c r="F8" s="39">
        <f t="shared" si="2"/>
        <v>9361.92</v>
      </c>
      <c r="G8" s="196">
        <v>0.79</v>
      </c>
      <c r="H8" s="39">
        <f t="shared" si="3"/>
        <v>7395.9168000000009</v>
      </c>
    </row>
    <row r="9" spans="1:11" x14ac:dyDescent="0.45">
      <c r="A9" s="16">
        <v>4</v>
      </c>
      <c r="B9" s="34">
        <v>780.16</v>
      </c>
      <c r="C9" s="34">
        <v>0</v>
      </c>
      <c r="D9" s="38">
        <f t="shared" si="0"/>
        <v>0</v>
      </c>
      <c r="E9" s="38">
        <f t="shared" si="1"/>
        <v>1</v>
      </c>
      <c r="F9" s="39">
        <f t="shared" si="2"/>
        <v>9361.92</v>
      </c>
      <c r="G9" s="196">
        <v>0.79</v>
      </c>
      <c r="H9" s="39">
        <f t="shared" si="3"/>
        <v>7395.9168000000009</v>
      </c>
    </row>
    <row r="10" spans="1:11" x14ac:dyDescent="0.45">
      <c r="A10" s="16">
        <v>5</v>
      </c>
      <c r="B10" s="34">
        <v>780.16</v>
      </c>
      <c r="C10" s="34">
        <v>0</v>
      </c>
      <c r="D10" s="38">
        <f t="shared" si="0"/>
        <v>0</v>
      </c>
      <c r="E10" s="38">
        <f t="shared" si="1"/>
        <v>1</v>
      </c>
      <c r="F10" s="39">
        <f t="shared" si="2"/>
        <v>9361.92</v>
      </c>
      <c r="G10" s="196">
        <v>0.79</v>
      </c>
      <c r="H10" s="39">
        <f t="shared" si="3"/>
        <v>7395.9168000000009</v>
      </c>
    </row>
    <row r="11" spans="1:11" x14ac:dyDescent="0.45">
      <c r="A11" s="16">
        <v>6</v>
      </c>
      <c r="B11" s="34">
        <v>780.16</v>
      </c>
      <c r="C11" s="34">
        <v>0</v>
      </c>
      <c r="D11" s="38">
        <f t="shared" si="0"/>
        <v>0</v>
      </c>
      <c r="E11" s="38">
        <f t="shared" si="1"/>
        <v>1</v>
      </c>
      <c r="F11" s="39">
        <f t="shared" si="2"/>
        <v>9361.92</v>
      </c>
      <c r="G11" s="196">
        <v>0.79</v>
      </c>
      <c r="H11" s="39">
        <f t="shared" si="3"/>
        <v>7395.9168000000009</v>
      </c>
    </row>
    <row r="12" spans="1:11" ht="16.5" x14ac:dyDescent="0.75">
      <c r="A12" s="16">
        <v>7</v>
      </c>
      <c r="B12" s="280">
        <v>780.16</v>
      </c>
      <c r="C12" s="280">
        <v>0</v>
      </c>
      <c r="D12" s="38">
        <f t="shared" si="0"/>
        <v>0</v>
      </c>
      <c r="E12" s="38">
        <f t="shared" si="1"/>
        <v>1</v>
      </c>
      <c r="F12" s="281">
        <f t="shared" si="2"/>
        <v>9361.92</v>
      </c>
      <c r="G12" s="196">
        <v>0.79</v>
      </c>
      <c r="H12" s="281">
        <f t="shared" si="3"/>
        <v>7395.9168000000009</v>
      </c>
    </row>
    <row r="13" spans="1:11" x14ac:dyDescent="0.45">
      <c r="A13" s="1" t="s">
        <v>51</v>
      </c>
      <c r="B13" s="39">
        <f>SUM(B6:B12)</f>
        <v>5461.12</v>
      </c>
      <c r="C13" s="11"/>
      <c r="D13" s="38"/>
      <c r="E13" s="38"/>
      <c r="F13" s="39">
        <f>SUM(F6:F12)</f>
        <v>65533.439999999995</v>
      </c>
      <c r="H13" s="39">
        <f>SUM(H6:H12)</f>
        <v>51771.417600000001</v>
      </c>
    </row>
    <row r="14" spans="1:11" x14ac:dyDescent="0.45">
      <c r="B14" s="39"/>
      <c r="C14" s="11"/>
      <c r="D14" s="38"/>
      <c r="E14" s="38"/>
      <c r="F14" s="39"/>
      <c r="H14" s="39"/>
    </row>
    <row r="15" spans="1:11" x14ac:dyDescent="0.45">
      <c r="C15" s="16" t="s">
        <v>68</v>
      </c>
      <c r="F15" s="16" t="s">
        <v>156</v>
      </c>
      <c r="G15" s="194" t="s">
        <v>157</v>
      </c>
      <c r="H15" s="16" t="s">
        <v>157</v>
      </c>
    </row>
    <row r="16" spans="1:11" x14ac:dyDescent="0.45">
      <c r="B16" s="16" t="s">
        <v>72</v>
      </c>
      <c r="C16" s="16" t="s">
        <v>69</v>
      </c>
      <c r="D16" s="16" t="s">
        <v>69</v>
      </c>
      <c r="E16" s="16" t="s">
        <v>70</v>
      </c>
      <c r="F16" s="16" t="s">
        <v>72</v>
      </c>
      <c r="G16" s="194" t="s">
        <v>73</v>
      </c>
      <c r="H16" s="16" t="s">
        <v>73</v>
      </c>
    </row>
    <row r="17" spans="1:11" x14ac:dyDescent="0.45">
      <c r="A17" s="109" t="s">
        <v>194</v>
      </c>
      <c r="B17" s="17" t="s">
        <v>71</v>
      </c>
      <c r="C17" s="17" t="s">
        <v>77</v>
      </c>
      <c r="D17" s="17" t="s">
        <v>78</v>
      </c>
      <c r="E17" s="17" t="s">
        <v>78</v>
      </c>
      <c r="F17" s="37" t="s">
        <v>71</v>
      </c>
      <c r="G17" s="195" t="s">
        <v>74</v>
      </c>
      <c r="H17" s="37" t="s">
        <v>75</v>
      </c>
    </row>
    <row r="18" spans="1:11" ht="16.5" x14ac:dyDescent="0.75">
      <c r="A18" s="16" t="s">
        <v>244</v>
      </c>
      <c r="B18" s="289">
        <v>1626.01</v>
      </c>
      <c r="C18" s="280">
        <v>0</v>
      </c>
      <c r="D18" s="38">
        <f t="shared" ref="D18" si="4">IF(B18&gt;0,C18/B18,0)</f>
        <v>0</v>
      </c>
      <c r="E18" s="38">
        <f t="shared" ref="E18" si="5">1-D18</f>
        <v>1</v>
      </c>
      <c r="F18" s="281">
        <f>B18*E18</f>
        <v>1626.01</v>
      </c>
      <c r="G18" s="196">
        <v>0.6</v>
      </c>
      <c r="H18" s="281">
        <f>B18*G18</f>
        <v>975.60599999999999</v>
      </c>
    </row>
    <row r="19" spans="1:11" x14ac:dyDescent="0.45">
      <c r="A19" s="1" t="s">
        <v>51</v>
      </c>
      <c r="B19" s="39">
        <f>SUM(B18:B18)</f>
        <v>1626.01</v>
      </c>
      <c r="F19" s="39">
        <f>SUM(F18:F18)</f>
        <v>1626.01</v>
      </c>
      <c r="H19" s="39">
        <f>SUM(H18:H18)</f>
        <v>975.60599999999999</v>
      </c>
    </row>
    <row r="20" spans="1:11" x14ac:dyDescent="0.45">
      <c r="F20" s="39"/>
      <c r="H20" s="39"/>
    </row>
    <row r="21" spans="1:11" x14ac:dyDescent="0.45">
      <c r="A21" s="109" t="s">
        <v>158</v>
      </c>
      <c r="F21" s="39">
        <f>F13+F19</f>
        <v>67159.45</v>
      </c>
      <c r="H21" s="39">
        <f>H13+H19</f>
        <v>52747.0236</v>
      </c>
    </row>
    <row r="22" spans="1:11" x14ac:dyDescent="0.45">
      <c r="H22" s="39"/>
    </row>
    <row r="23" spans="1:11" x14ac:dyDescent="0.45">
      <c r="A23" s="1" t="s">
        <v>159</v>
      </c>
      <c r="C23" s="207">
        <f>H21</f>
        <v>52747.0236</v>
      </c>
      <c r="H23" s="39"/>
    </row>
    <row r="24" spans="1:11" x14ac:dyDescent="0.45">
      <c r="A24" s="1" t="s">
        <v>195</v>
      </c>
      <c r="C24" s="292">
        <f>-56588.16-1830.55</f>
        <v>-58418.710000000006</v>
      </c>
      <c r="D24" s="290"/>
      <c r="E24" s="291" t="s">
        <v>236</v>
      </c>
      <c r="G24" s="195"/>
      <c r="H24" s="37"/>
      <c r="J24" s="113"/>
      <c r="K24" s="113"/>
    </row>
    <row r="25" spans="1:11" x14ac:dyDescent="0.45">
      <c r="A25" s="1" t="s">
        <v>115</v>
      </c>
      <c r="C25" s="208">
        <f>C23+C24</f>
        <v>-5671.686400000006</v>
      </c>
      <c r="D25" s="114"/>
      <c r="E25" s="110"/>
      <c r="F25" s="86"/>
      <c r="G25" s="205"/>
      <c r="H25" s="110"/>
      <c r="J25" s="79"/>
    </row>
    <row r="26" spans="1:11" ht="17.649999999999999" x14ac:dyDescent="0.75">
      <c r="C26" s="112"/>
      <c r="D26" s="111"/>
      <c r="E26" s="111"/>
      <c r="F26" s="193"/>
      <c r="G26" s="206"/>
      <c r="H26" s="111"/>
    </row>
    <row r="27" spans="1:11" ht="15.4" x14ac:dyDescent="0.45">
      <c r="C27" s="112"/>
      <c r="D27" s="110"/>
      <c r="E27" s="110"/>
      <c r="F27" s="193"/>
      <c r="G27" s="205"/>
      <c r="H27" s="110"/>
    </row>
    <row r="32" spans="1:11" x14ac:dyDescent="0.45">
      <c r="G32" s="194" t="s">
        <v>166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4C12-8B08-4347-8810-FE79CDF4480C}">
  <sheetPr>
    <pageSetUpPr fitToPage="1"/>
  </sheetPr>
  <dimension ref="A1:N63"/>
  <sheetViews>
    <sheetView showGridLines="0" zoomScaleNormal="100" workbookViewId="0">
      <selection activeCell="M14" sqref="M14"/>
    </sheetView>
  </sheetViews>
  <sheetFormatPr defaultRowHeight="15" x14ac:dyDescent="0.4"/>
  <cols>
    <col min="1" max="1" width="2" customWidth="1"/>
    <col min="2" max="2" width="2.27734375" bestFit="1" customWidth="1"/>
    <col min="3" max="3" width="1.77734375" customWidth="1"/>
    <col min="4" max="4" width="27.44140625" customWidth="1"/>
    <col min="5" max="5" width="8.33203125" customWidth="1"/>
    <col min="6" max="6" width="11.71875" customWidth="1"/>
    <col min="7" max="7" width="6.109375" customWidth="1"/>
    <col min="8" max="8" width="9.33203125" customWidth="1"/>
    <col min="9" max="9" width="6.109375" customWidth="1"/>
    <col min="10" max="10" width="9.33203125" customWidth="1"/>
    <col min="11" max="11" width="10.6640625" customWidth="1"/>
    <col min="12" max="12" width="1.88671875" customWidth="1"/>
    <col min="13" max="13" width="2.44140625" customWidth="1"/>
  </cols>
  <sheetData>
    <row r="1" spans="1:13" ht="15.4" x14ac:dyDescent="0.45">
      <c r="A1" s="1"/>
      <c r="B1" s="1"/>
      <c r="C1" s="116"/>
      <c r="D1" s="116"/>
      <c r="E1" s="116"/>
      <c r="F1" s="116"/>
      <c r="G1" s="117"/>
      <c r="H1" s="116"/>
      <c r="I1" s="117"/>
      <c r="J1" s="116"/>
      <c r="K1" s="116"/>
      <c r="L1" s="116"/>
      <c r="M1" s="116"/>
    </row>
    <row r="2" spans="1:13" ht="15.4" x14ac:dyDescent="0.45">
      <c r="A2" s="1"/>
      <c r="B2" s="74"/>
      <c r="C2" s="118"/>
      <c r="D2" s="118"/>
      <c r="E2" s="118"/>
      <c r="F2" s="118"/>
      <c r="G2" s="119"/>
      <c r="H2" s="118"/>
      <c r="I2" s="119"/>
      <c r="J2" s="118"/>
      <c r="K2" s="118"/>
      <c r="L2" s="120"/>
      <c r="M2" s="121"/>
    </row>
    <row r="3" spans="1:13" ht="18" x14ac:dyDescent="0.55000000000000004">
      <c r="A3" s="1"/>
      <c r="B3" s="42"/>
      <c r="C3" s="303" t="s">
        <v>25</v>
      </c>
      <c r="D3" s="303"/>
      <c r="E3" s="303"/>
      <c r="F3" s="303"/>
      <c r="G3" s="303"/>
      <c r="H3" s="303"/>
      <c r="I3" s="303"/>
      <c r="J3" s="303"/>
      <c r="K3" s="303"/>
      <c r="L3" s="122"/>
      <c r="M3" s="121"/>
    </row>
    <row r="4" spans="1:13" ht="18" x14ac:dyDescent="0.55000000000000004">
      <c r="A4" s="1"/>
      <c r="B4" s="42"/>
      <c r="C4" s="304" t="s">
        <v>39</v>
      </c>
      <c r="D4" s="304"/>
      <c r="E4" s="304"/>
      <c r="F4" s="304"/>
      <c r="G4" s="304"/>
      <c r="H4" s="304"/>
      <c r="I4" s="304"/>
      <c r="J4" s="304"/>
      <c r="K4" s="304"/>
      <c r="L4" s="122"/>
      <c r="M4" s="121"/>
    </row>
    <row r="5" spans="1:13" ht="15.75" x14ac:dyDescent="0.45">
      <c r="A5" s="1"/>
      <c r="B5" s="42"/>
      <c r="C5" s="305" t="s">
        <v>215</v>
      </c>
      <c r="D5" s="305"/>
      <c r="E5" s="305"/>
      <c r="F5" s="305"/>
      <c r="G5" s="305"/>
      <c r="H5" s="305"/>
      <c r="I5" s="305"/>
      <c r="J5" s="305"/>
      <c r="K5" s="305"/>
      <c r="L5" s="122"/>
      <c r="M5" s="121"/>
    </row>
    <row r="6" spans="1:13" ht="15.4" x14ac:dyDescent="0.45">
      <c r="A6" s="1"/>
      <c r="B6" s="42"/>
      <c r="C6" s="116"/>
      <c r="D6" s="116"/>
      <c r="E6" s="116"/>
      <c r="F6" s="116"/>
      <c r="G6" s="123"/>
      <c r="H6" s="116"/>
      <c r="I6" s="123"/>
      <c r="J6" s="116"/>
      <c r="K6" s="124" t="s">
        <v>40</v>
      </c>
      <c r="L6" s="122"/>
      <c r="M6" s="121"/>
    </row>
    <row r="7" spans="1:13" ht="15.4" x14ac:dyDescent="0.45">
      <c r="A7" s="1"/>
      <c r="B7" s="42"/>
      <c r="C7" s="125"/>
      <c r="D7" s="125"/>
      <c r="E7" s="125" t="s">
        <v>41</v>
      </c>
      <c r="F7" s="125" t="s">
        <v>42</v>
      </c>
      <c r="G7" s="126" t="s">
        <v>116</v>
      </c>
      <c r="H7" s="127"/>
      <c r="I7" s="126" t="s">
        <v>30</v>
      </c>
      <c r="J7" s="127"/>
      <c r="K7" s="124" t="s">
        <v>43</v>
      </c>
      <c r="L7" s="122"/>
      <c r="M7" s="121"/>
    </row>
    <row r="8" spans="1:13" ht="17.649999999999999" x14ac:dyDescent="0.75">
      <c r="A8" s="1"/>
      <c r="B8" s="42"/>
      <c r="C8" s="124"/>
      <c r="D8" s="128" t="s">
        <v>117</v>
      </c>
      <c r="E8" s="124" t="s">
        <v>44</v>
      </c>
      <c r="F8" s="124" t="s">
        <v>118</v>
      </c>
      <c r="G8" s="21" t="s">
        <v>45</v>
      </c>
      <c r="H8" s="124" t="s">
        <v>46</v>
      </c>
      <c r="I8" s="21" t="s">
        <v>45</v>
      </c>
      <c r="J8" s="124" t="s">
        <v>46</v>
      </c>
      <c r="K8" s="124" t="s">
        <v>36</v>
      </c>
      <c r="L8" s="122"/>
      <c r="M8" s="121"/>
    </row>
    <row r="9" spans="1:13" ht="15.4" x14ac:dyDescent="0.45">
      <c r="A9" s="1"/>
      <c r="B9" s="42"/>
      <c r="C9" s="124"/>
      <c r="D9" s="124"/>
      <c r="E9" s="124"/>
      <c r="F9" s="124"/>
      <c r="G9" s="21"/>
      <c r="H9" s="124"/>
      <c r="I9" s="21"/>
      <c r="J9" s="124"/>
      <c r="K9" s="124"/>
      <c r="L9" s="122"/>
      <c r="M9" s="121"/>
    </row>
    <row r="10" spans="1:13" ht="15.4" x14ac:dyDescent="0.45">
      <c r="A10" s="1"/>
      <c r="B10" s="42"/>
      <c r="C10" s="129" t="s">
        <v>119</v>
      </c>
      <c r="D10" s="116"/>
      <c r="E10" s="130"/>
      <c r="F10" s="79"/>
      <c r="G10" s="123"/>
      <c r="H10" s="79"/>
      <c r="I10" s="123"/>
      <c r="J10" s="79"/>
      <c r="K10" s="79"/>
      <c r="L10" s="122"/>
      <c r="M10" s="121"/>
    </row>
    <row r="11" spans="1:13" ht="15.4" x14ac:dyDescent="0.45">
      <c r="A11" s="1"/>
      <c r="B11" s="42">
        <v>1</v>
      </c>
      <c r="C11" s="129"/>
      <c r="D11" s="116" t="s">
        <v>120</v>
      </c>
      <c r="E11" s="130" t="s">
        <v>63</v>
      </c>
      <c r="F11" s="18">
        <f>'[1]DEPRLIST(60844)'!$D$11</f>
        <v>74504</v>
      </c>
      <c r="G11" s="61" t="s">
        <v>121</v>
      </c>
      <c r="H11" s="18">
        <f>'[1]DEPRLIST(60844)'!$F$11</f>
        <v>2321</v>
      </c>
      <c r="I11" s="123">
        <v>37.5</v>
      </c>
      <c r="J11" s="18">
        <f>F11/I11</f>
        <v>1986.7733333333333</v>
      </c>
      <c r="K11" s="18">
        <f>J11-H11</f>
        <v>-334.22666666666669</v>
      </c>
      <c r="L11" s="122"/>
      <c r="M11" s="121"/>
    </row>
    <row r="12" spans="1:13" ht="15.4" x14ac:dyDescent="0.45">
      <c r="A12" s="1"/>
      <c r="B12" s="42">
        <v>2</v>
      </c>
      <c r="C12" s="129"/>
      <c r="D12" s="116" t="s">
        <v>122</v>
      </c>
      <c r="E12" s="130" t="s">
        <v>63</v>
      </c>
      <c r="F12" s="18">
        <f>'[1]DEPRLIST(60844)'!$D$20</f>
        <v>112270</v>
      </c>
      <c r="G12" s="61" t="s">
        <v>121</v>
      </c>
      <c r="H12" s="18">
        <f>'[1]DEPRLIST(60844)'!$F$20</f>
        <v>15162</v>
      </c>
      <c r="I12" s="123">
        <v>10</v>
      </c>
      <c r="J12" s="18">
        <f>F12/I12</f>
        <v>11227</v>
      </c>
      <c r="K12" s="18">
        <f>J12-H12</f>
        <v>-3935</v>
      </c>
      <c r="L12" s="122"/>
      <c r="M12" s="121"/>
    </row>
    <row r="13" spans="1:13" ht="15.4" x14ac:dyDescent="0.45">
      <c r="A13" s="1"/>
      <c r="B13" s="42">
        <v>3</v>
      </c>
      <c r="C13" s="116"/>
      <c r="D13" s="116" t="s">
        <v>123</v>
      </c>
      <c r="E13" s="130" t="s">
        <v>63</v>
      </c>
      <c r="F13" s="18">
        <f>'[1]DEPRLIST(60844)'!$D$29</f>
        <v>16587</v>
      </c>
      <c r="G13" s="61" t="s">
        <v>121</v>
      </c>
      <c r="H13" s="18">
        <f>'[1]DEPRLIST(60844)'!$F$29</f>
        <v>1357</v>
      </c>
      <c r="I13" s="123">
        <v>22.5</v>
      </c>
      <c r="J13" s="18">
        <f>F13/I13</f>
        <v>737.2</v>
      </c>
      <c r="K13" s="18">
        <f>J13-H13</f>
        <v>-619.79999999999995</v>
      </c>
      <c r="L13" s="122"/>
      <c r="M13" s="121"/>
    </row>
    <row r="14" spans="1:13" ht="15.4" x14ac:dyDescent="0.45">
      <c r="A14" s="1"/>
      <c r="B14" s="42">
        <v>4</v>
      </c>
      <c r="C14" s="116"/>
      <c r="D14" s="116" t="s">
        <v>124</v>
      </c>
      <c r="E14" s="130" t="s">
        <v>63</v>
      </c>
      <c r="F14" s="18">
        <f>'[1]DEPRLIST(60844)'!$D$34</f>
        <v>1642</v>
      </c>
      <c r="G14" s="61" t="s">
        <v>121</v>
      </c>
      <c r="H14" s="18">
        <f>'[1]DEPRLIST(60844)'!$F$34</f>
        <v>117</v>
      </c>
      <c r="I14" s="123">
        <v>12.5</v>
      </c>
      <c r="J14" s="18">
        <f t="shared" ref="J14:J16" si="0">F14/I14</f>
        <v>131.36000000000001</v>
      </c>
      <c r="K14" s="18">
        <f t="shared" ref="K14:K16" si="1">J14-H14</f>
        <v>14.360000000000014</v>
      </c>
      <c r="L14" s="122"/>
      <c r="M14" s="121"/>
    </row>
    <row r="15" spans="1:13" ht="15.4" x14ac:dyDescent="0.45">
      <c r="A15" s="1"/>
      <c r="B15" s="42">
        <v>5</v>
      </c>
      <c r="C15" s="116"/>
      <c r="D15" s="116" t="s">
        <v>125</v>
      </c>
      <c r="E15" s="130" t="s">
        <v>63</v>
      </c>
      <c r="F15" s="18">
        <f>'[1]DEPRLIST(60844)'!$D$40</f>
        <v>9193</v>
      </c>
      <c r="G15" s="61" t="s">
        <v>121</v>
      </c>
      <c r="H15" s="18">
        <f>'[1]DEPRLIST(60844)'!$F$40</f>
        <v>1193</v>
      </c>
      <c r="I15" s="123">
        <v>17.5</v>
      </c>
      <c r="J15" s="18">
        <f t="shared" si="0"/>
        <v>525.31428571428569</v>
      </c>
      <c r="K15" s="18">
        <f t="shared" si="1"/>
        <v>-667.68571428571431</v>
      </c>
      <c r="L15" s="122"/>
      <c r="M15" s="121"/>
    </row>
    <row r="16" spans="1:13" ht="15.4" x14ac:dyDescent="0.45">
      <c r="A16" s="1"/>
      <c r="B16" s="42">
        <v>6</v>
      </c>
      <c r="C16" s="116"/>
      <c r="D16" s="116" t="s">
        <v>126</v>
      </c>
      <c r="E16" s="130"/>
      <c r="F16" s="18"/>
      <c r="G16" s="61"/>
      <c r="H16" s="18"/>
      <c r="I16" s="123">
        <v>15</v>
      </c>
      <c r="J16" s="18">
        <f t="shared" si="0"/>
        <v>0</v>
      </c>
      <c r="K16" s="18">
        <f t="shared" si="1"/>
        <v>0</v>
      </c>
      <c r="L16" s="122"/>
      <c r="M16" s="121"/>
    </row>
    <row r="17" spans="1:13" ht="15.4" x14ac:dyDescent="0.45">
      <c r="A17" s="1"/>
      <c r="B17" s="42"/>
      <c r="C17" s="124"/>
      <c r="D17" s="124"/>
      <c r="E17" s="124"/>
      <c r="F17" s="124"/>
      <c r="G17" s="21"/>
      <c r="H17" s="124"/>
      <c r="I17" s="21"/>
      <c r="J17" s="124"/>
      <c r="K17" s="124"/>
      <c r="L17" s="122"/>
      <c r="M17" s="121"/>
    </row>
    <row r="18" spans="1:13" ht="15.4" x14ac:dyDescent="0.45">
      <c r="A18" s="1"/>
      <c r="B18" s="42"/>
      <c r="C18" s="129" t="s">
        <v>127</v>
      </c>
      <c r="D18" s="116"/>
      <c r="E18" s="130"/>
      <c r="F18" s="79"/>
      <c r="G18" s="131"/>
      <c r="H18" s="79"/>
      <c r="I18" s="131"/>
      <c r="J18" s="79"/>
      <c r="K18" s="79"/>
      <c r="L18" s="122"/>
      <c r="M18" s="121"/>
    </row>
    <row r="19" spans="1:13" ht="15.4" x14ac:dyDescent="0.45">
      <c r="A19" s="1"/>
      <c r="B19" s="42">
        <v>7</v>
      </c>
      <c r="C19" s="129"/>
      <c r="D19" s="116" t="s">
        <v>120</v>
      </c>
      <c r="E19" s="130"/>
      <c r="F19" s="18"/>
      <c r="G19" s="61"/>
      <c r="H19" s="18"/>
      <c r="I19" s="123">
        <v>37.5</v>
      </c>
      <c r="J19" s="18">
        <f>F19/I19</f>
        <v>0</v>
      </c>
      <c r="K19" s="18">
        <f>J19-H19</f>
        <v>0</v>
      </c>
      <c r="L19" s="122"/>
      <c r="M19" s="121"/>
    </row>
    <row r="20" spans="1:13" ht="15.4" x14ac:dyDescent="0.45">
      <c r="A20" s="1"/>
      <c r="B20" s="42">
        <v>8</v>
      </c>
      <c r="C20" s="116"/>
      <c r="D20" s="116" t="s">
        <v>128</v>
      </c>
      <c r="E20" s="130"/>
      <c r="F20" s="79"/>
      <c r="G20" s="61"/>
      <c r="H20" s="18"/>
      <c r="I20" s="123">
        <v>10</v>
      </c>
      <c r="J20" s="79">
        <f>F20/I20</f>
        <v>0</v>
      </c>
      <c r="K20" s="18">
        <f>J20-H20</f>
        <v>0</v>
      </c>
      <c r="L20" s="122"/>
      <c r="M20" s="121"/>
    </row>
    <row r="21" spans="1:13" ht="15.4" x14ac:dyDescent="0.45">
      <c r="A21" s="1"/>
      <c r="B21" s="42">
        <v>9</v>
      </c>
      <c r="C21" s="116"/>
      <c r="D21" s="116" t="s">
        <v>129</v>
      </c>
      <c r="E21" s="130"/>
      <c r="F21" s="79"/>
      <c r="G21" s="61"/>
      <c r="H21" s="18"/>
      <c r="I21" s="123">
        <v>20</v>
      </c>
      <c r="J21" s="79">
        <f>F21/I21</f>
        <v>0</v>
      </c>
      <c r="K21" s="18">
        <f>J21-H21</f>
        <v>0</v>
      </c>
      <c r="L21" s="122"/>
      <c r="M21" s="121"/>
    </row>
    <row r="22" spans="1:13" ht="15.4" x14ac:dyDescent="0.45">
      <c r="A22" s="1"/>
      <c r="B22" s="42"/>
      <c r="C22" s="124"/>
      <c r="D22" s="124"/>
      <c r="E22" s="124"/>
      <c r="F22" s="79"/>
      <c r="G22" s="131"/>
      <c r="H22" s="79"/>
      <c r="I22" s="131"/>
      <c r="J22" s="79"/>
      <c r="K22" s="79"/>
      <c r="L22" s="122"/>
      <c r="M22" s="121"/>
    </row>
    <row r="23" spans="1:13" ht="15.4" x14ac:dyDescent="0.45">
      <c r="A23" s="1"/>
      <c r="B23" s="42"/>
      <c r="C23" s="129" t="s">
        <v>130</v>
      </c>
      <c r="D23" s="116"/>
      <c r="E23" s="130"/>
      <c r="F23" s="79"/>
      <c r="G23" s="123"/>
      <c r="H23" s="79"/>
      <c r="I23" s="123"/>
      <c r="J23" s="79"/>
      <c r="K23" s="79"/>
      <c r="L23" s="122"/>
      <c r="M23" s="121"/>
    </row>
    <row r="24" spans="1:13" ht="15.4" x14ac:dyDescent="0.45">
      <c r="A24" s="1"/>
      <c r="B24" s="42">
        <v>10</v>
      </c>
      <c r="C24" s="129"/>
      <c r="D24" s="116" t="s">
        <v>131</v>
      </c>
      <c r="E24" s="130"/>
      <c r="F24" s="18"/>
      <c r="G24" s="61"/>
      <c r="H24" s="18"/>
      <c r="I24" s="123">
        <v>50</v>
      </c>
      <c r="J24" s="18">
        <f>H24</f>
        <v>0</v>
      </c>
      <c r="K24" s="18">
        <f>J24-H24</f>
        <v>0</v>
      </c>
      <c r="L24" s="122"/>
      <c r="M24" s="121"/>
    </row>
    <row r="25" spans="1:13" ht="15.4" x14ac:dyDescent="0.45">
      <c r="A25" s="1"/>
      <c r="B25" s="42">
        <v>11</v>
      </c>
      <c r="C25" s="129"/>
      <c r="D25" s="116" t="s">
        <v>132</v>
      </c>
      <c r="E25" s="130" t="s">
        <v>63</v>
      </c>
      <c r="F25" s="18">
        <f>'[1]DEPRLIST(60844)'!$D$57</f>
        <v>16240158</v>
      </c>
      <c r="G25" s="61" t="s">
        <v>121</v>
      </c>
      <c r="H25" s="18">
        <f>'[1]DEPRLIST(60844)'!$F$57</f>
        <v>406129</v>
      </c>
      <c r="I25" s="123">
        <v>62.5</v>
      </c>
      <c r="J25" s="18">
        <f t="shared" ref="J25:J32" si="2">F25/I25</f>
        <v>259842.52799999999</v>
      </c>
      <c r="K25" s="18">
        <f t="shared" ref="K25:K32" si="3">J25-H25</f>
        <v>-146286.47200000001</v>
      </c>
      <c r="L25" s="122"/>
      <c r="M25" s="121"/>
    </row>
    <row r="26" spans="1:13" ht="15.4" x14ac:dyDescent="0.45">
      <c r="A26" s="1"/>
      <c r="B26" s="42">
        <v>12</v>
      </c>
      <c r="C26" s="129"/>
      <c r="D26" s="116" t="s">
        <v>133</v>
      </c>
      <c r="E26" s="130" t="s">
        <v>63</v>
      </c>
      <c r="F26" s="18">
        <f>'[1]DEPRLIST(60844)'!$D$61</f>
        <v>94178</v>
      </c>
      <c r="G26" s="61" t="s">
        <v>121</v>
      </c>
      <c r="H26" s="18">
        <f>'[1]DEPRLIST(60844)'!$F$61</f>
        <v>4152</v>
      </c>
      <c r="I26" s="123">
        <v>45</v>
      </c>
      <c r="J26" s="18">
        <f t="shared" si="2"/>
        <v>2092.8444444444444</v>
      </c>
      <c r="K26" s="18">
        <f t="shared" si="3"/>
        <v>-2059.1555555555556</v>
      </c>
      <c r="L26" s="122"/>
      <c r="M26" s="121"/>
    </row>
    <row r="27" spans="1:13" ht="15.4" x14ac:dyDescent="0.45">
      <c r="A27" s="1"/>
      <c r="B27" s="42">
        <v>13</v>
      </c>
      <c r="C27" s="129"/>
      <c r="D27" s="116" t="s">
        <v>134</v>
      </c>
      <c r="E27" s="130" t="s">
        <v>63</v>
      </c>
      <c r="F27" s="18">
        <f>'[1]DEPRLIST(60844)'!$D$80</f>
        <v>794032</v>
      </c>
      <c r="G27" s="61" t="s">
        <v>121</v>
      </c>
      <c r="H27" s="18">
        <f>'[1]DEPRLIST(60844)'!$F$80</f>
        <v>24966</v>
      </c>
      <c r="I27" s="123">
        <v>15</v>
      </c>
      <c r="J27" s="18">
        <f t="shared" si="2"/>
        <v>52935.466666666667</v>
      </c>
      <c r="K27" s="18">
        <f t="shared" si="3"/>
        <v>27969.466666666667</v>
      </c>
      <c r="L27" s="122"/>
      <c r="M27" s="121"/>
    </row>
    <row r="28" spans="1:13" ht="15.4" x14ac:dyDescent="0.45">
      <c r="A28" s="1"/>
      <c r="B28" s="42">
        <v>14</v>
      </c>
      <c r="C28" s="129"/>
      <c r="D28" s="116" t="s">
        <v>135</v>
      </c>
      <c r="E28" s="130" t="s">
        <v>63</v>
      </c>
      <c r="F28" s="18">
        <f>'[1]DEPRLIST(60844)'!$D$83</f>
        <v>1182</v>
      </c>
      <c r="G28" s="61" t="s">
        <v>121</v>
      </c>
      <c r="H28" s="18">
        <f>'[1]DEPRLIST(60844)'!$F$83</f>
        <v>30</v>
      </c>
      <c r="I28" s="123">
        <v>20</v>
      </c>
      <c r="J28" s="18">
        <f t="shared" si="2"/>
        <v>59.1</v>
      </c>
      <c r="K28" s="18">
        <f t="shared" si="3"/>
        <v>29.1</v>
      </c>
      <c r="L28" s="122"/>
      <c r="M28" s="121"/>
    </row>
    <row r="29" spans="1:13" ht="15.4" x14ac:dyDescent="0.45">
      <c r="A29" s="1"/>
      <c r="B29" s="42">
        <v>15</v>
      </c>
      <c r="C29" s="129"/>
      <c r="D29" s="116" t="s">
        <v>136</v>
      </c>
      <c r="E29" s="130"/>
      <c r="F29" s="18"/>
      <c r="G29" s="61"/>
      <c r="H29" s="18"/>
      <c r="I29" s="123">
        <v>37.5</v>
      </c>
      <c r="J29" s="18">
        <f>F29/I29</f>
        <v>0</v>
      </c>
      <c r="K29" s="18">
        <f t="shared" si="3"/>
        <v>0</v>
      </c>
      <c r="L29" s="122"/>
      <c r="M29" s="121"/>
    </row>
    <row r="30" spans="1:13" ht="15.4" x14ac:dyDescent="0.45">
      <c r="A30" s="1"/>
      <c r="B30" s="42">
        <v>16</v>
      </c>
      <c r="C30" s="129"/>
      <c r="D30" s="116" t="s">
        <v>137</v>
      </c>
      <c r="E30" s="130" t="s">
        <v>63</v>
      </c>
      <c r="F30" s="18">
        <f>'[1]DEPRLIST(60844)'!$D$86</f>
        <v>12098</v>
      </c>
      <c r="G30" s="61" t="s">
        <v>121</v>
      </c>
      <c r="H30" s="18">
        <f>'[1]DEPRLIST(60844)'!$F$86</f>
        <v>1210</v>
      </c>
      <c r="I30" s="123">
        <v>40</v>
      </c>
      <c r="J30" s="18">
        <f t="shared" si="2"/>
        <v>302.45</v>
      </c>
      <c r="K30" s="18">
        <f t="shared" si="3"/>
        <v>-907.55</v>
      </c>
      <c r="L30" s="122"/>
      <c r="M30" s="121"/>
    </row>
    <row r="31" spans="1:13" ht="15.4" x14ac:dyDescent="0.45">
      <c r="A31" s="1"/>
      <c r="B31" s="42">
        <v>17</v>
      </c>
      <c r="C31" s="129"/>
      <c r="D31" s="116" t="s">
        <v>138</v>
      </c>
      <c r="E31" s="130" t="s">
        <v>63</v>
      </c>
      <c r="F31" s="18">
        <f>'[1]DEPRLIST(60844)'!$D$88</f>
        <v>176323</v>
      </c>
      <c r="G31" s="61" t="s">
        <v>121</v>
      </c>
      <c r="H31" s="18">
        <f>'[1]DEPRLIST(60844)'!$F$88</f>
        <v>4408</v>
      </c>
      <c r="I31" s="123">
        <v>45</v>
      </c>
      <c r="J31" s="18">
        <f t="shared" si="2"/>
        <v>3918.2888888888888</v>
      </c>
      <c r="K31" s="18">
        <f t="shared" si="3"/>
        <v>-489.71111111111122</v>
      </c>
      <c r="L31" s="122"/>
      <c r="M31" s="121"/>
    </row>
    <row r="32" spans="1:13" ht="15.4" x14ac:dyDescent="0.45">
      <c r="A32" s="1"/>
      <c r="B32" s="42">
        <v>18</v>
      </c>
      <c r="C32" s="129"/>
      <c r="D32" s="116" t="s">
        <v>237</v>
      </c>
      <c r="E32" s="130"/>
      <c r="F32" s="18"/>
      <c r="G32" s="61"/>
      <c r="H32" s="18"/>
      <c r="I32" s="123">
        <v>15</v>
      </c>
      <c r="J32" s="18">
        <f t="shared" si="2"/>
        <v>0</v>
      </c>
      <c r="K32" s="18">
        <f t="shared" si="3"/>
        <v>0</v>
      </c>
      <c r="L32" s="122"/>
      <c r="M32" s="121"/>
    </row>
    <row r="33" spans="1:14" ht="15.4" x14ac:dyDescent="0.45">
      <c r="A33" s="1"/>
      <c r="B33" s="42"/>
      <c r="C33" s="129"/>
      <c r="D33" s="1"/>
      <c r="E33" s="130"/>
      <c r="F33" s="79"/>
      <c r="G33" s="131"/>
      <c r="H33" s="79"/>
      <c r="I33" s="131"/>
      <c r="J33" s="79"/>
      <c r="K33" s="18"/>
      <c r="L33" s="122"/>
      <c r="M33" s="121"/>
    </row>
    <row r="34" spans="1:14" ht="15.4" x14ac:dyDescent="0.45">
      <c r="A34" s="1"/>
      <c r="B34" s="42"/>
      <c r="C34" s="129" t="s">
        <v>139</v>
      </c>
      <c r="D34" s="1"/>
      <c r="E34" s="130"/>
      <c r="F34" s="79"/>
      <c r="G34" s="123"/>
      <c r="H34" s="79"/>
      <c r="I34" s="132"/>
      <c r="J34" s="79"/>
      <c r="K34" s="79"/>
      <c r="L34" s="122"/>
      <c r="M34" s="121"/>
    </row>
    <row r="35" spans="1:14" ht="15.4" x14ac:dyDescent="0.45">
      <c r="A35" s="1"/>
      <c r="B35" s="42">
        <v>19</v>
      </c>
      <c r="C35" s="116"/>
      <c r="D35" s="1" t="s">
        <v>140</v>
      </c>
      <c r="E35" s="130" t="s">
        <v>63</v>
      </c>
      <c r="F35" s="79">
        <f>'[1]DEPRLIST(60844)'!$D$101</f>
        <v>88599</v>
      </c>
      <c r="G35" s="61" t="s">
        <v>121</v>
      </c>
      <c r="H35" s="79">
        <f>'[1]DEPRLIST(60844)'!$F$101</f>
        <v>13429</v>
      </c>
      <c r="I35" s="132">
        <v>7</v>
      </c>
      <c r="J35" s="79">
        <f>F35/I35</f>
        <v>12657</v>
      </c>
      <c r="K35" s="79">
        <f>J35-H35</f>
        <v>-772</v>
      </c>
      <c r="L35" s="122"/>
      <c r="M35" s="121"/>
    </row>
    <row r="36" spans="1:14" ht="15.4" x14ac:dyDescent="0.45">
      <c r="A36" s="1"/>
      <c r="B36" s="42"/>
      <c r="C36" s="124"/>
      <c r="D36" s="124"/>
      <c r="E36" s="124"/>
      <c r="F36" s="79"/>
      <c r="G36" s="131"/>
      <c r="H36" s="79"/>
      <c r="I36" s="131"/>
      <c r="J36" s="79"/>
      <c r="K36" s="79"/>
      <c r="L36" s="122"/>
      <c r="M36" s="121"/>
    </row>
    <row r="37" spans="1:14" ht="15.4" x14ac:dyDescent="0.45">
      <c r="A37" s="1"/>
      <c r="B37" s="42"/>
      <c r="C37" s="129" t="s">
        <v>141</v>
      </c>
      <c r="D37" s="116"/>
      <c r="E37" s="130"/>
      <c r="F37" s="79"/>
      <c r="G37" s="133"/>
      <c r="H37" s="79"/>
      <c r="I37" s="123"/>
      <c r="J37" s="79"/>
      <c r="K37" s="79"/>
      <c r="L37" s="122"/>
      <c r="M37" s="121"/>
    </row>
    <row r="38" spans="1:14" ht="15.4" x14ac:dyDescent="0.45">
      <c r="A38" s="1"/>
      <c r="B38" s="42">
        <v>20</v>
      </c>
      <c r="C38" s="129"/>
      <c r="D38" s="1" t="s">
        <v>132</v>
      </c>
      <c r="E38" s="130" t="s">
        <v>63</v>
      </c>
      <c r="F38" s="79">
        <f>'[1]DEPRLIST(60844)'!$D$105</f>
        <v>1448559</v>
      </c>
      <c r="G38" s="61" t="s">
        <v>121</v>
      </c>
      <c r="H38" s="79">
        <f>'[1]DEPRLIST(60844)'!$F$105</f>
        <v>36214</v>
      </c>
      <c r="I38" s="132">
        <v>62.5</v>
      </c>
      <c r="J38" s="79">
        <f>F38/I38</f>
        <v>23176.944</v>
      </c>
      <c r="K38" s="79">
        <f>J38-H38</f>
        <v>-13037.056</v>
      </c>
      <c r="L38" s="122"/>
      <c r="M38" s="121"/>
    </row>
    <row r="39" spans="1:14" ht="15.4" x14ac:dyDescent="0.45">
      <c r="A39" s="1"/>
      <c r="B39" s="42"/>
      <c r="C39" s="116"/>
      <c r="D39" s="116"/>
      <c r="E39" s="116"/>
      <c r="F39" s="130"/>
      <c r="G39" s="79"/>
      <c r="H39" s="134"/>
      <c r="I39" s="79"/>
      <c r="J39" s="123"/>
      <c r="K39" s="79"/>
      <c r="L39" s="122"/>
      <c r="M39" s="121"/>
    </row>
    <row r="40" spans="1:14" ht="15.4" x14ac:dyDescent="0.45">
      <c r="A40" s="1"/>
      <c r="B40" s="42"/>
      <c r="C40" s="135" t="s">
        <v>79</v>
      </c>
      <c r="D40" s="1"/>
      <c r="E40" s="1"/>
      <c r="F40" s="137">
        <f>SUM(F11:F39)</f>
        <v>19069325</v>
      </c>
      <c r="G40" s="136"/>
      <c r="H40" s="137">
        <f>SUM(H11:H39)</f>
        <v>510688</v>
      </c>
      <c r="I40" s="137"/>
      <c r="J40" s="137">
        <f>SUM(J11:J39)</f>
        <v>369592.26961904764</v>
      </c>
      <c r="K40" s="137">
        <f>SUM(K11:K39)</f>
        <v>-141095.73038095242</v>
      </c>
      <c r="L40" s="122"/>
      <c r="M40" s="121"/>
      <c r="N40" s="16"/>
    </row>
    <row r="41" spans="1:14" ht="15.4" x14ac:dyDescent="0.45">
      <c r="A41" s="1"/>
      <c r="B41" s="75"/>
      <c r="C41" s="138"/>
      <c r="D41" s="138"/>
      <c r="E41" s="138"/>
      <c r="F41" s="138"/>
      <c r="G41" s="138"/>
      <c r="H41" s="139"/>
      <c r="I41" s="138"/>
      <c r="J41" s="139"/>
      <c r="K41" s="138"/>
      <c r="L41" s="140"/>
      <c r="M41" s="141"/>
    </row>
    <row r="42" spans="1:14" ht="15.4" x14ac:dyDescent="0.45">
      <c r="A42" s="1"/>
      <c r="B42" s="1"/>
      <c r="C42" s="116"/>
      <c r="D42" s="116"/>
      <c r="E42" s="116"/>
      <c r="F42" s="116"/>
      <c r="G42" s="116"/>
      <c r="H42" s="20"/>
      <c r="I42" s="116"/>
      <c r="J42" s="20"/>
      <c r="K42" s="116"/>
      <c r="L42" s="116"/>
      <c r="M42" s="116"/>
    </row>
    <row r="43" spans="1:14" ht="15.4" x14ac:dyDescent="0.45">
      <c r="D43" s="116" t="s">
        <v>142</v>
      </c>
    </row>
    <row r="44" spans="1:14" ht="15.4" x14ac:dyDescent="0.45">
      <c r="D44" s="1"/>
    </row>
    <row r="45" spans="1:14" ht="15.4" x14ac:dyDescent="0.45">
      <c r="B45" s="264" t="s">
        <v>239</v>
      </c>
      <c r="C45" s="264"/>
      <c r="D45" s="264"/>
      <c r="E45" s="264"/>
      <c r="F45" s="264"/>
      <c r="G45" s="264"/>
      <c r="H45" s="286">
        <f>H40</f>
        <v>510688</v>
      </c>
      <c r="I45" s="264"/>
      <c r="J45" s="264"/>
      <c r="K45" s="264"/>
      <c r="L45" s="264"/>
    </row>
    <row r="46" spans="1:14" ht="15.4" x14ac:dyDescent="0.45">
      <c r="B46" s="264" t="s">
        <v>240</v>
      </c>
      <c r="C46" s="264"/>
      <c r="D46" s="264"/>
      <c r="E46" s="264"/>
      <c r="F46" s="264"/>
      <c r="G46" s="264"/>
      <c r="H46" s="287">
        <f>-SAO!D39</f>
        <v>-643000</v>
      </c>
      <c r="I46" s="264"/>
      <c r="J46" s="264"/>
      <c r="K46" s="264"/>
      <c r="L46" s="264"/>
    </row>
    <row r="47" spans="1:14" ht="15.4" x14ac:dyDescent="0.45">
      <c r="B47" s="264" t="s">
        <v>238</v>
      </c>
      <c r="C47" s="264"/>
      <c r="D47" s="264"/>
      <c r="E47" s="264"/>
      <c r="F47" s="264"/>
      <c r="G47" s="264"/>
      <c r="H47" s="288">
        <f>SUM(H45:H46)</f>
        <v>-132312</v>
      </c>
      <c r="I47" s="264"/>
      <c r="J47" s="264"/>
      <c r="K47" s="264"/>
      <c r="L47" s="264"/>
    </row>
    <row r="48" spans="1:14" ht="15.4" x14ac:dyDescent="0.45"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</row>
    <row r="49" spans="2:12" ht="15.4" x14ac:dyDescent="0.45"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</row>
    <row r="50" spans="2:12" ht="15.4" x14ac:dyDescent="0.45"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</row>
    <row r="51" spans="2:12" ht="15.4" x14ac:dyDescent="0.45"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</row>
    <row r="52" spans="2:12" ht="15.4" x14ac:dyDescent="0.45"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</row>
    <row r="53" spans="2:12" ht="15.4" x14ac:dyDescent="0.45">
      <c r="B53" s="264"/>
      <c r="C53" s="264"/>
      <c r="D53" s="264"/>
      <c r="E53" s="264"/>
      <c r="F53" s="264"/>
      <c r="G53" s="264"/>
      <c r="H53" s="264"/>
      <c r="I53" s="264"/>
      <c r="J53" s="264"/>
      <c r="K53" s="264"/>
      <c r="L53" s="264"/>
    </row>
    <row r="54" spans="2:12" ht="15.4" x14ac:dyDescent="0.45"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</row>
    <row r="55" spans="2:12" ht="15.4" x14ac:dyDescent="0.45"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</row>
    <row r="56" spans="2:12" ht="15.4" x14ac:dyDescent="0.45">
      <c r="B56" s="264"/>
      <c r="C56" s="264"/>
      <c r="D56" s="264"/>
      <c r="E56" s="264"/>
      <c r="F56" s="264"/>
      <c r="G56" s="264"/>
      <c r="H56" s="264"/>
      <c r="I56" s="264"/>
      <c r="J56" s="264"/>
      <c r="K56" s="264"/>
      <c r="L56" s="264"/>
    </row>
    <row r="57" spans="2:12" ht="15.4" x14ac:dyDescent="0.45">
      <c r="B57" s="264"/>
      <c r="C57" s="264"/>
      <c r="D57" s="264"/>
      <c r="E57" s="264"/>
      <c r="F57" s="264"/>
      <c r="G57" s="264"/>
      <c r="H57" s="264"/>
      <c r="I57" s="264"/>
      <c r="J57" s="264"/>
      <c r="K57" s="264"/>
      <c r="L57" s="264"/>
    </row>
    <row r="58" spans="2:12" ht="15.4" x14ac:dyDescent="0.45">
      <c r="B58" s="264"/>
      <c r="C58" s="264"/>
      <c r="D58" s="264"/>
      <c r="E58" s="264"/>
      <c r="F58" s="264"/>
      <c r="G58" s="264"/>
      <c r="H58" s="264"/>
      <c r="I58" s="264"/>
      <c r="J58" s="264"/>
      <c r="K58" s="264"/>
      <c r="L58" s="264"/>
    </row>
    <row r="59" spans="2:12" ht="15.4" x14ac:dyDescent="0.45">
      <c r="B59" s="264"/>
      <c r="C59" s="264"/>
      <c r="D59" s="264"/>
      <c r="E59" s="264"/>
      <c r="F59" s="264"/>
      <c r="G59" s="264"/>
      <c r="H59" s="264"/>
      <c r="I59" s="264"/>
      <c r="J59" s="264"/>
      <c r="K59" s="264"/>
      <c r="L59" s="264"/>
    </row>
    <row r="60" spans="2:12" ht="15.4" x14ac:dyDescent="0.45"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</row>
    <row r="61" spans="2:12" ht="15.4" x14ac:dyDescent="0.45"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</row>
    <row r="62" spans="2:12" ht="15.4" x14ac:dyDescent="0.45">
      <c r="B62" s="264"/>
      <c r="C62" s="264"/>
      <c r="D62" s="264"/>
      <c r="E62" s="264"/>
      <c r="F62" s="264"/>
      <c r="G62" s="264"/>
      <c r="H62" s="264"/>
      <c r="I62" s="264"/>
      <c r="J62" s="264"/>
      <c r="K62" s="264"/>
      <c r="L62" s="264"/>
    </row>
    <row r="63" spans="2:12" ht="15.4" x14ac:dyDescent="0.45">
      <c r="B63" s="264"/>
      <c r="C63" s="264"/>
      <c r="D63" s="264"/>
      <c r="E63" s="264"/>
      <c r="F63" s="264"/>
      <c r="G63" s="264"/>
      <c r="H63" s="264"/>
      <c r="I63" s="264"/>
      <c r="J63" s="264"/>
      <c r="K63" s="264"/>
      <c r="L63" s="264"/>
    </row>
  </sheetData>
  <mergeCells count="3">
    <mergeCell ref="C3:K3"/>
    <mergeCell ref="C4:K4"/>
    <mergeCell ref="C5:K5"/>
  </mergeCells>
  <pageMargins left="0.7" right="0.7" top="0.75" bottom="0.75" header="0.3" footer="0.3"/>
  <pageSetup scale="7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8E55-8DC2-4CD5-8872-149491EA390B}">
  <sheetPr>
    <pageSetUpPr fitToPage="1"/>
  </sheetPr>
  <dimension ref="B1:X35"/>
  <sheetViews>
    <sheetView showGridLines="0" workbookViewId="0">
      <selection activeCell="G9" sqref="G9:H9"/>
    </sheetView>
  </sheetViews>
  <sheetFormatPr defaultRowHeight="15" x14ac:dyDescent="0.4"/>
  <cols>
    <col min="1" max="1" width="1.77734375" customWidth="1"/>
    <col min="2" max="2" width="17.77734375" customWidth="1"/>
    <col min="3" max="12" width="7.77734375" customWidth="1"/>
    <col min="13" max="13" width="10.6640625" customWidth="1"/>
    <col min="14" max="14" width="0.77734375" customWidth="1"/>
    <col min="15" max="15" width="2.33203125" customWidth="1"/>
    <col min="16" max="16" width="9.6640625" customWidth="1"/>
  </cols>
  <sheetData>
    <row r="1" spans="2:24" ht="15.4" x14ac:dyDescent="0.4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2:24" ht="15.4" x14ac:dyDescent="0.45"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  <c r="O2" s="14"/>
      <c r="P2" s="14"/>
    </row>
    <row r="3" spans="2:24" ht="18" x14ac:dyDescent="0.55000000000000004">
      <c r="B3" s="145" t="s">
        <v>143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66"/>
      <c r="O3" s="14"/>
      <c r="P3" s="14"/>
    </row>
    <row r="4" spans="2:24" ht="18" x14ac:dyDescent="0.55000000000000004">
      <c r="B4" s="147" t="s">
        <v>144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66"/>
      <c r="O4" s="14"/>
      <c r="P4" s="14"/>
    </row>
    <row r="5" spans="2:24" ht="15.75" x14ac:dyDescent="0.45">
      <c r="B5" s="149" t="s">
        <v>215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66"/>
      <c r="O5" s="14"/>
      <c r="P5" s="14"/>
    </row>
    <row r="6" spans="2:24" ht="15.75" x14ac:dyDescent="0.5">
      <c r="B6" s="150" t="s">
        <v>216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66"/>
      <c r="O6" s="14"/>
      <c r="P6" s="14"/>
    </row>
    <row r="7" spans="2:24" ht="15.4" x14ac:dyDescent="0.45">
      <c r="B7" s="152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66"/>
      <c r="O7" s="14"/>
      <c r="P7" s="14"/>
    </row>
    <row r="8" spans="2:24" ht="15.4" x14ac:dyDescent="0.45">
      <c r="B8" s="153"/>
      <c r="C8" s="154"/>
      <c r="D8" s="155"/>
      <c r="E8" s="154"/>
      <c r="F8" s="156"/>
      <c r="G8" s="154"/>
      <c r="H8" s="156"/>
      <c r="I8" s="154"/>
      <c r="J8" s="156"/>
      <c r="K8" s="154"/>
      <c r="L8" s="156"/>
      <c r="M8" s="155"/>
      <c r="N8" s="144"/>
      <c r="O8" s="14"/>
      <c r="P8" s="14"/>
    </row>
    <row r="9" spans="2:24" ht="16.5" x14ac:dyDescent="0.45">
      <c r="B9" s="157"/>
      <c r="C9" s="306" t="s">
        <v>145</v>
      </c>
      <c r="D9" s="307"/>
      <c r="E9" s="306" t="s">
        <v>146</v>
      </c>
      <c r="F9" s="307"/>
      <c r="G9" s="306" t="s">
        <v>147</v>
      </c>
      <c r="H9" s="307"/>
      <c r="I9" s="306" t="s">
        <v>148</v>
      </c>
      <c r="J9" s="307"/>
      <c r="K9" s="306" t="s">
        <v>217</v>
      </c>
      <c r="L9" s="307"/>
      <c r="M9" s="14"/>
      <c r="N9" s="66"/>
      <c r="O9" s="14"/>
      <c r="P9" s="14"/>
    </row>
    <row r="10" spans="2:24" ht="16.5" x14ac:dyDescent="0.45">
      <c r="B10" s="157"/>
      <c r="C10" s="158"/>
      <c r="D10" s="159" t="s">
        <v>149</v>
      </c>
      <c r="E10" s="160"/>
      <c r="F10" s="159" t="s">
        <v>149</v>
      </c>
      <c r="G10" s="160"/>
      <c r="H10" s="159" t="s">
        <v>149</v>
      </c>
      <c r="I10" s="160"/>
      <c r="J10" s="159" t="s">
        <v>149</v>
      </c>
      <c r="K10" s="160"/>
      <c r="L10" s="159" t="s">
        <v>149</v>
      </c>
      <c r="M10" s="14"/>
      <c r="N10" s="66"/>
      <c r="O10" s="14"/>
      <c r="P10" s="14"/>
    </row>
    <row r="11" spans="2:24" ht="16.5" x14ac:dyDescent="0.45">
      <c r="B11" s="157"/>
      <c r="C11" s="158" t="s">
        <v>150</v>
      </c>
      <c r="D11" s="161" t="s">
        <v>151</v>
      </c>
      <c r="E11" s="158" t="s">
        <v>150</v>
      </c>
      <c r="F11" s="161" t="s">
        <v>151</v>
      </c>
      <c r="G11" s="158" t="s">
        <v>150</v>
      </c>
      <c r="H11" s="161" t="s">
        <v>151</v>
      </c>
      <c r="I11" s="158" t="s">
        <v>150</v>
      </c>
      <c r="J11" s="161" t="s">
        <v>151</v>
      </c>
      <c r="K11" s="158" t="s">
        <v>150</v>
      </c>
      <c r="L11" s="161" t="s">
        <v>151</v>
      </c>
      <c r="M11" s="162" t="s">
        <v>79</v>
      </c>
      <c r="N11" s="66"/>
      <c r="O11" s="14"/>
      <c r="P11" s="14"/>
    </row>
    <row r="12" spans="2:24" ht="15.4" x14ac:dyDescent="0.45">
      <c r="B12" s="163" t="s">
        <v>218</v>
      </c>
      <c r="C12" s="164">
        <v>6000</v>
      </c>
      <c r="D12" s="165">
        <f>4745.81+4622.06</f>
        <v>9367.8700000000008</v>
      </c>
      <c r="E12" s="164">
        <v>6300</v>
      </c>
      <c r="F12" s="166">
        <f>4622.06+4492.13</f>
        <v>9114.19</v>
      </c>
      <c r="G12" s="164">
        <v>6500</v>
      </c>
      <c r="H12" s="166">
        <f>4492.13+4358.06</f>
        <v>8850.19</v>
      </c>
      <c r="I12" s="164">
        <v>6800</v>
      </c>
      <c r="J12" s="166">
        <f>4358.06+4217.81</f>
        <v>8575.8700000000008</v>
      </c>
      <c r="K12" s="164">
        <v>7100</v>
      </c>
      <c r="L12" s="166">
        <f>4217.81+4071.38</f>
        <v>8289.19</v>
      </c>
      <c r="M12" s="167">
        <f t="shared" ref="M12:M17" si="0">SUM(C12:L12)</f>
        <v>76897.310000000012</v>
      </c>
      <c r="N12" s="66"/>
      <c r="O12" s="14"/>
      <c r="P12" s="14"/>
      <c r="R12" s="14"/>
      <c r="T12" s="14"/>
      <c r="V12" s="14"/>
      <c r="X12" s="14"/>
    </row>
    <row r="13" spans="2:24" ht="15.4" x14ac:dyDescent="0.45">
      <c r="B13" s="163" t="s">
        <v>219</v>
      </c>
      <c r="C13" s="164">
        <f>23271.19+23341</f>
        <v>46612.19</v>
      </c>
      <c r="D13" s="165">
        <f>1510.91+1441.1+503.64+480.37</f>
        <v>3936.02</v>
      </c>
      <c r="E13" s="164">
        <f>23411.02+23481.26</f>
        <v>46892.28</v>
      </c>
      <c r="F13" s="166">
        <f>1371.08+1300.84+457.03+433.61</f>
        <v>3562.56</v>
      </c>
      <c r="G13" s="164">
        <f>23651.7+23622.35</f>
        <v>47274.05</v>
      </c>
      <c r="H13" s="166">
        <f>1230.4+1159.75+410.13+386.58</f>
        <v>3186.86</v>
      </c>
      <c r="I13" s="164">
        <f>23683.22+23674.3</f>
        <v>47357.520000000004</v>
      </c>
      <c r="J13" s="166">
        <f>1088.88+1017.8+362.96+339.27</f>
        <v>2808.9100000000003</v>
      </c>
      <c r="K13" s="164">
        <f>23835.59+23907.1</f>
        <v>47742.69</v>
      </c>
      <c r="L13" s="166">
        <f>946.51+875+315.5+291.67</f>
        <v>2428.6800000000003</v>
      </c>
      <c r="M13" s="168">
        <f t="shared" si="0"/>
        <v>251801.75999999998</v>
      </c>
      <c r="N13" s="66"/>
      <c r="O13" s="14"/>
      <c r="P13" s="14"/>
      <c r="R13" s="14"/>
      <c r="T13" s="14"/>
      <c r="V13" s="14"/>
      <c r="X13" s="14"/>
    </row>
    <row r="14" spans="2:24" ht="15.4" x14ac:dyDescent="0.45">
      <c r="B14" s="163" t="s">
        <v>220</v>
      </c>
      <c r="C14" s="164">
        <f>23047.81+23134.24</f>
        <v>46182.05</v>
      </c>
      <c r="D14" s="165">
        <f>3030.12+2943.69+1010.04+981.23</f>
        <v>7965.08</v>
      </c>
      <c r="E14" s="164">
        <f>23220.99+23308.07</f>
        <v>46529.06</v>
      </c>
      <c r="F14" s="166">
        <f>2856.94+2769.86+952.31+923.29</f>
        <v>7502.4000000000005</v>
      </c>
      <c r="G14" s="164">
        <f>23395.48+23483.21</f>
        <v>46878.69</v>
      </c>
      <c r="H14" s="166">
        <f>2682.45+2594.72+894.15+864.91</f>
        <v>7036.23</v>
      </c>
      <c r="I14" s="164">
        <f>23571.27+23659.67</f>
        <v>47230.94</v>
      </c>
      <c r="J14" s="166">
        <f>2506.66+2418.26+835.55+806.09</f>
        <v>6566.56</v>
      </c>
      <c r="K14" s="164">
        <f>23748.39+23837.45</f>
        <v>47585.84</v>
      </c>
      <c r="L14" s="166">
        <f>2329.54+2240.48+776.51+746.83</f>
        <v>6093.3600000000006</v>
      </c>
      <c r="M14" s="168">
        <f t="shared" si="0"/>
        <v>269570.20999999996</v>
      </c>
      <c r="N14" s="66"/>
      <c r="O14" s="14"/>
      <c r="P14" s="14"/>
      <c r="R14" s="14"/>
      <c r="T14" s="14"/>
      <c r="V14" s="14"/>
      <c r="X14" s="14"/>
    </row>
    <row r="15" spans="2:24" ht="15.4" x14ac:dyDescent="0.45">
      <c r="B15" s="163" t="s">
        <v>294</v>
      </c>
      <c r="C15" s="164">
        <v>95000</v>
      </c>
      <c r="D15" s="165">
        <f>48228.13+45853.13+6550</f>
        <v>100631.26</v>
      </c>
      <c r="E15" s="164">
        <v>100000</v>
      </c>
      <c r="F15" s="166">
        <f>45853.13+43353.13+6312.5</f>
        <v>95518.76</v>
      </c>
      <c r="G15" s="164">
        <v>105000</v>
      </c>
      <c r="H15" s="166">
        <f>43353.13+40728.13+6062.5</f>
        <v>90143.76</v>
      </c>
      <c r="I15" s="164">
        <v>110000</v>
      </c>
      <c r="J15" s="166">
        <f>40728.13+37978.13+5800</f>
        <v>84506.26</v>
      </c>
      <c r="K15" s="164">
        <v>115000</v>
      </c>
      <c r="L15" s="166">
        <f>37978.13+35103.13+5525</f>
        <v>78606.259999999995</v>
      </c>
      <c r="M15" s="168">
        <f t="shared" si="0"/>
        <v>974406.3</v>
      </c>
      <c r="N15" s="66"/>
      <c r="O15" s="14"/>
      <c r="P15" s="14"/>
      <c r="R15" s="14"/>
      <c r="T15" s="14"/>
      <c r="V15" s="14"/>
      <c r="X15" s="14"/>
    </row>
    <row r="16" spans="2:24" ht="15.4" x14ac:dyDescent="0.45">
      <c r="B16" s="163"/>
      <c r="C16" s="164"/>
      <c r="D16" s="165"/>
      <c r="E16" s="164"/>
      <c r="F16" s="165"/>
      <c r="G16" s="164"/>
      <c r="H16" s="165"/>
      <c r="I16" s="164"/>
      <c r="J16" s="165"/>
      <c r="K16" s="164"/>
      <c r="L16" s="166"/>
      <c r="M16" s="168">
        <f t="shared" si="0"/>
        <v>0</v>
      </c>
      <c r="N16" s="66"/>
      <c r="O16" s="14"/>
      <c r="P16" s="14"/>
      <c r="R16" s="14"/>
      <c r="T16" s="14"/>
      <c r="V16" s="14"/>
      <c r="X16" s="14"/>
    </row>
    <row r="17" spans="2:24" ht="15.4" x14ac:dyDescent="0.45">
      <c r="B17" s="163"/>
      <c r="C17" s="164"/>
      <c r="D17" s="165"/>
      <c r="E17" s="164"/>
      <c r="F17" s="165"/>
      <c r="G17" s="164"/>
      <c r="H17" s="165"/>
      <c r="I17" s="164"/>
      <c r="J17" s="165"/>
      <c r="K17" s="164"/>
      <c r="L17" s="166"/>
      <c r="M17" s="168">
        <f t="shared" si="0"/>
        <v>0</v>
      </c>
      <c r="N17" s="66"/>
      <c r="O17" s="14"/>
      <c r="P17" s="14"/>
      <c r="R17" s="14"/>
      <c r="T17" s="14"/>
      <c r="V17" s="14"/>
      <c r="X17" s="14"/>
    </row>
    <row r="18" spans="2:24" ht="15.4" x14ac:dyDescent="0.45">
      <c r="B18" s="169"/>
      <c r="C18" s="170"/>
      <c r="D18" s="171"/>
      <c r="E18" s="170"/>
      <c r="F18" s="171"/>
      <c r="G18" s="170"/>
      <c r="H18" s="171"/>
      <c r="I18" s="170"/>
      <c r="J18" s="171"/>
      <c r="K18" s="170"/>
      <c r="L18" s="172"/>
      <c r="M18" s="168"/>
      <c r="N18" s="66"/>
      <c r="O18" s="14"/>
      <c r="P18" s="14"/>
    </row>
    <row r="19" spans="2:24" ht="15.4" x14ac:dyDescent="0.45">
      <c r="B19" s="115" t="s">
        <v>79</v>
      </c>
      <c r="C19" s="173">
        <f t="shared" ref="C19:M19" si="1">SUM(C12:C18)</f>
        <v>193794.24</v>
      </c>
      <c r="D19" s="174">
        <f t="shared" si="1"/>
        <v>121900.23</v>
      </c>
      <c r="E19" s="173">
        <f t="shared" si="1"/>
        <v>199721.34</v>
      </c>
      <c r="F19" s="175">
        <f t="shared" si="1"/>
        <v>115697.91</v>
      </c>
      <c r="G19" s="173">
        <f t="shared" si="1"/>
        <v>205652.74</v>
      </c>
      <c r="H19" s="175">
        <f t="shared" si="1"/>
        <v>109217.04</v>
      </c>
      <c r="I19" s="173">
        <f t="shared" si="1"/>
        <v>211388.46000000002</v>
      </c>
      <c r="J19" s="175">
        <f t="shared" si="1"/>
        <v>102457.59999999999</v>
      </c>
      <c r="K19" s="173">
        <f t="shared" si="1"/>
        <v>217428.53</v>
      </c>
      <c r="L19" s="175">
        <f t="shared" si="1"/>
        <v>95417.489999999991</v>
      </c>
      <c r="M19" s="176">
        <f t="shared" si="1"/>
        <v>1572675.58</v>
      </c>
      <c r="N19" s="66"/>
      <c r="O19" s="14"/>
      <c r="P19" s="14"/>
    </row>
    <row r="20" spans="2:24" ht="15.4" x14ac:dyDescent="0.45">
      <c r="B20" s="177"/>
      <c r="C20" s="178"/>
      <c r="D20" s="179"/>
      <c r="E20" s="178"/>
      <c r="F20" s="180"/>
      <c r="G20" s="178"/>
      <c r="H20" s="180"/>
      <c r="I20" s="178"/>
      <c r="J20" s="181"/>
      <c r="K20" s="178"/>
      <c r="L20" s="180"/>
      <c r="M20" s="179"/>
      <c r="N20" s="182"/>
      <c r="O20" s="14"/>
      <c r="P20" s="14"/>
    </row>
    <row r="21" spans="2:24" ht="15.4" x14ac:dyDescent="0.45">
      <c r="B21" s="183"/>
      <c r="C21" s="184"/>
      <c r="D21" s="184"/>
      <c r="E21" s="184"/>
      <c r="F21" s="184"/>
      <c r="G21" s="184"/>
      <c r="H21" s="184"/>
      <c r="I21" s="184"/>
      <c r="J21" s="185"/>
      <c r="K21" s="185"/>
      <c r="L21" s="185"/>
      <c r="M21" s="184"/>
      <c r="N21" s="66"/>
      <c r="O21" s="14"/>
      <c r="P21" s="14"/>
    </row>
    <row r="22" spans="2:24" ht="15.4" x14ac:dyDescent="0.45">
      <c r="B22" s="186"/>
      <c r="C22" s="187"/>
      <c r="D22" s="188"/>
      <c r="E22" s="187"/>
      <c r="F22" s="187"/>
      <c r="G22" s="187"/>
      <c r="H22" s="187"/>
      <c r="I22" s="188" t="s">
        <v>152</v>
      </c>
      <c r="J22" s="14"/>
      <c r="K22" s="189"/>
      <c r="L22" s="190"/>
      <c r="M22" s="187">
        <f>M19/5</f>
        <v>314535.11600000004</v>
      </c>
      <c r="N22" s="66"/>
      <c r="O22" s="14"/>
      <c r="P22" s="14"/>
    </row>
    <row r="23" spans="2:24" ht="15.4" x14ac:dyDescent="0.45">
      <c r="B23" s="15"/>
      <c r="C23" s="188"/>
      <c r="D23" s="14"/>
      <c r="E23" s="188"/>
      <c r="F23" s="188"/>
      <c r="G23" s="188"/>
      <c r="H23" s="188"/>
      <c r="I23" s="188"/>
      <c r="J23" s="14"/>
      <c r="K23" s="18"/>
      <c r="L23" s="189"/>
      <c r="M23" s="24"/>
      <c r="N23" s="66"/>
      <c r="O23" s="14"/>
      <c r="P23" s="14"/>
    </row>
    <row r="24" spans="2:24" ht="15.4" x14ac:dyDescent="0.45">
      <c r="B24" s="186"/>
      <c r="C24" s="188"/>
      <c r="D24" s="188"/>
      <c r="E24" s="188"/>
      <c r="F24" s="188"/>
      <c r="G24" s="188"/>
      <c r="H24" s="188"/>
      <c r="I24" s="188" t="s">
        <v>153</v>
      </c>
      <c r="J24" s="14"/>
      <c r="K24" s="189"/>
      <c r="L24" s="188"/>
      <c r="M24" s="187">
        <f>M22*0.2</f>
        <v>62907.023200000011</v>
      </c>
      <c r="N24" s="66"/>
      <c r="O24" s="14"/>
      <c r="P24" s="14"/>
    </row>
    <row r="25" spans="2:24" ht="15.4" x14ac:dyDescent="0.45">
      <c r="B25" s="191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82"/>
      <c r="O25" s="14"/>
      <c r="P25" s="14"/>
    </row>
    <row r="26" spans="2:24" ht="15.4" x14ac:dyDescent="0.45"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</row>
    <row r="27" spans="2:24" ht="15.4" x14ac:dyDescent="0.45">
      <c r="B27" s="264"/>
      <c r="C27" s="264"/>
      <c r="D27" s="264"/>
      <c r="E27" s="264"/>
      <c r="F27" s="264"/>
      <c r="G27" s="264"/>
      <c r="H27" s="264"/>
      <c r="I27" s="282" t="s">
        <v>208</v>
      </c>
      <c r="J27" s="282"/>
      <c r="K27" s="282"/>
      <c r="L27" s="282"/>
      <c r="M27" s="283">
        <f>D19+F19+H19+J19+L19</f>
        <v>544690.27</v>
      </c>
      <c r="N27" s="264"/>
      <c r="O27" s="264"/>
      <c r="P27" s="264"/>
    </row>
    <row r="28" spans="2:24" ht="15.4" x14ac:dyDescent="0.45">
      <c r="B28" s="264"/>
      <c r="C28" s="264"/>
      <c r="D28" s="264"/>
      <c r="E28" s="264"/>
      <c r="F28" s="264"/>
      <c r="G28" s="264"/>
      <c r="H28" s="264"/>
      <c r="I28" s="282"/>
      <c r="J28" s="282"/>
      <c r="K28" s="282"/>
      <c r="L28" s="282"/>
      <c r="M28" s="282"/>
      <c r="N28" s="264"/>
      <c r="O28" s="264"/>
      <c r="P28" s="264"/>
    </row>
    <row r="29" spans="2:24" ht="15.4" x14ac:dyDescent="0.45">
      <c r="B29" s="264"/>
      <c r="C29" s="264"/>
      <c r="D29" s="264"/>
      <c r="E29" s="264"/>
      <c r="F29" s="264"/>
      <c r="G29" s="264"/>
      <c r="H29" s="264"/>
      <c r="I29" s="282" t="s">
        <v>209</v>
      </c>
      <c r="J29" s="282"/>
      <c r="K29" s="282"/>
      <c r="L29" s="282"/>
      <c r="M29" s="283">
        <f>M27/5</f>
        <v>108938.054</v>
      </c>
      <c r="N29" s="264"/>
      <c r="O29" s="264"/>
      <c r="P29" s="264"/>
    </row>
    <row r="30" spans="2:24" ht="15.4" x14ac:dyDescent="0.45"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</row>
    <row r="31" spans="2:24" ht="15.4" x14ac:dyDescent="0.45"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</row>
    <row r="32" spans="2:24" ht="15.4" x14ac:dyDescent="0.45"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</row>
    <row r="33" spans="2:16" ht="15.4" x14ac:dyDescent="0.45"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2:16" ht="15.4" x14ac:dyDescent="0.45"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</row>
    <row r="35" spans="2:16" ht="15.4" x14ac:dyDescent="0.45"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</row>
  </sheetData>
  <mergeCells count="5">
    <mergeCell ref="C9:D9"/>
    <mergeCell ref="E9:F9"/>
    <mergeCell ref="G9:H9"/>
    <mergeCell ref="I9:J9"/>
    <mergeCell ref="K9:L9"/>
  </mergeCells>
  <pageMargins left="0.7" right="0.7" top="0.75" bottom="0.75" header="0.3" footer="0.3"/>
  <pageSetup scale="92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03B9-59C5-4DF9-BA7B-F1E3EC2BAAEC}">
  <dimension ref="A1:D6"/>
  <sheetViews>
    <sheetView workbookViewId="0">
      <selection activeCell="C4" sqref="C4"/>
    </sheetView>
  </sheetViews>
  <sheetFormatPr defaultRowHeight="14.25" x14ac:dyDescent="0.45"/>
  <cols>
    <col min="1" max="1" width="25.609375" style="1" customWidth="1"/>
    <col min="2" max="2" width="8.83203125" style="199" customWidth="1"/>
    <col min="3" max="3" width="14.5546875" style="200" customWidth="1"/>
    <col min="4" max="4" width="8.88671875" style="16"/>
    <col min="5" max="16384" width="8.88671875" style="1"/>
  </cols>
  <sheetData>
    <row r="1" spans="1:3" x14ac:dyDescent="0.45">
      <c r="A1" s="1" t="s">
        <v>162</v>
      </c>
    </row>
    <row r="3" spans="1:3" x14ac:dyDescent="0.45">
      <c r="A3" s="1" t="s">
        <v>163</v>
      </c>
      <c r="C3" s="200">
        <v>32500</v>
      </c>
    </row>
    <row r="5" spans="1:3" x14ac:dyDescent="0.45">
      <c r="A5" s="1" t="s">
        <v>164</v>
      </c>
      <c r="B5" s="199">
        <v>0.3</v>
      </c>
      <c r="C5" s="200">
        <f>C3*B5</f>
        <v>9750</v>
      </c>
    </row>
    <row r="6" spans="1:3" x14ac:dyDescent="0.45">
      <c r="A6" s="1" t="s">
        <v>165</v>
      </c>
      <c r="B6" s="199">
        <v>0.7</v>
      </c>
      <c r="C6" s="200">
        <f>C3*B6</f>
        <v>22750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23B5-3C4F-4A66-BDCE-8C5FC4A546FE}">
  <dimension ref="A1:G27"/>
  <sheetViews>
    <sheetView workbookViewId="0">
      <selection activeCell="E27" sqref="E27"/>
    </sheetView>
  </sheetViews>
  <sheetFormatPr defaultRowHeight="14.25" x14ac:dyDescent="0.45"/>
  <cols>
    <col min="1" max="1" width="18.71875" style="1" customWidth="1"/>
    <col min="2" max="2" width="9.88671875" style="4" bestFit="1" customWidth="1"/>
    <col min="3" max="3" width="8.88671875" style="1"/>
    <col min="4" max="4" width="9.0546875" style="1" bestFit="1" customWidth="1"/>
    <col min="5" max="16384" width="8.88671875" style="1"/>
  </cols>
  <sheetData>
    <row r="1" spans="1:7" x14ac:dyDescent="0.45">
      <c r="A1" s="1" t="s">
        <v>167</v>
      </c>
    </row>
    <row r="2" spans="1:7" x14ac:dyDescent="0.45">
      <c r="A2" s="1" t="s">
        <v>168</v>
      </c>
      <c r="C2" s="4">
        <v>264268</v>
      </c>
    </row>
    <row r="3" spans="1:7" x14ac:dyDescent="0.45">
      <c r="A3" s="1" t="s">
        <v>169</v>
      </c>
      <c r="C3" s="4">
        <v>171634</v>
      </c>
    </row>
    <row r="4" spans="1:7" x14ac:dyDescent="0.45">
      <c r="A4" s="1" t="s">
        <v>170</v>
      </c>
    </row>
    <row r="5" spans="1:7" x14ac:dyDescent="0.45">
      <c r="A5" s="1" t="s">
        <v>171</v>
      </c>
      <c r="B5" s="4">
        <v>0</v>
      </c>
    </row>
    <row r="6" spans="1:7" x14ac:dyDescent="0.45">
      <c r="A6" s="1" t="s">
        <v>172</v>
      </c>
      <c r="B6" s="4">
        <v>2097</v>
      </c>
    </row>
    <row r="7" spans="1:7" x14ac:dyDescent="0.45">
      <c r="A7" s="1" t="s">
        <v>173</v>
      </c>
      <c r="B7" s="4">
        <v>174</v>
      </c>
    </row>
    <row r="8" spans="1:7" x14ac:dyDescent="0.45">
      <c r="A8" s="1" t="s">
        <v>174</v>
      </c>
      <c r="B8" s="4">
        <v>0</v>
      </c>
    </row>
    <row r="9" spans="1:7" x14ac:dyDescent="0.45">
      <c r="C9" s="116">
        <f>B5+B6+B7+B8</f>
        <v>2271</v>
      </c>
    </row>
    <row r="10" spans="1:7" x14ac:dyDescent="0.45">
      <c r="A10" s="1" t="s">
        <v>175</v>
      </c>
      <c r="B10" s="4">
        <v>80</v>
      </c>
    </row>
    <row r="11" spans="1:7" x14ac:dyDescent="0.45">
      <c r="A11" s="1" t="s">
        <v>176</v>
      </c>
      <c r="B11" s="4">
        <v>15171</v>
      </c>
    </row>
    <row r="12" spans="1:7" x14ac:dyDescent="0.45">
      <c r="A12" s="1" t="s">
        <v>177</v>
      </c>
      <c r="B12" s="4">
        <v>74739</v>
      </c>
    </row>
    <row r="13" spans="1:7" x14ac:dyDescent="0.45">
      <c r="A13" s="1" t="s">
        <v>181</v>
      </c>
      <c r="B13" s="4">
        <v>373</v>
      </c>
    </row>
    <row r="14" spans="1:7" x14ac:dyDescent="0.45">
      <c r="C14" s="116">
        <f>B10+B11+B12+B13</f>
        <v>90363</v>
      </c>
      <c r="D14" s="202">
        <f>C14/C2</f>
        <v>0.34193697307278975</v>
      </c>
      <c r="E14" s="1" t="s">
        <v>178</v>
      </c>
    </row>
    <row r="15" spans="1:7" x14ac:dyDescent="0.45">
      <c r="C15" s="116"/>
      <c r="D15" s="71">
        <v>0.15</v>
      </c>
      <c r="E15" s="1" t="s">
        <v>179</v>
      </c>
    </row>
    <row r="16" spans="1:7" x14ac:dyDescent="0.45">
      <c r="D16" s="202">
        <f>IF(D14&gt;D15,D14-D15,0)</f>
        <v>0.19193697307278976</v>
      </c>
      <c r="E16" s="1" t="s">
        <v>180</v>
      </c>
      <c r="G16" s="16"/>
    </row>
    <row r="18" spans="1:4" x14ac:dyDescent="0.45">
      <c r="A18" s="1" t="s">
        <v>199</v>
      </c>
      <c r="D18" s="1" t="s">
        <v>36</v>
      </c>
    </row>
    <row r="19" spans="1:4" x14ac:dyDescent="0.45">
      <c r="A19" s="1" t="s">
        <v>5</v>
      </c>
      <c r="B19" s="258">
        <f>SAO!D23</f>
        <v>746436</v>
      </c>
      <c r="D19" s="257">
        <f>D16*B19</f>
        <v>143268.66643256089</v>
      </c>
    </row>
    <row r="20" spans="1:4" x14ac:dyDescent="0.45">
      <c r="A20" s="1" t="s">
        <v>6</v>
      </c>
      <c r="B20" s="258">
        <f>SAO!E24</f>
        <v>32801.43</v>
      </c>
      <c r="D20" s="257">
        <f>D16*B20</f>
        <v>6295.807186658998</v>
      </c>
    </row>
    <row r="21" spans="1:4" x14ac:dyDescent="0.45">
      <c r="A21" s="1" t="s">
        <v>83</v>
      </c>
      <c r="B21" s="259">
        <f>SAO!D26</f>
        <v>201</v>
      </c>
      <c r="C21" s="260"/>
      <c r="D21" s="261">
        <f>D16*B21</f>
        <v>38.57933158763074</v>
      </c>
    </row>
    <row r="22" spans="1:4" x14ac:dyDescent="0.45">
      <c r="A22" s="1" t="s">
        <v>12</v>
      </c>
      <c r="B22" s="258">
        <f>SUM(B19:B21)</f>
        <v>779438.43</v>
      </c>
      <c r="D22" s="257">
        <f>SUM(D19:D21)</f>
        <v>149603.0529508075</v>
      </c>
    </row>
    <row r="24" spans="1:4" x14ac:dyDescent="0.45">
      <c r="A24" s="1" t="s">
        <v>200</v>
      </c>
    </row>
    <row r="25" spans="1:4" x14ac:dyDescent="0.45">
      <c r="A25" s="1" t="s">
        <v>201</v>
      </c>
      <c r="D25" s="200">
        <f>D22</f>
        <v>149603.0529508075</v>
      </c>
    </row>
    <row r="26" spans="1:4" x14ac:dyDescent="0.45">
      <c r="A26" s="1" t="s">
        <v>202</v>
      </c>
      <c r="D26" s="138">
        <v>37898</v>
      </c>
    </row>
    <row r="27" spans="1:4" x14ac:dyDescent="0.45">
      <c r="A27" s="1" t="s">
        <v>203</v>
      </c>
      <c r="D27" s="39">
        <f>ROUND(D25/D26,2)</f>
        <v>3.95</v>
      </c>
    </row>
  </sheetData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H13"/>
  <sheetViews>
    <sheetView showGridLines="0" topLeftCell="E1" zoomScaleNormal="100" workbookViewId="0">
      <selection activeCell="M14" sqref="M14"/>
    </sheetView>
  </sheetViews>
  <sheetFormatPr defaultColWidth="8.88671875" defaultRowHeight="14.25" x14ac:dyDescent="0.45"/>
  <cols>
    <col min="1" max="1" width="2.609375" style="13" customWidth="1"/>
    <col min="2" max="2" width="1.77734375" style="22" customWidth="1"/>
    <col min="3" max="3" width="4.609375" style="22" customWidth="1"/>
    <col min="4" max="4" width="7.609375" style="88" customWidth="1"/>
    <col min="5" max="5" width="10.609375" style="225" customWidth="1"/>
    <col min="6" max="6" width="10.609375" style="22" customWidth="1"/>
    <col min="7" max="7" width="12.609375" style="22" customWidth="1"/>
    <col min="8" max="8" width="10.609375" style="22" customWidth="1"/>
    <col min="9" max="9" width="12.609375" style="76" customWidth="1"/>
    <col min="10" max="10" width="10.609375" style="22" customWidth="1"/>
    <col min="11" max="11" width="6" style="219" customWidth="1"/>
    <col min="12" max="12" width="1.77734375" style="22" customWidth="1"/>
    <col min="13" max="190" width="9.6640625" style="22" customWidth="1"/>
    <col min="191" max="16384" width="8.88671875" style="13"/>
  </cols>
  <sheetData>
    <row r="1" spans="2:190" ht="14.65" thickBot="1" x14ac:dyDescent="0.5"/>
    <row r="2" spans="2:190" x14ac:dyDescent="0.45">
      <c r="B2" s="229"/>
      <c r="C2" s="230"/>
      <c r="D2" s="231"/>
      <c r="E2" s="245"/>
      <c r="F2" s="230"/>
      <c r="G2" s="230"/>
      <c r="H2" s="230"/>
      <c r="I2" s="232"/>
      <c r="J2" s="230"/>
      <c r="K2" s="233"/>
      <c r="L2" s="234"/>
    </row>
    <row r="3" spans="2:190" ht="18" x14ac:dyDescent="0.55000000000000004">
      <c r="B3" s="235"/>
      <c r="C3" s="308" t="s">
        <v>80</v>
      </c>
      <c r="D3" s="308"/>
      <c r="E3" s="308"/>
      <c r="F3" s="308"/>
      <c r="G3" s="308"/>
      <c r="H3" s="308"/>
      <c r="I3" s="308"/>
      <c r="J3" s="308"/>
      <c r="L3" s="236"/>
    </row>
    <row r="4" spans="2:190" ht="7.15" customHeight="1" x14ac:dyDescent="0.45">
      <c r="B4" s="235"/>
      <c r="L4" s="236"/>
    </row>
    <row r="5" spans="2:190" ht="18" x14ac:dyDescent="0.55000000000000004">
      <c r="B5" s="235"/>
      <c r="C5" s="304" t="s">
        <v>54</v>
      </c>
      <c r="D5" s="304"/>
      <c r="E5" s="304"/>
      <c r="F5" s="304"/>
      <c r="G5" s="304"/>
      <c r="H5" s="304"/>
      <c r="I5" s="304"/>
      <c r="J5" s="304"/>
      <c r="L5" s="236"/>
    </row>
    <row r="6" spans="2:190" ht="18" customHeight="1" x14ac:dyDescent="0.45">
      <c r="B6" s="235"/>
      <c r="C6" s="305" t="str">
        <f>SAO!A2</f>
        <v>WHITLEY COUNTY WATER DISTRICT #1</v>
      </c>
      <c r="D6" s="305"/>
      <c r="E6" s="305"/>
      <c r="F6" s="305"/>
      <c r="G6" s="305"/>
      <c r="H6" s="305"/>
      <c r="I6" s="305"/>
      <c r="J6" s="305"/>
      <c r="L6" s="236"/>
    </row>
    <row r="7" spans="2:190" ht="6" customHeight="1" x14ac:dyDescent="0.45">
      <c r="B7" s="235"/>
      <c r="L7" s="236"/>
    </row>
    <row r="8" spans="2:190" ht="14.25" customHeight="1" x14ac:dyDescent="0.45">
      <c r="B8" s="235"/>
      <c r="C8" s="73"/>
      <c r="D8" s="224"/>
      <c r="E8" s="246"/>
      <c r="F8" s="309" t="s">
        <v>186</v>
      </c>
      <c r="G8" s="309"/>
      <c r="H8" s="309" t="s">
        <v>11</v>
      </c>
      <c r="I8" s="309"/>
      <c r="J8" s="309" t="s">
        <v>64</v>
      </c>
      <c r="K8" s="309"/>
      <c r="L8" s="237"/>
      <c r="GH8" s="13"/>
    </row>
    <row r="9" spans="2:190" ht="17.25" customHeight="1" x14ac:dyDescent="0.45">
      <c r="B9" s="235"/>
      <c r="C9" s="86" t="s">
        <v>190</v>
      </c>
      <c r="D9" s="3">
        <v>1000</v>
      </c>
      <c r="E9" s="87" t="s">
        <v>189</v>
      </c>
      <c r="F9" s="227">
        <v>19.72</v>
      </c>
      <c r="G9" s="41" t="s">
        <v>110</v>
      </c>
      <c r="H9" s="41">
        <f>ROUND(F9*(1+'Revenue Requirements'!$G$13),2)</f>
        <v>20.81</v>
      </c>
      <c r="I9" s="76" t="s">
        <v>110</v>
      </c>
      <c r="J9" s="41">
        <f>H9-F9</f>
        <v>1.0899999999999999</v>
      </c>
      <c r="K9" s="62">
        <f>J9/F9</f>
        <v>5.527383367139959E-2</v>
      </c>
      <c r="L9" s="237"/>
      <c r="GH9" s="13"/>
    </row>
    <row r="10" spans="2:190" ht="14.25" customHeight="1" x14ac:dyDescent="0.45">
      <c r="B10" s="235"/>
      <c r="C10" s="86" t="s">
        <v>191</v>
      </c>
      <c r="D10" s="3">
        <v>4000</v>
      </c>
      <c r="E10" s="87" t="s">
        <v>189</v>
      </c>
      <c r="F10" s="228">
        <v>7.1799999999999998E-3</v>
      </c>
      <c r="G10" s="41" t="s">
        <v>188</v>
      </c>
      <c r="H10" s="223">
        <f>ROUND(F10*(1+'Revenue Requirements'!$G$13),5)</f>
        <v>7.5799999999999999E-3</v>
      </c>
      <c r="I10" s="76" t="s">
        <v>188</v>
      </c>
      <c r="J10" s="223">
        <f>H10-F10</f>
        <v>4.0000000000000018E-4</v>
      </c>
      <c r="K10" s="62">
        <f t="shared" ref="K10:K12" si="0">J10/F10</f>
        <v>5.5710306406685263E-2</v>
      </c>
      <c r="L10" s="237"/>
      <c r="GH10" s="13"/>
    </row>
    <row r="11" spans="2:190" ht="14.25" customHeight="1" x14ac:dyDescent="0.45">
      <c r="B11" s="238"/>
      <c r="C11" s="86" t="s">
        <v>191</v>
      </c>
      <c r="D11" s="3">
        <v>95000</v>
      </c>
      <c r="E11" s="87" t="s">
        <v>189</v>
      </c>
      <c r="F11" s="228">
        <v>6.7600000000000004E-3</v>
      </c>
      <c r="G11" s="41" t="s">
        <v>188</v>
      </c>
      <c r="H11" s="223">
        <f>ROUND(F11*(1+'Revenue Requirements'!$G$13),5)</f>
        <v>7.1399999999999996E-3</v>
      </c>
      <c r="I11" s="76" t="s">
        <v>188</v>
      </c>
      <c r="J11" s="223">
        <f t="shared" ref="J11:J12" si="1">H11-F11</f>
        <v>3.7999999999999926E-4</v>
      </c>
      <c r="K11" s="62">
        <f t="shared" si="0"/>
        <v>5.6213017751479175E-2</v>
      </c>
      <c r="L11" s="237"/>
      <c r="GH11" s="13"/>
    </row>
    <row r="12" spans="2:190" ht="15" customHeight="1" x14ac:dyDescent="0.45">
      <c r="B12" s="235"/>
      <c r="C12" s="226" t="s">
        <v>192</v>
      </c>
      <c r="D12" s="90">
        <v>100000</v>
      </c>
      <c r="E12" s="225" t="s">
        <v>189</v>
      </c>
      <c r="F12" s="228">
        <v>6.2100000000000002E-3</v>
      </c>
      <c r="G12" s="41" t="s">
        <v>188</v>
      </c>
      <c r="H12" s="223">
        <f>ROUND(F12*(1+'Revenue Requirements'!$G$13),5)</f>
        <v>6.5500000000000003E-3</v>
      </c>
      <c r="I12" s="76" t="s">
        <v>188</v>
      </c>
      <c r="J12" s="223">
        <f t="shared" si="1"/>
        <v>3.4000000000000002E-4</v>
      </c>
      <c r="K12" s="62">
        <f t="shared" si="0"/>
        <v>5.4750402576489533E-2</v>
      </c>
      <c r="L12" s="237"/>
      <c r="GH12" s="13"/>
    </row>
    <row r="13" spans="2:190" ht="14.65" thickBot="1" x14ac:dyDescent="0.5">
      <c r="B13" s="239"/>
      <c r="C13" s="240"/>
      <c r="D13" s="241"/>
      <c r="E13" s="247"/>
      <c r="F13" s="240"/>
      <c r="G13" s="240"/>
      <c r="H13" s="240"/>
      <c r="I13" s="242"/>
      <c r="J13" s="240"/>
      <c r="K13" s="243"/>
      <c r="L13" s="244"/>
    </row>
  </sheetData>
  <mergeCells count="6">
    <mergeCell ref="C5:J5"/>
    <mergeCell ref="C6:J6"/>
    <mergeCell ref="C3:J3"/>
    <mergeCell ref="F8:G8"/>
    <mergeCell ref="H8:I8"/>
    <mergeCell ref="J8:K8"/>
  </mergeCells>
  <printOptions horizontalCentered="1" verticalCentered="1"/>
  <pageMargins left="0.5" right="0.5" top="0.75" bottom="0.75" header="0" footer="0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SAO</vt:lpstr>
      <vt:lpstr>Revenue Requirements</vt:lpstr>
      <vt:lpstr>Wages</vt:lpstr>
      <vt:lpstr>Medical</vt:lpstr>
      <vt:lpstr>Depreciation</vt:lpstr>
      <vt:lpstr>Debt Service</vt:lpstr>
      <vt:lpstr>Capital</vt:lpstr>
      <vt:lpstr>Water Loss</vt:lpstr>
      <vt:lpstr>Rates</vt:lpstr>
      <vt:lpstr>Rates with Surcharge</vt:lpstr>
      <vt:lpstr>Bills</vt:lpstr>
      <vt:lpstr>Bills with Surcharge</vt:lpstr>
      <vt:lpstr>ExBA</vt:lpstr>
      <vt:lpstr>PrBA</vt:lpstr>
      <vt:lpstr>Bills!Print_Area</vt:lpstr>
      <vt:lpstr>'Bills with Surcharge'!Print_Area</vt:lpstr>
      <vt:lpstr>'Debt Service'!Print_Area</vt:lpstr>
      <vt:lpstr>Depreciation!Print_Area</vt:lpstr>
      <vt:lpstr>ExBA!Print_Area</vt:lpstr>
      <vt:lpstr>PrBA!Print_Area</vt:lpstr>
      <vt:lpstr>Rates!Print_Area</vt:lpstr>
      <vt:lpstr>'Rates with Surcharge'!Print_Area</vt:lpstr>
      <vt:lpstr>'Revenue Requirements'!Print_Area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2022-09-23T15:55:19Z</cp:lastPrinted>
  <dcterms:created xsi:type="dcterms:W3CDTF">2016-05-18T14:12:06Z</dcterms:created>
  <dcterms:modified xsi:type="dcterms:W3CDTF">2022-11-03T19:18:33Z</dcterms:modified>
</cp:coreProperties>
</file>