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North Shelby WC/"/>
    </mc:Choice>
  </mc:AlternateContent>
  <xr:revisionPtr revIDLastSave="97" documentId="8_{2FDE0EC4-06D3-4AB0-BF8B-894186C9BDAA}" xr6:coauthVersionLast="47" xr6:coauthVersionMax="47" xr10:uidLastSave="{CE94C677-EA7F-4D0A-96FD-CDB79A2C297F}"/>
  <bookViews>
    <workbookView xWindow="-98" yWindow="-98" windowWidth="20715" windowHeight="13155" activeTab="2" xr2:uid="{00000000-000D-0000-FFFF-FFFF00000000}"/>
  </bookViews>
  <sheets>
    <sheet name="SAO" sheetId="6" r:id="rId1"/>
    <sheet name="Revenue Requirements" sheetId="56" r:id="rId2"/>
    <sheet name="Wages" sheetId="49" r:id="rId3"/>
    <sheet name="Medical" sheetId="40" r:id="rId4"/>
    <sheet name="Depreciation" sheetId="52" r:id="rId5"/>
    <sheet name="Debt Service" sheetId="53" r:id="rId6"/>
    <sheet name="Capital" sheetId="54" r:id="rId7"/>
    <sheet name="Water Loss" sheetId="55" r:id="rId8"/>
    <sheet name="Rates No Increase" sheetId="58" r:id="rId9"/>
    <sheet name="Rates DSCM" sheetId="2" r:id="rId10"/>
    <sheet name="Rates ORM" sheetId="59" r:id="rId11"/>
    <sheet name="Bills DSCM" sheetId="42" r:id="rId12"/>
    <sheet name="Bills ORM" sheetId="60" r:id="rId13"/>
    <sheet name="ExBA" sheetId="51" r:id="rId14"/>
    <sheet name="PrBA" sheetId="57" r:id="rId15"/>
  </sheets>
  <externalReferences>
    <externalReference r:id="rId16"/>
    <externalReference r:id="rId17"/>
    <externalReference r:id="rId18"/>
    <externalReference r:id="rId19"/>
  </externalReferences>
  <definedNames>
    <definedName name="AHV">#REF!</definedName>
    <definedName name="_xlnm.Print_Area" localSheetId="11">'Bills DSCM'!$A$1:$J$25</definedName>
    <definedName name="_xlnm.Print_Area" localSheetId="12">'Bills ORM'!$A$1:$J$25</definedName>
    <definedName name="_xlnm.Print_Area" localSheetId="5">'Debt Service'!$A$1:$O$29</definedName>
    <definedName name="_xlnm.Print_Area" localSheetId="13">ExBA!$A$1:$J$94</definedName>
    <definedName name="_xlnm.Print_Area" localSheetId="14">PrBA!$A$1:$J$138</definedName>
    <definedName name="_xlnm.Print_Area" localSheetId="9">'Rates DSCM'!$A$1:$L$36</definedName>
    <definedName name="_xlnm.Print_Area" localSheetId="8">'Rates No Increase'!$A$1:$L$35</definedName>
    <definedName name="_xlnm.Print_Area" localSheetId="10">'Rates ORM'!$A$1:$L$36</definedName>
    <definedName name="_xlnm.Print_Area" localSheetId="1">'Revenue Requirements'!$A$1:$H$26</definedName>
    <definedName name="_xlnm.Print_Area" localSheetId="0">SAO!$A$1:$G$50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49" l="1"/>
  <c r="J29" i="49"/>
  <c r="J25" i="49"/>
  <c r="M18" i="49"/>
  <c r="N18" i="49" s="1"/>
  <c r="M17" i="49"/>
  <c r="M16" i="49"/>
  <c r="M15" i="49"/>
  <c r="M14" i="49"/>
  <c r="N14" i="49" s="1"/>
  <c r="M13" i="49"/>
  <c r="N13" i="49" s="1"/>
  <c r="M12" i="49"/>
  <c r="N12" i="49" s="1"/>
  <c r="M11" i="49"/>
  <c r="N11" i="49" s="1"/>
  <c r="M10" i="49"/>
  <c r="N10" i="49" s="1"/>
  <c r="M9" i="49"/>
  <c r="M8" i="49"/>
  <c r="M7" i="49"/>
  <c r="M5" i="49"/>
  <c r="M6" i="49"/>
  <c r="N6" i="49" s="1"/>
  <c r="N17" i="49"/>
  <c r="N16" i="49"/>
  <c r="N15" i="49"/>
  <c r="N9" i="49"/>
  <c r="N8" i="49"/>
  <c r="N7" i="49"/>
  <c r="N5" i="49"/>
  <c r="E9" i="60"/>
  <c r="E22" i="60"/>
  <c r="E21" i="60"/>
  <c r="E20" i="60"/>
  <c r="E19" i="60"/>
  <c r="E18" i="60"/>
  <c r="E17" i="60"/>
  <c r="E16" i="60"/>
  <c r="E15" i="60"/>
  <c r="E14" i="60"/>
  <c r="E13" i="60"/>
  <c r="E12" i="60"/>
  <c r="E11" i="60"/>
  <c r="E10" i="60"/>
  <c r="C4" i="60"/>
  <c r="L20" i="49" l="1"/>
  <c r="C7" i="59"/>
  <c r="H34" i="58" l="1"/>
  <c r="H33" i="58"/>
  <c r="J33" i="58" s="1"/>
  <c r="K33" i="58" s="1"/>
  <c r="H32" i="58"/>
  <c r="H29" i="58"/>
  <c r="H28" i="58"/>
  <c r="J28" i="58" s="1"/>
  <c r="K28" i="58" s="1"/>
  <c r="H27" i="58"/>
  <c r="H24" i="58"/>
  <c r="J24" i="58" s="1"/>
  <c r="K24" i="58" s="1"/>
  <c r="H23" i="58"/>
  <c r="J23" i="58" s="1"/>
  <c r="K23" i="58" s="1"/>
  <c r="H22" i="58"/>
  <c r="H19" i="58"/>
  <c r="H18" i="58"/>
  <c r="H17" i="58"/>
  <c r="H16" i="58"/>
  <c r="H13" i="58"/>
  <c r="J13" i="58" s="1"/>
  <c r="K13" i="58" s="1"/>
  <c r="H12" i="58"/>
  <c r="H11" i="58"/>
  <c r="H10" i="58"/>
  <c r="J10" i="58" s="1"/>
  <c r="K10" i="58" s="1"/>
  <c r="H9" i="58"/>
  <c r="J34" i="58"/>
  <c r="K34" i="58" s="1"/>
  <c r="J29" i="58"/>
  <c r="K29" i="58" s="1"/>
  <c r="J19" i="58"/>
  <c r="K19" i="58" s="1"/>
  <c r="J18" i="58"/>
  <c r="K18" i="58" s="1"/>
  <c r="J17" i="58"/>
  <c r="K17" i="58" s="1"/>
  <c r="J12" i="58"/>
  <c r="K12" i="58" s="1"/>
  <c r="J11" i="58"/>
  <c r="K11" i="58" s="1"/>
  <c r="C6" i="58"/>
  <c r="H11" i="52"/>
  <c r="F11" i="52"/>
  <c r="H39" i="52"/>
  <c r="F39" i="52"/>
  <c r="J39" i="52" s="1"/>
  <c r="J38" i="52"/>
  <c r="K38" i="52" s="1"/>
  <c r="H35" i="52"/>
  <c r="F35" i="52"/>
  <c r="H31" i="52"/>
  <c r="F31" i="52"/>
  <c r="H30" i="52"/>
  <c r="F30" i="52"/>
  <c r="H27" i="52"/>
  <c r="F27" i="52"/>
  <c r="H26" i="52"/>
  <c r="F26" i="52"/>
  <c r="H25" i="52"/>
  <c r="F25" i="52"/>
  <c r="H24" i="52"/>
  <c r="F24" i="52"/>
  <c r="H21" i="52"/>
  <c r="F21" i="52"/>
  <c r="H15" i="52"/>
  <c r="F15" i="52"/>
  <c r="H13" i="52"/>
  <c r="F13" i="52"/>
  <c r="J44" i="49"/>
  <c r="J45" i="49" s="1"/>
  <c r="J38" i="49"/>
  <c r="I18" i="49"/>
  <c r="H18" i="49"/>
  <c r="D18" i="49"/>
  <c r="C18" i="49"/>
  <c r="I17" i="49"/>
  <c r="H17" i="49"/>
  <c r="E17" i="49"/>
  <c r="D17" i="49"/>
  <c r="I16" i="49"/>
  <c r="H16" i="49"/>
  <c r="D16" i="49"/>
  <c r="C16" i="49"/>
  <c r="I15" i="49"/>
  <c r="H15" i="49"/>
  <c r="D15" i="49"/>
  <c r="C15" i="49"/>
  <c r="I14" i="49"/>
  <c r="H14" i="49"/>
  <c r="D14" i="49"/>
  <c r="C14" i="49"/>
  <c r="I13" i="49"/>
  <c r="H13" i="49"/>
  <c r="D13" i="49"/>
  <c r="E13" i="49"/>
  <c r="I12" i="49"/>
  <c r="H12" i="49"/>
  <c r="D12" i="49"/>
  <c r="C12" i="49"/>
  <c r="I11" i="49"/>
  <c r="H11" i="49"/>
  <c r="D11" i="49"/>
  <c r="C11" i="49"/>
  <c r="I10" i="49"/>
  <c r="H10" i="49"/>
  <c r="D10" i="49"/>
  <c r="D9" i="49"/>
  <c r="C10" i="49"/>
  <c r="I8" i="49"/>
  <c r="H8" i="49"/>
  <c r="I7" i="49"/>
  <c r="H7" i="49"/>
  <c r="I6" i="49"/>
  <c r="H6" i="49"/>
  <c r="I5" i="49"/>
  <c r="H5" i="49"/>
  <c r="I9" i="49"/>
  <c r="H9" i="49"/>
  <c r="E9" i="49"/>
  <c r="D8" i="49"/>
  <c r="C8" i="49"/>
  <c r="D7" i="49"/>
  <c r="C7" i="49"/>
  <c r="D6" i="49"/>
  <c r="C6" i="49"/>
  <c r="C5" i="49"/>
  <c r="D5" i="49"/>
  <c r="C3" i="54"/>
  <c r="D86" i="51"/>
  <c r="C86" i="51"/>
  <c r="D85" i="51"/>
  <c r="C85" i="51"/>
  <c r="D84" i="51"/>
  <c r="C84" i="51"/>
  <c r="D71" i="51"/>
  <c r="C71" i="51"/>
  <c r="D70" i="51"/>
  <c r="C70" i="51"/>
  <c r="D69" i="51"/>
  <c r="C69" i="51"/>
  <c r="D56" i="51"/>
  <c r="C56" i="51"/>
  <c r="D55" i="51"/>
  <c r="C55" i="51"/>
  <c r="D54" i="51"/>
  <c r="C54" i="51"/>
  <c r="D40" i="51"/>
  <c r="C40" i="51"/>
  <c r="D39" i="51"/>
  <c r="C39" i="51"/>
  <c r="D38" i="51"/>
  <c r="C38" i="51"/>
  <c r="D37" i="51"/>
  <c r="C37" i="51"/>
  <c r="D21" i="51"/>
  <c r="C21" i="51"/>
  <c r="D20" i="51"/>
  <c r="C20" i="51"/>
  <c r="D19" i="51"/>
  <c r="C19" i="51"/>
  <c r="D18" i="51"/>
  <c r="C18" i="51"/>
  <c r="D17" i="51"/>
  <c r="C17" i="51"/>
  <c r="J22" i="58" l="1"/>
  <c r="K22" i="58" s="1"/>
  <c r="J9" i="58"/>
  <c r="K9" i="58" s="1"/>
  <c r="K39" i="52"/>
  <c r="I20" i="49"/>
  <c r="H20" i="49"/>
  <c r="G8" i="57"/>
  <c r="G8" i="51"/>
  <c r="D86" i="57"/>
  <c r="C86" i="57"/>
  <c r="D85" i="57"/>
  <c r="C85" i="57"/>
  <c r="D84" i="57"/>
  <c r="E84" i="57" s="1"/>
  <c r="C84" i="57"/>
  <c r="D71" i="57"/>
  <c r="C71" i="57"/>
  <c r="D70" i="57"/>
  <c r="C70" i="57"/>
  <c r="D69" i="57"/>
  <c r="C69" i="57"/>
  <c r="D56" i="57"/>
  <c r="C56" i="57"/>
  <c r="D55" i="57"/>
  <c r="C55" i="57"/>
  <c r="D54" i="57"/>
  <c r="E54" i="57" s="1"/>
  <c r="C54" i="57"/>
  <c r="D40" i="57"/>
  <c r="C40" i="57"/>
  <c r="D39" i="57"/>
  <c r="C39" i="57"/>
  <c r="D38" i="57"/>
  <c r="C38" i="57"/>
  <c r="D37" i="57"/>
  <c r="E37" i="57" s="1"/>
  <c r="I37" i="57" s="1"/>
  <c r="C37" i="57"/>
  <c r="D21" i="57"/>
  <c r="C21" i="57"/>
  <c r="D20" i="57"/>
  <c r="C20" i="57"/>
  <c r="D19" i="57"/>
  <c r="C19" i="57"/>
  <c r="D18" i="57"/>
  <c r="C18" i="57"/>
  <c r="D17" i="57"/>
  <c r="E17" i="57" s="1"/>
  <c r="J17" i="57" s="1"/>
  <c r="C17" i="57"/>
  <c r="B93" i="57"/>
  <c r="B92" i="57"/>
  <c r="B91" i="57"/>
  <c r="B86" i="57"/>
  <c r="G83" i="57" s="1"/>
  <c r="B85" i="57"/>
  <c r="F83" i="57" s="1"/>
  <c r="B84" i="57"/>
  <c r="E83" i="57" s="1"/>
  <c r="B78" i="57"/>
  <c r="B77" i="57"/>
  <c r="B76" i="57"/>
  <c r="B71" i="57"/>
  <c r="G68" i="57" s="1"/>
  <c r="B70" i="57"/>
  <c r="F68" i="57" s="1"/>
  <c r="B69" i="57"/>
  <c r="E68" i="57" s="1"/>
  <c r="B63" i="57"/>
  <c r="B62" i="57"/>
  <c r="B61" i="57"/>
  <c r="B56" i="57"/>
  <c r="G53" i="57" s="1"/>
  <c r="B55" i="57"/>
  <c r="F53" i="57" s="1"/>
  <c r="B54" i="57"/>
  <c r="E53" i="57" s="1"/>
  <c r="B48" i="57"/>
  <c r="B47" i="57"/>
  <c r="B46" i="57"/>
  <c r="B45" i="57"/>
  <c r="B40" i="57"/>
  <c r="H36" i="57" s="1"/>
  <c r="B39" i="57"/>
  <c r="G36" i="57" s="1"/>
  <c r="B38" i="57"/>
  <c r="F36" i="57" s="1"/>
  <c r="B37" i="57"/>
  <c r="E36" i="57" s="1"/>
  <c r="B31" i="57"/>
  <c r="B30" i="57"/>
  <c r="B29" i="57"/>
  <c r="B28" i="57"/>
  <c r="B27" i="57"/>
  <c r="B21" i="57"/>
  <c r="I16" i="57" s="1"/>
  <c r="B20" i="57"/>
  <c r="H16" i="57" s="1"/>
  <c r="B19" i="57"/>
  <c r="G16" i="57" s="1"/>
  <c r="B18" i="57"/>
  <c r="B17" i="57"/>
  <c r="E16" i="57" s="1"/>
  <c r="F16" i="57"/>
  <c r="A2" i="57"/>
  <c r="D42" i="6"/>
  <c r="D39" i="6"/>
  <c r="D34" i="6"/>
  <c r="G14" i="6"/>
  <c r="M18" i="53"/>
  <c r="E18" i="57" l="1"/>
  <c r="F18" i="57" s="1"/>
  <c r="J18" i="57" s="1"/>
  <c r="F20" i="57"/>
  <c r="J27" i="58"/>
  <c r="K27" i="58" s="1"/>
  <c r="J16" i="58"/>
  <c r="K16" i="58" s="1"/>
  <c r="C87" i="57"/>
  <c r="C91" i="57" s="1"/>
  <c r="F56" i="57"/>
  <c r="C57" i="57"/>
  <c r="C61" i="57" s="1"/>
  <c r="D87" i="57"/>
  <c r="F86" i="57"/>
  <c r="D72" i="57"/>
  <c r="E70" i="57"/>
  <c r="F70" i="57" s="1"/>
  <c r="E69" i="57"/>
  <c r="H69" i="57" s="1"/>
  <c r="C72" i="57"/>
  <c r="C76" i="57" s="1"/>
  <c r="D57" i="57"/>
  <c r="G40" i="57"/>
  <c r="C41" i="57"/>
  <c r="C45" i="57" s="1"/>
  <c r="D41" i="57"/>
  <c r="E21" i="57"/>
  <c r="D22" i="57"/>
  <c r="F19" i="57"/>
  <c r="C22" i="57"/>
  <c r="C27" i="57" s="1"/>
  <c r="F71" i="57"/>
  <c r="H21" i="57"/>
  <c r="E86" i="57"/>
  <c r="E85" i="57"/>
  <c r="F40" i="57"/>
  <c r="F39" i="57"/>
  <c r="G20" i="57"/>
  <c r="G21" i="57"/>
  <c r="E40" i="57"/>
  <c r="E38" i="57"/>
  <c r="E39" i="57"/>
  <c r="E56" i="57"/>
  <c r="E55" i="57"/>
  <c r="F21" i="57"/>
  <c r="E20" i="57"/>
  <c r="H54" i="57"/>
  <c r="H84" i="57"/>
  <c r="E19" i="57"/>
  <c r="E71" i="57"/>
  <c r="G8" i="6"/>
  <c r="D27" i="40"/>
  <c r="E26" i="6" s="1"/>
  <c r="D25" i="40"/>
  <c r="D24" i="40"/>
  <c r="D23" i="40"/>
  <c r="I19" i="40"/>
  <c r="I18" i="40"/>
  <c r="I17" i="40"/>
  <c r="I16" i="40"/>
  <c r="G19" i="40"/>
  <c r="G18" i="40"/>
  <c r="G17" i="40"/>
  <c r="G16" i="40"/>
  <c r="C19" i="40"/>
  <c r="J32" i="58" l="1"/>
  <c r="K32" i="58" s="1"/>
  <c r="F22" i="57"/>
  <c r="D28" i="57" s="1"/>
  <c r="E72" i="57"/>
  <c r="D76" i="57" s="1"/>
  <c r="F72" i="57"/>
  <c r="D77" i="57" s="1"/>
  <c r="E41" i="57"/>
  <c r="D45" i="57" s="1"/>
  <c r="D7" i="57"/>
  <c r="H70" i="57"/>
  <c r="I21" i="57"/>
  <c r="G19" i="57"/>
  <c r="G22" i="57" s="1"/>
  <c r="D29" i="57" s="1"/>
  <c r="F85" i="57"/>
  <c r="F87" i="57" s="1"/>
  <c r="D92" i="57" s="1"/>
  <c r="G39" i="57"/>
  <c r="G41" i="57" s="1"/>
  <c r="D47" i="57" s="1"/>
  <c r="G86" i="57"/>
  <c r="G87" i="57" s="1"/>
  <c r="D93" i="57" s="1"/>
  <c r="F55" i="57"/>
  <c r="F57" i="57" s="1"/>
  <c r="D62" i="57" s="1"/>
  <c r="H20" i="57"/>
  <c r="H22" i="57" s="1"/>
  <c r="D30" i="57" s="1"/>
  <c r="G56" i="57"/>
  <c r="G57" i="57" s="1"/>
  <c r="D63" i="57" s="1"/>
  <c r="F38" i="57"/>
  <c r="F41" i="57" s="1"/>
  <c r="D46" i="57" s="1"/>
  <c r="G71" i="57"/>
  <c r="G72" i="57" s="1"/>
  <c r="D78" i="57" s="1"/>
  <c r="E57" i="57"/>
  <c r="D61" i="57" s="1"/>
  <c r="H40" i="57"/>
  <c r="H41" i="57" s="1"/>
  <c r="D48" i="57" s="1"/>
  <c r="E87" i="57"/>
  <c r="D91" i="57" s="1"/>
  <c r="E22" i="57"/>
  <c r="D27" i="57" s="1"/>
  <c r="H22" i="56"/>
  <c r="H8" i="56"/>
  <c r="C11" i="40"/>
  <c r="J43" i="49"/>
  <c r="J46" i="49" s="1"/>
  <c r="G14" i="49"/>
  <c r="G10" i="49"/>
  <c r="F17" i="49"/>
  <c r="G16" i="49"/>
  <c r="G15" i="49"/>
  <c r="F13" i="49"/>
  <c r="G12" i="49"/>
  <c r="G11" i="49"/>
  <c r="G6" i="49"/>
  <c r="G17" i="49"/>
  <c r="F15" i="49"/>
  <c r="A6" i="49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E17" i="42"/>
  <c r="E22" i="42"/>
  <c r="E20" i="42"/>
  <c r="E19" i="42"/>
  <c r="E21" i="42"/>
  <c r="E18" i="42"/>
  <c r="E16" i="42"/>
  <c r="E15" i="42"/>
  <c r="E14" i="42"/>
  <c r="E13" i="42"/>
  <c r="E12" i="42"/>
  <c r="G10" i="51"/>
  <c r="J32" i="52"/>
  <c r="K32" i="52" s="1"/>
  <c r="D79" i="57" l="1"/>
  <c r="J17" i="49"/>
  <c r="J15" i="49"/>
  <c r="H85" i="57"/>
  <c r="D94" i="57"/>
  <c r="H71" i="57"/>
  <c r="H72" i="57" s="1"/>
  <c r="D49" i="57"/>
  <c r="I22" i="57"/>
  <c r="D31" i="57" s="1"/>
  <c r="J21" i="57"/>
  <c r="J20" i="57"/>
  <c r="I40" i="57"/>
  <c r="H56" i="57"/>
  <c r="D64" i="57"/>
  <c r="I39" i="57"/>
  <c r="I38" i="57"/>
  <c r="J19" i="57"/>
  <c r="H86" i="57"/>
  <c r="H55" i="57"/>
  <c r="F14" i="49"/>
  <c r="J14" i="49" s="1"/>
  <c r="F10" i="49"/>
  <c r="J10" i="49" s="1"/>
  <c r="F16" i="49"/>
  <c r="J16" i="49" s="1"/>
  <c r="G13" i="49"/>
  <c r="J13" i="49" s="1"/>
  <c r="F12" i="49"/>
  <c r="J12" i="49" s="1"/>
  <c r="F11" i="49"/>
  <c r="J11" i="49" s="1"/>
  <c r="F6" i="49"/>
  <c r="J6" i="49" s="1"/>
  <c r="D20" i="49"/>
  <c r="C20" i="49"/>
  <c r="D57" i="51"/>
  <c r="C57" i="51"/>
  <c r="B21" i="55"/>
  <c r="B20" i="55"/>
  <c r="B19" i="55"/>
  <c r="E17" i="51"/>
  <c r="J17" i="51" s="1"/>
  <c r="F41" i="52"/>
  <c r="E25" i="6"/>
  <c r="G13" i="6"/>
  <c r="B86" i="51"/>
  <c r="B85" i="51"/>
  <c r="F83" i="51" s="1"/>
  <c r="B84" i="51"/>
  <c r="E83" i="51" s="1"/>
  <c r="B71" i="51"/>
  <c r="G68" i="51" s="1"/>
  <c r="B70" i="51"/>
  <c r="F68" i="51" s="1"/>
  <c r="B69" i="51"/>
  <c r="E68" i="51" s="1"/>
  <c r="B56" i="51"/>
  <c r="G53" i="51" s="1"/>
  <c r="B55" i="51"/>
  <c r="F53" i="51" s="1"/>
  <c r="B54" i="51"/>
  <c r="E53" i="51" s="1"/>
  <c r="B40" i="51"/>
  <c r="H36" i="51" s="1"/>
  <c r="B39" i="51"/>
  <c r="G36" i="51" s="1"/>
  <c r="B38" i="51"/>
  <c r="F36" i="51" s="1"/>
  <c r="B37" i="51"/>
  <c r="E36" i="51" s="1"/>
  <c r="B21" i="51"/>
  <c r="I16" i="51" s="1"/>
  <c r="B20" i="51"/>
  <c r="H16" i="51" s="1"/>
  <c r="B19" i="51"/>
  <c r="G16" i="51" s="1"/>
  <c r="G20" i="51" s="1"/>
  <c r="B18" i="51"/>
  <c r="F16" i="51" s="1"/>
  <c r="B17" i="51"/>
  <c r="E16" i="51" s="1"/>
  <c r="E18" i="40"/>
  <c r="F18" i="40" s="1"/>
  <c r="E17" i="40"/>
  <c r="F17" i="40" s="1"/>
  <c r="E16" i="40"/>
  <c r="F16" i="40" s="1"/>
  <c r="E10" i="40"/>
  <c r="F10" i="40" s="1"/>
  <c r="E9" i="40"/>
  <c r="F9" i="40" s="1"/>
  <c r="E8" i="40"/>
  <c r="F8" i="40" s="1"/>
  <c r="E7" i="40"/>
  <c r="F7" i="40" s="1"/>
  <c r="E6" i="40"/>
  <c r="F6" i="40" s="1"/>
  <c r="E93" i="51"/>
  <c r="E92" i="51"/>
  <c r="E91" i="51"/>
  <c r="B93" i="51"/>
  <c r="B92" i="51"/>
  <c r="B91" i="51"/>
  <c r="B78" i="51"/>
  <c r="B77" i="51"/>
  <c r="B76" i="51"/>
  <c r="E78" i="51"/>
  <c r="E77" i="51"/>
  <c r="E76" i="51"/>
  <c r="E63" i="51"/>
  <c r="E62" i="51"/>
  <c r="E61" i="51"/>
  <c r="B63" i="51"/>
  <c r="B62" i="51"/>
  <c r="B61" i="51"/>
  <c r="E48" i="51"/>
  <c r="E47" i="51"/>
  <c r="E46" i="51"/>
  <c r="E45" i="51"/>
  <c r="B48" i="51"/>
  <c r="B47" i="51"/>
  <c r="B46" i="51"/>
  <c r="B45" i="51"/>
  <c r="B31" i="51"/>
  <c r="B30" i="51"/>
  <c r="B29" i="51"/>
  <c r="B28" i="51"/>
  <c r="B27" i="51"/>
  <c r="E31" i="51"/>
  <c r="E30" i="51"/>
  <c r="E29" i="51"/>
  <c r="E28" i="51"/>
  <c r="E27" i="51"/>
  <c r="E11" i="42"/>
  <c r="E10" i="42"/>
  <c r="E9" i="42"/>
  <c r="C14" i="55"/>
  <c r="G10" i="6"/>
  <c r="D16" i="6"/>
  <c r="G15" i="6"/>
  <c r="G12" i="6"/>
  <c r="H20" i="56" s="1"/>
  <c r="G31" i="6"/>
  <c r="H87" i="57" l="1"/>
  <c r="J22" i="57"/>
  <c r="D32" i="57"/>
  <c r="E7" i="57" s="1"/>
  <c r="I41" i="57"/>
  <c r="H57" i="57"/>
  <c r="G6" i="40"/>
  <c r="I6" i="40"/>
  <c r="I7" i="40"/>
  <c r="G7" i="40"/>
  <c r="I8" i="40"/>
  <c r="G8" i="40"/>
  <c r="G9" i="40"/>
  <c r="I9" i="40"/>
  <c r="I10" i="40"/>
  <c r="G10" i="40"/>
  <c r="G83" i="51"/>
  <c r="H6" i="56"/>
  <c r="B22" i="55"/>
  <c r="C87" i="51"/>
  <c r="C91" i="51" s="1"/>
  <c r="G91" i="51" s="1"/>
  <c r="F71" i="51"/>
  <c r="C61" i="51"/>
  <c r="F39" i="51"/>
  <c r="D22" i="51"/>
  <c r="C22" i="51"/>
  <c r="C27" i="51" s="1"/>
  <c r="D41" i="51"/>
  <c r="E37" i="51"/>
  <c r="I37" i="51" s="1"/>
  <c r="D72" i="51"/>
  <c r="C72" i="51"/>
  <c r="C76" i="51" s="1"/>
  <c r="G76" i="51" s="1"/>
  <c r="E69" i="51"/>
  <c r="H69" i="51" s="1"/>
  <c r="E84" i="51"/>
  <c r="H84" i="51" s="1"/>
  <c r="F86" i="51"/>
  <c r="E86" i="51"/>
  <c r="E85" i="51"/>
  <c r="E70" i="51"/>
  <c r="E71" i="51"/>
  <c r="E56" i="51"/>
  <c r="E55" i="51"/>
  <c r="F56" i="51"/>
  <c r="E40" i="51"/>
  <c r="E38" i="51"/>
  <c r="F40" i="51"/>
  <c r="G40" i="51"/>
  <c r="E19" i="51"/>
  <c r="F21" i="51"/>
  <c r="F19" i="51"/>
  <c r="F20" i="51"/>
  <c r="H21" i="51"/>
  <c r="G21" i="51"/>
  <c r="E18" i="51"/>
  <c r="F18" i="51" s="1"/>
  <c r="J18" i="51" s="1"/>
  <c r="E20" i="51"/>
  <c r="E21" i="51"/>
  <c r="H40" i="51" l="1"/>
  <c r="I40" i="51" s="1"/>
  <c r="G71" i="51"/>
  <c r="G72" i="51" s="1"/>
  <c r="D78" i="51" s="1"/>
  <c r="G78" i="51" s="1"/>
  <c r="G56" i="51"/>
  <c r="H56" i="51" s="1"/>
  <c r="G86" i="51"/>
  <c r="G87" i="51" s="1"/>
  <c r="D93" i="51" s="1"/>
  <c r="F38" i="51"/>
  <c r="I38" i="51" s="1"/>
  <c r="I21" i="51"/>
  <c r="I22" i="51" s="1"/>
  <c r="D31" i="51" s="1"/>
  <c r="G31" i="51" s="1"/>
  <c r="G27" i="51"/>
  <c r="G61" i="51"/>
  <c r="E54" i="51"/>
  <c r="H54" i="51" s="1"/>
  <c r="D87" i="51"/>
  <c r="C41" i="51"/>
  <c r="C45" i="51" s="1"/>
  <c r="G45" i="51" s="1"/>
  <c r="E39" i="51"/>
  <c r="E87" i="51"/>
  <c r="D91" i="51" s="1"/>
  <c r="E72" i="51"/>
  <c r="D76" i="51" s="1"/>
  <c r="F70" i="51"/>
  <c r="F72" i="51" s="1"/>
  <c r="D77" i="51" s="1"/>
  <c r="G77" i="51" s="1"/>
  <c r="F55" i="51"/>
  <c r="H55" i="51" s="1"/>
  <c r="G19" i="51"/>
  <c r="G22" i="51" s="1"/>
  <c r="D29" i="51" s="1"/>
  <c r="G29" i="51" s="1"/>
  <c r="F22" i="51"/>
  <c r="D28" i="51" s="1"/>
  <c r="G28" i="51" s="1"/>
  <c r="E22" i="51"/>
  <c r="D27" i="51" s="1"/>
  <c r="H20" i="51"/>
  <c r="H22" i="51" s="1"/>
  <c r="D30" i="51" s="1"/>
  <c r="G30" i="51" s="1"/>
  <c r="D14" i="55"/>
  <c r="D16" i="55" s="1"/>
  <c r="C9" i="55"/>
  <c r="C6" i="54"/>
  <c r="C5" i="54"/>
  <c r="G33" i="6" l="1"/>
  <c r="H41" i="51"/>
  <c r="D48" i="51" s="1"/>
  <c r="G48" i="51" s="1"/>
  <c r="H71" i="51"/>
  <c r="H86" i="51"/>
  <c r="D7" i="51"/>
  <c r="D26" i="55" s="1"/>
  <c r="F41" i="51"/>
  <c r="D46" i="51" s="1"/>
  <c r="G46" i="51" s="1"/>
  <c r="H70" i="51"/>
  <c r="H57" i="51"/>
  <c r="G39" i="51"/>
  <c r="G41" i="51" s="1"/>
  <c r="D47" i="51" s="1"/>
  <c r="G47" i="51" s="1"/>
  <c r="D21" i="55"/>
  <c r="D19" i="55"/>
  <c r="E28" i="6" s="1"/>
  <c r="D20" i="55"/>
  <c r="E29" i="6" s="1"/>
  <c r="G57" i="51"/>
  <c r="D63" i="51" s="1"/>
  <c r="G63" i="51" s="1"/>
  <c r="E57" i="51"/>
  <c r="D61" i="51" s="1"/>
  <c r="F57" i="51"/>
  <c r="D62" i="51" s="1"/>
  <c r="G62" i="51" s="1"/>
  <c r="E41" i="51"/>
  <c r="D45" i="51" s="1"/>
  <c r="F85" i="51"/>
  <c r="G79" i="51"/>
  <c r="D79" i="51"/>
  <c r="J21" i="51"/>
  <c r="J19" i="51"/>
  <c r="J20" i="51"/>
  <c r="H72" i="51" l="1"/>
  <c r="F87" i="51"/>
  <c r="D92" i="51" s="1"/>
  <c r="G92" i="51" s="1"/>
  <c r="H85" i="51"/>
  <c r="H87" i="51" s="1"/>
  <c r="G93" i="51" s="1"/>
  <c r="I39" i="51"/>
  <c r="I41" i="51" s="1"/>
  <c r="G49" i="51"/>
  <c r="D49" i="51"/>
  <c r="D22" i="55"/>
  <c r="D25" i="55" s="1"/>
  <c r="D27" i="55" s="1"/>
  <c r="G64" i="51"/>
  <c r="D64" i="51"/>
  <c r="J26" i="49"/>
  <c r="D94" i="51" l="1"/>
  <c r="G94" i="51"/>
  <c r="K19" i="53"/>
  <c r="I19" i="53"/>
  <c r="G19" i="53"/>
  <c r="E19" i="53"/>
  <c r="C19" i="53"/>
  <c r="M17" i="53"/>
  <c r="M16" i="53"/>
  <c r="M15" i="53"/>
  <c r="M14" i="53"/>
  <c r="L19" i="53"/>
  <c r="M13" i="53"/>
  <c r="J19" i="53"/>
  <c r="F19" i="53"/>
  <c r="M12" i="53"/>
  <c r="H41" i="52"/>
  <c r="J35" i="52"/>
  <c r="K35" i="52" s="1"/>
  <c r="J31" i="52"/>
  <c r="K31" i="52" s="1"/>
  <c r="J30" i="52"/>
  <c r="K30" i="52" s="1"/>
  <c r="J29" i="52"/>
  <c r="K29" i="52" s="1"/>
  <c r="J28" i="52"/>
  <c r="K28" i="52" s="1"/>
  <c r="J27" i="52"/>
  <c r="K27" i="52" s="1"/>
  <c r="J26" i="52"/>
  <c r="K26" i="52" s="1"/>
  <c r="J25" i="52"/>
  <c r="K25" i="52" s="1"/>
  <c r="J24" i="52"/>
  <c r="K24" i="52" s="1"/>
  <c r="J21" i="52"/>
  <c r="K21" i="52" s="1"/>
  <c r="J20" i="52"/>
  <c r="K20" i="52" s="1"/>
  <c r="J19" i="52"/>
  <c r="K19" i="52" s="1"/>
  <c r="J16" i="52"/>
  <c r="K16" i="52" s="1"/>
  <c r="J15" i="52"/>
  <c r="K15" i="52" s="1"/>
  <c r="J14" i="52"/>
  <c r="K14" i="52" s="1"/>
  <c r="J13" i="52"/>
  <c r="K13" i="52" s="1"/>
  <c r="J12" i="52"/>
  <c r="K12" i="52" s="1"/>
  <c r="J11" i="52"/>
  <c r="K11" i="52" s="1"/>
  <c r="M19" i="53" l="1"/>
  <c r="M22" i="53" s="1"/>
  <c r="H19" i="53"/>
  <c r="D19" i="53"/>
  <c r="M27" i="53" s="1"/>
  <c r="M29" i="53" s="1"/>
  <c r="H18" i="56" s="1"/>
  <c r="K41" i="52"/>
  <c r="E46" i="6" s="1"/>
  <c r="G46" i="6" s="1"/>
  <c r="J41" i="52"/>
  <c r="M24" i="53" l="1"/>
  <c r="H4" i="56" s="1"/>
  <c r="P19" i="53"/>
  <c r="H3" i="56"/>
  <c r="A2" i="51"/>
  <c r="C4" i="42"/>
  <c r="C7" i="2"/>
  <c r="P24" i="53" l="1"/>
  <c r="F18" i="49"/>
  <c r="F9" i="49"/>
  <c r="F8" i="49"/>
  <c r="F7" i="49"/>
  <c r="G35" i="6"/>
  <c r="G38" i="6"/>
  <c r="G30" i="6"/>
  <c r="G18" i="49" l="1"/>
  <c r="J18" i="49" s="1"/>
  <c r="G9" i="49"/>
  <c r="J9" i="49" s="1"/>
  <c r="G8" i="49"/>
  <c r="J8" i="49" s="1"/>
  <c r="G7" i="49"/>
  <c r="J7" i="49" s="1"/>
  <c r="G5" i="49"/>
  <c r="F5" i="49"/>
  <c r="J5" i="49" s="1"/>
  <c r="M20" i="49" l="1"/>
  <c r="N20" i="49" s="1"/>
  <c r="F20" i="49"/>
  <c r="G20" i="49"/>
  <c r="G42" i="6"/>
  <c r="G41" i="6"/>
  <c r="G39" i="6"/>
  <c r="G37" i="6"/>
  <c r="G36" i="6"/>
  <c r="G34" i="6"/>
  <c r="G29" i="6"/>
  <c r="G23" i="6"/>
  <c r="G7" i="6"/>
  <c r="J20" i="49" l="1"/>
  <c r="J22" i="49" s="1"/>
  <c r="J31" i="49" l="1"/>
  <c r="J33" i="49" s="1"/>
  <c r="E47" i="6" s="1"/>
  <c r="J37" i="49"/>
  <c r="J39" i="49" s="1"/>
  <c r="E24" i="6" s="1"/>
  <c r="G47" i="6" l="1"/>
  <c r="G11" i="40"/>
  <c r="G21" i="40" s="1"/>
  <c r="I11" i="40"/>
  <c r="I21" i="40" s="1"/>
  <c r="G27" i="6" l="1"/>
  <c r="G40" i="6" l="1"/>
  <c r="D43" i="6" l="1"/>
  <c r="D48" i="6" l="1"/>
  <c r="D50" i="6" l="1"/>
  <c r="G28" i="6" l="1"/>
  <c r="J27" i="49" l="1"/>
  <c r="E20" i="6" s="1"/>
  <c r="G22" i="6" l="1"/>
  <c r="G43" i="6" s="1"/>
  <c r="G48" i="6" s="1"/>
  <c r="H2" i="56" l="1"/>
  <c r="H5" i="56" s="1"/>
  <c r="H15" i="56"/>
  <c r="H17" i="56" s="1"/>
  <c r="H19" i="56" s="1"/>
  <c r="H23" i="56" s="1"/>
  <c r="E43" i="6"/>
  <c r="E48" i="6" s="1"/>
  <c r="H9" i="56" l="1"/>
  <c r="G10" i="57" s="1"/>
  <c r="J22" i="51"/>
  <c r="G32" i="51" l="1"/>
  <c r="G7" i="51" s="1"/>
  <c r="D32" i="51"/>
  <c r="E7" i="51" s="1"/>
  <c r="G9" i="51" l="1"/>
  <c r="G9" i="6" l="1"/>
  <c r="G11" i="51" l="1"/>
  <c r="G12" i="51" l="1"/>
  <c r="E6" i="6"/>
  <c r="G6" i="6" s="1"/>
  <c r="E16" i="6" l="1"/>
  <c r="E50" i="6" s="1"/>
  <c r="H24" i="56"/>
  <c r="H25" i="56" s="1"/>
  <c r="H26" i="56" s="1"/>
  <c r="H10" i="56"/>
  <c r="G16" i="6"/>
  <c r="G50" i="6" s="1"/>
  <c r="H35" i="59" l="1"/>
  <c r="J35" i="59" s="1"/>
  <c r="K35" i="59" s="1"/>
  <c r="H18" i="59"/>
  <c r="J18" i="59" s="1"/>
  <c r="K18" i="59" s="1"/>
  <c r="H34" i="59"/>
  <c r="J34" i="59" s="1"/>
  <c r="K34" i="59" s="1"/>
  <c r="H14" i="59"/>
  <c r="J14" i="59" s="1"/>
  <c r="K14" i="59" s="1"/>
  <c r="H12" i="59"/>
  <c r="J12" i="59" s="1"/>
  <c r="K12" i="59" s="1"/>
  <c r="H11" i="59"/>
  <c r="J11" i="59" s="1"/>
  <c r="K11" i="59" s="1"/>
  <c r="H10" i="59"/>
  <c r="H20" i="59"/>
  <c r="J20" i="59" s="1"/>
  <c r="K20" i="59" s="1"/>
  <c r="H30" i="59"/>
  <c r="J30" i="59" s="1"/>
  <c r="K30" i="59" s="1"/>
  <c r="H29" i="59"/>
  <c r="J29" i="59" s="1"/>
  <c r="K29" i="59" s="1"/>
  <c r="H13" i="59"/>
  <c r="J13" i="59" s="1"/>
  <c r="K13" i="59" s="1"/>
  <c r="H25" i="59"/>
  <c r="J25" i="59" s="1"/>
  <c r="K25" i="59" s="1"/>
  <c r="H24" i="59"/>
  <c r="J24" i="59" s="1"/>
  <c r="K24" i="59" s="1"/>
  <c r="H19" i="59"/>
  <c r="J19" i="59" s="1"/>
  <c r="K19" i="59" s="1"/>
  <c r="H11" i="56"/>
  <c r="H12" i="56" s="1"/>
  <c r="H24" i="2" s="1"/>
  <c r="E62" i="57" s="1"/>
  <c r="G62" i="57" s="1"/>
  <c r="F11" i="60" l="1"/>
  <c r="G11" i="60" s="1"/>
  <c r="H11" i="60" s="1"/>
  <c r="F14" i="60"/>
  <c r="G14" i="60" s="1"/>
  <c r="H14" i="60" s="1"/>
  <c r="F10" i="60"/>
  <c r="G10" i="60" s="1"/>
  <c r="H10" i="60" s="1"/>
  <c r="F13" i="60"/>
  <c r="G13" i="60" s="1"/>
  <c r="H13" i="60" s="1"/>
  <c r="F9" i="60"/>
  <c r="G9" i="60" s="1"/>
  <c r="H9" i="60" s="1"/>
  <c r="F12" i="60"/>
  <c r="G12" i="60" s="1"/>
  <c r="H12" i="60" s="1"/>
  <c r="J10" i="59"/>
  <c r="K10" i="59" s="1"/>
  <c r="H17" i="59"/>
  <c r="J24" i="2"/>
  <c r="K24" i="2" s="1"/>
  <c r="H34" i="2"/>
  <c r="E92" i="57" s="1"/>
  <c r="G92" i="57" s="1"/>
  <c r="H14" i="2"/>
  <c r="H11" i="2"/>
  <c r="H13" i="2"/>
  <c r="H25" i="2"/>
  <c r="E63" i="57" s="1"/>
  <c r="G63" i="57" s="1"/>
  <c r="H18" i="2"/>
  <c r="E46" i="57" s="1"/>
  <c r="G46" i="57" s="1"/>
  <c r="H10" i="2"/>
  <c r="E27" i="57" s="1"/>
  <c r="G27" i="57" s="1"/>
  <c r="H29" i="2"/>
  <c r="E77" i="57" s="1"/>
  <c r="G77" i="57" s="1"/>
  <c r="H35" i="2"/>
  <c r="H12" i="2"/>
  <c r="E29" i="57" s="1"/>
  <c r="G29" i="57" s="1"/>
  <c r="H19" i="2"/>
  <c r="E47" i="57" s="1"/>
  <c r="G47" i="57" s="1"/>
  <c r="H30" i="2"/>
  <c r="E78" i="57" s="1"/>
  <c r="G78" i="57" s="1"/>
  <c r="H20" i="2"/>
  <c r="E48" i="57" s="1"/>
  <c r="G48" i="57" s="1"/>
  <c r="F17" i="60" l="1"/>
  <c r="G17" i="60" s="1"/>
  <c r="H17" i="60" s="1"/>
  <c r="F16" i="60"/>
  <c r="G16" i="60" s="1"/>
  <c r="H16" i="60" s="1"/>
  <c r="F15" i="60"/>
  <c r="G15" i="60" s="1"/>
  <c r="H15" i="60" s="1"/>
  <c r="H23" i="59"/>
  <c r="J17" i="59"/>
  <c r="K17" i="59" s="1"/>
  <c r="J13" i="2"/>
  <c r="K13" i="2" s="1"/>
  <c r="E30" i="57"/>
  <c r="G30" i="57" s="1"/>
  <c r="J11" i="2"/>
  <c r="K11" i="2" s="1"/>
  <c r="E28" i="57"/>
  <c r="G28" i="57" s="1"/>
  <c r="J14" i="2"/>
  <c r="K14" i="2" s="1"/>
  <c r="E31" i="57"/>
  <c r="G31" i="57" s="1"/>
  <c r="J35" i="2"/>
  <c r="K35" i="2" s="1"/>
  <c r="E93" i="57"/>
  <c r="G93" i="57" s="1"/>
  <c r="F14" i="42"/>
  <c r="G14" i="42" s="1"/>
  <c r="H14" i="42" s="1"/>
  <c r="F13" i="42"/>
  <c r="G13" i="42" s="1"/>
  <c r="H13" i="42" s="1"/>
  <c r="F12" i="42"/>
  <c r="G12" i="42" s="1"/>
  <c r="H12" i="42" s="1"/>
  <c r="H17" i="2"/>
  <c r="E45" i="57" s="1"/>
  <c r="G45" i="57" s="1"/>
  <c r="G49" i="57" s="1"/>
  <c r="J30" i="2"/>
  <c r="K30" i="2" s="1"/>
  <c r="J25" i="2"/>
  <c r="K25" i="2" s="1"/>
  <c r="J19" i="2"/>
  <c r="K19" i="2" s="1"/>
  <c r="J10" i="2"/>
  <c r="K10" i="2" s="1"/>
  <c r="F10" i="42"/>
  <c r="G10" i="42" s="1"/>
  <c r="H10" i="42" s="1"/>
  <c r="F9" i="42"/>
  <c r="G9" i="42" s="1"/>
  <c r="H9" i="42" s="1"/>
  <c r="J34" i="2"/>
  <c r="K34" i="2" s="1"/>
  <c r="J12" i="2"/>
  <c r="K12" i="2" s="1"/>
  <c r="J18" i="2"/>
  <c r="K18" i="2" s="1"/>
  <c r="J29" i="2"/>
  <c r="K29" i="2" s="1"/>
  <c r="J20" i="2"/>
  <c r="K20" i="2" s="1"/>
  <c r="F11" i="42"/>
  <c r="G11" i="42" s="1"/>
  <c r="H11" i="42" s="1"/>
  <c r="H28" i="59" l="1"/>
  <c r="J23" i="59"/>
  <c r="K23" i="59" s="1"/>
  <c r="G32" i="57"/>
  <c r="J17" i="2"/>
  <c r="K17" i="2" s="1"/>
  <c r="F17" i="42"/>
  <c r="G17" i="42" s="1"/>
  <c r="H17" i="42" s="1"/>
  <c r="H23" i="2"/>
  <c r="E61" i="57" s="1"/>
  <c r="G61" i="57" s="1"/>
  <c r="G64" i="57" s="1"/>
  <c r="F16" i="42"/>
  <c r="G16" i="42" s="1"/>
  <c r="H16" i="42" s="1"/>
  <c r="F15" i="42"/>
  <c r="G15" i="42" s="1"/>
  <c r="H15" i="42" s="1"/>
  <c r="F18" i="60" l="1"/>
  <c r="G18" i="60" s="1"/>
  <c r="H18" i="60" s="1"/>
  <c r="F20" i="60"/>
  <c r="G20" i="60" s="1"/>
  <c r="H20" i="60" s="1"/>
  <c r="F19" i="60"/>
  <c r="G19" i="60" s="1"/>
  <c r="H19" i="60" s="1"/>
  <c r="H33" i="59"/>
  <c r="J28" i="59"/>
  <c r="K28" i="59" s="1"/>
  <c r="H28" i="2"/>
  <c r="E76" i="57" s="1"/>
  <c r="G76" i="57" s="1"/>
  <c r="G79" i="57" s="1"/>
  <c r="J23" i="2"/>
  <c r="K23" i="2" s="1"/>
  <c r="J33" i="59" l="1"/>
  <c r="K33" i="59" s="1"/>
  <c r="F22" i="60"/>
  <c r="G22" i="60" s="1"/>
  <c r="H22" i="60" s="1"/>
  <c r="F21" i="60"/>
  <c r="G21" i="60" s="1"/>
  <c r="H21" i="60" s="1"/>
  <c r="F19" i="42"/>
  <c r="G19" i="42" s="1"/>
  <c r="H19" i="42" s="1"/>
  <c r="H33" i="2"/>
  <c r="E91" i="57" s="1"/>
  <c r="G91" i="57" s="1"/>
  <c r="G94" i="57" s="1"/>
  <c r="G7" i="57" s="1"/>
  <c r="G9" i="57" s="1"/>
  <c r="G11" i="57" s="1"/>
  <c r="G12" i="57" s="1"/>
  <c r="F20" i="42"/>
  <c r="G20" i="42" s="1"/>
  <c r="H20" i="42" s="1"/>
  <c r="F18" i="42"/>
  <c r="G18" i="42" s="1"/>
  <c r="H18" i="42" s="1"/>
  <c r="J28" i="2"/>
  <c r="K28" i="2" s="1"/>
  <c r="F21" i="42" l="1"/>
  <c r="G21" i="42" s="1"/>
  <c r="H21" i="42" s="1"/>
  <c r="F22" i="42"/>
  <c r="G22" i="42" s="1"/>
  <c r="H22" i="42" s="1"/>
  <c r="J33" i="2"/>
  <c r="K33" i="2" s="1"/>
</calcChain>
</file>

<file path=xl/sharedStrings.xml><?xml version="1.0" encoding="utf-8"?>
<sst xmlns="http://schemas.openxmlformats.org/spreadsheetml/2006/main" count="1002" uniqueCount="323">
  <si>
    <t>Total Operating Expenses</t>
  </si>
  <si>
    <t>Taxes Other Than Income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</si>
  <si>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</si>
  <si>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</si>
  <si>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</si>
  <si>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</si>
  <si>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</si>
  <si>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Materials and Supplies</t>
  </si>
  <si>
    <t>Contractual Services</t>
  </si>
  <si>
    <t>Miscellaneous Expenses</t>
  </si>
  <si>
    <t>Transportation Expenses</t>
  </si>
  <si>
    <t>Proposed</t>
  </si>
  <si>
    <t>Total</t>
  </si>
  <si>
    <t>Gallons</t>
  </si>
  <si>
    <t>Operating Revenues</t>
  </si>
  <si>
    <t>Sales for Resale</t>
  </si>
  <si>
    <t>Other Water Revenues:</t>
  </si>
  <si>
    <t>Total Operating Revenues</t>
  </si>
  <si>
    <t>Operating Expenses</t>
  </si>
  <si>
    <t>Depreciation Expense</t>
  </si>
  <si>
    <t>Plus:</t>
  </si>
  <si>
    <t>Less:</t>
  </si>
  <si>
    <t>Other Operating Revenue</t>
  </si>
  <si>
    <t>Existing</t>
  </si>
  <si>
    <t>Change</t>
  </si>
  <si>
    <t>1"</t>
  </si>
  <si>
    <t>2"</t>
  </si>
  <si>
    <t>Table A</t>
  </si>
  <si>
    <t>SCHEDULE OF ADJUSTED OPERATIONS</t>
  </si>
  <si>
    <t>Test Year</t>
  </si>
  <si>
    <t>Adjustments</t>
  </si>
  <si>
    <t>Ref.</t>
  </si>
  <si>
    <t>Proforma</t>
  </si>
  <si>
    <t>Operation and Maintenance</t>
  </si>
  <si>
    <t>Insurance - Gen. Liab. &amp; Workers Comp.</t>
  </si>
  <si>
    <t>Total Operation and Mnt. Expenses</t>
  </si>
  <si>
    <t>Total Utility Operating Income</t>
  </si>
  <si>
    <t>Pro Forma Operating Expenses</t>
  </si>
  <si>
    <t>Adjustment</t>
  </si>
  <si>
    <t>Forfeited Discounts</t>
  </si>
  <si>
    <t>Total Metered Retail Sales</t>
  </si>
  <si>
    <t>DEPRECIATION EXPENSE ADJUSTMENTS</t>
  </si>
  <si>
    <t>Depreciation</t>
  </si>
  <si>
    <t>Date in</t>
  </si>
  <si>
    <t>Original</t>
  </si>
  <si>
    <t>Expense</t>
  </si>
  <si>
    <t>Service</t>
  </si>
  <si>
    <t>Life</t>
  </si>
  <si>
    <t>Depr. Exp.</t>
  </si>
  <si>
    <t>SUMMARY</t>
  </si>
  <si>
    <t>USAGE</t>
  </si>
  <si>
    <t>BILLS</t>
  </si>
  <si>
    <t>GALLONS</t>
  </si>
  <si>
    <t>TOTAL</t>
  </si>
  <si>
    <t>RATE</t>
  </si>
  <si>
    <t>REVENUE</t>
  </si>
  <si>
    <t>CURRENT AND PROPOSED RATES</t>
  </si>
  <si>
    <t>Private Fire Protection</t>
  </si>
  <si>
    <t>Rental of Building/Real Property</t>
  </si>
  <si>
    <t>Insurance - Other</t>
  </si>
  <si>
    <t>Bad Debt</t>
  </si>
  <si>
    <t>Revenue Required From Sales of Water</t>
  </si>
  <si>
    <t>Revenue from Sales with Present Rates</t>
  </si>
  <si>
    <t>Total Revenue Requirement</t>
  </si>
  <si>
    <t>Required Revenue Increase</t>
  </si>
  <si>
    <t>Percent Increase</t>
  </si>
  <si>
    <t>various</t>
  </si>
  <si>
    <t>Meter</t>
  </si>
  <si>
    <t>Difference</t>
  </si>
  <si>
    <t>Bill</t>
  </si>
  <si>
    <t>Percentage</t>
  </si>
  <si>
    <t>Size</t>
  </si>
  <si>
    <t>EXISTING AND PROPOSED BILLS</t>
  </si>
  <si>
    <t>MONTHLY</t>
  </si>
  <si>
    <t>EMPLOYEE</t>
  </si>
  <si>
    <t xml:space="preserve">WATER DIST </t>
  </si>
  <si>
    <t>PREMIUM</t>
  </si>
  <si>
    <t>ANNUAL</t>
  </si>
  <si>
    <t>Employer</t>
  </si>
  <si>
    <t>Share</t>
  </si>
  <si>
    <t>Premium</t>
  </si>
  <si>
    <t>CONTRIB</t>
  </si>
  <si>
    <t>CONTRIB %</t>
  </si>
  <si>
    <t>TOTALS</t>
  </si>
  <si>
    <t>per Month*</t>
  </si>
  <si>
    <t>* Highlighted usage represents the average residential bill.</t>
  </si>
  <si>
    <t>Chemicals</t>
  </si>
  <si>
    <t>Salaries &amp; Wages and Associated Adjustments</t>
  </si>
  <si>
    <t>Pro Forma</t>
  </si>
  <si>
    <t xml:space="preserve">Pro Forma </t>
  </si>
  <si>
    <t>Employee</t>
  </si>
  <si>
    <t>Reg. Hrs</t>
  </si>
  <si>
    <t>O. T. Hours</t>
  </si>
  <si>
    <t>Wage Rate</t>
  </si>
  <si>
    <t>Reg. Wages</t>
  </si>
  <si>
    <t>O. T. Wages</t>
  </si>
  <si>
    <t>Wages</t>
  </si>
  <si>
    <t>Pro Forma Salaries &amp; Wages Expense</t>
  </si>
  <si>
    <t>Less: Test Year Salaries &amp; Wages Exp</t>
  </si>
  <si>
    <t>Pro Forma Salaries &amp; Wages Adj'mt</t>
  </si>
  <si>
    <t xml:space="preserve"> </t>
  </si>
  <si>
    <t>Pro Forma Salaries and Wages Expense</t>
  </si>
  <si>
    <t>Times: 7.65 Percent FICA Rate</t>
  </si>
  <si>
    <t>Pro Forma Payroll Taxes</t>
  </si>
  <si>
    <t>Less: Test Year Payroll Taxes</t>
  </si>
  <si>
    <t>Payroll Tax Adjustment</t>
  </si>
  <si>
    <t>Wages applicable to CERS payments</t>
  </si>
  <si>
    <t>Times: Percent Pension Contribution</t>
  </si>
  <si>
    <t>Total Pro Forma Pension Contribution</t>
  </si>
  <si>
    <t>Less: Test Year Pension Contribution</t>
  </si>
  <si>
    <t>Pension &amp; Benefits Adjustment</t>
  </si>
  <si>
    <t>Rental of Equipment</t>
  </si>
  <si>
    <t>Insurance - Vehicle</t>
  </si>
  <si>
    <t>per month</t>
  </si>
  <si>
    <t>1 Inch Meter</t>
  </si>
  <si>
    <t>1 1/2 Inch Meter</t>
  </si>
  <si>
    <t>2 Inch Meter</t>
  </si>
  <si>
    <t>COMPONENT</t>
  </si>
  <si>
    <t>1 INCH METER</t>
  </si>
  <si>
    <t>1 1/2 INCH METER</t>
  </si>
  <si>
    <t>2 INCH METER</t>
  </si>
  <si>
    <t>Less Adjustments</t>
  </si>
  <si>
    <t xml:space="preserve">Total  </t>
  </si>
  <si>
    <t>From PSC Annual Report</t>
  </si>
  <si>
    <t>Medical Adjustment</t>
  </si>
  <si>
    <t>Reported</t>
  </si>
  <si>
    <t>Asset</t>
  </si>
  <si>
    <t>Cost *</t>
  </si>
  <si>
    <t>General Plant</t>
  </si>
  <si>
    <t>Structures &amp; Improvements</t>
  </si>
  <si>
    <t>varies</t>
  </si>
  <si>
    <t>Communication &amp; Computer Eqmt.</t>
  </si>
  <si>
    <t>Office Furniture &amp; Equipment</t>
  </si>
  <si>
    <t>Power Operated Equipment</t>
  </si>
  <si>
    <t>Tools, Shop, &amp; Garage Equipment</t>
  </si>
  <si>
    <t>Tank Repairs &amp; Painting</t>
  </si>
  <si>
    <t>Pumping Plant</t>
  </si>
  <si>
    <t>Telemetry</t>
  </si>
  <si>
    <t>Pumping Equipment</t>
  </si>
  <si>
    <t>Transmission &amp; Distribution Plant</t>
  </si>
  <si>
    <t>Hydrants</t>
  </si>
  <si>
    <t>Transmission &amp; Distribution Mains</t>
  </si>
  <si>
    <t>Meter Installations</t>
  </si>
  <si>
    <t>Meter Change-outs</t>
  </si>
  <si>
    <t>Pump Equipment</t>
  </si>
  <si>
    <t>Tank Fence</t>
  </si>
  <si>
    <t>Services</t>
  </si>
  <si>
    <t>Reservoirs &amp; Tanks</t>
  </si>
  <si>
    <t>Transportation Equipment</t>
  </si>
  <si>
    <t>Entire Group</t>
  </si>
  <si>
    <t>Water Treatment Plant</t>
  </si>
  <si>
    <t xml:space="preserve">              *  Includes only costs associated with assets that contributed to depreciation expense in the test year.</t>
  </si>
  <si>
    <t>Table B</t>
  </si>
  <si>
    <t>DEBT SERVICE SCHDULE</t>
  </si>
  <si>
    <t>CY 2023</t>
  </si>
  <si>
    <t>CY 2024</t>
  </si>
  <si>
    <t>CY 2025</t>
  </si>
  <si>
    <t>CY 2026</t>
  </si>
  <si>
    <t>Interest</t>
  </si>
  <si>
    <t>Principal</t>
  </si>
  <si>
    <t>&amp; Fees</t>
  </si>
  <si>
    <t>Average Annual Principal &amp; Interest</t>
  </si>
  <si>
    <t>Average Annual Coverage</t>
  </si>
  <si>
    <t>Average Annual Principal and Interest Payments</t>
  </si>
  <si>
    <t>Additional Working Capital</t>
  </si>
  <si>
    <t>DISTRICT'S</t>
  </si>
  <si>
    <t>Allowable</t>
  </si>
  <si>
    <t>TOTAL MEDICAL AND DENTAL INSURANCE</t>
  </si>
  <si>
    <t>Total Gross Wages</t>
  </si>
  <si>
    <t>Gross Wages for Full Time Employees CERS Eligible</t>
  </si>
  <si>
    <t>Labor and Materials Adjustment for New Service Installations</t>
  </si>
  <si>
    <t>New Tapping Fees Collected</t>
  </si>
  <si>
    <t xml:space="preserve">Labor </t>
  </si>
  <si>
    <t xml:space="preserve">Materials </t>
  </si>
  <si>
    <t>`</t>
  </si>
  <si>
    <t>Water Loss Adjustment</t>
  </si>
  <si>
    <t>Produced &amp; Purchased</t>
  </si>
  <si>
    <t>Sold</t>
  </si>
  <si>
    <t>Uses:</t>
  </si>
  <si>
    <t xml:space="preserve">  WTP</t>
  </si>
  <si>
    <t xml:space="preserve">  Flushing</t>
  </si>
  <si>
    <t xml:space="preserve">  Fire</t>
  </si>
  <si>
    <t xml:space="preserve">  Other</t>
  </si>
  <si>
    <t>Tank O.F.</t>
  </si>
  <si>
    <t>Line Brks.</t>
  </si>
  <si>
    <t>Line Leaks</t>
  </si>
  <si>
    <t xml:space="preserve">  water loss percentage</t>
  </si>
  <si>
    <t xml:space="preserve">  allowable in rates</t>
  </si>
  <si>
    <t xml:space="preserve">  adjustment percentage</t>
  </si>
  <si>
    <t>Other</t>
  </si>
  <si>
    <t>Adjustment to SAO Billed Revenues</t>
  </si>
  <si>
    <t>Miscellaneous Service Revenues</t>
  </si>
  <si>
    <t>Interdepartmental Sales</t>
  </si>
  <si>
    <t>Current</t>
  </si>
  <si>
    <t>Location</t>
  </si>
  <si>
    <t>Fuel for Power Production</t>
  </si>
  <si>
    <t>5/8 Inch Meter</t>
  </si>
  <si>
    <t>per gallon</t>
  </si>
  <si>
    <t>gallons</t>
  </si>
  <si>
    <t>First</t>
  </si>
  <si>
    <t>Next</t>
  </si>
  <si>
    <t>Over</t>
  </si>
  <si>
    <t>3 Inch Meter</t>
  </si>
  <si>
    <t>5/8"</t>
  </si>
  <si>
    <t>3/4"</t>
  </si>
  <si>
    <t>3"</t>
  </si>
  <si>
    <t>3 INCH METER</t>
  </si>
  <si>
    <t>MEDICAL</t>
  </si>
  <si>
    <t>DENTAL</t>
  </si>
  <si>
    <t>Less Annual Premium</t>
  </si>
  <si>
    <t>REVENUE BY RATE INCREMENT</t>
  </si>
  <si>
    <t>CONSUMPTION BY RATE INCREMENT</t>
  </si>
  <si>
    <t>Total Retail Sales</t>
  </si>
  <si>
    <t>Costs Subject to Water Loss Adjustment</t>
  </si>
  <si>
    <t>Computation of Water Loss Surcharge</t>
  </si>
  <si>
    <t>Total Adjustment</t>
  </si>
  <si>
    <t>/ Number of Bills</t>
  </si>
  <si>
    <t>Monthly Surcharge Amount</t>
  </si>
  <si>
    <t>REVENUE REQUIREMENTS USING DEBT SERVICE COVERAGE METHOD</t>
  </si>
  <si>
    <t>REVENUE REQUIREMENTS USING OPERATING RATIO METHOD</t>
  </si>
  <si>
    <t>Divided by:  Operating Ratio</t>
  </si>
  <si>
    <t xml:space="preserve">  Subtotal</t>
  </si>
  <si>
    <t>Interest Expense</t>
  </si>
  <si>
    <t>Interest Only</t>
  </si>
  <si>
    <t>Average Interest Only</t>
  </si>
  <si>
    <t>NORTH SHELBY WATER COMPANY</t>
  </si>
  <si>
    <t>North Shelby Water Company</t>
  </si>
  <si>
    <t>RD Note 91-07</t>
  </si>
  <si>
    <t>RD Note 91-08</t>
  </si>
  <si>
    <t>RD Note 91-10</t>
  </si>
  <si>
    <t>RD Note 91-12</t>
  </si>
  <si>
    <t>RD Note 91-13</t>
  </si>
  <si>
    <t>RD Note 91-14</t>
  </si>
  <si>
    <t>RD Note 91-15</t>
  </si>
  <si>
    <t>AUDRA M MOORE</t>
  </si>
  <si>
    <t>BILLY ALDRIDGE</t>
  </si>
  <si>
    <t>CHRISTOPHER S COX</t>
  </si>
  <si>
    <t>DAKOTA J BAATZ</t>
  </si>
  <si>
    <t>DAVID L HEDGES</t>
  </si>
  <si>
    <t>ELIJAH T STIGERS</t>
  </si>
  <si>
    <t>FRANKIE W MASTERS</t>
  </si>
  <si>
    <t>GUSTAVO LARA</t>
  </si>
  <si>
    <t>JEREMY T CARMACK</t>
  </si>
  <si>
    <t>NOAH AUGUSTINE-SMITH</t>
  </si>
  <si>
    <t>RONDA K HILL</t>
  </si>
  <si>
    <t>ROY M LEWIS</t>
  </si>
  <si>
    <t>TARA M PEYTON</t>
  </si>
  <si>
    <t>WHITNEY SMITH</t>
  </si>
  <si>
    <t>Adjust wages to current levels.</t>
  </si>
  <si>
    <t>Tab Wages Cell H23</t>
  </si>
  <si>
    <t>Adjust pension to current wages.</t>
  </si>
  <si>
    <t>Tab Wages Cell H40</t>
  </si>
  <si>
    <t>Tab Wages Cell H43</t>
  </si>
  <si>
    <t>5/8 X 3/4 INCH METER</t>
  </si>
  <si>
    <t>Employee Retirement Benefit Expense</t>
  </si>
  <si>
    <t>Non-Cash Portion of Pension Expense</t>
  </si>
  <si>
    <t>Exclude non-cash portion of pension expense.</t>
  </si>
  <si>
    <t>Non-Cash Portion Pension Adjustment</t>
  </si>
  <si>
    <t>Plus OPEB Expense</t>
  </si>
  <si>
    <t>Medical and Dental Insurance Adjustment</t>
  </si>
  <si>
    <t>PARTICIPANTS</t>
  </si>
  <si>
    <t>Single</t>
  </si>
  <si>
    <t>Two Person</t>
  </si>
  <si>
    <t>Family</t>
  </si>
  <si>
    <t>Single+Dependent</t>
  </si>
  <si>
    <t>Allowable Employer Medical Premium</t>
  </si>
  <si>
    <t>Allowable Employer Dental Premium</t>
  </si>
  <si>
    <t>Allowable Employer Total Premium</t>
  </si>
  <si>
    <t>Subscriber</t>
  </si>
  <si>
    <t>Subcriber, Spouse, Children</t>
  </si>
  <si>
    <t>Subcriber and 2+Children</t>
  </si>
  <si>
    <t>Tab Medical Cell D27</t>
  </si>
  <si>
    <t>Exclude non-allowable medical and dental premium.</t>
  </si>
  <si>
    <t xml:space="preserve"> Public Fire Protection</t>
  </si>
  <si>
    <t>Other Water Revenues</t>
  </si>
  <si>
    <t>Percent</t>
  </si>
  <si>
    <t>Adjust depreciation to allowed useful lives.</t>
  </si>
  <si>
    <t>Tab Depreciation Cell K41</t>
  </si>
  <si>
    <t>Adjust FICA taxes to current wages.</t>
  </si>
  <si>
    <t>Tab Wages Cell H34</t>
  </si>
  <si>
    <t>Public Fire Protection</t>
  </si>
  <si>
    <t>Rents from Water Property</t>
  </si>
  <si>
    <t>CURRENT BILLING ANALYSIS WITH 2021 USAGE &amp; EXISTING RATES</t>
  </si>
  <si>
    <t>CY 2027</t>
  </si>
  <si>
    <t>CY 2023 - 2027</t>
  </si>
  <si>
    <t>Revenue Requirement</t>
  </si>
  <si>
    <t>PROPOSED BILLING ANALYSIS WITH 2021 USAGE &amp; PROPOSED RATES</t>
  </si>
  <si>
    <t>2021 Trial Balance Account 828</t>
  </si>
  <si>
    <t>2021 Payroll Summary</t>
  </si>
  <si>
    <t>2021 Trial Balance Account 803</t>
  </si>
  <si>
    <t>2021 Trial Balance Account 725</t>
  </si>
  <si>
    <t>Adjust for water loss more than fifteen percent</t>
  </si>
  <si>
    <t>Tab Water Loss Cell D19</t>
  </si>
  <si>
    <t>Tab Water Loss Cell D20</t>
  </si>
  <si>
    <t>Adjust water sales to billing analysis.</t>
  </si>
  <si>
    <t>Tab ExBA Cell G11</t>
  </si>
  <si>
    <t>2021 Trial Balance Account 805</t>
  </si>
  <si>
    <t>No adjustment needed.  Labor and materials used are charged to asset account.</t>
  </si>
  <si>
    <t>Bonus</t>
  </si>
  <si>
    <t>Retroactive</t>
  </si>
  <si>
    <t>Check</t>
  </si>
  <si>
    <t>Total Pension Expense 2021</t>
  </si>
  <si>
    <t>Less Pension Contributions 2021</t>
  </si>
  <si>
    <t>Tank Painting &amp; Repairs</t>
  </si>
  <si>
    <t>Water Treatment Equipment</t>
  </si>
  <si>
    <t>2021 PSC Annual Report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</si>
  <si>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</si>
  <si>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</si>
  <si>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</si>
  <si>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</si>
  <si>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</si>
  <si>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</si>
  <si>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</si>
  <si>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</si>
  <si>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</si>
  <si>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</si>
  <si>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APPENDIX A</t>
  </si>
  <si>
    <t>TABLE C using Debt Service Coverage Method</t>
  </si>
  <si>
    <t>TABLE C using Operating Ratio Method</t>
  </si>
  <si>
    <t>TABLE D using Debt Service Coverage Method</t>
  </si>
  <si>
    <t>TABLE D using Operating Ratio Method</t>
  </si>
  <si>
    <t>Interest Income</t>
  </si>
  <si>
    <t>Corrected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</si>
</sst>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"/>
    <numFmt numFmtId="167" formatCode="0.0%"/>
    <numFmt numFmtId="168" formatCode="_(* #,##0.0_);_(* \(#,##0.0\);_(* &quot;-&quot;??_);_(@_)"/>
    <numFmt numFmtId="169" formatCode="mm/dd/yy;@"/>
    <numFmt numFmtId="170" formatCode="_([$$-409]* #,##0_);_([$$-409]* \(#,##0\);_([$$-409]* &quot;-&quot;??_);_(@_)"/>
    <numFmt numFmtId="171" formatCode="[$$-409]#,##0"/>
    <numFmt numFmtId="172" formatCode="&quot;$&quot;#,##0.00000"/>
  </numFmts>
  <fonts count="28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Arial"/>
      <family val="2"/>
    </font>
    <font>
      <sz val="11"/>
      <name val="Calibri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334">
    <xf numFmtId="0" fontId="0" fillId="0" borderId="0" xfId="0"/>
    <xf numFmtId="0" fontId="4" fillId="0" borderId="0" xfId="0" applyFont="1"/>
    <xf numFmtId="0" fontId="0" fillId="0" borderId="6" xfId="0" applyBorder="1"/>
    <xf numFmtId="165" fontId="4" fillId="0" borderId="1" xfId="1" applyNumberFormat="1" applyFont="1" applyBorder="1"/>
    <xf numFmtId="165" fontId="4" fillId="0" borderId="0" xfId="1" applyNumberFormat="1" applyFont="1" applyBorder="1"/>
    <xf numFmtId="165" fontId="4" fillId="0" borderId="0" xfId="1" applyNumberFormat="1" applyFont="1"/>
    <xf numFmtId="165" fontId="4" fillId="0" borderId="3" xfId="1" applyNumberFormat="1" applyFont="1" applyBorder="1"/>
    <xf numFmtId="165" fontId="4" fillId="0" borderId="2" xfId="1" applyNumberFormat="1" applyFont="1" applyBorder="1"/>
    <xf numFmtId="165" fontId="4" fillId="0" borderId="4" xfId="1" applyNumberFormat="1" applyFont="1" applyBorder="1"/>
    <xf numFmtId="165" fontId="4" fillId="0" borderId="7" xfId="1" applyNumberFormat="1" applyFont="1" applyBorder="1"/>
    <xf numFmtId="165" fontId="4" fillId="0" borderId="8" xfId="1" applyNumberFormat="1" applyFont="1" applyBorder="1"/>
    <xf numFmtId="165" fontId="4" fillId="0" borderId="5" xfId="1" applyNumberFormat="1" applyFont="1" applyBorder="1"/>
    <xf numFmtId="165" fontId="4" fillId="0" borderId="6" xfId="1" applyNumberFormat="1" applyFont="1" applyBorder="1"/>
    <xf numFmtId="43" fontId="4" fillId="0" borderId="0" xfId="1" applyFont="1"/>
    <xf numFmtId="165" fontId="10" fillId="0" borderId="0" xfId="1" applyNumberFormat="1" applyFont="1" applyBorder="1" applyAlignment="1">
      <alignment horizontal="center"/>
    </xf>
    <xf numFmtId="43" fontId="4" fillId="0" borderId="0" xfId="1" applyFont="1" applyBorder="1"/>
    <xf numFmtId="165" fontId="4" fillId="0" borderId="0" xfId="5" applyNumberFormat="1" applyFont="1"/>
    <xf numFmtId="165" fontId="4" fillId="0" borderId="7" xfId="5" applyNumberFormat="1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0" xfId="5" applyNumberFormat="1" applyFont="1" applyBorder="1"/>
    <xf numFmtId="164" fontId="4" fillId="0" borderId="0" xfId="0" applyNumberFormat="1" applyFont="1"/>
    <xf numFmtId="168" fontId="4" fillId="0" borderId="0" xfId="5" applyNumberFormat="1" applyFont="1" applyBorder="1"/>
    <xf numFmtId="168" fontId="9" fillId="0" borderId="0" xfId="5" applyNumberFormat="1" applyFont="1" applyBorder="1" applyAlignment="1">
      <alignment horizontal="center"/>
    </xf>
    <xf numFmtId="43" fontId="4" fillId="0" borderId="0" xfId="1" applyFont="1" applyBorder="1" applyAlignment="1"/>
    <xf numFmtId="165" fontId="10" fillId="0" borderId="0" xfId="5" applyNumberFormat="1" applyFont="1"/>
    <xf numFmtId="164" fontId="4" fillId="0" borderId="0" xfId="6" applyNumberFormat="1" applyFont="1"/>
    <xf numFmtId="165" fontId="7" fillId="0" borderId="0" xfId="1" applyNumberFormat="1" applyFont="1"/>
    <xf numFmtId="165" fontId="10" fillId="0" borderId="8" xfId="1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43" fontId="4" fillId="0" borderId="8" xfId="1" quotePrefix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7" fontId="4" fillId="0" borderId="8" xfId="3" applyNumberFormat="1" applyFont="1" applyBorder="1"/>
    <xf numFmtId="165" fontId="4" fillId="2" borderId="0" xfId="1" applyNumberFormat="1" applyFont="1" applyFill="1" applyBorder="1"/>
    <xf numFmtId="43" fontId="4" fillId="2" borderId="8" xfId="1" quotePrefix="1" applyFont="1" applyFill="1" applyBorder="1" applyAlignment="1">
      <alignment horizontal="center"/>
    </xf>
    <xf numFmtId="167" fontId="4" fillId="2" borderId="8" xfId="3" applyNumberFormat="1" applyFont="1" applyFill="1" applyBorder="1"/>
    <xf numFmtId="164" fontId="4" fillId="0" borderId="0" xfId="6" applyNumberFormat="1" applyFont="1" applyBorder="1"/>
    <xf numFmtId="165" fontId="14" fillId="0" borderId="0" xfId="1" applyNumberFormat="1" applyFont="1"/>
    <xf numFmtId="44" fontId="4" fillId="0" borderId="0" xfId="10" applyFont="1"/>
    <xf numFmtId="165" fontId="10" fillId="0" borderId="0" xfId="1" applyNumberFormat="1" applyFont="1" applyBorder="1"/>
    <xf numFmtId="0" fontId="17" fillId="0" borderId="0" xfId="0" applyFont="1"/>
    <xf numFmtId="0" fontId="20" fillId="0" borderId="0" xfId="0" applyFont="1" applyAlignment="1">
      <alignment horizontal="center"/>
    </xf>
    <xf numFmtId="10" fontId="4" fillId="0" borderId="0" xfId="3" applyNumberFormat="1" applyFont="1" applyAlignment="1">
      <alignment horizontal="center"/>
    </xf>
    <xf numFmtId="44" fontId="4" fillId="0" borderId="0" xfId="0" applyNumberFormat="1" applyFont="1"/>
    <xf numFmtId="165" fontId="4" fillId="0" borderId="0" xfId="5" quotePrefix="1" applyNumberFormat="1" applyFont="1"/>
    <xf numFmtId="166" fontId="4" fillId="0" borderId="0" xfId="1" applyNumberFormat="1" applyFont="1" applyBorder="1" applyAlignment="1"/>
    <xf numFmtId="0" fontId="4" fillId="0" borderId="7" xfId="0" applyFont="1" applyBorder="1"/>
    <xf numFmtId="165" fontId="18" fillId="0" borderId="0" xfId="1" applyNumberFormat="1" applyFont="1"/>
    <xf numFmtId="165" fontId="4" fillId="0" borderId="0" xfId="1" applyNumberFormat="1" applyFont="1" applyAlignment="1">
      <alignment horizontal="centerContinuous" vertical="center"/>
    </xf>
    <xf numFmtId="165" fontId="4" fillId="0" borderId="0" xfId="1" applyNumberFormat="1" applyFont="1" applyAlignment="1">
      <alignment vertical="center"/>
    </xf>
    <xf numFmtId="165" fontId="12" fillId="0" borderId="0" xfId="1" applyNumberFormat="1" applyFont="1" applyAlignment="1">
      <alignment horizontal="centerContinuous" vertical="center"/>
    </xf>
    <xf numFmtId="165" fontId="9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vertical="center"/>
    </xf>
    <xf numFmtId="165" fontId="4" fillId="0" borderId="0" xfId="1" applyNumberFormat="1" applyFont="1" applyAlignment="1">
      <alignment horizontal="center" vertical="center"/>
    </xf>
    <xf numFmtId="165" fontId="13" fillId="0" borderId="0" xfId="1" applyNumberFormat="1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8" fillId="0" borderId="0" xfId="1" quotePrefix="1" applyNumberFormat="1" applyFont="1" applyAlignment="1">
      <alignment horizontal="center" vertical="center"/>
    </xf>
    <xf numFmtId="165" fontId="19" fillId="0" borderId="0" xfId="1" applyNumberFormat="1" applyFont="1" applyAlignment="1">
      <alignment vertical="center"/>
    </xf>
    <xf numFmtId="165" fontId="8" fillId="0" borderId="0" xfId="1" applyNumberFormat="1" applyFont="1" applyAlignment="1">
      <alignment vertical="center"/>
    </xf>
    <xf numFmtId="165" fontId="4" fillId="0" borderId="0" xfId="1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165" fontId="11" fillId="0" borderId="0" xfId="1" quotePrefix="1" applyNumberFormat="1" applyFont="1" applyAlignment="1">
      <alignment horizontal="center" vertical="center"/>
    </xf>
    <xf numFmtId="165" fontId="11" fillId="0" borderId="0" xfId="1" applyNumberFormat="1" applyFont="1" applyAlignment="1">
      <alignment horizontal="center" vertical="center"/>
    </xf>
    <xf numFmtId="165" fontId="4" fillId="0" borderId="0" xfId="1" applyNumberFormat="1" applyFont="1" applyAlignment="1"/>
    <xf numFmtId="10" fontId="4" fillId="0" borderId="0" xfId="3" applyNumberFormat="1" applyFont="1" applyAlignment="1">
      <alignment vertical="center"/>
    </xf>
    <xf numFmtId="165" fontId="4" fillId="0" borderId="0" xfId="5" applyNumberFormat="1" applyFont="1" applyBorder="1" applyAlignment="1">
      <alignment horizontal="center"/>
    </xf>
    <xf numFmtId="10" fontId="4" fillId="0" borderId="0" xfId="3" applyNumberFormat="1" applyFont="1" applyBorder="1" applyAlignment="1">
      <alignment vertical="center"/>
    </xf>
    <xf numFmtId="10" fontId="4" fillId="0" borderId="0" xfId="3" applyNumberFormat="1" applyFont="1" applyBorder="1"/>
    <xf numFmtId="43" fontId="4" fillId="0" borderId="0" xfId="5" applyFont="1"/>
    <xf numFmtId="43" fontId="4" fillId="0" borderId="0" xfId="5" applyFont="1" applyBorder="1"/>
    <xf numFmtId="165" fontId="4" fillId="0" borderId="8" xfId="5" applyNumberFormat="1" applyFont="1" applyBorder="1"/>
    <xf numFmtId="0" fontId="23" fillId="0" borderId="0" xfId="0" applyFont="1" applyAlignment="1">
      <alignment horizontal="center"/>
    </xf>
    <xf numFmtId="165" fontId="22" fillId="0" borderId="0" xfId="5" applyNumberFormat="1" applyFont="1"/>
    <xf numFmtId="170" fontId="4" fillId="0" borderId="0" xfId="0" applyNumberFormat="1" applyFont="1"/>
    <xf numFmtId="164" fontId="17" fillId="0" borderId="9" xfId="6" applyNumberFormat="1" applyFont="1" applyBorder="1"/>
    <xf numFmtId="10" fontId="4" fillId="0" borderId="1" xfId="0" applyNumberFormat="1" applyFont="1" applyBorder="1"/>
    <xf numFmtId="43" fontId="4" fillId="0" borderId="0" xfId="1" applyFont="1" applyBorder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/>
    <xf numFmtId="0" fontId="7" fillId="0" borderId="0" xfId="0" applyFont="1"/>
    <xf numFmtId="0" fontId="4" fillId="0" borderId="3" xfId="0" applyFont="1" applyBorder="1"/>
    <xf numFmtId="0" fontId="4" fillId="0" borderId="5" xfId="0" applyFont="1" applyBorder="1"/>
    <xf numFmtId="0" fontId="4" fillId="0" borderId="0" xfId="1" applyNumberFormat="1" applyFont="1" applyBorder="1" applyAlignment="1"/>
    <xf numFmtId="0" fontId="4" fillId="0" borderId="0" xfId="1" applyNumberFormat="1" applyFont="1" applyBorder="1" applyAlignment="1">
      <alignment horizontal="center"/>
    </xf>
    <xf numFmtId="43" fontId="4" fillId="0" borderId="0" xfId="5" applyFont="1" applyFill="1"/>
    <xf numFmtId="37" fontId="4" fillId="0" borderId="0" xfId="0" applyNumberFormat="1" applyFont="1" applyAlignment="1">
      <alignment horizontal="center"/>
    </xf>
    <xf numFmtId="165" fontId="4" fillId="0" borderId="0" xfId="0" applyNumberFormat="1" applyFont="1"/>
    <xf numFmtId="165" fontId="10" fillId="0" borderId="0" xfId="5" applyNumberFormat="1" applyFont="1" applyBorder="1"/>
    <xf numFmtId="165" fontId="10" fillId="0" borderId="0" xfId="0" applyNumberFormat="1" applyFont="1"/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3" fontId="4" fillId="0" borderId="0" xfId="0" applyNumberFormat="1" applyFont="1" applyAlignment="1">
      <alignment horizontal="right"/>
    </xf>
    <xf numFmtId="0" fontId="4" fillId="0" borderId="0" xfId="0" quotePrefix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1" applyNumberFormat="1" applyFont="1" applyBorder="1" applyAlignment="1"/>
    <xf numFmtId="165" fontId="5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Continuous"/>
    </xf>
    <xf numFmtId="165" fontId="4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164" fontId="10" fillId="0" borderId="0" xfId="6" applyNumberFormat="1" applyFont="1" applyBorder="1"/>
    <xf numFmtId="44" fontId="5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Continuous"/>
    </xf>
    <xf numFmtId="44" fontId="4" fillId="0" borderId="0" xfId="0" applyNumberFormat="1" applyFont="1" applyAlignment="1">
      <alignment horizontal="center"/>
    </xf>
    <xf numFmtId="44" fontId="4" fillId="0" borderId="0" xfId="5" applyNumberFormat="1" applyFont="1" applyBorder="1"/>
    <xf numFmtId="44" fontId="10" fillId="0" borderId="0" xfId="5" applyNumberFormat="1" applyFont="1" applyBorder="1"/>
    <xf numFmtId="44" fontId="0" fillId="0" borderId="0" xfId="0" applyNumberFormat="1"/>
    <xf numFmtId="44" fontId="4" fillId="0" borderId="2" xfId="1" applyNumberFormat="1" applyFont="1" applyBorder="1"/>
    <xf numFmtId="44" fontId="4" fillId="0" borderId="1" xfId="1" applyNumberFormat="1" applyFont="1" applyBorder="1"/>
    <xf numFmtId="44" fontId="12" fillId="0" borderId="7" xfId="0" applyNumberFormat="1" applyFont="1" applyBorder="1" applyAlignment="1">
      <alignment horizontal="center" vertical="center"/>
    </xf>
    <xf numFmtId="44" fontId="10" fillId="0" borderId="7" xfId="1" applyNumberFormat="1" applyFont="1" applyBorder="1" applyAlignment="1">
      <alignment horizontal="center"/>
    </xf>
    <xf numFmtId="44" fontId="4" fillId="0" borderId="7" xfId="1" applyNumberFormat="1" applyFont="1" applyBorder="1"/>
    <xf numFmtId="44" fontId="4" fillId="0" borderId="5" xfId="1" applyNumberFormat="1" applyFont="1" applyBorder="1"/>
    <xf numFmtId="44" fontId="4" fillId="0" borderId="0" xfId="1" applyNumberFormat="1" applyFont="1"/>
    <xf numFmtId="44" fontId="12" fillId="0" borderId="0" xfId="0" applyNumberFormat="1" applyFont="1" applyAlignment="1">
      <alignment horizontal="center" vertical="center"/>
    </xf>
    <xf numFmtId="44" fontId="10" fillId="0" borderId="0" xfId="1" applyNumberFormat="1" applyFont="1" applyBorder="1" applyAlignment="1">
      <alignment horizontal="center"/>
    </xf>
    <xf numFmtId="44" fontId="4" fillId="0" borderId="0" xfId="1" applyNumberFormat="1" applyFont="1" applyBorder="1"/>
    <xf numFmtId="44" fontId="4" fillId="0" borderId="0" xfId="2" applyFont="1" applyBorder="1"/>
    <xf numFmtId="0" fontId="8" fillId="0" borderId="0" xfId="0" applyFont="1"/>
    <xf numFmtId="165" fontId="4" fillId="0" borderId="0" xfId="9" applyNumberFormat="1" applyFont="1" applyFill="1" applyBorder="1"/>
    <xf numFmtId="165" fontId="10" fillId="0" borderId="0" xfId="9" applyNumberFormat="1" applyFont="1" applyFill="1" applyBorder="1"/>
    <xf numFmtId="0" fontId="2" fillId="0" borderId="0" xfId="4"/>
    <xf numFmtId="167" fontId="4" fillId="0" borderId="0" xfId="3" applyNumberFormat="1" applyFont="1" applyFill="1" applyBorder="1"/>
    <xf numFmtId="165" fontId="4" fillId="0" borderId="0" xfId="9" applyNumberFormat="1" applyFont="1" applyFill="1" applyBorder="1" applyAlignment="1">
      <alignment horizontal="center"/>
    </xf>
    <xf numFmtId="165" fontId="8" fillId="0" borderId="7" xfId="5" applyNumberFormat="1" applyFont="1" applyBorder="1" applyAlignment="1">
      <alignment horizontal="center"/>
    </xf>
    <xf numFmtId="3" fontId="4" fillId="0" borderId="0" xfId="0" applyNumberFormat="1" applyFont="1"/>
    <xf numFmtId="168" fontId="4" fillId="0" borderId="0" xfId="5" applyNumberFormat="1" applyFont="1" applyAlignment="1"/>
    <xf numFmtId="3" fontId="4" fillId="0" borderId="2" xfId="0" applyNumberFormat="1" applyFont="1" applyBorder="1"/>
    <xf numFmtId="168" fontId="4" fillId="0" borderId="2" xfId="5" applyNumberFormat="1" applyFont="1" applyBorder="1"/>
    <xf numFmtId="3" fontId="4" fillId="0" borderId="4" xfId="0" applyNumberFormat="1" applyFont="1" applyBorder="1"/>
    <xf numFmtId="3" fontId="4" fillId="0" borderId="7" xfId="0" applyNumberFormat="1" applyFont="1" applyBorder="1"/>
    <xf numFmtId="3" fontId="4" fillId="0" borderId="8" xfId="0" applyNumberFormat="1" applyFont="1" applyBorder="1"/>
    <xf numFmtId="168" fontId="4" fillId="0" borderId="0" xfId="5" applyNumberFormat="1" applyFont="1" applyBorder="1" applyAlignment="1"/>
    <xf numFmtId="3" fontId="9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168" fontId="9" fillId="0" borderId="0" xfId="5" applyNumberFormat="1" applyFont="1" applyBorder="1" applyAlignment="1">
      <alignment horizontal="centerContinuous"/>
    </xf>
    <xf numFmtId="3" fontId="9" fillId="0" borderId="0" xfId="0" applyNumberFormat="1" applyFont="1" applyAlignment="1">
      <alignment horizontal="centerContinuous"/>
    </xf>
    <xf numFmtId="44" fontId="11" fillId="0" borderId="0" xfId="0" applyNumberFormat="1" applyFont="1" applyAlignment="1">
      <alignment horizontal="center"/>
    </xf>
    <xf numFmtId="3" fontId="9" fillId="0" borderId="0" xfId="0" applyNumberFormat="1" applyFont="1"/>
    <xf numFmtId="169" fontId="4" fillId="0" borderId="0" xfId="0" applyNumberFormat="1" applyFont="1" applyAlignment="1">
      <alignment horizontal="center"/>
    </xf>
    <xf numFmtId="168" fontId="4" fillId="0" borderId="0" xfId="5" applyNumberFormat="1" applyFont="1" applyBorder="1" applyAlignment="1">
      <alignment horizontal="center"/>
    </xf>
    <xf numFmtId="168" fontId="4" fillId="0" borderId="0" xfId="5" quotePrefix="1" applyNumberFormat="1" applyFont="1" applyBorder="1" applyAlignment="1">
      <alignment horizontal="center"/>
    </xf>
    <xf numFmtId="168" fontId="14" fillId="0" borderId="0" xfId="5" applyNumberFormat="1" applyFont="1" applyBorder="1" applyAlignment="1"/>
    <xf numFmtId="165" fontId="4" fillId="0" borderId="0" xfId="5" applyNumberFormat="1" applyFont="1" applyBorder="1" applyAlignment="1"/>
    <xf numFmtId="3" fontId="8" fillId="0" borderId="0" xfId="0" applyNumberFormat="1" applyFont="1"/>
    <xf numFmtId="171" fontId="4" fillId="0" borderId="0" xfId="0" applyNumberFormat="1" applyFont="1"/>
    <xf numFmtId="170" fontId="8" fillId="0" borderId="0" xfId="0" applyNumberFormat="1" applyFont="1"/>
    <xf numFmtId="3" fontId="4" fillId="0" borderId="1" xfId="0" applyNumberFormat="1" applyFont="1" applyBorder="1"/>
    <xf numFmtId="168" fontId="4" fillId="0" borderId="1" xfId="5" applyNumberFormat="1" applyFont="1" applyBorder="1" applyAlignment="1"/>
    <xf numFmtId="3" fontId="4" fillId="0" borderId="6" xfId="0" applyNumberFormat="1" applyFont="1" applyBorder="1"/>
    <xf numFmtId="4" fontId="4" fillId="0" borderId="7" xfId="0" applyNumberFormat="1" applyFont="1" applyBorder="1"/>
    <xf numFmtId="165" fontId="4" fillId="0" borderId="3" xfId="5" applyNumberFormat="1" applyFont="1" applyBorder="1"/>
    <xf numFmtId="165" fontId="4" fillId="0" borderId="2" xfId="5" applyNumberFormat="1" applyFont="1" applyBorder="1"/>
    <xf numFmtId="165" fontId="4" fillId="0" borderId="4" xfId="5" applyNumberFormat="1" applyFont="1" applyBorder="1"/>
    <xf numFmtId="165" fontId="5" fillId="0" borderId="7" xfId="5" applyNumberFormat="1" applyFont="1" applyBorder="1" applyAlignment="1">
      <alignment horizontal="centerContinuous"/>
    </xf>
    <xf numFmtId="165" fontId="8" fillId="0" borderId="0" xfId="5" applyNumberFormat="1" applyFont="1" applyAlignment="1">
      <alignment horizontal="centerContinuous"/>
    </xf>
    <xf numFmtId="165" fontId="6" fillId="0" borderId="7" xfId="5" applyNumberFormat="1" applyFont="1" applyBorder="1" applyAlignment="1">
      <alignment horizontal="centerContinuous"/>
    </xf>
    <xf numFmtId="165" fontId="9" fillId="0" borderId="0" xfId="5" applyNumberFormat="1" applyFont="1" applyAlignment="1">
      <alignment horizontal="centerContinuous"/>
    </xf>
    <xf numFmtId="3" fontId="12" fillId="0" borderId="7" xfId="0" applyNumberFormat="1" applyFont="1" applyBorder="1" applyAlignment="1">
      <alignment horizontal="centerContinuous" vertical="center"/>
    </xf>
    <xf numFmtId="165" fontId="24" fillId="0" borderId="7" xfId="5" applyNumberFormat="1" applyFont="1" applyBorder="1" applyAlignment="1">
      <alignment horizontal="centerContinuous"/>
    </xf>
    <xf numFmtId="165" fontId="4" fillId="0" borderId="0" xfId="5" applyNumberFormat="1" applyFont="1" applyAlignment="1">
      <alignment horizontal="centerContinuous"/>
    </xf>
    <xf numFmtId="165" fontId="4" fillId="0" borderId="7" xfId="5" applyNumberFormat="1" applyFont="1" applyBorder="1" applyAlignment="1">
      <alignment horizontal="centerContinuous"/>
    </xf>
    <xf numFmtId="165" fontId="4" fillId="0" borderId="10" xfId="5" applyNumberFormat="1" applyFont="1" applyBorder="1" applyAlignment="1">
      <alignment horizontal="left"/>
    </xf>
    <xf numFmtId="165" fontId="4" fillId="0" borderId="3" xfId="5" applyNumberFormat="1" applyFont="1" applyBorder="1" applyAlignment="1">
      <alignment horizontal="left"/>
    </xf>
    <xf numFmtId="165" fontId="4" fillId="0" borderId="2" xfId="5" applyNumberFormat="1" applyFont="1" applyBorder="1" applyAlignment="1">
      <alignment horizontal="left"/>
    </xf>
    <xf numFmtId="165" fontId="4" fillId="0" borderId="4" xfId="5" applyNumberFormat="1" applyFont="1" applyBorder="1" applyAlignment="1">
      <alignment horizontal="left"/>
    </xf>
    <xf numFmtId="165" fontId="4" fillId="0" borderId="11" xfId="5" applyNumberFormat="1" applyFont="1" applyBorder="1"/>
    <xf numFmtId="165" fontId="11" fillId="0" borderId="0" xfId="5" applyNumberFormat="1" applyFont="1" applyAlignment="1">
      <alignment horizontal="center" vertical="center"/>
    </xf>
    <xf numFmtId="165" fontId="8" fillId="0" borderId="8" xfId="5" applyNumberFormat="1" applyFont="1" applyBorder="1" applyAlignment="1">
      <alignment horizontal="center" vertical="center"/>
    </xf>
    <xf numFmtId="165" fontId="8" fillId="0" borderId="0" xfId="5" applyNumberFormat="1" applyFont="1" applyAlignment="1">
      <alignment horizontal="center" vertical="center"/>
    </xf>
    <xf numFmtId="165" fontId="11" fillId="0" borderId="8" xfId="5" applyNumberFormat="1" applyFont="1" applyBorder="1" applyAlignment="1">
      <alignment horizontal="center" vertical="center"/>
    </xf>
    <xf numFmtId="165" fontId="11" fillId="0" borderId="0" xfId="5" applyNumberFormat="1" applyFont="1" applyBorder="1" applyAlignment="1">
      <alignment horizontal="center" vertical="center"/>
    </xf>
    <xf numFmtId="165" fontId="4" fillId="0" borderId="11" xfId="5" applyNumberFormat="1" applyFont="1" applyBorder="1" applyAlignment="1">
      <alignment horizontal="left"/>
    </xf>
    <xf numFmtId="165" fontId="4" fillId="0" borderId="7" xfId="5" applyNumberFormat="1" applyFont="1" applyBorder="1" applyAlignment="1">
      <alignment horizontal="center"/>
    </xf>
    <xf numFmtId="165" fontId="4" fillId="0" borderId="0" xfId="5" applyNumberFormat="1" applyFont="1" applyAlignment="1">
      <alignment horizontal="center"/>
    </xf>
    <xf numFmtId="165" fontId="4" fillId="0" borderId="8" xfId="5" applyNumberFormat="1" applyFont="1" applyBorder="1" applyAlignment="1">
      <alignment horizontal="center"/>
    </xf>
    <xf numFmtId="164" fontId="4" fillId="0" borderId="0" xfId="6" quotePrefix="1" applyNumberFormat="1" applyFont="1" applyBorder="1" applyAlignment="1">
      <alignment horizontal="center"/>
    </xf>
    <xf numFmtId="165" fontId="4" fillId="0" borderId="0" xfId="5" quotePrefix="1" applyNumberFormat="1" applyFont="1" applyBorder="1" applyAlignment="1">
      <alignment horizontal="center"/>
    </xf>
    <xf numFmtId="165" fontId="4" fillId="0" borderId="7" xfId="5" quotePrefix="1" applyNumberFormat="1" applyFont="1" applyBorder="1" applyAlignment="1">
      <alignment horizontal="left"/>
    </xf>
    <xf numFmtId="165" fontId="4" fillId="0" borderId="0" xfId="5" quotePrefix="1" applyNumberFormat="1" applyFont="1" applyAlignment="1">
      <alignment horizontal="left"/>
    </xf>
    <xf numFmtId="165" fontId="4" fillId="0" borderId="8" xfId="5" quotePrefix="1" applyNumberFormat="1" applyFont="1" applyBorder="1" applyAlignment="1">
      <alignment horizontal="left"/>
    </xf>
    <xf numFmtId="165" fontId="8" fillId="0" borderId="7" xfId="5" quotePrefix="1" applyNumberFormat="1" applyFont="1" applyBorder="1" applyAlignment="1">
      <alignment horizontal="left"/>
    </xf>
    <xf numFmtId="165" fontId="8" fillId="0" borderId="0" xfId="5" quotePrefix="1" applyNumberFormat="1" applyFont="1" applyAlignment="1">
      <alignment horizontal="left"/>
    </xf>
    <xf numFmtId="165" fontId="8" fillId="0" borderId="8" xfId="5" quotePrefix="1" applyNumberFormat="1" applyFont="1" applyBorder="1" applyAlignment="1">
      <alignment horizontal="left"/>
    </xf>
    <xf numFmtId="164" fontId="8" fillId="0" borderId="0" xfId="6" quotePrefix="1" applyNumberFormat="1" applyFont="1" applyBorder="1" applyAlignment="1">
      <alignment horizontal="left"/>
    </xf>
    <xf numFmtId="165" fontId="8" fillId="0" borderId="12" xfId="5" applyNumberFormat="1" applyFont="1" applyBorder="1" applyAlignment="1">
      <alignment horizontal="right"/>
    </xf>
    <xf numFmtId="165" fontId="8" fillId="0" borderId="5" xfId="5" applyNumberFormat="1" applyFont="1" applyBorder="1" applyAlignment="1">
      <alignment horizontal="right"/>
    </xf>
    <xf numFmtId="165" fontId="8" fillId="0" borderId="1" xfId="5" applyNumberFormat="1" applyFont="1" applyBorder="1" applyAlignment="1">
      <alignment horizontal="right"/>
    </xf>
    <xf numFmtId="165" fontId="8" fillId="0" borderId="6" xfId="5" applyNumberFormat="1" applyFont="1" applyBorder="1" applyAlignment="1">
      <alignment horizontal="right"/>
    </xf>
    <xf numFmtId="165" fontId="8" fillId="0" borderId="8" xfId="5" applyNumberFormat="1" applyFont="1" applyBorder="1" applyAlignment="1">
      <alignment horizontal="right"/>
    </xf>
    <xf numFmtId="165" fontId="4" fillId="0" borderId="6" xfId="5" applyNumberFormat="1" applyFont="1" applyBorder="1"/>
    <xf numFmtId="165" fontId="8" fillId="0" borderId="7" xfId="5" applyNumberFormat="1" applyFont="1" applyBorder="1" applyAlignment="1">
      <alignment horizontal="right"/>
    </xf>
    <xf numFmtId="165" fontId="8" fillId="0" borderId="0" xfId="5" applyNumberFormat="1" applyFont="1" applyAlignment="1">
      <alignment horizontal="right"/>
    </xf>
    <xf numFmtId="165" fontId="8" fillId="0" borderId="2" xfId="5" applyNumberFormat="1" applyFont="1" applyBorder="1" applyAlignment="1">
      <alignment horizontal="right"/>
    </xf>
    <xf numFmtId="165" fontId="8" fillId="0" borderId="7" xfId="5" applyNumberFormat="1" applyFont="1" applyBorder="1"/>
    <xf numFmtId="164" fontId="8" fillId="0" borderId="0" xfId="6" applyNumberFormat="1" applyFont="1"/>
    <xf numFmtId="165" fontId="8" fillId="0" borderId="0" xfId="5" applyNumberFormat="1" applyFont="1"/>
    <xf numFmtId="165" fontId="8" fillId="0" borderId="0" xfId="5" applyNumberFormat="1" applyFont="1" applyBorder="1"/>
    <xf numFmtId="164" fontId="8" fillId="0" borderId="0" xfId="6" applyNumberFormat="1" applyFont="1" applyBorder="1"/>
    <xf numFmtId="165" fontId="4" fillId="0" borderId="5" xfId="5" applyNumberFormat="1" applyFont="1" applyBorder="1" applyAlignment="1">
      <alignment horizontal="center"/>
    </xf>
    <xf numFmtId="165" fontId="4" fillId="0" borderId="1" xfId="5" applyNumberFormat="1" applyFont="1" applyBorder="1" applyAlignment="1">
      <alignment horizontal="center"/>
    </xf>
    <xf numFmtId="0" fontId="22" fillId="0" borderId="0" xfId="0" applyFont="1" applyAlignment="1">
      <alignment horizontal="left"/>
    </xf>
    <xf numFmtId="165" fontId="22" fillId="0" borderId="0" xfId="1" applyNumberFormat="1" applyFont="1" applyAlignment="1">
      <alignment vertical="center"/>
    </xf>
    <xf numFmtId="9" fontId="4" fillId="0" borderId="0" xfId="0" applyNumberFormat="1" applyFont="1" applyAlignment="1">
      <alignment horizontal="center"/>
    </xf>
    <xf numFmtId="9" fontId="20" fillId="0" borderId="0" xfId="0" applyNumberFormat="1" applyFont="1" applyAlignment="1">
      <alignment horizontal="center"/>
    </xf>
    <xf numFmtId="9" fontId="4" fillId="0" borderId="0" xfId="3" applyFont="1" applyAlignment="1">
      <alignment horizontal="center"/>
    </xf>
    <xf numFmtId="164" fontId="4" fillId="0" borderId="0" xfId="5" applyNumberFormat="1" applyFont="1" applyBorder="1"/>
    <xf numFmtId="164" fontId="4" fillId="0" borderId="0" xfId="2" applyNumberFormat="1" applyFont="1" applyBorder="1"/>
    <xf numFmtId="9" fontId="4" fillId="0" borderId="0" xfId="3" applyFont="1"/>
    <xf numFmtId="42" fontId="4" fillId="0" borderId="0" xfId="0" applyNumberFormat="1" applyFont="1"/>
    <xf numFmtId="165" fontId="4" fillId="0" borderId="0" xfId="1" applyNumberFormat="1" applyFont="1" applyAlignment="1">
      <alignment horizontal="right" vertical="center"/>
    </xf>
    <xf numFmtId="10" fontId="4" fillId="0" borderId="0" xfId="0" applyNumberFormat="1" applyFont="1"/>
    <xf numFmtId="164" fontId="8" fillId="0" borderId="9" xfId="6" applyNumberFormat="1" applyFont="1" applyBorder="1"/>
    <xf numFmtId="9" fontId="4" fillId="0" borderId="0" xfId="9" applyNumberFormat="1" applyFont="1" applyFill="1" applyBorder="1" applyAlignment="1">
      <alignment horizontal="center"/>
    </xf>
    <xf numFmtId="9" fontId="10" fillId="0" borderId="0" xfId="9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left" indent="1"/>
    </xf>
    <xf numFmtId="164" fontId="8" fillId="0" borderId="0" xfId="4" applyNumberFormat="1" applyFont="1" applyAlignment="1">
      <alignment horizontal="left" indent="1"/>
    </xf>
    <xf numFmtId="10" fontId="8" fillId="0" borderId="0" xfId="0" applyNumberFormat="1" applyFont="1"/>
    <xf numFmtId="165" fontId="4" fillId="0" borderId="0" xfId="1" applyNumberFormat="1" applyFont="1" applyBorder="1" applyAlignment="1">
      <alignment vertical="center"/>
    </xf>
    <xf numFmtId="165" fontId="10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center" vertical="center"/>
    </xf>
    <xf numFmtId="165" fontId="10" fillId="0" borderId="0" xfId="1" applyNumberFormat="1" applyFont="1" applyBorder="1" applyAlignment="1">
      <alignment horizontal="center" vertical="center"/>
    </xf>
    <xf numFmtId="165" fontId="10" fillId="0" borderId="0" xfId="1" applyNumberFormat="1" applyFont="1"/>
    <xf numFmtId="44" fontId="4" fillId="2" borderId="7" xfId="1" applyNumberFormat="1" applyFont="1" applyFill="1" applyBorder="1"/>
    <xf numFmtId="44" fontId="4" fillId="2" borderId="0" xfId="1" applyNumberFormat="1" applyFont="1" applyFill="1" applyBorder="1"/>
    <xf numFmtId="10" fontId="4" fillId="2" borderId="0" xfId="3" applyNumberFormat="1" applyFont="1" applyFill="1" applyBorder="1"/>
    <xf numFmtId="10" fontId="4" fillId="0" borderId="0" xfId="3" applyNumberFormat="1" applyFont="1" applyBorder="1" applyAlignment="1"/>
    <xf numFmtId="165" fontId="26" fillId="0" borderId="0" xfId="11" applyNumberFormat="1" applyFont="1" applyAlignment="1">
      <alignment vertical="center"/>
    </xf>
    <xf numFmtId="165" fontId="11" fillId="0" borderId="0" xfId="1" applyNumberFormat="1" applyFont="1" applyAlignment="1">
      <alignment vertical="center"/>
    </xf>
    <xf numFmtId="172" fontId="4" fillId="0" borderId="0" xfId="1" applyNumberFormat="1" applyFont="1" applyBorder="1" applyAlignment="1"/>
    <xf numFmtId="165" fontId="7" fillId="0" borderId="0" xfId="1" applyNumberFormat="1" applyFont="1" applyBorder="1"/>
    <xf numFmtId="0" fontId="4" fillId="0" borderId="0" xfId="1" applyNumberFormat="1" applyFont="1" applyBorder="1" applyAlignment="1">
      <alignment horizontal="left"/>
    </xf>
    <xf numFmtId="0" fontId="4" fillId="0" borderId="0" xfId="1" applyNumberFormat="1" applyFont="1" applyBorder="1" applyAlignment="1">
      <alignment horizontal="right"/>
    </xf>
    <xf numFmtId="166" fontId="4" fillId="0" borderId="0" xfId="1" applyNumberFormat="1" applyFont="1" applyBorder="1" applyAlignment="1">
      <alignment horizontal="right"/>
    </xf>
    <xf numFmtId="172" fontId="4" fillId="0" borderId="0" xfId="1" applyNumberFormat="1" applyFont="1" applyBorder="1" applyAlignment="1">
      <alignment horizontal="right"/>
    </xf>
    <xf numFmtId="43" fontId="4" fillId="0" borderId="13" xfId="1" applyFont="1" applyBorder="1" applyAlignment="1"/>
    <xf numFmtId="43" fontId="4" fillId="0" borderId="14" xfId="1" applyFont="1" applyBorder="1" applyAlignment="1"/>
    <xf numFmtId="165" fontId="4" fillId="0" borderId="14" xfId="1" applyNumberFormat="1" applyFont="1" applyBorder="1" applyAlignment="1"/>
    <xf numFmtId="0" fontId="4" fillId="0" borderId="14" xfId="1" applyNumberFormat="1" applyFont="1" applyBorder="1" applyAlignment="1"/>
    <xf numFmtId="10" fontId="4" fillId="0" borderId="14" xfId="3" applyNumberFormat="1" applyFont="1" applyBorder="1" applyAlignment="1"/>
    <xf numFmtId="43" fontId="4" fillId="0" borderId="15" xfId="1" applyFont="1" applyBorder="1" applyAlignment="1"/>
    <xf numFmtId="43" fontId="4" fillId="0" borderId="16" xfId="1" applyFont="1" applyBorder="1" applyAlignment="1"/>
    <xf numFmtId="43" fontId="4" fillId="0" borderId="17" xfId="1" applyFont="1" applyBorder="1" applyAlignment="1"/>
    <xf numFmtId="43" fontId="4" fillId="0" borderId="17" xfId="1" applyFont="1" applyBorder="1" applyAlignment="1">
      <alignment vertical="center"/>
    </xf>
    <xf numFmtId="0" fontId="4" fillId="0" borderId="16" xfId="0" applyFont="1" applyBorder="1"/>
    <xf numFmtId="43" fontId="4" fillId="0" borderId="18" xfId="1" applyFont="1" applyBorder="1" applyAlignment="1"/>
    <xf numFmtId="43" fontId="4" fillId="0" borderId="19" xfId="1" applyFont="1" applyBorder="1" applyAlignment="1"/>
    <xf numFmtId="165" fontId="4" fillId="0" borderId="19" xfId="1" applyNumberFormat="1" applyFont="1" applyBorder="1" applyAlignment="1"/>
    <xf numFmtId="0" fontId="4" fillId="0" borderId="19" xfId="1" applyNumberFormat="1" applyFont="1" applyBorder="1" applyAlignment="1"/>
    <xf numFmtId="10" fontId="4" fillId="0" borderId="19" xfId="3" applyNumberFormat="1" applyFont="1" applyBorder="1" applyAlignment="1"/>
    <xf numFmtId="43" fontId="4" fillId="0" borderId="20" xfId="1" applyFont="1" applyBorder="1" applyAlignment="1"/>
    <xf numFmtId="0" fontId="4" fillId="0" borderId="14" xfId="1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4" fillId="0" borderId="19" xfId="1" applyNumberFormat="1" applyFont="1" applyBorder="1" applyAlignment="1">
      <alignment horizontal="left"/>
    </xf>
    <xf numFmtId="172" fontId="4" fillId="0" borderId="0" xfId="0" applyNumberFormat="1" applyFont="1"/>
    <xf numFmtId="172" fontId="4" fillId="0" borderId="0" xfId="2" applyNumberFormat="1" applyFont="1" applyBorder="1"/>
    <xf numFmtId="3" fontId="4" fillId="0" borderId="0" xfId="1" applyNumberFormat="1" applyFont="1" applyBorder="1"/>
    <xf numFmtId="37" fontId="4" fillId="0" borderId="0" xfId="2" applyNumberFormat="1" applyFont="1" applyBorder="1"/>
    <xf numFmtId="44" fontId="4" fillId="0" borderId="1" xfId="0" applyNumberFormat="1" applyFont="1" applyBorder="1"/>
    <xf numFmtId="0" fontId="17" fillId="0" borderId="1" xfId="0" applyFont="1" applyBorder="1"/>
    <xf numFmtId="165" fontId="4" fillId="0" borderId="0" xfId="0" applyNumberFormat="1" applyFont="1" applyAlignment="1">
      <alignment horizontal="right"/>
    </xf>
    <xf numFmtId="165" fontId="4" fillId="0" borderId="0" xfId="1" applyNumberFormat="1" applyFont="1" applyBorder="1" applyAlignment="1">
      <alignment horizontal="right"/>
    </xf>
    <xf numFmtId="165" fontId="10" fillId="0" borderId="0" xfId="1" applyNumberFormat="1" applyFont="1" applyBorder="1" applyAlignment="1">
      <alignment horizontal="right"/>
    </xf>
    <xf numFmtId="165" fontId="7" fillId="0" borderId="0" xfId="0" applyNumberFormat="1" applyFont="1"/>
    <xf numFmtId="169" fontId="4" fillId="0" borderId="0" xfId="0" quotePrefix="1" applyNumberFormat="1" applyFont="1" applyAlignment="1">
      <alignment horizontal="center"/>
    </xf>
    <xf numFmtId="165" fontId="4" fillId="0" borderId="0" xfId="1" applyNumberFormat="1" applyFont="1" applyFill="1" applyAlignment="1">
      <alignment vertical="center"/>
    </xf>
    <xf numFmtId="165" fontId="10" fillId="0" borderId="0" xfId="1" applyNumberFormat="1" applyFont="1" applyAlignment="1">
      <alignment vertical="center"/>
    </xf>
    <xf numFmtId="164" fontId="8" fillId="0" borderId="0" xfId="0" applyNumberFormat="1" applyFont="1"/>
    <xf numFmtId="37" fontId="4" fillId="0" borderId="0" xfId="0" applyNumberFormat="1" applyFont="1" applyAlignment="1">
      <alignment horizontal="right"/>
    </xf>
    <xf numFmtId="164" fontId="10" fillId="0" borderId="0" xfId="5" applyNumberFormat="1" applyFont="1" applyBorder="1"/>
    <xf numFmtId="165" fontId="4" fillId="0" borderId="0" xfId="1" quotePrefix="1" applyNumberFormat="1" applyFont="1" applyAlignment="1">
      <alignment horizontal="left" vertical="center"/>
    </xf>
    <xf numFmtId="164" fontId="10" fillId="0" borderId="0" xfId="0" applyNumberFormat="1" applyFont="1"/>
    <xf numFmtId="42" fontId="4" fillId="0" borderId="0" xfId="2" applyNumberFormat="1" applyFont="1"/>
    <xf numFmtId="164" fontId="4" fillId="0" borderId="0" xfId="2" applyNumberFormat="1" applyFont="1"/>
    <xf numFmtId="164" fontId="4" fillId="0" borderId="1" xfId="2" applyNumberFormat="1" applyFont="1" applyBorder="1"/>
    <xf numFmtId="0" fontId="4" fillId="0" borderId="1" xfId="0" applyFont="1" applyBorder="1"/>
    <xf numFmtId="42" fontId="4" fillId="0" borderId="1" xfId="2" applyNumberFormat="1" applyFont="1" applyBorder="1"/>
    <xf numFmtId="3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26" fillId="0" borderId="0" xfId="0" applyFont="1"/>
    <xf numFmtId="165" fontId="26" fillId="0" borderId="0" xfId="0" applyNumberFormat="1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1" applyNumberFormat="1" applyFont="1" applyAlignment="1">
      <alignment vertical="center"/>
    </xf>
    <xf numFmtId="43" fontId="4" fillId="0" borderId="0" xfId="1" applyFont="1" applyFill="1"/>
    <xf numFmtId="0" fontId="8" fillId="0" borderId="0" xfId="0" applyFont="1" applyAlignment="1">
      <alignment horizontal="center"/>
    </xf>
    <xf numFmtId="49" fontId="4" fillId="0" borderId="0" xfId="0" applyNumberFormat="1" applyFont="1"/>
    <xf numFmtId="49" fontId="27" fillId="0" borderId="0" xfId="0" applyNumberFormat="1" applyFont="1" applyAlignment="1">
      <alignment horizontal="centerContinuous"/>
    </xf>
    <xf numFmtId="165" fontId="4" fillId="0" borderId="1" xfId="1" applyNumberFormat="1" applyFont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left" indent="1"/>
    </xf>
    <xf numFmtId="164" fontId="4" fillId="0" borderId="1" xfId="4" applyNumberFormat="1" applyFont="1" applyBorder="1" applyAlignment="1">
      <alignment horizontal="left" indent="1"/>
    </xf>
    <xf numFmtId="43" fontId="4" fillId="0" borderId="0" xfId="1" applyFont="1" applyBorder="1" applyAlignment="1">
      <alignment horizontal="right"/>
    </xf>
    <xf numFmtId="9" fontId="7" fillId="0" borderId="0" xfId="3" applyFont="1"/>
    <xf numFmtId="10" fontId="4" fillId="0" borderId="0" xfId="3" applyNumberFormat="1" applyFont="1" applyFill="1" applyBorder="1"/>
    <xf numFmtId="164" fontId="4" fillId="0" borderId="0" xfId="6" applyNumberFormat="1" applyFont="1" applyFill="1" applyBorder="1"/>
    <xf numFmtId="164" fontId="4" fillId="0" borderId="1" xfId="0" applyNumberFormat="1" applyFont="1" applyBorder="1"/>
    <xf numFmtId="0" fontId="1" fillId="0" borderId="0" xfId="4" applyFont="1" applyAlignment="1">
      <alignment horizontal="left"/>
    </xf>
    <xf numFmtId="165" fontId="4" fillId="0" borderId="0" xfId="5" applyNumberFormat="1" applyFont="1" applyFill="1"/>
    <xf numFmtId="165" fontId="4" fillId="0" borderId="0" xfId="1" applyNumberFormat="1" applyFont="1" applyFill="1"/>
    <xf numFmtId="165" fontId="10" fillId="0" borderId="0" xfId="5" applyNumberFormat="1" applyFont="1" applyFill="1" applyBorder="1"/>
    <xf numFmtId="165" fontId="10" fillId="0" borderId="0" xfId="1" applyNumberFormat="1" applyFont="1" applyFill="1"/>
    <xf numFmtId="165" fontId="4" fillId="0" borderId="1" xfId="5" applyNumberFormat="1" applyFont="1" applyFill="1" applyBorder="1"/>
    <xf numFmtId="164" fontId="4" fillId="0" borderId="1" xfId="6" applyNumberFormat="1" applyFont="1" applyFill="1" applyBorder="1"/>
    <xf numFmtId="43" fontId="0" fillId="0" borderId="0" xfId="0" applyNumberFormat="1"/>
    <xf numFmtId="43" fontId="26" fillId="0" borderId="0" xfId="0" applyNumberFormat="1" applyFont="1"/>
    <xf numFmtId="170" fontId="4" fillId="0" borderId="0" xfId="0" applyNumberFormat="1" applyFont="1" applyAlignment="1">
      <alignment horizontal="center"/>
    </xf>
    <xf numFmtId="165" fontId="4" fillId="0" borderId="1" xfId="5" applyNumberFormat="1" applyFont="1" applyBorder="1"/>
    <xf numFmtId="43" fontId="5" fillId="0" borderId="0" xfId="1" applyFont="1" applyBorder="1" applyAlignment="1"/>
    <xf numFmtId="0" fontId="4" fillId="0" borderId="1" xfId="0" applyFont="1" applyBorder="1" applyAlignment="1">
      <alignment horizontal="right"/>
    </xf>
    <xf numFmtId="165" fontId="4" fillId="0" borderId="1" xfId="0" applyNumberFormat="1" applyFont="1" applyBorder="1"/>
    <xf numFmtId="10" fontId="4" fillId="0" borderId="0" xfId="3" applyNumberFormat="1" applyFont="1"/>
    <xf numFmtId="10" fontId="4" fillId="0" borderId="1" xfId="3" applyNumberFormat="1" applyFont="1" applyBorder="1"/>
    <xf numFmtId="165" fontId="5" fillId="0" borderId="0" xfId="1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165" fontId="11" fillId="0" borderId="7" xfId="5" applyNumberFormat="1" applyFont="1" applyBorder="1" applyAlignment="1">
      <alignment horizontal="center" vertical="center"/>
    </xf>
    <xf numFmtId="165" fontId="11" fillId="0" borderId="8" xfId="5" applyNumberFormat="1" applyFont="1" applyBorder="1" applyAlignment="1">
      <alignment horizontal="center" vertical="center"/>
    </xf>
    <xf numFmtId="166" fontId="7" fillId="0" borderId="0" xfId="1" applyNumberFormat="1" applyFont="1" applyBorder="1" applyAlignment="1">
      <alignment horizontal="center"/>
    </xf>
    <xf numFmtId="43" fontId="5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3" fontId="12" fillId="0" borderId="8" xfId="0" applyNumberFormat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center"/>
    </xf>
    <xf numFmtId="165" fontId="5" fillId="0" borderId="8" xfId="1" applyNumberFormat="1" applyFont="1" applyBorder="1" applyAlignment="1">
      <alignment horizontal="center"/>
    </xf>
    <xf numFmtId="37" fontId="4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165" fontId="12" fillId="0" borderId="0" xfId="5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2">
    <cellStyle name="Comma" xfId="1" builtinId="3"/>
    <cellStyle name="Comma 2" xfId="5" xr:uid="{00000000-0005-0000-0000-000001000000}"/>
    <cellStyle name="Comma 3" xfId="9" xr:uid="{00000000-0005-0000-0000-000002000000}"/>
    <cellStyle name="Currency" xfId="2" builtinId="4"/>
    <cellStyle name="Currency 2" xfId="6" xr:uid="{00000000-0005-0000-0000-000004000000}"/>
    <cellStyle name="Currency 3" xfId="10" xr:uid="{00000000-0005-0000-0000-000005000000}"/>
    <cellStyle name="Hyperlink" xfId="11" builtinId="8"/>
    <cellStyle name="Normal" xfId="0" builtinId="0"/>
    <cellStyle name="Normal 2" xfId="4" xr:uid="{00000000-0005-0000-0000-000007000000}"/>
    <cellStyle name="Normal 3" xfId="8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yroll%20Summary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preciation%20Schedule%202021%20Modified%20for%20Rate%20Stud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7b%20Adjustments%202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Usage%20Breakdown%20By%20Unit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ickBooks Desktop Export Tips"/>
      <sheetName val="Sheet1"/>
    </sheetNames>
    <sheetDataSet>
      <sheetData sheetId="0"/>
      <sheetData sheetId="1">
        <row r="24">
          <cell r="CE24">
            <v>3</v>
          </cell>
        </row>
        <row r="25">
          <cell r="W25">
            <v>4</v>
          </cell>
        </row>
        <row r="26">
          <cell r="K26">
            <v>4</v>
          </cell>
          <cell r="W26">
            <v>11</v>
          </cell>
          <cell r="AU26">
            <v>4</v>
          </cell>
          <cell r="BA26">
            <v>21</v>
          </cell>
          <cell r="CE26">
            <v>9</v>
          </cell>
        </row>
        <row r="27">
          <cell r="K27">
            <v>4</v>
          </cell>
          <cell r="W27">
            <v>11</v>
          </cell>
          <cell r="AU27">
            <v>3</v>
          </cell>
          <cell r="CE27">
            <v>3</v>
          </cell>
        </row>
        <row r="28">
          <cell r="K28">
            <v>110</v>
          </cell>
          <cell r="W28">
            <v>53</v>
          </cell>
          <cell r="AC28">
            <v>27.5</v>
          </cell>
          <cell r="AO28">
            <v>22.5</v>
          </cell>
          <cell r="AU28">
            <v>26</v>
          </cell>
          <cell r="BA28">
            <v>7</v>
          </cell>
          <cell r="BY28">
            <v>62.5</v>
          </cell>
        </row>
        <row r="29">
          <cell r="W29">
            <v>8</v>
          </cell>
        </row>
        <row r="30">
          <cell r="W30">
            <v>1</v>
          </cell>
          <cell r="AU30">
            <v>1</v>
          </cell>
        </row>
        <row r="31">
          <cell r="K31">
            <v>6.5</v>
          </cell>
          <cell r="W31">
            <v>14.5</v>
          </cell>
          <cell r="AC31">
            <v>10.5</v>
          </cell>
          <cell r="AU31">
            <v>14.5</v>
          </cell>
          <cell r="BA31">
            <v>11</v>
          </cell>
          <cell r="CE31">
            <v>3</v>
          </cell>
        </row>
        <row r="32">
          <cell r="K32">
            <v>4</v>
          </cell>
          <cell r="W32">
            <v>8</v>
          </cell>
        </row>
        <row r="33">
          <cell r="K33">
            <v>42</v>
          </cell>
          <cell r="W33">
            <v>44.5</v>
          </cell>
          <cell r="AC33">
            <v>11</v>
          </cell>
          <cell r="AO33">
            <v>11.5</v>
          </cell>
          <cell r="AU33">
            <v>9</v>
          </cell>
          <cell r="BY33">
            <v>4</v>
          </cell>
          <cell r="CE33">
            <v>7.5</v>
          </cell>
        </row>
        <row r="35">
          <cell r="I35">
            <v>1000</v>
          </cell>
          <cell r="O35">
            <v>1000</v>
          </cell>
          <cell r="AA35">
            <v>4848</v>
          </cell>
          <cell r="AG35">
            <v>0</v>
          </cell>
          <cell r="AM35">
            <v>2100</v>
          </cell>
          <cell r="AS35">
            <v>0</v>
          </cell>
          <cell r="AY35">
            <v>5056</v>
          </cell>
          <cell r="BE35">
            <v>1000</v>
          </cell>
          <cell r="BK35">
            <v>1300</v>
          </cell>
          <cell r="BW35">
            <v>0</v>
          </cell>
          <cell r="CC35">
            <v>1000</v>
          </cell>
          <cell r="CI35">
            <v>4848</v>
          </cell>
          <cell r="CO35">
            <v>1100</v>
          </cell>
          <cell r="CU35">
            <v>1000</v>
          </cell>
        </row>
        <row r="36">
          <cell r="I36">
            <v>280</v>
          </cell>
          <cell r="O36">
            <v>740</v>
          </cell>
          <cell r="AA36">
            <v>307.5</v>
          </cell>
          <cell r="AG36">
            <v>0</v>
          </cell>
          <cell r="AM36">
            <v>537.6</v>
          </cell>
          <cell r="AS36">
            <v>0</v>
          </cell>
          <cell r="AY36">
            <v>295</v>
          </cell>
          <cell r="BE36">
            <v>882</v>
          </cell>
          <cell r="BK36">
            <v>403.2</v>
          </cell>
          <cell r="BW36">
            <v>0</v>
          </cell>
          <cell r="CC36">
            <v>294.25</v>
          </cell>
          <cell r="CI36">
            <v>280</v>
          </cell>
          <cell r="CO36">
            <v>403.2</v>
          </cell>
          <cell r="CU36">
            <v>280</v>
          </cell>
        </row>
        <row r="37">
          <cell r="E37">
            <v>2080</v>
          </cell>
          <cell r="K37">
            <v>2273</v>
          </cell>
          <cell r="W37">
            <v>2266.5</v>
          </cell>
          <cell r="AC37">
            <v>1161</v>
          </cell>
          <cell r="AO37">
            <v>1148</v>
          </cell>
          <cell r="AU37">
            <v>2149.5</v>
          </cell>
          <cell r="BA37">
            <v>2148.5</v>
          </cell>
          <cell r="BS37">
            <v>176.5</v>
          </cell>
          <cell r="BY37">
            <v>2169</v>
          </cell>
          <cell r="CE37">
            <v>2120.5</v>
          </cell>
          <cell r="CQ37">
            <v>2080</v>
          </cell>
        </row>
        <row r="65">
          <cell r="DA65">
            <v>148435.59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CCUMULATOR"/>
      <sheetName val="105"/>
      <sheetName val="107"/>
      <sheetName val="108"/>
      <sheetName val="109"/>
      <sheetName val="109 (2)"/>
      <sheetName val="109 (3)"/>
      <sheetName val="109 (4)"/>
      <sheetName val="109 (5)"/>
      <sheetName val="109 (6)"/>
      <sheetName val="110"/>
      <sheetName val="110 (2)"/>
      <sheetName val="111"/>
      <sheetName val="111 (2)"/>
      <sheetName val="111 (3)"/>
      <sheetName val="112"/>
      <sheetName val="112 (2)"/>
      <sheetName val="113"/>
      <sheetName val="113 (2)"/>
      <sheetName val="115"/>
      <sheetName val="115 (2)"/>
      <sheetName val="115 (3)"/>
      <sheetName val="116"/>
      <sheetName val="149"/>
      <sheetName val="150"/>
      <sheetName val="150 (2)"/>
      <sheetName val="150 (3)"/>
      <sheetName val="150 (4)"/>
      <sheetName val="155"/>
      <sheetName val="155 (2)"/>
      <sheetName val="157"/>
      <sheetName val="157 (2)"/>
      <sheetName val="157 (3)"/>
    </sheetNames>
    <sheetDataSet>
      <sheetData sheetId="0"/>
      <sheetData sheetId="1">
        <row r="4">
          <cell r="E4">
            <v>22159.23</v>
          </cell>
          <cell r="J4">
            <v>1570.4200000000003</v>
          </cell>
        </row>
        <row r="5">
          <cell r="E5">
            <v>4980129.2700000005</v>
          </cell>
          <cell r="J5">
            <v>101115.95</v>
          </cell>
        </row>
        <row r="6">
          <cell r="E6">
            <v>14666.42</v>
          </cell>
          <cell r="J6">
            <v>293.33</v>
          </cell>
        </row>
        <row r="7">
          <cell r="E7">
            <v>15620669.719999999</v>
          </cell>
          <cell r="J7">
            <v>312413.40000000002</v>
          </cell>
        </row>
        <row r="8">
          <cell r="E8">
            <v>670336.93999999994</v>
          </cell>
          <cell r="J8">
            <v>21575.814999999999</v>
          </cell>
        </row>
        <row r="9">
          <cell r="E9">
            <v>1234448.1200000001</v>
          </cell>
          <cell r="J9">
            <v>35251.635000000002</v>
          </cell>
        </row>
        <row r="10">
          <cell r="E10">
            <v>615868.52</v>
          </cell>
          <cell r="J10">
            <v>18703.72</v>
          </cell>
        </row>
        <row r="11">
          <cell r="E11">
            <v>288828.95999999996</v>
          </cell>
          <cell r="J11">
            <v>5776.6</v>
          </cell>
        </row>
        <row r="12">
          <cell r="E12">
            <v>2239520.92</v>
          </cell>
          <cell r="J12">
            <v>130346.64</v>
          </cell>
        </row>
        <row r="14">
          <cell r="E14">
            <v>432403.22</v>
          </cell>
          <cell r="J14">
            <v>14413.44</v>
          </cell>
        </row>
        <row r="15">
          <cell r="E15">
            <v>100107.47</v>
          </cell>
          <cell r="J15">
            <v>14744.149999999998</v>
          </cell>
        </row>
        <row r="16">
          <cell r="E16">
            <v>403512.5</v>
          </cell>
          <cell r="J16">
            <v>72106.48000000001</v>
          </cell>
        </row>
        <row r="17">
          <cell r="E17">
            <v>159711.97</v>
          </cell>
          <cell r="J17">
            <v>18870.239999999998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">
          <cell r="D25">
            <v>-39254.559999999998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Data"/>
      <sheetName val="Totals"/>
      <sheetName val="58 X 34 Inch"/>
      <sheetName val="1 Inch"/>
      <sheetName val="1 12 Inch"/>
      <sheetName val="2 Inch"/>
      <sheetName val="3 Inch"/>
    </sheetNames>
    <sheetDataSet>
      <sheetData sheetId="0"/>
      <sheetData sheetId="1"/>
      <sheetData sheetId="2">
        <row r="113">
          <cell r="E113">
            <v>16103</v>
          </cell>
          <cell r="G113">
            <v>14808900</v>
          </cell>
        </row>
        <row r="269">
          <cell r="E269">
            <v>27521</v>
          </cell>
          <cell r="G269">
            <v>91121700</v>
          </cell>
        </row>
        <row r="468">
          <cell r="E468">
            <v>13676</v>
          </cell>
          <cell r="G468">
            <v>92199800</v>
          </cell>
        </row>
        <row r="1097">
          <cell r="E1097">
            <v>5394</v>
          </cell>
          <cell r="G1097">
            <v>96275500</v>
          </cell>
        </row>
        <row r="1345">
          <cell r="E1345">
            <v>296</v>
          </cell>
          <cell r="G1345">
            <v>29435700</v>
          </cell>
        </row>
      </sheetData>
      <sheetData sheetId="3">
        <row r="92">
          <cell r="E92">
            <v>506</v>
          </cell>
          <cell r="G92">
            <v>937500</v>
          </cell>
        </row>
        <row r="152">
          <cell r="E152">
            <v>238</v>
          </cell>
          <cell r="G152">
            <v>1663000</v>
          </cell>
        </row>
        <row r="270">
          <cell r="E270">
            <v>161</v>
          </cell>
          <cell r="G270">
            <v>3089200</v>
          </cell>
        </row>
        <row r="292">
          <cell r="E292">
            <v>23</v>
          </cell>
          <cell r="G292">
            <v>2198000</v>
          </cell>
        </row>
      </sheetData>
      <sheetData sheetId="4">
        <row r="37">
          <cell r="E37">
            <v>58</v>
          </cell>
          <cell r="G37">
            <v>117000</v>
          </cell>
        </row>
        <row r="52">
          <cell r="E52">
            <v>14</v>
          </cell>
          <cell r="G52">
            <v>328400</v>
          </cell>
        </row>
        <row r="94">
          <cell r="E94">
            <v>41</v>
          </cell>
          <cell r="G94">
            <v>7297800</v>
          </cell>
        </row>
      </sheetData>
      <sheetData sheetId="5">
        <row r="39">
          <cell r="E39">
            <v>51</v>
          </cell>
          <cell r="G39">
            <v>328700</v>
          </cell>
        </row>
        <row r="77">
          <cell r="E77">
            <v>38</v>
          </cell>
          <cell r="G77">
            <v>1081900</v>
          </cell>
        </row>
        <row r="152">
          <cell r="E152">
            <v>74</v>
          </cell>
          <cell r="G152">
            <v>11679300</v>
          </cell>
        </row>
      </sheetData>
      <sheetData sheetId="6">
        <row r="18">
          <cell r="E18">
            <v>18</v>
          </cell>
          <cell r="G18">
            <v>72700</v>
          </cell>
        </row>
        <row r="20">
          <cell r="E20">
            <v>1</v>
          </cell>
          <cell r="G20">
            <v>37400</v>
          </cell>
        </row>
        <row r="62">
          <cell r="E62">
            <v>41</v>
          </cell>
          <cell r="G62">
            <v>72774700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topLeftCell="A3" workbookViewId="0">
      <selection activeCell="E20" sqref="E20"/>
    </sheetView>
  </sheetViews>
  <sheetFormatPr defaultColWidth="8.77734375" defaultRowHeight="14.25" x14ac:dyDescent="0.45"/>
  <cols>
    <col min="1" max="1" width="3.6640625" style="5" customWidth="1"/>
    <col min="2" max="2" width="2.6640625" style="5" customWidth="1"/>
    <col min="3" max="3" width="29.44140625" style="5" customWidth="1"/>
    <col min="4" max="4" width="11.33203125" style="5" customWidth="1"/>
    <col min="5" max="5" width="11.5546875" style="5" customWidth="1"/>
    <col min="6" max="6" width="5.33203125" style="5" customWidth="1"/>
    <col min="7" max="7" width="11.5546875" style="5" customWidth="1"/>
    <col min="8" max="8" width="3.609375" style="5" customWidth="1"/>
    <col min="9" max="9" width="14.5546875" style="5" customWidth="1"/>
    <col min="10" max="11" width="11.33203125" style="5" customWidth="1"/>
    <col min="12" max="12" width="10.88671875" style="5" customWidth="1"/>
    <col min="13" max="16384" width="8.77734375" style="5"/>
  </cols>
  <sheetData>
    <row r="1" spans="1:12" ht="18" x14ac:dyDescent="0.45">
      <c r="A1" s="316" t="s">
        <v>28</v>
      </c>
      <c r="B1" s="316"/>
      <c r="C1" s="316"/>
      <c r="D1" s="316"/>
      <c r="E1" s="316"/>
      <c r="F1" s="316"/>
      <c r="G1" s="316"/>
      <c r="H1" s="51"/>
      <c r="I1" s="51"/>
      <c r="J1" s="51"/>
      <c r="K1" s="51"/>
    </row>
    <row r="2" spans="1:12" ht="15.75" x14ac:dyDescent="0.45">
      <c r="A2" s="52" t="s">
        <v>225</v>
      </c>
      <c r="B2" s="50"/>
      <c r="C2" s="50"/>
      <c r="D2" s="50"/>
      <c r="E2" s="50"/>
      <c r="F2" s="50"/>
      <c r="G2" s="50"/>
      <c r="H2" s="51"/>
      <c r="I2" s="51"/>
      <c r="J2" s="51"/>
      <c r="K2" s="51"/>
      <c r="L2" s="51"/>
    </row>
    <row r="3" spans="1:12" x14ac:dyDescent="0.45">
      <c r="A3" s="39"/>
      <c r="B3" s="50"/>
      <c r="C3" s="50"/>
      <c r="D3" s="50"/>
      <c r="E3" s="50"/>
      <c r="F3" s="50"/>
      <c r="G3" s="50"/>
      <c r="H3" s="51"/>
      <c r="I3" s="51"/>
      <c r="J3" s="51"/>
      <c r="K3" s="51"/>
    </row>
    <row r="4" spans="1:12" ht="16.5" x14ac:dyDescent="0.45">
      <c r="A4" s="51"/>
      <c r="B4" s="51"/>
      <c r="C4" s="51"/>
      <c r="D4" s="53" t="s">
        <v>29</v>
      </c>
      <c r="E4" s="53" t="s">
        <v>30</v>
      </c>
      <c r="F4" s="53" t="s">
        <v>31</v>
      </c>
      <c r="G4" s="53" t="s">
        <v>32</v>
      </c>
      <c r="H4" s="51"/>
      <c r="I4" s="65" t="s">
        <v>38</v>
      </c>
      <c r="J4" s="51"/>
      <c r="L4" s="231" t="s">
        <v>194</v>
      </c>
    </row>
    <row r="5" spans="1:12" x14ac:dyDescent="0.45">
      <c r="A5" s="54" t="s">
        <v>14</v>
      </c>
      <c r="B5" s="51"/>
      <c r="C5" s="51"/>
      <c r="D5" s="51"/>
      <c r="F5" s="51"/>
      <c r="G5" s="51"/>
      <c r="H5" s="51"/>
      <c r="J5" s="51"/>
      <c r="K5" s="51"/>
    </row>
    <row r="6" spans="1:12" x14ac:dyDescent="0.45">
      <c r="A6" s="51"/>
      <c r="B6" s="51" t="s">
        <v>40</v>
      </c>
      <c r="C6" s="51"/>
      <c r="D6" s="51">
        <v>3408671</v>
      </c>
      <c r="E6" s="268">
        <f>ExBA!G11</f>
        <v>-4986.5600000000559</v>
      </c>
      <c r="F6" s="55" t="s">
        <v>306</v>
      </c>
      <c r="G6" s="51">
        <f>D6+E6</f>
        <v>3403684.44</v>
      </c>
      <c r="H6" s="56"/>
      <c r="I6" s="51" t="s">
        <v>294</v>
      </c>
      <c r="J6" s="51"/>
      <c r="K6" s="230"/>
      <c r="L6" s="5" t="s">
        <v>295</v>
      </c>
    </row>
    <row r="7" spans="1:12" x14ac:dyDescent="0.45">
      <c r="A7" s="51"/>
      <c r="B7" s="51" t="s">
        <v>57</v>
      </c>
      <c r="C7" s="51"/>
      <c r="D7" s="51">
        <v>0</v>
      </c>
      <c r="E7" s="268">
        <v>0</v>
      </c>
      <c r="F7" s="55"/>
      <c r="G7" s="51">
        <f>D7+E7</f>
        <v>0</v>
      </c>
      <c r="H7" s="57"/>
      <c r="I7" s="49"/>
      <c r="J7" s="51"/>
      <c r="K7" s="51"/>
    </row>
    <row r="8" spans="1:12" x14ac:dyDescent="0.45">
      <c r="A8" s="51"/>
      <c r="B8" s="51" t="s">
        <v>273</v>
      </c>
      <c r="C8" s="51"/>
      <c r="D8" s="51">
        <v>3210</v>
      </c>
      <c r="E8" s="268">
        <v>0</v>
      </c>
      <c r="F8" s="55"/>
      <c r="G8" s="51">
        <f>D8+E8</f>
        <v>3210</v>
      </c>
      <c r="H8" s="57"/>
      <c r="I8" s="49"/>
      <c r="J8" s="51"/>
      <c r="K8" s="51"/>
    </row>
    <row r="9" spans="1:12" x14ac:dyDescent="0.45">
      <c r="A9" s="51"/>
      <c r="B9" s="51" t="s">
        <v>15</v>
      </c>
      <c r="C9" s="51"/>
      <c r="D9" s="51">
        <v>0</v>
      </c>
      <c r="E9" s="268">
        <v>0</v>
      </c>
      <c r="F9" s="55"/>
      <c r="G9" s="51">
        <f>D9+E9</f>
        <v>0</v>
      </c>
      <c r="H9" s="56"/>
      <c r="I9" s="273"/>
      <c r="J9" s="51"/>
    </row>
    <row r="10" spans="1:12" x14ac:dyDescent="0.45">
      <c r="A10" s="51"/>
      <c r="B10" s="51" t="s">
        <v>192</v>
      </c>
      <c r="C10" s="51"/>
      <c r="D10" s="51">
        <v>0</v>
      </c>
      <c r="E10" s="51">
        <v>0</v>
      </c>
      <c r="F10" s="55"/>
      <c r="G10" s="51">
        <f>D10+E10</f>
        <v>0</v>
      </c>
      <c r="H10" s="56"/>
      <c r="I10" s="58"/>
      <c r="J10" s="51"/>
    </row>
    <row r="11" spans="1:12" x14ac:dyDescent="0.45">
      <c r="A11" s="51"/>
      <c r="B11" s="51" t="s">
        <v>16</v>
      </c>
      <c r="C11" s="51"/>
      <c r="D11" s="51"/>
      <c r="E11" s="51">
        <v>0</v>
      </c>
      <c r="F11" s="55"/>
      <c r="G11" s="51"/>
      <c r="H11" s="59"/>
      <c r="I11" s="51"/>
      <c r="J11" s="51"/>
      <c r="K11" s="51"/>
    </row>
    <row r="12" spans="1:12" x14ac:dyDescent="0.45">
      <c r="A12" s="51"/>
      <c r="B12" s="51"/>
      <c r="C12" s="51" t="s">
        <v>39</v>
      </c>
      <c r="D12" s="51">
        <v>35435</v>
      </c>
      <c r="E12" s="268">
        <v>0</v>
      </c>
      <c r="F12" s="55"/>
      <c r="G12" s="51">
        <f>D12+E12</f>
        <v>35435</v>
      </c>
      <c r="H12" s="56"/>
      <c r="I12" s="51"/>
      <c r="J12" s="51"/>
      <c r="K12" s="51"/>
    </row>
    <row r="13" spans="1:12" x14ac:dyDescent="0.45">
      <c r="A13" s="51"/>
      <c r="B13" s="51"/>
      <c r="C13" s="51" t="s">
        <v>191</v>
      </c>
      <c r="D13" s="51">
        <v>234423</v>
      </c>
      <c r="E13" s="268">
        <v>0</v>
      </c>
      <c r="F13" s="55"/>
      <c r="G13" s="51">
        <f>D13+E13</f>
        <v>234423</v>
      </c>
      <c r="H13" s="56"/>
      <c r="I13" s="51"/>
      <c r="J13" s="51"/>
      <c r="K13" s="51"/>
    </row>
    <row r="14" spans="1:12" x14ac:dyDescent="0.45">
      <c r="A14" s="51"/>
      <c r="B14" s="51"/>
      <c r="C14" s="51" t="s">
        <v>281</v>
      </c>
      <c r="D14" s="51">
        <v>85212</v>
      </c>
      <c r="E14" s="268">
        <v>0</v>
      </c>
      <c r="F14" s="55"/>
      <c r="G14" s="51">
        <f>D14+E14</f>
        <v>85212</v>
      </c>
      <c r="H14" s="56"/>
      <c r="I14" s="51"/>
      <c r="J14" s="51"/>
      <c r="K14" s="51"/>
    </row>
    <row r="15" spans="1:12" ht="16.5" x14ac:dyDescent="0.45">
      <c r="A15" s="51"/>
      <c r="B15" s="51"/>
      <c r="C15" s="51" t="s">
        <v>274</v>
      </c>
      <c r="D15" s="269">
        <v>13401</v>
      </c>
      <c r="E15" s="269">
        <v>0</v>
      </c>
      <c r="F15" s="55"/>
      <c r="G15" s="269">
        <f>D15+E15</f>
        <v>13401</v>
      </c>
      <c r="H15" s="56"/>
      <c r="I15" s="51"/>
      <c r="J15" s="51"/>
      <c r="K15" s="51"/>
    </row>
    <row r="16" spans="1:12" x14ac:dyDescent="0.45">
      <c r="A16" s="60" t="s">
        <v>17</v>
      </c>
      <c r="B16" s="51"/>
      <c r="C16" s="51"/>
      <c r="D16" s="51">
        <f>SUM(D6:D15)</f>
        <v>3780352</v>
      </c>
      <c r="E16" s="51">
        <f>SUM(E6:E15)</f>
        <v>-4986.5600000000559</v>
      </c>
      <c r="F16" s="55"/>
      <c r="G16" s="51">
        <f>SUM(G6:G15)</f>
        <v>3775365.44</v>
      </c>
      <c r="H16" s="59"/>
      <c r="J16" s="51"/>
      <c r="K16" s="51"/>
    </row>
    <row r="17" spans="1:12" x14ac:dyDescent="0.45">
      <c r="A17" s="51"/>
      <c r="B17" s="51"/>
      <c r="C17" s="51"/>
      <c r="D17" s="51"/>
      <c r="E17" s="51"/>
      <c r="F17" s="55"/>
      <c r="G17" s="51"/>
      <c r="H17" s="59"/>
      <c r="I17" s="51"/>
      <c r="J17" s="51"/>
      <c r="K17" s="51"/>
    </row>
    <row r="18" spans="1:12" x14ac:dyDescent="0.45">
      <c r="A18" s="54" t="s">
        <v>18</v>
      </c>
      <c r="B18" s="51"/>
      <c r="C18" s="51"/>
      <c r="D18" s="51"/>
      <c r="E18" s="51"/>
      <c r="F18" s="55"/>
      <c r="G18" s="51"/>
      <c r="H18" s="59"/>
      <c r="I18" s="51"/>
      <c r="J18" s="51"/>
      <c r="K18" s="51"/>
    </row>
    <row r="19" spans="1:12" x14ac:dyDescent="0.45">
      <c r="A19" s="51"/>
      <c r="B19" s="51" t="s">
        <v>33</v>
      </c>
      <c r="C19" s="51"/>
      <c r="D19" s="51"/>
      <c r="E19" s="51"/>
      <c r="F19" s="55"/>
      <c r="G19" s="51"/>
      <c r="H19" s="59"/>
      <c r="I19" s="51"/>
      <c r="J19" s="51"/>
      <c r="K19" s="51"/>
    </row>
    <row r="20" spans="1:12" x14ac:dyDescent="0.45">
      <c r="A20" s="51"/>
      <c r="B20" s="51"/>
      <c r="C20" s="51" t="s">
        <v>2</v>
      </c>
      <c r="D20" s="51">
        <v>494157</v>
      </c>
      <c r="E20" s="51">
        <f>Wages!J27</f>
        <v>109310.40500000003</v>
      </c>
      <c r="F20" s="61" t="s">
        <v>307</v>
      </c>
      <c r="G20" s="51"/>
      <c r="H20" s="56"/>
      <c r="I20" s="5" t="s">
        <v>248</v>
      </c>
      <c r="J20" s="51"/>
      <c r="K20" s="51"/>
      <c r="L20" s="5" t="s">
        <v>249</v>
      </c>
    </row>
    <row r="21" spans="1:12" x14ac:dyDescent="0.45">
      <c r="A21" s="51"/>
      <c r="B21" s="51"/>
      <c r="C21" s="51"/>
      <c r="D21" s="51"/>
      <c r="E21" s="213"/>
      <c r="F21" s="61"/>
      <c r="G21" s="51"/>
      <c r="H21" s="56"/>
      <c r="I21" s="51"/>
      <c r="J21" s="51"/>
      <c r="K21" s="51"/>
    </row>
    <row r="22" spans="1:12" x14ac:dyDescent="0.45">
      <c r="A22" s="51"/>
      <c r="B22" s="51"/>
      <c r="C22" s="51"/>
      <c r="D22" s="51"/>
      <c r="E22" s="213"/>
      <c r="F22" s="61"/>
      <c r="G22" s="51">
        <f>D20+E20+E21</f>
        <v>603467.40500000003</v>
      </c>
      <c r="H22" s="56"/>
      <c r="I22" s="51"/>
      <c r="J22" s="51"/>
      <c r="K22" s="51"/>
    </row>
    <row r="23" spans="1:12" x14ac:dyDescent="0.45">
      <c r="A23" s="51"/>
      <c r="B23" s="51"/>
      <c r="C23" s="51" t="s">
        <v>3</v>
      </c>
      <c r="D23" s="51">
        <v>36400</v>
      </c>
      <c r="E23" s="51">
        <v>0</v>
      </c>
      <c r="F23" s="55"/>
      <c r="G23" s="51">
        <f>D23+E23</f>
        <v>36400</v>
      </c>
      <c r="H23" s="56"/>
    </row>
    <row r="24" spans="1:12" x14ac:dyDescent="0.45">
      <c r="A24" s="51"/>
      <c r="B24" s="51"/>
      <c r="C24" s="51" t="s">
        <v>4</v>
      </c>
      <c r="D24" s="51">
        <v>319128</v>
      </c>
      <c r="E24" s="51">
        <f>Wages!J39</f>
        <v>14198.875647500012</v>
      </c>
      <c r="F24" s="61" t="s">
        <v>308</v>
      </c>
      <c r="G24" s="51"/>
      <c r="H24" s="56"/>
      <c r="I24" s="51" t="s">
        <v>250</v>
      </c>
      <c r="J24" s="51"/>
      <c r="K24" s="51"/>
      <c r="L24" s="5" t="s">
        <v>251</v>
      </c>
    </row>
    <row r="25" spans="1:12" x14ac:dyDescent="0.45">
      <c r="A25" s="51"/>
      <c r="B25" s="51"/>
      <c r="C25" s="51"/>
      <c r="D25" s="51"/>
      <c r="E25" s="213">
        <f>Wages!J46</f>
        <v>-129886.73999999996</v>
      </c>
      <c r="F25" s="61" t="s">
        <v>309</v>
      </c>
      <c r="G25" s="51"/>
      <c r="H25" s="56"/>
      <c r="I25" s="51" t="s">
        <v>256</v>
      </c>
      <c r="J25" s="51"/>
      <c r="K25" s="51"/>
      <c r="L25" s="5" t="s">
        <v>252</v>
      </c>
    </row>
    <row r="26" spans="1:12" x14ac:dyDescent="0.45">
      <c r="A26" s="51"/>
      <c r="B26" s="51"/>
      <c r="C26" s="51"/>
      <c r="D26" s="51"/>
      <c r="E26" s="51">
        <f>Medical!D27</f>
        <v>-45757.390000000014</v>
      </c>
      <c r="F26" s="61" t="s">
        <v>310</v>
      </c>
      <c r="G26" s="51"/>
      <c r="H26" s="56"/>
      <c r="I26" s="51" t="s">
        <v>272</v>
      </c>
      <c r="J26" s="51"/>
      <c r="K26" s="51"/>
      <c r="L26" s="5" t="s">
        <v>271</v>
      </c>
    </row>
    <row r="27" spans="1:12" x14ac:dyDescent="0.45">
      <c r="A27" s="51"/>
      <c r="B27" s="51"/>
      <c r="C27" s="51"/>
      <c r="D27" s="51"/>
      <c r="E27" s="51">
        <v>0</v>
      </c>
      <c r="F27" s="61"/>
      <c r="G27" s="221">
        <f>D24+E24+E25+E26</f>
        <v>157682.74564750007</v>
      </c>
      <c r="H27" s="56"/>
      <c r="I27" s="205"/>
      <c r="J27" s="51"/>
      <c r="K27" s="51"/>
    </row>
    <row r="28" spans="1:12" x14ac:dyDescent="0.45">
      <c r="A28" s="51"/>
      <c r="B28" s="51"/>
      <c r="C28" s="51" t="s">
        <v>5</v>
      </c>
      <c r="D28" s="51">
        <v>1262161</v>
      </c>
      <c r="E28" s="213">
        <f>-'Water Loss'!D19</f>
        <v>-21257.493543676148</v>
      </c>
      <c r="F28" s="61" t="s">
        <v>311</v>
      </c>
      <c r="G28" s="51">
        <f>D28+E28</f>
        <v>1240903.5064563239</v>
      </c>
      <c r="H28" s="62"/>
      <c r="I28" s="5" t="s">
        <v>291</v>
      </c>
      <c r="L28" s="5" t="s">
        <v>292</v>
      </c>
    </row>
    <row r="29" spans="1:12" x14ac:dyDescent="0.45">
      <c r="A29" s="51"/>
      <c r="B29" s="51"/>
      <c r="C29" s="51" t="s">
        <v>6</v>
      </c>
      <c r="D29" s="51">
        <v>85713</v>
      </c>
      <c r="E29" s="213">
        <f>-'Water Loss'!D20</f>
        <v>-1443.5904326857776</v>
      </c>
      <c r="F29" s="61" t="s">
        <v>311</v>
      </c>
      <c r="G29" s="51">
        <f>D29+E29</f>
        <v>84269.409567314229</v>
      </c>
      <c r="H29" s="63"/>
      <c r="I29" s="5" t="s">
        <v>291</v>
      </c>
      <c r="J29" s="51"/>
      <c r="K29" s="51"/>
      <c r="L29" s="5" t="s">
        <v>293</v>
      </c>
    </row>
    <row r="30" spans="1:12" x14ac:dyDescent="0.45">
      <c r="A30" s="51"/>
      <c r="B30" s="51"/>
      <c r="C30" s="51" t="s">
        <v>195</v>
      </c>
      <c r="D30" s="51">
        <v>0</v>
      </c>
      <c r="E30" s="51">
        <v>0</v>
      </c>
      <c r="F30" s="61"/>
      <c r="G30" s="51">
        <f>D30+E30</f>
        <v>0</v>
      </c>
      <c r="H30" s="63"/>
      <c r="J30" s="51"/>
      <c r="K30" s="51"/>
    </row>
    <row r="31" spans="1:12" x14ac:dyDescent="0.45">
      <c r="A31" s="51"/>
      <c r="B31" s="51"/>
      <c r="C31" s="51" t="s">
        <v>86</v>
      </c>
      <c r="D31" s="51">
        <v>0</v>
      </c>
      <c r="E31" s="51">
        <v>0</v>
      </c>
      <c r="F31" s="61"/>
      <c r="G31" s="51">
        <f>D31+E31</f>
        <v>0</v>
      </c>
      <c r="H31" s="63"/>
      <c r="J31" s="51"/>
      <c r="K31" s="51"/>
    </row>
    <row r="32" spans="1:12" x14ac:dyDescent="0.45">
      <c r="A32" s="51"/>
      <c r="B32" s="51"/>
      <c r="C32" s="51" t="s">
        <v>7</v>
      </c>
      <c r="D32" s="51">
        <v>259100</v>
      </c>
      <c r="E32" s="51">
        <v>0</v>
      </c>
      <c r="F32" s="61"/>
      <c r="G32" s="51"/>
      <c r="H32" s="56"/>
      <c r="I32" s="51"/>
      <c r="J32" s="51"/>
      <c r="K32" s="51"/>
    </row>
    <row r="33" spans="1:12" x14ac:dyDescent="0.45">
      <c r="A33" s="51"/>
      <c r="B33" s="51"/>
      <c r="C33" s="51"/>
      <c r="D33" s="51"/>
      <c r="E33" s="51">
        <v>0</v>
      </c>
      <c r="F33" s="61"/>
      <c r="G33" s="51">
        <f>D32+E32+E33</f>
        <v>259100</v>
      </c>
      <c r="H33" s="56"/>
      <c r="I33" s="51"/>
      <c r="J33" s="51"/>
      <c r="K33" s="51"/>
    </row>
    <row r="34" spans="1:12" x14ac:dyDescent="0.45">
      <c r="A34" s="51"/>
      <c r="B34" s="51"/>
      <c r="C34" s="51" t="s">
        <v>8</v>
      </c>
      <c r="D34" s="51">
        <f>2475+32285+14657+11580+10900</f>
        <v>71897</v>
      </c>
      <c r="E34" s="51">
        <v>0</v>
      </c>
      <c r="F34" s="61"/>
      <c r="G34" s="51">
        <f t="shared" ref="G34:G42" si="0">D34+E34</f>
        <v>71897</v>
      </c>
      <c r="H34" s="56"/>
      <c r="I34" s="51"/>
      <c r="J34" s="51"/>
      <c r="K34" s="51"/>
    </row>
    <row r="35" spans="1:12" x14ac:dyDescent="0.45">
      <c r="A35" s="51"/>
      <c r="B35" s="51"/>
      <c r="C35" s="51" t="s">
        <v>111</v>
      </c>
      <c r="D35" s="51">
        <v>0</v>
      </c>
      <c r="E35" s="51">
        <v>0</v>
      </c>
      <c r="F35" s="61"/>
      <c r="G35" s="51">
        <f t="shared" si="0"/>
        <v>0</v>
      </c>
      <c r="H35" s="56"/>
      <c r="J35" s="51"/>
      <c r="K35" s="51"/>
    </row>
    <row r="36" spans="1:12" x14ac:dyDescent="0.45">
      <c r="A36" s="51"/>
      <c r="B36" s="51"/>
      <c r="C36" s="51" t="s">
        <v>58</v>
      </c>
      <c r="D36" s="51">
        <v>0</v>
      </c>
      <c r="E36" s="51">
        <v>0</v>
      </c>
      <c r="F36" s="61"/>
      <c r="G36" s="51">
        <f t="shared" si="0"/>
        <v>0</v>
      </c>
      <c r="H36" s="56"/>
      <c r="I36" s="51"/>
      <c r="J36" s="51"/>
      <c r="K36" s="51"/>
    </row>
    <row r="37" spans="1:12" x14ac:dyDescent="0.45">
      <c r="A37" s="51"/>
      <c r="B37" s="51"/>
      <c r="C37" s="51" t="s">
        <v>10</v>
      </c>
      <c r="D37" s="51">
        <v>52186</v>
      </c>
      <c r="E37" s="51">
        <v>0</v>
      </c>
      <c r="F37" s="61"/>
      <c r="G37" s="51">
        <f t="shared" si="0"/>
        <v>52186</v>
      </c>
      <c r="H37" s="59"/>
      <c r="I37" s="51"/>
      <c r="J37" s="51"/>
      <c r="K37" s="51"/>
    </row>
    <row r="38" spans="1:12" x14ac:dyDescent="0.45">
      <c r="A38" s="51"/>
      <c r="B38" s="51"/>
      <c r="C38" s="51" t="s">
        <v>112</v>
      </c>
      <c r="D38" s="51">
        <v>0</v>
      </c>
      <c r="E38" s="51">
        <v>0</v>
      </c>
      <c r="F38" s="61"/>
      <c r="G38" s="51">
        <f t="shared" si="0"/>
        <v>0</v>
      </c>
      <c r="H38" s="59"/>
      <c r="I38" s="51"/>
      <c r="J38" s="51"/>
      <c r="K38" s="51"/>
    </row>
    <row r="39" spans="1:12" x14ac:dyDescent="0.45">
      <c r="A39" s="51"/>
      <c r="B39" s="51"/>
      <c r="C39" s="51" t="s">
        <v>34</v>
      </c>
      <c r="D39" s="51">
        <f>55649+7813</f>
        <v>63462</v>
      </c>
      <c r="E39" s="51">
        <v>0</v>
      </c>
      <c r="F39" s="61"/>
      <c r="G39" s="51">
        <f t="shared" si="0"/>
        <v>63462</v>
      </c>
      <c r="H39" s="59"/>
      <c r="I39" s="51"/>
      <c r="J39" s="51"/>
      <c r="K39" s="51"/>
    </row>
    <row r="40" spans="1:12" x14ac:dyDescent="0.45">
      <c r="A40" s="51"/>
      <c r="B40" s="51"/>
      <c r="C40" s="51" t="s">
        <v>59</v>
      </c>
      <c r="D40" s="51">
        <v>0</v>
      </c>
      <c r="E40" s="51">
        <v>0</v>
      </c>
      <c r="F40" s="61"/>
      <c r="G40" s="51">
        <f t="shared" si="0"/>
        <v>0</v>
      </c>
      <c r="H40" s="59"/>
      <c r="I40" s="51"/>
      <c r="J40" s="51"/>
      <c r="K40" s="51"/>
    </row>
    <row r="41" spans="1:12" x14ac:dyDescent="0.45">
      <c r="A41" s="51"/>
      <c r="B41" s="51"/>
      <c r="C41" s="51" t="s">
        <v>60</v>
      </c>
      <c r="D41" s="51">
        <v>0</v>
      </c>
      <c r="E41" s="51">
        <v>0</v>
      </c>
      <c r="F41" s="55"/>
      <c r="G41" s="51">
        <f t="shared" si="0"/>
        <v>0</v>
      </c>
      <c r="H41" s="59"/>
      <c r="I41" s="51"/>
      <c r="J41" s="51"/>
      <c r="K41" s="51"/>
    </row>
    <row r="42" spans="1:12" ht="16.5" x14ac:dyDescent="0.45">
      <c r="A42" s="51"/>
      <c r="B42" s="51"/>
      <c r="C42" s="51" t="s">
        <v>9</v>
      </c>
      <c r="D42" s="222">
        <f>1131+39283</f>
        <v>40414</v>
      </c>
      <c r="E42" s="222">
        <v>0</v>
      </c>
      <c r="F42" s="61"/>
      <c r="G42" s="222">
        <f t="shared" si="0"/>
        <v>40414</v>
      </c>
      <c r="H42" s="59"/>
      <c r="I42" s="51"/>
      <c r="J42" s="51"/>
      <c r="K42" s="51"/>
    </row>
    <row r="43" spans="1:12" x14ac:dyDescent="0.45">
      <c r="A43" s="51"/>
      <c r="B43" s="51" t="s">
        <v>35</v>
      </c>
      <c r="C43" s="51"/>
      <c r="D43" s="51">
        <f>SUM(D20:D42)</f>
        <v>2684618</v>
      </c>
      <c r="E43" s="51">
        <f>SUM(E20:E42)</f>
        <v>-74835.933328861851</v>
      </c>
      <c r="F43" s="55"/>
      <c r="G43" s="51">
        <f>SUM(G20:G42)</f>
        <v>2609782.0666711382</v>
      </c>
      <c r="H43" s="59"/>
      <c r="I43" s="51"/>
      <c r="J43" s="51"/>
      <c r="K43" s="51"/>
    </row>
    <row r="44" spans="1:12" ht="4.1500000000000004" customHeight="1" x14ac:dyDescent="0.45">
      <c r="A44" s="51"/>
      <c r="B44" s="51"/>
      <c r="C44" s="51"/>
      <c r="D44" s="51"/>
      <c r="E44" s="51"/>
      <c r="F44" s="55"/>
      <c r="G44" s="51"/>
      <c r="H44" s="59"/>
      <c r="I44" s="51"/>
      <c r="J44" s="51"/>
      <c r="K44" s="51"/>
    </row>
    <row r="45" spans="1:12" x14ac:dyDescent="0.45">
      <c r="A45" s="51"/>
      <c r="B45" s="51" t="s">
        <v>19</v>
      </c>
      <c r="C45" s="51"/>
      <c r="D45" s="51">
        <v>747182</v>
      </c>
      <c r="E45" s="268">
        <v>0</v>
      </c>
      <c r="F45" s="55"/>
      <c r="G45" s="51"/>
      <c r="H45" s="59"/>
    </row>
    <row r="46" spans="1:12" x14ac:dyDescent="0.45">
      <c r="A46" s="51"/>
      <c r="B46" s="51"/>
      <c r="C46" s="51"/>
      <c r="D46" s="51"/>
      <c r="E46" s="268">
        <f>Depreciation!K41</f>
        <v>-72354.955303809576</v>
      </c>
      <c r="F46" s="55" t="s">
        <v>312</v>
      </c>
      <c r="G46" s="51">
        <f>D45+E45+E46</f>
        <v>674827.04469619039</v>
      </c>
      <c r="H46" s="59"/>
      <c r="I46" s="51" t="s">
        <v>276</v>
      </c>
      <c r="J46" s="51"/>
      <c r="L46" s="5" t="s">
        <v>277</v>
      </c>
    </row>
    <row r="47" spans="1:12" ht="16.5" x14ac:dyDescent="0.45">
      <c r="A47" s="51"/>
      <c r="B47" s="51" t="s">
        <v>1</v>
      </c>
      <c r="C47" s="51"/>
      <c r="D47" s="222">
        <v>54324</v>
      </c>
      <c r="E47" s="222">
        <f>Wages!J33</f>
        <v>-1045.023517499998</v>
      </c>
      <c r="F47" s="223" t="s">
        <v>313</v>
      </c>
      <c r="G47" s="222">
        <f>D47+E47</f>
        <v>53278.976482500002</v>
      </c>
      <c r="H47" s="59"/>
      <c r="I47" s="51" t="s">
        <v>278</v>
      </c>
      <c r="J47" s="51"/>
      <c r="L47" s="5" t="s">
        <v>279</v>
      </c>
    </row>
    <row r="48" spans="1:12" ht="16.5" x14ac:dyDescent="0.45">
      <c r="A48" s="60" t="s">
        <v>0</v>
      </c>
      <c r="B48" s="51"/>
      <c r="C48" s="51"/>
      <c r="D48" s="222">
        <f>SUM(D43:D47)</f>
        <v>3486124</v>
      </c>
      <c r="E48" s="222">
        <f>SUM(E43:E47)</f>
        <v>-148235.91215017144</v>
      </c>
      <c r="F48" s="224"/>
      <c r="G48" s="222">
        <f>SUM(G43:G47)</f>
        <v>3337888.0878498284</v>
      </c>
      <c r="H48" s="59"/>
      <c r="I48" s="51"/>
      <c r="J48" s="51"/>
      <c r="K48" s="51"/>
    </row>
    <row r="49" spans="1:11" ht="4.1500000000000004" customHeight="1" x14ac:dyDescent="0.45">
      <c r="A49" s="60"/>
      <c r="B49" s="51"/>
      <c r="C49" s="51"/>
      <c r="D49" s="51"/>
      <c r="E49" s="51"/>
      <c r="F49" s="55"/>
      <c r="G49" s="51"/>
      <c r="H49" s="51"/>
      <c r="I49" s="51"/>
      <c r="J49" s="51"/>
      <c r="K49" s="51"/>
    </row>
    <row r="50" spans="1:11" x14ac:dyDescent="0.45">
      <c r="A50" s="60" t="s">
        <v>36</v>
      </c>
      <c r="B50" s="51"/>
      <c r="C50" s="51"/>
      <c r="D50" s="51">
        <f>D16-D48</f>
        <v>294228</v>
      </c>
      <c r="E50" s="51">
        <f>E16-E48</f>
        <v>143249.35215017138</v>
      </c>
      <c r="F50" s="55"/>
      <c r="G50" s="51">
        <f>G16-G48</f>
        <v>437477.35215017153</v>
      </c>
      <c r="H50" s="51"/>
      <c r="I50" s="51"/>
      <c r="K50" s="51"/>
    </row>
    <row r="51" spans="1:11" x14ac:dyDescent="0.45">
      <c r="A51" s="51"/>
      <c r="B51" s="51"/>
      <c r="C51" s="51"/>
      <c r="D51" s="51"/>
      <c r="E51" s="51"/>
      <c r="F51" s="55"/>
      <c r="G51" s="51"/>
      <c r="H51" s="51"/>
      <c r="I51" s="51"/>
      <c r="J51" s="51"/>
      <c r="K51" s="51"/>
    </row>
  </sheetData>
  <mergeCells count="1">
    <mergeCell ref="A1:G1"/>
  </mergeCells>
  <printOptions horizontalCentered="1"/>
  <pageMargins left="0.45" right="0.25" top="0.5" bottom="0.5" header="0.3" footer="0.3"/>
  <pageSetup scale="61" orientation="portrait" horizontalDpi="4294967293" r:id="rId1"/>
  <rowBreaks count="2" manualBreakCount="2">
    <brk id="50" max="16383" man="1"/>
    <brk id="5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H36"/>
  <sheetViews>
    <sheetView showGridLines="0" topLeftCell="A21" workbookViewId="0">
      <selection activeCell="L36" sqref="A1:L36"/>
    </sheetView>
  </sheetViews>
  <sheetFormatPr defaultColWidth="8.88671875" defaultRowHeight="14.25" x14ac:dyDescent="0.45"/>
  <cols>
    <col min="1" max="1" width="2.609375" style="15" customWidth="1"/>
    <col min="2" max="2" width="1.77734375" style="24" customWidth="1"/>
    <col min="3" max="3" width="4.609375" style="24" customWidth="1"/>
    <col min="4" max="4" width="7.609375" style="98" customWidth="1"/>
    <col min="5" max="5" width="10.609375" style="234" customWidth="1"/>
    <col min="6" max="6" width="10.609375" style="24" customWidth="1"/>
    <col min="7" max="7" width="12.609375" style="24" customWidth="1"/>
    <col min="8" max="8" width="10.609375" style="24" customWidth="1"/>
    <col min="9" max="9" width="12.609375" style="85" customWidth="1"/>
    <col min="10" max="10" width="10.609375" style="24" customWidth="1"/>
    <col min="11" max="11" width="6" style="229" customWidth="1"/>
    <col min="12" max="12" width="1.77734375" style="24" customWidth="1"/>
    <col min="13" max="190" width="9.6640625" style="24" customWidth="1"/>
    <col min="191" max="16384" width="8.88671875" style="15"/>
  </cols>
  <sheetData>
    <row r="1" spans="2:190" ht="14.65" thickBot="1" x14ac:dyDescent="0.5"/>
    <row r="2" spans="2:190" x14ac:dyDescent="0.45">
      <c r="B2" s="238"/>
      <c r="C2" s="239"/>
      <c r="D2" s="240"/>
      <c r="E2" s="254"/>
      <c r="F2" s="239"/>
      <c r="G2" s="239"/>
      <c r="H2" s="239"/>
      <c r="I2" s="241"/>
      <c r="J2" s="239"/>
      <c r="K2" s="242"/>
      <c r="L2" s="243"/>
    </row>
    <row r="3" spans="2:190" ht="15.4" hidden="1" customHeight="1" x14ac:dyDescent="0.55000000000000004">
      <c r="B3" s="244"/>
      <c r="C3" s="323" t="s">
        <v>316</v>
      </c>
      <c r="D3" s="323"/>
      <c r="E3" s="323"/>
      <c r="F3" s="323"/>
      <c r="G3" s="323"/>
      <c r="H3" s="323"/>
      <c r="I3" s="323"/>
      <c r="J3" s="323"/>
      <c r="K3" s="323"/>
      <c r="L3" s="245"/>
    </row>
    <row r="4" spans="2:190" ht="18" x14ac:dyDescent="0.55000000000000004">
      <c r="B4" s="244"/>
      <c r="C4" s="323" t="s">
        <v>317</v>
      </c>
      <c r="D4" s="323"/>
      <c r="E4" s="323"/>
      <c r="F4" s="323"/>
      <c r="G4" s="323"/>
      <c r="H4" s="323"/>
      <c r="I4" s="323"/>
      <c r="J4" s="323"/>
      <c r="K4" s="323"/>
      <c r="L4" s="245"/>
    </row>
    <row r="5" spans="2:190" ht="7.15" customHeight="1" x14ac:dyDescent="0.45">
      <c r="B5" s="244"/>
      <c r="L5" s="245"/>
    </row>
    <row r="6" spans="2:190" ht="18" x14ac:dyDescent="0.55000000000000004">
      <c r="B6" s="244"/>
      <c r="C6" s="318" t="s">
        <v>56</v>
      </c>
      <c r="D6" s="318"/>
      <c r="E6" s="318"/>
      <c r="F6" s="318"/>
      <c r="G6" s="318"/>
      <c r="H6" s="318"/>
      <c r="I6" s="318"/>
      <c r="J6" s="318"/>
      <c r="K6" s="318"/>
      <c r="L6" s="245"/>
    </row>
    <row r="7" spans="2:190" ht="18" customHeight="1" x14ac:dyDescent="0.45">
      <c r="B7" s="244"/>
      <c r="C7" s="319" t="str">
        <f>SAO!A2</f>
        <v>NORTH SHELBY WATER COMPANY</v>
      </c>
      <c r="D7" s="319"/>
      <c r="E7" s="319"/>
      <c r="F7" s="319"/>
      <c r="G7" s="319"/>
      <c r="H7" s="319"/>
      <c r="I7" s="319"/>
      <c r="J7" s="319"/>
      <c r="K7" s="319"/>
      <c r="L7" s="245"/>
    </row>
    <row r="8" spans="2:190" ht="6" customHeight="1" x14ac:dyDescent="0.45">
      <c r="B8" s="244"/>
      <c r="L8" s="245"/>
    </row>
    <row r="9" spans="2:190" ht="14.25" customHeight="1" x14ac:dyDescent="0.45">
      <c r="B9" s="244"/>
      <c r="C9" s="82" t="s">
        <v>196</v>
      </c>
      <c r="D9" s="233"/>
      <c r="E9" s="255"/>
      <c r="F9" s="322" t="s">
        <v>193</v>
      </c>
      <c r="G9" s="322"/>
      <c r="H9" s="322" t="s">
        <v>11</v>
      </c>
      <c r="I9" s="322"/>
      <c r="J9" s="322" t="s">
        <v>68</v>
      </c>
      <c r="K9" s="322"/>
      <c r="L9" s="246"/>
      <c r="GH9" s="15"/>
    </row>
    <row r="10" spans="2:190" ht="17.25" customHeight="1" x14ac:dyDescent="0.45">
      <c r="B10" s="244"/>
      <c r="C10" s="96" t="s">
        <v>199</v>
      </c>
      <c r="D10" s="4">
        <v>2000</v>
      </c>
      <c r="E10" s="97" t="s">
        <v>198</v>
      </c>
      <c r="F10" s="236">
        <v>22.88</v>
      </c>
      <c r="G10" s="47" t="s">
        <v>113</v>
      </c>
      <c r="H10" s="47">
        <f>ROUND(F10*(1+'Revenue Requirements'!$H$12),2)</f>
        <v>23.08</v>
      </c>
      <c r="I10" s="85" t="s">
        <v>113</v>
      </c>
      <c r="J10" s="47">
        <f>H10-F10</f>
        <v>0.19999999999999929</v>
      </c>
      <c r="K10" s="69">
        <f>J10/F10</f>
        <v>8.7412587412587107E-3</v>
      </c>
      <c r="L10" s="246"/>
      <c r="GH10" s="15"/>
    </row>
    <row r="11" spans="2:190" ht="14.25" customHeight="1" x14ac:dyDescent="0.45">
      <c r="B11" s="244"/>
      <c r="C11" s="96" t="s">
        <v>200</v>
      </c>
      <c r="D11" s="4">
        <v>3000</v>
      </c>
      <c r="E11" s="97" t="s">
        <v>198</v>
      </c>
      <c r="F11" s="237">
        <v>7.7400000000000004E-3</v>
      </c>
      <c r="G11" s="47" t="s">
        <v>197</v>
      </c>
      <c r="H11" s="232">
        <f>ROUND(F11*(1+'Revenue Requirements'!$H$12),5)</f>
        <v>7.8100000000000001E-3</v>
      </c>
      <c r="I11" s="85" t="s">
        <v>197</v>
      </c>
      <c r="J11" s="232">
        <f>H11-F11</f>
        <v>6.999999999999975E-5</v>
      </c>
      <c r="K11" s="69">
        <f t="shared" ref="K11:K14" si="0">J11/F11</f>
        <v>9.0439276485787794E-3</v>
      </c>
      <c r="L11" s="246"/>
      <c r="GH11" s="15"/>
    </row>
    <row r="12" spans="2:190" ht="14.25" customHeight="1" x14ac:dyDescent="0.45">
      <c r="B12" s="247"/>
      <c r="C12" s="96" t="s">
        <v>200</v>
      </c>
      <c r="D12" s="4">
        <v>5000</v>
      </c>
      <c r="E12" s="97" t="s">
        <v>198</v>
      </c>
      <c r="F12" s="237">
        <v>6.3600000000000002E-3</v>
      </c>
      <c r="G12" s="47" t="s">
        <v>197</v>
      </c>
      <c r="H12" s="232">
        <f>ROUND(F12*(1+'Revenue Requirements'!$H$12),5)</f>
        <v>6.4200000000000004E-3</v>
      </c>
      <c r="I12" s="85" t="s">
        <v>197</v>
      </c>
      <c r="J12" s="232">
        <f t="shared" ref="J12:J14" si="1">H12-F12</f>
        <v>6.0000000000000157E-5</v>
      </c>
      <c r="K12" s="69">
        <f t="shared" si="0"/>
        <v>9.4339622641509673E-3</v>
      </c>
      <c r="L12" s="246"/>
      <c r="GH12" s="15"/>
    </row>
    <row r="13" spans="2:190" ht="14.25" customHeight="1" x14ac:dyDescent="0.45">
      <c r="B13" s="247"/>
      <c r="C13" s="96" t="s">
        <v>200</v>
      </c>
      <c r="D13" s="4">
        <v>40000</v>
      </c>
      <c r="E13" s="97" t="s">
        <v>198</v>
      </c>
      <c r="F13" s="237">
        <v>5.6699999999999997E-3</v>
      </c>
      <c r="G13" s="47" t="s">
        <v>197</v>
      </c>
      <c r="H13" s="232">
        <f>ROUND(F13*(1+'Revenue Requirements'!$H$12),5)</f>
        <v>5.7200000000000003E-3</v>
      </c>
      <c r="I13" s="85" t="s">
        <v>197</v>
      </c>
      <c r="J13" s="232">
        <f t="shared" si="1"/>
        <v>5.0000000000000565E-5</v>
      </c>
      <c r="K13" s="69">
        <f t="shared" si="0"/>
        <v>8.8183421516755851E-3</v>
      </c>
      <c r="L13" s="246"/>
      <c r="GH13" s="15"/>
    </row>
    <row r="14" spans="2:190" ht="15" customHeight="1" x14ac:dyDescent="0.45">
      <c r="B14" s="244"/>
      <c r="C14" s="235" t="s">
        <v>201</v>
      </c>
      <c r="D14" s="101">
        <v>50000</v>
      </c>
      <c r="E14" s="234" t="s">
        <v>198</v>
      </c>
      <c r="F14" s="237">
        <v>4.9899999999999996E-3</v>
      </c>
      <c r="G14" s="47" t="s">
        <v>197</v>
      </c>
      <c r="H14" s="232">
        <f>ROUND(F14*(1+'Revenue Requirements'!$H$12),5)</f>
        <v>5.0299999999999997E-3</v>
      </c>
      <c r="I14" s="85" t="s">
        <v>197</v>
      </c>
      <c r="J14" s="232">
        <f t="shared" si="1"/>
        <v>4.0000000000000105E-5</v>
      </c>
      <c r="K14" s="69">
        <f t="shared" si="0"/>
        <v>8.0160320641282784E-3</v>
      </c>
      <c r="L14" s="246"/>
      <c r="GH14" s="15"/>
    </row>
    <row r="15" spans="2:190" ht="15" customHeight="1" x14ac:dyDescent="0.45">
      <c r="B15" s="244"/>
      <c r="C15" s="79"/>
      <c r="D15" s="101"/>
      <c r="F15" s="80"/>
      <c r="G15" s="79"/>
      <c r="H15" s="47"/>
      <c r="I15" s="86"/>
      <c r="J15" s="47"/>
      <c r="K15" s="69"/>
      <c r="L15" s="246"/>
      <c r="GH15" s="15"/>
    </row>
    <row r="16" spans="2:190" ht="14.25" customHeight="1" x14ac:dyDescent="0.45">
      <c r="B16" s="244"/>
      <c r="C16" s="82" t="s">
        <v>114</v>
      </c>
      <c r="D16" s="233"/>
      <c r="E16" s="255"/>
      <c r="F16" s="322" t="s">
        <v>193</v>
      </c>
      <c r="G16" s="322"/>
      <c r="H16" s="322" t="s">
        <v>11</v>
      </c>
      <c r="I16" s="322"/>
      <c r="J16" s="322" t="s">
        <v>68</v>
      </c>
      <c r="K16" s="322"/>
      <c r="L16" s="245"/>
      <c r="GH16" s="15"/>
    </row>
    <row r="17" spans="2:190" ht="14.25" customHeight="1" x14ac:dyDescent="0.45">
      <c r="B17" s="244"/>
      <c r="C17" s="96" t="s">
        <v>199</v>
      </c>
      <c r="D17" s="4">
        <v>5000</v>
      </c>
      <c r="E17" s="97" t="s">
        <v>198</v>
      </c>
      <c r="F17" s="236">
        <v>46.1</v>
      </c>
      <c r="G17" s="47" t="s">
        <v>113</v>
      </c>
      <c r="H17" s="47">
        <f>ROUND(H10+D11*H11,2)</f>
        <v>46.51</v>
      </c>
      <c r="I17" s="85" t="s">
        <v>113</v>
      </c>
      <c r="J17" s="47">
        <f>H17-F17</f>
        <v>0.40999999999999659</v>
      </c>
      <c r="K17" s="69">
        <f>J17/F17</f>
        <v>8.8937093275487326E-3</v>
      </c>
      <c r="L17" s="245"/>
      <c r="GH17" s="15"/>
    </row>
    <row r="18" spans="2:190" ht="14.25" customHeight="1" x14ac:dyDescent="0.45">
      <c r="B18" s="244"/>
      <c r="C18" s="96" t="s">
        <v>200</v>
      </c>
      <c r="D18" s="4">
        <v>5000</v>
      </c>
      <c r="E18" s="97" t="s">
        <v>198</v>
      </c>
      <c r="F18" s="237">
        <v>6.3600000000000002E-3</v>
      </c>
      <c r="G18" s="47" t="s">
        <v>197</v>
      </c>
      <c r="H18" s="232">
        <f>ROUND(F18*(1+'Revenue Requirements'!$H$12),5)</f>
        <v>6.4200000000000004E-3</v>
      </c>
      <c r="I18" s="85" t="s">
        <v>197</v>
      </c>
      <c r="J18" s="232">
        <f t="shared" ref="J18:J20" si="2">H18-F18</f>
        <v>6.0000000000000157E-5</v>
      </c>
      <c r="K18" s="69">
        <f t="shared" ref="K18:K20" si="3">J18/F18</f>
        <v>9.4339622641509673E-3</v>
      </c>
      <c r="L18" s="245"/>
      <c r="GH18" s="15"/>
    </row>
    <row r="19" spans="2:190" ht="14.25" customHeight="1" x14ac:dyDescent="0.45">
      <c r="B19" s="244"/>
      <c r="C19" s="96" t="s">
        <v>200</v>
      </c>
      <c r="D19" s="4">
        <v>40000</v>
      </c>
      <c r="E19" s="97" t="s">
        <v>198</v>
      </c>
      <c r="F19" s="237">
        <v>5.6699999999999997E-3</v>
      </c>
      <c r="G19" s="47" t="s">
        <v>197</v>
      </c>
      <c r="H19" s="232">
        <f>ROUND(F19*(1+'Revenue Requirements'!$H$12),5)</f>
        <v>5.7200000000000003E-3</v>
      </c>
      <c r="I19" s="85" t="s">
        <v>197</v>
      </c>
      <c r="J19" s="232">
        <f t="shared" si="2"/>
        <v>5.0000000000000565E-5</v>
      </c>
      <c r="K19" s="69">
        <f t="shared" si="3"/>
        <v>8.8183421516755851E-3</v>
      </c>
      <c r="L19" s="245"/>
      <c r="GH19" s="15"/>
    </row>
    <row r="20" spans="2:190" x14ac:dyDescent="0.45">
      <c r="B20" s="244"/>
      <c r="C20" s="235" t="s">
        <v>201</v>
      </c>
      <c r="D20" s="101">
        <v>50000</v>
      </c>
      <c r="E20" s="234" t="s">
        <v>198</v>
      </c>
      <c r="F20" s="237">
        <v>4.9899999999999996E-3</v>
      </c>
      <c r="G20" s="47" t="s">
        <v>197</v>
      </c>
      <c r="H20" s="232">
        <f>ROUND(F20*(1+'Revenue Requirements'!$H$12),5)</f>
        <v>5.0299999999999997E-3</v>
      </c>
      <c r="I20" s="85" t="s">
        <v>197</v>
      </c>
      <c r="J20" s="232">
        <f t="shared" si="2"/>
        <v>4.0000000000000105E-5</v>
      </c>
      <c r="K20" s="69">
        <f t="shared" si="3"/>
        <v>8.0160320641282784E-3</v>
      </c>
      <c r="L20" s="245"/>
    </row>
    <row r="21" spans="2:190" x14ac:dyDescent="0.45">
      <c r="B21" s="244"/>
      <c r="L21" s="245"/>
    </row>
    <row r="22" spans="2:190" x14ac:dyDescent="0.45">
      <c r="B22" s="244"/>
      <c r="C22" s="82" t="s">
        <v>115</v>
      </c>
      <c r="D22" s="233"/>
      <c r="E22" s="255"/>
      <c r="F22" s="322" t="s">
        <v>193</v>
      </c>
      <c r="G22" s="322"/>
      <c r="H22" s="322" t="s">
        <v>11</v>
      </c>
      <c r="I22" s="322"/>
      <c r="J22" s="322" t="s">
        <v>68</v>
      </c>
      <c r="K22" s="322"/>
      <c r="L22" s="245"/>
    </row>
    <row r="23" spans="2:190" x14ac:dyDescent="0.45">
      <c r="B23" s="244"/>
      <c r="C23" s="96" t="s">
        <v>199</v>
      </c>
      <c r="D23" s="4">
        <v>10000</v>
      </c>
      <c r="E23" s="97" t="s">
        <v>198</v>
      </c>
      <c r="F23" s="236">
        <v>77.900000000000006</v>
      </c>
      <c r="G23" s="47" t="s">
        <v>113</v>
      </c>
      <c r="H23" s="47">
        <f>ROUND(H17+D18*H18,2)</f>
        <v>78.61</v>
      </c>
      <c r="I23" s="85" t="s">
        <v>113</v>
      </c>
      <c r="J23" s="47">
        <f>H23-F23</f>
        <v>0.70999999999999375</v>
      </c>
      <c r="K23" s="69">
        <f>J23/F23</f>
        <v>9.1142490372271342E-3</v>
      </c>
      <c r="L23" s="245"/>
    </row>
    <row r="24" spans="2:190" x14ac:dyDescent="0.45">
      <c r="B24" s="244"/>
      <c r="C24" s="96" t="s">
        <v>200</v>
      </c>
      <c r="D24" s="4">
        <v>40000</v>
      </c>
      <c r="E24" s="97" t="s">
        <v>198</v>
      </c>
      <c r="F24" s="237">
        <v>5.6699999999999997E-3</v>
      </c>
      <c r="G24" s="47" t="s">
        <v>197</v>
      </c>
      <c r="H24" s="232">
        <f>ROUND(F24*(1+'Revenue Requirements'!$H$12),5)</f>
        <v>5.7200000000000003E-3</v>
      </c>
      <c r="I24" s="85" t="s">
        <v>197</v>
      </c>
      <c r="J24" s="232">
        <f t="shared" ref="J24:J25" si="4">H24-F24</f>
        <v>5.0000000000000565E-5</v>
      </c>
      <c r="K24" s="69">
        <f t="shared" ref="K24:K25" si="5">J24/F24</f>
        <v>8.8183421516755851E-3</v>
      </c>
      <c r="L24" s="245"/>
    </row>
    <row r="25" spans="2:190" x14ac:dyDescent="0.45">
      <c r="B25" s="244"/>
      <c r="C25" s="235" t="s">
        <v>201</v>
      </c>
      <c r="D25" s="101">
        <v>50000</v>
      </c>
      <c r="E25" s="234" t="s">
        <v>198</v>
      </c>
      <c r="F25" s="237">
        <v>4.9899999999999996E-3</v>
      </c>
      <c r="G25" s="47" t="s">
        <v>197</v>
      </c>
      <c r="H25" s="232">
        <f>ROUND(F25*(1+'Revenue Requirements'!$H$12),5)</f>
        <v>5.0299999999999997E-3</v>
      </c>
      <c r="I25" s="85" t="s">
        <v>197</v>
      </c>
      <c r="J25" s="232">
        <f t="shared" si="4"/>
        <v>4.0000000000000105E-5</v>
      </c>
      <c r="K25" s="69">
        <f t="shared" si="5"/>
        <v>8.0160320641282784E-3</v>
      </c>
      <c r="L25" s="245"/>
    </row>
    <row r="26" spans="2:190" x14ac:dyDescent="0.45">
      <c r="B26" s="244"/>
      <c r="L26" s="245"/>
    </row>
    <row r="27" spans="2:190" x14ac:dyDescent="0.45">
      <c r="B27" s="244"/>
      <c r="C27" s="82" t="s">
        <v>116</v>
      </c>
      <c r="D27" s="233"/>
      <c r="E27" s="255"/>
      <c r="F27" s="322" t="s">
        <v>193</v>
      </c>
      <c r="G27" s="322"/>
      <c r="H27" s="322" t="s">
        <v>11</v>
      </c>
      <c r="I27" s="322"/>
      <c r="J27" s="322" t="s">
        <v>68</v>
      </c>
      <c r="K27" s="322"/>
      <c r="L27" s="245"/>
    </row>
    <row r="28" spans="2:190" x14ac:dyDescent="0.45">
      <c r="B28" s="244"/>
      <c r="C28" s="96" t="s">
        <v>199</v>
      </c>
      <c r="D28" s="4">
        <v>15000</v>
      </c>
      <c r="E28" s="97" t="s">
        <v>198</v>
      </c>
      <c r="F28" s="236">
        <v>106.25</v>
      </c>
      <c r="G28" s="47" t="s">
        <v>113</v>
      </c>
      <c r="H28" s="47">
        <f>ROUND(H23+5000*H24,2)</f>
        <v>107.21</v>
      </c>
      <c r="I28" s="85" t="s">
        <v>113</v>
      </c>
      <c r="J28" s="47">
        <f>H28-F28</f>
        <v>0.95999999999999375</v>
      </c>
      <c r="K28" s="69">
        <f>J28/F28</f>
        <v>9.0352941176470008E-3</v>
      </c>
      <c r="L28" s="245"/>
    </row>
    <row r="29" spans="2:190" x14ac:dyDescent="0.45">
      <c r="B29" s="244"/>
      <c r="C29" s="96" t="s">
        <v>200</v>
      </c>
      <c r="D29" s="4">
        <v>35000</v>
      </c>
      <c r="E29" s="97" t="s">
        <v>198</v>
      </c>
      <c r="F29" s="237">
        <v>5.6699999999999997E-3</v>
      </c>
      <c r="G29" s="47" t="s">
        <v>197</v>
      </c>
      <c r="H29" s="232">
        <f>ROUND(F29*(1+'Revenue Requirements'!$H$12),5)</f>
        <v>5.7200000000000003E-3</v>
      </c>
      <c r="I29" s="85" t="s">
        <v>197</v>
      </c>
      <c r="J29" s="232">
        <f t="shared" ref="J29:J30" si="6">H29-F29</f>
        <v>5.0000000000000565E-5</v>
      </c>
      <c r="K29" s="69">
        <f t="shared" ref="K29:K30" si="7">J29/F29</f>
        <v>8.8183421516755851E-3</v>
      </c>
      <c r="L29" s="245"/>
    </row>
    <row r="30" spans="2:190" x14ac:dyDescent="0.45">
      <c r="B30" s="244"/>
      <c r="C30" s="235" t="s">
        <v>201</v>
      </c>
      <c r="D30" s="101">
        <v>50000</v>
      </c>
      <c r="E30" s="234" t="s">
        <v>198</v>
      </c>
      <c r="F30" s="237">
        <v>4.9899999999999996E-3</v>
      </c>
      <c r="G30" s="47" t="s">
        <v>197</v>
      </c>
      <c r="H30" s="232">
        <f>ROUND(F30*(1+'Revenue Requirements'!$H$12),5)</f>
        <v>5.0299999999999997E-3</v>
      </c>
      <c r="I30" s="85" t="s">
        <v>197</v>
      </c>
      <c r="J30" s="232">
        <f t="shared" si="6"/>
        <v>4.0000000000000105E-5</v>
      </c>
      <c r="K30" s="69">
        <f t="shared" si="7"/>
        <v>8.0160320641282784E-3</v>
      </c>
      <c r="L30" s="245"/>
    </row>
    <row r="31" spans="2:190" x14ac:dyDescent="0.45">
      <c r="B31" s="244"/>
      <c r="L31" s="245"/>
    </row>
    <row r="32" spans="2:190" x14ac:dyDescent="0.45">
      <c r="B32" s="244"/>
      <c r="C32" s="82" t="s">
        <v>202</v>
      </c>
      <c r="D32" s="233"/>
      <c r="E32" s="255"/>
      <c r="F32" s="322" t="s">
        <v>193</v>
      </c>
      <c r="G32" s="322"/>
      <c r="H32" s="322" t="s">
        <v>11</v>
      </c>
      <c r="I32" s="322"/>
      <c r="J32" s="322" t="s">
        <v>68</v>
      </c>
      <c r="K32" s="322"/>
      <c r="L32" s="245"/>
    </row>
    <row r="33" spans="2:12" x14ac:dyDescent="0.45">
      <c r="B33" s="244"/>
      <c r="C33" s="96" t="s">
        <v>199</v>
      </c>
      <c r="D33" s="4">
        <v>35000</v>
      </c>
      <c r="E33" s="97" t="s">
        <v>198</v>
      </c>
      <c r="F33" s="236">
        <v>219.65</v>
      </c>
      <c r="G33" s="47" t="s">
        <v>113</v>
      </c>
      <c r="H33" s="47">
        <f>ROUND(H28+20000*H29,2)</f>
        <v>221.61</v>
      </c>
      <c r="I33" s="85" t="s">
        <v>113</v>
      </c>
      <c r="J33" s="47">
        <f>H33-F33</f>
        <v>1.960000000000008</v>
      </c>
      <c r="K33" s="69">
        <f>J33/F33</f>
        <v>8.9232870475757248E-3</v>
      </c>
      <c r="L33" s="245"/>
    </row>
    <row r="34" spans="2:12" x14ac:dyDescent="0.45">
      <c r="B34" s="244"/>
      <c r="C34" s="96" t="s">
        <v>200</v>
      </c>
      <c r="D34" s="4">
        <v>15000</v>
      </c>
      <c r="E34" s="97" t="s">
        <v>198</v>
      </c>
      <c r="F34" s="237">
        <v>5.6699999999999997E-3</v>
      </c>
      <c r="G34" s="47" t="s">
        <v>197</v>
      </c>
      <c r="H34" s="232">
        <f>ROUND(F34*(1+'Revenue Requirements'!$H$12),5)</f>
        <v>5.7200000000000003E-3</v>
      </c>
      <c r="I34" s="85" t="s">
        <v>197</v>
      </c>
      <c r="J34" s="232">
        <f t="shared" ref="J34:J35" si="8">H34-F34</f>
        <v>5.0000000000000565E-5</v>
      </c>
      <c r="K34" s="69">
        <f t="shared" ref="K34:K35" si="9">J34/F34</f>
        <v>8.8183421516755851E-3</v>
      </c>
      <c r="L34" s="245"/>
    </row>
    <row r="35" spans="2:12" x14ac:dyDescent="0.45">
      <c r="B35" s="244"/>
      <c r="C35" s="235" t="s">
        <v>201</v>
      </c>
      <c r="D35" s="101">
        <v>50000</v>
      </c>
      <c r="E35" s="234" t="s">
        <v>198</v>
      </c>
      <c r="F35" s="237">
        <v>4.9899999999999996E-3</v>
      </c>
      <c r="G35" s="47" t="s">
        <v>197</v>
      </c>
      <c r="H35" s="232">
        <f>ROUND(F35*(1+'Revenue Requirements'!$H$12),5)</f>
        <v>5.0299999999999997E-3</v>
      </c>
      <c r="I35" s="85" t="s">
        <v>197</v>
      </c>
      <c r="J35" s="232">
        <f t="shared" si="8"/>
        <v>4.0000000000000105E-5</v>
      </c>
      <c r="K35" s="69">
        <f t="shared" si="9"/>
        <v>8.0160320641282784E-3</v>
      </c>
      <c r="L35" s="245"/>
    </row>
    <row r="36" spans="2:12" ht="14.65" thickBot="1" x14ac:dyDescent="0.5">
      <c r="B36" s="248"/>
      <c r="C36" s="249"/>
      <c r="D36" s="250"/>
      <c r="E36" s="256"/>
      <c r="F36" s="249"/>
      <c r="G36" s="249"/>
      <c r="H36" s="249"/>
      <c r="I36" s="251"/>
      <c r="J36" s="249"/>
      <c r="K36" s="252"/>
      <c r="L36" s="253"/>
    </row>
  </sheetData>
  <mergeCells count="19">
    <mergeCell ref="F27:G27"/>
    <mergeCell ref="H27:I27"/>
    <mergeCell ref="J27:K27"/>
    <mergeCell ref="F32:G32"/>
    <mergeCell ref="H32:I32"/>
    <mergeCell ref="J32:K32"/>
    <mergeCell ref="F16:G16"/>
    <mergeCell ref="H16:I16"/>
    <mergeCell ref="J16:K16"/>
    <mergeCell ref="F22:G22"/>
    <mergeCell ref="H22:I22"/>
    <mergeCell ref="J22:K22"/>
    <mergeCell ref="C3:K3"/>
    <mergeCell ref="C4:K4"/>
    <mergeCell ref="F9:G9"/>
    <mergeCell ref="H9:I9"/>
    <mergeCell ref="J9:K9"/>
    <mergeCell ref="C7:K7"/>
    <mergeCell ref="C6:K6"/>
  </mergeCells>
  <printOptions horizontalCentered="1" verticalCentered="1"/>
  <pageMargins left="0.5" right="0.5" top="0.75" bottom="0.75" header="0" footer="0"/>
  <pageSetup scale="8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BB81F-3621-461A-9B05-0C41CE452BE1}">
  <sheetPr>
    <pageSetUpPr fitToPage="1"/>
  </sheetPr>
  <dimension ref="B1:GH36"/>
  <sheetViews>
    <sheetView showGridLines="0" topLeftCell="A21" workbookViewId="0">
      <selection activeCell="L36" sqref="A1:L36"/>
    </sheetView>
  </sheetViews>
  <sheetFormatPr defaultColWidth="8.88671875" defaultRowHeight="14.25" x14ac:dyDescent="0.45"/>
  <cols>
    <col min="1" max="1" width="2.609375" style="15" customWidth="1"/>
    <col min="2" max="2" width="1.77734375" style="24" customWidth="1"/>
    <col min="3" max="3" width="4.609375" style="24" customWidth="1"/>
    <col min="4" max="4" width="7.609375" style="98" customWidth="1"/>
    <col min="5" max="5" width="10.609375" style="234" customWidth="1"/>
    <col min="6" max="6" width="10.609375" style="24" customWidth="1"/>
    <col min="7" max="7" width="12.609375" style="24" customWidth="1"/>
    <col min="8" max="8" width="10.609375" style="24" customWidth="1"/>
    <col min="9" max="9" width="12.609375" style="85" customWidth="1"/>
    <col min="10" max="10" width="10.609375" style="24" customWidth="1"/>
    <col min="11" max="11" width="6" style="229" customWidth="1"/>
    <col min="12" max="12" width="1.77734375" style="24" customWidth="1"/>
    <col min="13" max="190" width="9.6640625" style="24" customWidth="1"/>
    <col min="191" max="16384" width="8.88671875" style="15"/>
  </cols>
  <sheetData>
    <row r="1" spans="2:190" ht="14.65" thickBot="1" x14ac:dyDescent="0.5"/>
    <row r="2" spans="2:190" x14ac:dyDescent="0.45">
      <c r="B2" s="238"/>
      <c r="C2" s="239"/>
      <c r="D2" s="240"/>
      <c r="E2" s="254"/>
      <c r="F2" s="239"/>
      <c r="G2" s="239"/>
      <c r="H2" s="239"/>
      <c r="I2" s="241"/>
      <c r="J2" s="239"/>
      <c r="K2" s="242"/>
      <c r="L2" s="243"/>
    </row>
    <row r="3" spans="2:190" ht="18" hidden="1" x14ac:dyDescent="0.55000000000000004">
      <c r="B3" s="244"/>
      <c r="G3" s="311" t="s">
        <v>316</v>
      </c>
      <c r="L3" s="245"/>
    </row>
    <row r="4" spans="2:190" ht="18" x14ac:dyDescent="0.55000000000000004">
      <c r="B4" s="244"/>
      <c r="C4" s="323" t="s">
        <v>318</v>
      </c>
      <c r="D4" s="323"/>
      <c r="E4" s="323"/>
      <c r="F4" s="323"/>
      <c r="G4" s="323"/>
      <c r="H4" s="323"/>
      <c r="I4" s="323"/>
      <c r="J4" s="323"/>
      <c r="K4" s="323"/>
      <c r="L4" s="245"/>
    </row>
    <row r="5" spans="2:190" ht="7.15" customHeight="1" x14ac:dyDescent="0.45">
      <c r="B5" s="244"/>
      <c r="L5" s="245"/>
    </row>
    <row r="6" spans="2:190" ht="18" x14ac:dyDescent="0.55000000000000004">
      <c r="B6" s="244"/>
      <c r="C6" s="318" t="s">
        <v>56</v>
      </c>
      <c r="D6" s="318"/>
      <c r="E6" s="318"/>
      <c r="F6" s="318"/>
      <c r="G6" s="318"/>
      <c r="H6" s="318"/>
      <c r="I6" s="318"/>
      <c r="J6" s="318"/>
      <c r="K6" s="318"/>
      <c r="L6" s="245"/>
    </row>
    <row r="7" spans="2:190" ht="18" customHeight="1" x14ac:dyDescent="0.45">
      <c r="B7" s="244"/>
      <c r="C7" s="319" t="str">
        <f>SAO!A2</f>
        <v>NORTH SHELBY WATER COMPANY</v>
      </c>
      <c r="D7" s="319"/>
      <c r="E7" s="319"/>
      <c r="F7" s="319"/>
      <c r="G7" s="319"/>
      <c r="H7" s="319"/>
      <c r="I7" s="319"/>
      <c r="J7" s="319"/>
      <c r="K7" s="319"/>
      <c r="L7" s="245"/>
    </row>
    <row r="8" spans="2:190" ht="6" customHeight="1" x14ac:dyDescent="0.45">
      <c r="B8" s="244"/>
      <c r="L8" s="245"/>
    </row>
    <row r="9" spans="2:190" ht="14.25" customHeight="1" x14ac:dyDescent="0.45">
      <c r="B9" s="244"/>
      <c r="C9" s="82" t="s">
        <v>196</v>
      </c>
      <c r="D9" s="233"/>
      <c r="E9" s="255"/>
      <c r="F9" s="322" t="s">
        <v>193</v>
      </c>
      <c r="G9" s="322"/>
      <c r="H9" s="322" t="s">
        <v>11</v>
      </c>
      <c r="I9" s="322"/>
      <c r="J9" s="322" t="s">
        <v>68</v>
      </c>
      <c r="K9" s="322"/>
      <c r="L9" s="246"/>
      <c r="GH9" s="15"/>
    </row>
    <row r="10" spans="2:190" ht="17.25" customHeight="1" x14ac:dyDescent="0.45">
      <c r="B10" s="244"/>
      <c r="C10" s="96" t="s">
        <v>199</v>
      </c>
      <c r="D10" s="4">
        <v>2000</v>
      </c>
      <c r="E10" s="97" t="s">
        <v>198</v>
      </c>
      <c r="F10" s="236">
        <v>22.88</v>
      </c>
      <c r="G10" s="47" t="s">
        <v>113</v>
      </c>
      <c r="H10" s="47">
        <f>ROUND(F10*(1+'Revenue Requirements'!$H$26),2)</f>
        <v>24.37</v>
      </c>
      <c r="I10" s="85" t="s">
        <v>113</v>
      </c>
      <c r="J10" s="47">
        <f>H10-F10</f>
        <v>1.490000000000002</v>
      </c>
      <c r="K10" s="69">
        <f>J10/F10</f>
        <v>6.5122377622377714E-2</v>
      </c>
      <c r="L10" s="246"/>
      <c r="GH10" s="15"/>
    </row>
    <row r="11" spans="2:190" ht="14.25" customHeight="1" x14ac:dyDescent="0.45">
      <c r="B11" s="244"/>
      <c r="C11" s="96" t="s">
        <v>200</v>
      </c>
      <c r="D11" s="4">
        <v>3000</v>
      </c>
      <c r="E11" s="97" t="s">
        <v>198</v>
      </c>
      <c r="F11" s="237">
        <v>7.7400000000000004E-3</v>
      </c>
      <c r="G11" s="47" t="s">
        <v>197</v>
      </c>
      <c r="H11" s="232">
        <f>ROUND(F11*(1+'Revenue Requirements'!$H$26),5)</f>
        <v>8.2400000000000008E-3</v>
      </c>
      <c r="I11" s="85" t="s">
        <v>197</v>
      </c>
      <c r="J11" s="232">
        <f>H11-F11</f>
        <v>5.0000000000000044E-4</v>
      </c>
      <c r="K11" s="69">
        <f t="shared" ref="K11:K14" si="0">J11/F11</f>
        <v>6.4599483204134417E-2</v>
      </c>
      <c r="L11" s="246"/>
      <c r="GH11" s="15"/>
    </row>
    <row r="12" spans="2:190" ht="14.25" customHeight="1" x14ac:dyDescent="0.45">
      <c r="B12" s="247"/>
      <c r="C12" s="96" t="s">
        <v>200</v>
      </c>
      <c r="D12" s="4">
        <v>5000</v>
      </c>
      <c r="E12" s="97" t="s">
        <v>198</v>
      </c>
      <c r="F12" s="237">
        <v>6.3600000000000002E-3</v>
      </c>
      <c r="G12" s="47" t="s">
        <v>197</v>
      </c>
      <c r="H12" s="232">
        <f>ROUND(F12*(1+'Revenue Requirements'!$H$26),5)</f>
        <v>6.77E-3</v>
      </c>
      <c r="I12" s="85" t="s">
        <v>197</v>
      </c>
      <c r="J12" s="232">
        <f t="shared" ref="J12:J14" si="1">H12-F12</f>
        <v>4.0999999999999977E-4</v>
      </c>
      <c r="K12" s="69">
        <f t="shared" si="0"/>
        <v>6.4465408805031404E-2</v>
      </c>
      <c r="L12" s="246"/>
      <c r="GH12" s="15"/>
    </row>
    <row r="13" spans="2:190" ht="14.25" customHeight="1" x14ac:dyDescent="0.45">
      <c r="B13" s="247"/>
      <c r="C13" s="96" t="s">
        <v>200</v>
      </c>
      <c r="D13" s="4">
        <v>40000</v>
      </c>
      <c r="E13" s="97" t="s">
        <v>198</v>
      </c>
      <c r="F13" s="237">
        <v>5.6699999999999997E-3</v>
      </c>
      <c r="G13" s="47" t="s">
        <v>197</v>
      </c>
      <c r="H13" s="232">
        <f>ROUND(F13*(1+'Revenue Requirements'!$H$26),5)</f>
        <v>6.0400000000000002E-3</v>
      </c>
      <c r="I13" s="85" t="s">
        <v>197</v>
      </c>
      <c r="J13" s="232">
        <f t="shared" si="1"/>
        <v>3.7000000000000054E-4</v>
      </c>
      <c r="K13" s="69">
        <f t="shared" si="0"/>
        <v>6.5255731922398683E-2</v>
      </c>
      <c r="L13" s="246"/>
      <c r="GH13" s="15"/>
    </row>
    <row r="14" spans="2:190" ht="15" customHeight="1" x14ac:dyDescent="0.45">
      <c r="B14" s="244"/>
      <c r="C14" s="235" t="s">
        <v>201</v>
      </c>
      <c r="D14" s="101">
        <v>50000</v>
      </c>
      <c r="E14" s="234" t="s">
        <v>198</v>
      </c>
      <c r="F14" s="237">
        <v>4.9899999999999996E-3</v>
      </c>
      <c r="G14" s="47" t="s">
        <v>197</v>
      </c>
      <c r="H14" s="232">
        <f>ROUND(F14*(1+'Revenue Requirements'!$H$26),5)</f>
        <v>5.3099999999999996E-3</v>
      </c>
      <c r="I14" s="85" t="s">
        <v>197</v>
      </c>
      <c r="J14" s="232">
        <f t="shared" si="1"/>
        <v>3.1999999999999997E-4</v>
      </c>
      <c r="K14" s="69">
        <f t="shared" si="0"/>
        <v>6.4128256513026047E-2</v>
      </c>
      <c r="L14" s="246"/>
      <c r="GH14" s="15"/>
    </row>
    <row r="15" spans="2:190" ht="15" customHeight="1" x14ac:dyDescent="0.45">
      <c r="B15" s="244"/>
      <c r="C15" s="79"/>
      <c r="D15" s="101"/>
      <c r="F15" s="80"/>
      <c r="G15" s="79"/>
      <c r="H15" s="47"/>
      <c r="I15" s="86"/>
      <c r="J15" s="47"/>
      <c r="K15" s="69"/>
      <c r="L15" s="246"/>
      <c r="GH15" s="15"/>
    </row>
    <row r="16" spans="2:190" ht="14.25" customHeight="1" x14ac:dyDescent="0.45">
      <c r="B16" s="244"/>
      <c r="C16" s="82" t="s">
        <v>114</v>
      </c>
      <c r="D16" s="233"/>
      <c r="E16" s="255"/>
      <c r="F16" s="322" t="s">
        <v>193</v>
      </c>
      <c r="G16" s="322"/>
      <c r="H16" s="322" t="s">
        <v>11</v>
      </c>
      <c r="I16" s="322"/>
      <c r="J16" s="322" t="s">
        <v>68</v>
      </c>
      <c r="K16" s="322"/>
      <c r="L16" s="245"/>
      <c r="GH16" s="15"/>
    </row>
    <row r="17" spans="2:190" ht="14.25" customHeight="1" x14ac:dyDescent="0.45">
      <c r="B17" s="244"/>
      <c r="C17" s="96" t="s">
        <v>199</v>
      </c>
      <c r="D17" s="4">
        <v>5000</v>
      </c>
      <c r="E17" s="97" t="s">
        <v>198</v>
      </c>
      <c r="F17" s="236">
        <v>46.1</v>
      </c>
      <c r="G17" s="47" t="s">
        <v>113</v>
      </c>
      <c r="H17" s="47">
        <f>ROUND(H10+D11*H11,2)</f>
        <v>49.09</v>
      </c>
      <c r="I17" s="85" t="s">
        <v>113</v>
      </c>
      <c r="J17" s="47">
        <f>H17-F17</f>
        <v>2.990000000000002</v>
      </c>
      <c r="K17" s="69">
        <f>J17/F17</f>
        <v>6.4859002169197433E-2</v>
      </c>
      <c r="L17" s="245"/>
      <c r="GH17" s="15"/>
    </row>
    <row r="18" spans="2:190" ht="14.25" customHeight="1" x14ac:dyDescent="0.45">
      <c r="B18" s="244"/>
      <c r="C18" s="96" t="s">
        <v>200</v>
      </c>
      <c r="D18" s="4">
        <v>5000</v>
      </c>
      <c r="E18" s="97" t="s">
        <v>198</v>
      </c>
      <c r="F18" s="237">
        <v>6.3600000000000002E-3</v>
      </c>
      <c r="G18" s="47" t="s">
        <v>197</v>
      </c>
      <c r="H18" s="232">
        <f>ROUND(F18*(1+'Revenue Requirements'!$H$26),5)</f>
        <v>6.77E-3</v>
      </c>
      <c r="I18" s="85" t="s">
        <v>197</v>
      </c>
      <c r="J18" s="232">
        <f t="shared" ref="J18:J20" si="2">H18-F18</f>
        <v>4.0999999999999977E-4</v>
      </c>
      <c r="K18" s="69">
        <f t="shared" ref="K18:K20" si="3">J18/F18</f>
        <v>6.4465408805031404E-2</v>
      </c>
      <c r="L18" s="245"/>
      <c r="GH18" s="15"/>
    </row>
    <row r="19" spans="2:190" ht="14.25" customHeight="1" x14ac:dyDescent="0.45">
      <c r="B19" s="244"/>
      <c r="C19" s="96" t="s">
        <v>200</v>
      </c>
      <c r="D19" s="4">
        <v>40000</v>
      </c>
      <c r="E19" s="97" t="s">
        <v>198</v>
      </c>
      <c r="F19" s="237">
        <v>5.6699999999999997E-3</v>
      </c>
      <c r="G19" s="47" t="s">
        <v>197</v>
      </c>
      <c r="H19" s="232">
        <f>ROUND(F19*(1+'Revenue Requirements'!$H$26),5)</f>
        <v>6.0400000000000002E-3</v>
      </c>
      <c r="I19" s="85" t="s">
        <v>197</v>
      </c>
      <c r="J19" s="232">
        <f t="shared" si="2"/>
        <v>3.7000000000000054E-4</v>
      </c>
      <c r="K19" s="69">
        <f t="shared" si="3"/>
        <v>6.5255731922398683E-2</v>
      </c>
      <c r="L19" s="245"/>
      <c r="GH19" s="15"/>
    </row>
    <row r="20" spans="2:190" x14ac:dyDescent="0.45">
      <c r="B20" s="244"/>
      <c r="C20" s="235" t="s">
        <v>201</v>
      </c>
      <c r="D20" s="101">
        <v>50000</v>
      </c>
      <c r="E20" s="234" t="s">
        <v>198</v>
      </c>
      <c r="F20" s="237">
        <v>4.9899999999999996E-3</v>
      </c>
      <c r="G20" s="47" t="s">
        <v>197</v>
      </c>
      <c r="H20" s="232">
        <f>ROUND(F20*(1+'Revenue Requirements'!$H$26),5)</f>
        <v>5.3099999999999996E-3</v>
      </c>
      <c r="I20" s="85" t="s">
        <v>197</v>
      </c>
      <c r="J20" s="232">
        <f t="shared" si="2"/>
        <v>3.1999999999999997E-4</v>
      </c>
      <c r="K20" s="69">
        <f t="shared" si="3"/>
        <v>6.4128256513026047E-2</v>
      </c>
      <c r="L20" s="245"/>
    </row>
    <row r="21" spans="2:190" x14ac:dyDescent="0.45">
      <c r="B21" s="244"/>
      <c r="L21" s="245"/>
    </row>
    <row r="22" spans="2:190" x14ac:dyDescent="0.45">
      <c r="B22" s="244"/>
      <c r="C22" s="82" t="s">
        <v>115</v>
      </c>
      <c r="D22" s="233"/>
      <c r="E22" s="255"/>
      <c r="F22" s="322" t="s">
        <v>193</v>
      </c>
      <c r="G22" s="322"/>
      <c r="H22" s="322" t="s">
        <v>11</v>
      </c>
      <c r="I22" s="322"/>
      <c r="J22" s="322" t="s">
        <v>68</v>
      </c>
      <c r="K22" s="322"/>
      <c r="L22" s="245"/>
    </row>
    <row r="23" spans="2:190" x14ac:dyDescent="0.45">
      <c r="B23" s="244"/>
      <c r="C23" s="96" t="s">
        <v>199</v>
      </c>
      <c r="D23" s="4">
        <v>10000</v>
      </c>
      <c r="E23" s="97" t="s">
        <v>198</v>
      </c>
      <c r="F23" s="236">
        <v>77.900000000000006</v>
      </c>
      <c r="G23" s="47" t="s">
        <v>113</v>
      </c>
      <c r="H23" s="47">
        <f>ROUND(H17+D18*H18,2)</f>
        <v>82.94</v>
      </c>
      <c r="I23" s="85" t="s">
        <v>113</v>
      </c>
      <c r="J23" s="47">
        <f>H23-F23</f>
        <v>5.039999999999992</v>
      </c>
      <c r="K23" s="69">
        <f>J23/F23</f>
        <v>6.4698331193838152E-2</v>
      </c>
      <c r="L23" s="245"/>
    </row>
    <row r="24" spans="2:190" x14ac:dyDescent="0.45">
      <c r="B24" s="244"/>
      <c r="C24" s="96" t="s">
        <v>200</v>
      </c>
      <c r="D24" s="4">
        <v>40000</v>
      </c>
      <c r="E24" s="97" t="s">
        <v>198</v>
      </c>
      <c r="F24" s="237">
        <v>5.6699999999999997E-3</v>
      </c>
      <c r="G24" s="47" t="s">
        <v>197</v>
      </c>
      <c r="H24" s="232">
        <f>ROUND(F24*(1+'Revenue Requirements'!$H$26),5)</f>
        <v>6.0400000000000002E-3</v>
      </c>
      <c r="I24" s="85" t="s">
        <v>197</v>
      </c>
      <c r="J24" s="232">
        <f t="shared" ref="J24:J25" si="4">H24-F24</f>
        <v>3.7000000000000054E-4</v>
      </c>
      <c r="K24" s="69">
        <f t="shared" ref="K24:K25" si="5">J24/F24</f>
        <v>6.5255731922398683E-2</v>
      </c>
      <c r="L24" s="245"/>
    </row>
    <row r="25" spans="2:190" x14ac:dyDescent="0.45">
      <c r="B25" s="244"/>
      <c r="C25" s="235" t="s">
        <v>201</v>
      </c>
      <c r="D25" s="101">
        <v>50000</v>
      </c>
      <c r="E25" s="234" t="s">
        <v>198</v>
      </c>
      <c r="F25" s="237">
        <v>4.9899999999999996E-3</v>
      </c>
      <c r="G25" s="47" t="s">
        <v>197</v>
      </c>
      <c r="H25" s="232">
        <f>ROUND(F25*(1+'Revenue Requirements'!$H$26),5)</f>
        <v>5.3099999999999996E-3</v>
      </c>
      <c r="I25" s="85" t="s">
        <v>197</v>
      </c>
      <c r="J25" s="232">
        <f t="shared" si="4"/>
        <v>3.1999999999999997E-4</v>
      </c>
      <c r="K25" s="69">
        <f t="shared" si="5"/>
        <v>6.4128256513026047E-2</v>
      </c>
      <c r="L25" s="245"/>
    </row>
    <row r="26" spans="2:190" x14ac:dyDescent="0.45">
      <c r="B26" s="244"/>
      <c r="L26" s="245"/>
    </row>
    <row r="27" spans="2:190" x14ac:dyDescent="0.45">
      <c r="B27" s="244"/>
      <c r="C27" s="82" t="s">
        <v>116</v>
      </c>
      <c r="D27" s="233"/>
      <c r="E27" s="255"/>
      <c r="F27" s="322" t="s">
        <v>193</v>
      </c>
      <c r="G27" s="322"/>
      <c r="H27" s="322" t="s">
        <v>11</v>
      </c>
      <c r="I27" s="322"/>
      <c r="J27" s="322" t="s">
        <v>68</v>
      </c>
      <c r="K27" s="322"/>
      <c r="L27" s="245"/>
    </row>
    <row r="28" spans="2:190" x14ac:dyDescent="0.45">
      <c r="B28" s="244"/>
      <c r="C28" s="96" t="s">
        <v>199</v>
      </c>
      <c r="D28" s="4">
        <v>15000</v>
      </c>
      <c r="E28" s="97" t="s">
        <v>198</v>
      </c>
      <c r="F28" s="236">
        <v>106.25</v>
      </c>
      <c r="G28" s="47" t="s">
        <v>113</v>
      </c>
      <c r="H28" s="47">
        <f>ROUND(H23+5000*H24,2)</f>
        <v>113.14</v>
      </c>
      <c r="I28" s="85" t="s">
        <v>113</v>
      </c>
      <c r="J28" s="47">
        <f>H28-F28</f>
        <v>6.8900000000000006</v>
      </c>
      <c r="K28" s="69">
        <f>J28/F28</f>
        <v>6.484705882352941E-2</v>
      </c>
      <c r="L28" s="245"/>
    </row>
    <row r="29" spans="2:190" x14ac:dyDescent="0.45">
      <c r="B29" s="244"/>
      <c r="C29" s="96" t="s">
        <v>200</v>
      </c>
      <c r="D29" s="4">
        <v>35000</v>
      </c>
      <c r="E29" s="97" t="s">
        <v>198</v>
      </c>
      <c r="F29" s="237">
        <v>5.6699999999999997E-3</v>
      </c>
      <c r="G29" s="47" t="s">
        <v>197</v>
      </c>
      <c r="H29" s="232">
        <f>ROUND(F29*(1+'Revenue Requirements'!$H$26),5)</f>
        <v>6.0400000000000002E-3</v>
      </c>
      <c r="I29" s="85" t="s">
        <v>197</v>
      </c>
      <c r="J29" s="232">
        <f t="shared" ref="J29:J30" si="6">H29-F29</f>
        <v>3.7000000000000054E-4</v>
      </c>
      <c r="K29" s="69">
        <f t="shared" ref="K29:K30" si="7">J29/F29</f>
        <v>6.5255731922398683E-2</v>
      </c>
      <c r="L29" s="245"/>
    </row>
    <row r="30" spans="2:190" x14ac:dyDescent="0.45">
      <c r="B30" s="244"/>
      <c r="C30" s="235" t="s">
        <v>201</v>
      </c>
      <c r="D30" s="101">
        <v>50000</v>
      </c>
      <c r="E30" s="234" t="s">
        <v>198</v>
      </c>
      <c r="F30" s="237">
        <v>4.9899999999999996E-3</v>
      </c>
      <c r="G30" s="47" t="s">
        <v>197</v>
      </c>
      <c r="H30" s="232">
        <f>ROUND(F30*(1+'Revenue Requirements'!$H$26),5)</f>
        <v>5.3099999999999996E-3</v>
      </c>
      <c r="I30" s="85" t="s">
        <v>197</v>
      </c>
      <c r="J30" s="232">
        <f t="shared" si="6"/>
        <v>3.1999999999999997E-4</v>
      </c>
      <c r="K30" s="69">
        <f t="shared" si="7"/>
        <v>6.4128256513026047E-2</v>
      </c>
      <c r="L30" s="245"/>
    </row>
    <row r="31" spans="2:190" x14ac:dyDescent="0.45">
      <c r="B31" s="244"/>
      <c r="L31" s="245"/>
    </row>
    <row r="32" spans="2:190" x14ac:dyDescent="0.45">
      <c r="B32" s="244"/>
      <c r="C32" s="82" t="s">
        <v>202</v>
      </c>
      <c r="D32" s="233"/>
      <c r="E32" s="255"/>
      <c r="F32" s="322" t="s">
        <v>193</v>
      </c>
      <c r="G32" s="322"/>
      <c r="H32" s="322" t="s">
        <v>11</v>
      </c>
      <c r="I32" s="322"/>
      <c r="J32" s="322" t="s">
        <v>68</v>
      </c>
      <c r="K32" s="322"/>
      <c r="L32" s="245"/>
    </row>
    <row r="33" spans="2:12" x14ac:dyDescent="0.45">
      <c r="B33" s="244"/>
      <c r="C33" s="96" t="s">
        <v>199</v>
      </c>
      <c r="D33" s="4">
        <v>35000</v>
      </c>
      <c r="E33" s="97" t="s">
        <v>198</v>
      </c>
      <c r="F33" s="236">
        <v>219.65</v>
      </c>
      <c r="G33" s="47" t="s">
        <v>113</v>
      </c>
      <c r="H33" s="47">
        <f>ROUND(H28+20000*H29,2)</f>
        <v>233.94</v>
      </c>
      <c r="I33" s="85" t="s">
        <v>113</v>
      </c>
      <c r="J33" s="47">
        <f>H33-F33</f>
        <v>14.289999999999992</v>
      </c>
      <c r="K33" s="69">
        <f>J33/F33</f>
        <v>6.5058046892783938E-2</v>
      </c>
      <c r="L33" s="245"/>
    </row>
    <row r="34" spans="2:12" s="24" customFormat="1" x14ac:dyDescent="0.45">
      <c r="B34" s="244"/>
      <c r="C34" s="96" t="s">
        <v>200</v>
      </c>
      <c r="D34" s="4">
        <v>15000</v>
      </c>
      <c r="E34" s="97" t="s">
        <v>198</v>
      </c>
      <c r="F34" s="237">
        <v>5.6699999999999997E-3</v>
      </c>
      <c r="G34" s="47" t="s">
        <v>197</v>
      </c>
      <c r="H34" s="232">
        <f>ROUND(F34*(1+'Revenue Requirements'!$H$26),5)</f>
        <v>6.0400000000000002E-3</v>
      </c>
      <c r="I34" s="85" t="s">
        <v>197</v>
      </c>
      <c r="J34" s="232">
        <f t="shared" ref="J34:J35" si="8">H34-F34</f>
        <v>3.7000000000000054E-4</v>
      </c>
      <c r="K34" s="69">
        <f t="shared" ref="K34:K35" si="9">J34/F34</f>
        <v>6.5255731922398683E-2</v>
      </c>
      <c r="L34" s="245"/>
    </row>
    <row r="35" spans="2:12" s="24" customFormat="1" x14ac:dyDescent="0.45">
      <c r="B35" s="244"/>
      <c r="C35" s="235" t="s">
        <v>201</v>
      </c>
      <c r="D35" s="101">
        <v>50000</v>
      </c>
      <c r="E35" s="234" t="s">
        <v>198</v>
      </c>
      <c r="F35" s="237">
        <v>4.9899999999999996E-3</v>
      </c>
      <c r="G35" s="47" t="s">
        <v>197</v>
      </c>
      <c r="H35" s="232">
        <f>ROUND(F35*(1+'Revenue Requirements'!$H$26),5)</f>
        <v>5.3099999999999996E-3</v>
      </c>
      <c r="I35" s="85" t="s">
        <v>197</v>
      </c>
      <c r="J35" s="232">
        <f t="shared" si="8"/>
        <v>3.1999999999999997E-4</v>
      </c>
      <c r="K35" s="69">
        <f t="shared" si="9"/>
        <v>6.4128256513026047E-2</v>
      </c>
      <c r="L35" s="245"/>
    </row>
    <row r="36" spans="2:12" s="24" customFormat="1" ht="14.65" thickBot="1" x14ac:dyDescent="0.5">
      <c r="B36" s="248"/>
      <c r="C36" s="249"/>
      <c r="D36" s="250"/>
      <c r="E36" s="256"/>
      <c r="F36" s="249"/>
      <c r="G36" s="249"/>
      <c r="H36" s="249"/>
      <c r="I36" s="251"/>
      <c r="J36" s="249"/>
      <c r="K36" s="252"/>
      <c r="L36" s="253"/>
    </row>
  </sheetData>
  <mergeCells count="18">
    <mergeCell ref="C4:K4"/>
    <mergeCell ref="F9:G9"/>
    <mergeCell ref="H9:I9"/>
    <mergeCell ref="J9:K9"/>
    <mergeCell ref="C6:K6"/>
    <mergeCell ref="C7:K7"/>
    <mergeCell ref="F16:G16"/>
    <mergeCell ref="H16:I16"/>
    <mergeCell ref="J16:K16"/>
    <mergeCell ref="F22:G22"/>
    <mergeCell ref="H22:I22"/>
    <mergeCell ref="J22:K22"/>
    <mergeCell ref="F27:G27"/>
    <mergeCell ref="H27:I27"/>
    <mergeCell ref="J27:K27"/>
    <mergeCell ref="F32:G32"/>
    <mergeCell ref="H32:I32"/>
    <mergeCell ref="J32:K32"/>
  </mergeCells>
  <printOptions horizontalCentered="1" verticalCentered="1"/>
  <pageMargins left="0.5" right="0.5" top="0.75" bottom="0.75" header="0" footer="0"/>
  <pageSetup scale="8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O25"/>
  <sheetViews>
    <sheetView showGridLines="0" workbookViewId="0">
      <selection activeCell="J25" sqref="A1:J25"/>
    </sheetView>
  </sheetViews>
  <sheetFormatPr defaultColWidth="8.88671875" defaultRowHeight="14.25" x14ac:dyDescent="0.45"/>
  <cols>
    <col min="1" max="1" width="3.609375" style="5" customWidth="1"/>
    <col min="2" max="2" width="1.77734375" style="5" customWidth="1"/>
    <col min="3" max="4" width="9.77734375" style="5" customWidth="1"/>
    <col min="5" max="7" width="9.77734375" style="116" customWidth="1"/>
    <col min="8" max="8" width="9.77734375" style="5" customWidth="1"/>
    <col min="9" max="9" width="1.77734375" style="5" customWidth="1"/>
    <col min="10" max="10" width="3.609375" style="5" customWidth="1"/>
    <col min="11" max="16384" width="8.88671875" style="5"/>
  </cols>
  <sheetData>
    <row r="1" spans="2:12" x14ac:dyDescent="0.45">
      <c r="B1" s="6"/>
      <c r="C1" s="7"/>
      <c r="D1" s="7"/>
      <c r="E1" s="110"/>
      <c r="F1" s="110"/>
      <c r="G1" s="110"/>
      <c r="H1" s="7"/>
      <c r="I1" s="8"/>
    </row>
    <row r="2" spans="2:12" ht="18" x14ac:dyDescent="0.55000000000000004">
      <c r="B2" s="9"/>
      <c r="C2" s="327" t="s">
        <v>319</v>
      </c>
      <c r="D2" s="327"/>
      <c r="E2" s="327"/>
      <c r="F2" s="327"/>
      <c r="G2" s="327"/>
      <c r="H2" s="327"/>
      <c r="I2" s="328"/>
    </row>
    <row r="3" spans="2:12" ht="18" x14ac:dyDescent="0.55000000000000004">
      <c r="B3" s="9"/>
      <c r="C3" s="324" t="s">
        <v>72</v>
      </c>
      <c r="D3" s="324"/>
      <c r="E3" s="324"/>
      <c r="F3" s="324"/>
      <c r="G3" s="324"/>
      <c r="H3" s="324"/>
      <c r="I3" s="325"/>
    </row>
    <row r="4" spans="2:12" ht="15.75" x14ac:dyDescent="0.45">
      <c r="B4" s="9"/>
      <c r="C4" s="319" t="str">
        <f>SAO!A2</f>
        <v>NORTH SHELBY WATER COMPANY</v>
      </c>
      <c r="D4" s="319"/>
      <c r="E4" s="319"/>
      <c r="F4" s="319"/>
      <c r="G4" s="319"/>
      <c r="H4" s="319"/>
      <c r="I4" s="326"/>
    </row>
    <row r="5" spans="2:12" x14ac:dyDescent="0.45">
      <c r="B5" s="11"/>
      <c r="C5" s="3"/>
      <c r="D5" s="3"/>
      <c r="E5" s="111"/>
      <c r="F5" s="111"/>
      <c r="G5" s="111"/>
      <c r="H5" s="3"/>
      <c r="I5" s="12"/>
    </row>
    <row r="6" spans="2:12" ht="6" customHeight="1" x14ac:dyDescent="0.45">
      <c r="B6" s="9"/>
      <c r="C6" s="4"/>
      <c r="D6" s="10"/>
      <c r="E6" s="112"/>
      <c r="F6" s="117"/>
      <c r="G6" s="117"/>
      <c r="H6" s="30"/>
      <c r="I6" s="31"/>
      <c r="J6" s="29"/>
      <c r="K6" s="29"/>
    </row>
    <row r="7" spans="2:12" ht="16.5" x14ac:dyDescent="0.75">
      <c r="B7" s="9"/>
      <c r="C7" s="14" t="s">
        <v>13</v>
      </c>
      <c r="D7" s="28" t="s">
        <v>67</v>
      </c>
      <c r="E7" s="113" t="s">
        <v>23</v>
      </c>
      <c r="F7" s="118" t="s">
        <v>11</v>
      </c>
      <c r="G7" s="118"/>
      <c r="H7" s="14"/>
      <c r="I7" s="28"/>
    </row>
    <row r="8" spans="2:12" ht="16.5" x14ac:dyDescent="0.75">
      <c r="B8" s="9"/>
      <c r="C8" s="14" t="s">
        <v>84</v>
      </c>
      <c r="D8" s="28" t="s">
        <v>71</v>
      </c>
      <c r="E8" s="113" t="s">
        <v>69</v>
      </c>
      <c r="F8" s="118" t="s">
        <v>69</v>
      </c>
      <c r="G8" s="118" t="s">
        <v>24</v>
      </c>
      <c r="H8" s="14" t="s">
        <v>70</v>
      </c>
      <c r="I8" s="28"/>
    </row>
    <row r="9" spans="2:12" x14ac:dyDescent="0.45">
      <c r="B9" s="9"/>
      <c r="C9" s="15">
        <v>0</v>
      </c>
      <c r="D9" s="32" t="s">
        <v>203</v>
      </c>
      <c r="E9" s="114">
        <f>'Rates DSCM'!F10</f>
        <v>22.88</v>
      </c>
      <c r="F9" s="114">
        <f>'Rates DSCM'!H10</f>
        <v>23.08</v>
      </c>
      <c r="G9" s="120">
        <f>F9-E9</f>
        <v>0.19999999999999929</v>
      </c>
      <c r="H9" s="70">
        <f>G9/E9</f>
        <v>8.7412587412587107E-3</v>
      </c>
      <c r="I9" s="34"/>
      <c r="L9" s="13"/>
    </row>
    <row r="10" spans="2:12" x14ac:dyDescent="0.45">
      <c r="B10" s="9"/>
      <c r="C10" s="4">
        <v>2000</v>
      </c>
      <c r="D10" s="32" t="s">
        <v>203</v>
      </c>
      <c r="E10" s="114">
        <f>'Rates DSCM'!F10</f>
        <v>22.88</v>
      </c>
      <c r="F10" s="114">
        <f>'Rates DSCM'!H10</f>
        <v>23.08</v>
      </c>
      <c r="G10" s="119">
        <f t="shared" ref="G10:G17" si="0">F10-E10</f>
        <v>0.19999999999999929</v>
      </c>
      <c r="H10" s="70">
        <f t="shared" ref="H10:H17" si="1">G10/E10</f>
        <v>8.7412587412587107E-3</v>
      </c>
      <c r="I10" s="34"/>
      <c r="L10" s="13"/>
    </row>
    <row r="11" spans="2:12" x14ac:dyDescent="0.45">
      <c r="B11" s="9"/>
      <c r="C11" s="35">
        <v>4000</v>
      </c>
      <c r="D11" s="36" t="s">
        <v>203</v>
      </c>
      <c r="E11" s="226">
        <f>'Rates DSCM'!F10+2000*'Rates DSCM'!F11</f>
        <v>38.36</v>
      </c>
      <c r="F11" s="226">
        <f>'Rates DSCM'!H10+2000*'Rates DSCM'!H11</f>
        <v>38.700000000000003</v>
      </c>
      <c r="G11" s="227">
        <f t="shared" ref="G11:G16" si="2">F11-E11</f>
        <v>0.34000000000000341</v>
      </c>
      <c r="H11" s="228">
        <f t="shared" ref="H11:H16" si="3">G11/E11</f>
        <v>8.8633993743483692E-3</v>
      </c>
      <c r="I11" s="37"/>
      <c r="L11" s="13"/>
    </row>
    <row r="12" spans="2:12" x14ac:dyDescent="0.45">
      <c r="B12" s="9"/>
      <c r="C12" s="4">
        <v>6000</v>
      </c>
      <c r="D12" s="32" t="s">
        <v>204</v>
      </c>
      <c r="E12" s="114">
        <f>'Rates DSCM'!F10+3000*'Rates DSCM'!F11+1000*'Rates DSCM'!F12</f>
        <v>52.46</v>
      </c>
      <c r="F12" s="114">
        <f>'Rates DSCM'!H10+3000*'Rates DSCM'!H11+1000*'Rates DSCM'!H12</f>
        <v>52.93</v>
      </c>
      <c r="G12" s="119">
        <f t="shared" si="2"/>
        <v>0.46999999999999886</v>
      </c>
      <c r="H12" s="70">
        <f t="shared" si="3"/>
        <v>8.9592070148684488E-3</v>
      </c>
      <c r="I12" s="34"/>
      <c r="L12" s="13"/>
    </row>
    <row r="13" spans="2:12" x14ac:dyDescent="0.45">
      <c r="B13" s="9"/>
      <c r="C13" s="4">
        <v>8000</v>
      </c>
      <c r="D13" s="32" t="s">
        <v>204</v>
      </c>
      <c r="E13" s="114">
        <f>'Rates DSCM'!F10+3000*'Rates DSCM'!F11+3000*'Rates DSCM'!F12</f>
        <v>65.180000000000007</v>
      </c>
      <c r="F13" s="114">
        <f>'Rates DSCM'!H10+3000*'Rates DSCM'!H11+3000*'Rates DSCM'!H12</f>
        <v>65.77</v>
      </c>
      <c r="G13" s="119">
        <f t="shared" si="2"/>
        <v>0.5899999999999892</v>
      </c>
      <c r="H13" s="70">
        <f t="shared" si="3"/>
        <v>9.0518563976678297E-3</v>
      </c>
      <c r="I13" s="34"/>
      <c r="L13" s="13"/>
    </row>
    <row r="14" spans="2:12" x14ac:dyDescent="0.45">
      <c r="B14" s="9"/>
      <c r="C14" s="4">
        <v>10000</v>
      </c>
      <c r="D14" s="32" t="s">
        <v>204</v>
      </c>
      <c r="E14" s="114">
        <f>'Rates DSCM'!F10+3000*'Rates DSCM'!F11+5000*'Rates DSCM'!F12</f>
        <v>77.900000000000006</v>
      </c>
      <c r="F14" s="114">
        <f>'Rates DSCM'!H10+3000*'Rates DSCM'!H11+5000*'Rates DSCM'!H12</f>
        <v>78.61</v>
      </c>
      <c r="G14" s="119">
        <f t="shared" si="2"/>
        <v>0.70999999999999375</v>
      </c>
      <c r="H14" s="70">
        <f t="shared" si="3"/>
        <v>9.1142490372271342E-3</v>
      </c>
      <c r="I14" s="34"/>
      <c r="L14" s="13"/>
    </row>
    <row r="15" spans="2:12" x14ac:dyDescent="0.45">
      <c r="B15" s="9"/>
      <c r="C15" s="4">
        <v>15000</v>
      </c>
      <c r="D15" s="32" t="s">
        <v>25</v>
      </c>
      <c r="E15" s="114">
        <f>'Rates DSCM'!F17+5000*'Rates DSCM'!F18+5000*'Rates DSCM'!F19</f>
        <v>106.25</v>
      </c>
      <c r="F15" s="114">
        <f>'Rates DSCM'!H17+5000*'Rates DSCM'!H18+5000*'Rates DSCM'!H19</f>
        <v>107.21000000000001</v>
      </c>
      <c r="G15" s="119">
        <f t="shared" si="2"/>
        <v>0.96000000000000796</v>
      </c>
      <c r="H15" s="70">
        <f t="shared" si="3"/>
        <v>9.0352941176471344E-3</v>
      </c>
      <c r="I15" s="34"/>
      <c r="L15" s="13"/>
    </row>
    <row r="16" spans="2:12" x14ac:dyDescent="0.45">
      <c r="B16" s="9"/>
      <c r="C16" s="4">
        <v>20000</v>
      </c>
      <c r="D16" s="32" t="s">
        <v>25</v>
      </c>
      <c r="E16" s="114">
        <f>'Rates DSCM'!F17+5000*'Rates DSCM'!F18+10000*'Rates DSCM'!F19</f>
        <v>134.6</v>
      </c>
      <c r="F16" s="114">
        <f>'Rates DSCM'!H17+5000*'Rates DSCM'!H18+10000*'Rates DSCM'!H19</f>
        <v>135.81</v>
      </c>
      <c r="G16" s="119">
        <f t="shared" si="2"/>
        <v>1.210000000000008</v>
      </c>
      <c r="H16" s="70">
        <f t="shared" si="3"/>
        <v>8.9895988112927792E-3</v>
      </c>
      <c r="I16" s="34"/>
      <c r="L16" s="13"/>
    </row>
    <row r="17" spans="2:15" x14ac:dyDescent="0.45">
      <c r="B17" s="9"/>
      <c r="C17" s="4">
        <v>25000</v>
      </c>
      <c r="D17" s="33" t="s">
        <v>25</v>
      </c>
      <c r="E17" s="114">
        <f>'Rates DSCM'!F17+5000*'Rates DSCM'!F18+15000*'Rates DSCM'!F19</f>
        <v>162.94999999999999</v>
      </c>
      <c r="F17" s="114">
        <f>'Rates DSCM'!H17+5000*'Rates DSCM'!H18+15000*'Rates DSCM'!H19</f>
        <v>164.41</v>
      </c>
      <c r="G17" s="119">
        <f t="shared" si="0"/>
        <v>1.460000000000008</v>
      </c>
      <c r="H17" s="70">
        <f t="shared" si="1"/>
        <v>8.9598036207426089E-3</v>
      </c>
      <c r="I17" s="34"/>
      <c r="L17" s="13"/>
    </row>
    <row r="18" spans="2:15" x14ac:dyDescent="0.45">
      <c r="B18" s="9"/>
      <c r="C18" s="4">
        <v>30000</v>
      </c>
      <c r="D18" s="33" t="s">
        <v>26</v>
      </c>
      <c r="E18" s="114">
        <f>'Rates DSCM'!F28+15000*'Rates DSCM'!F29</f>
        <v>191.3</v>
      </c>
      <c r="F18" s="114">
        <f>'Rates DSCM'!H28+15000*'Rates DSCM'!H29</f>
        <v>193.01</v>
      </c>
      <c r="G18" s="119">
        <f t="shared" ref="G18:G21" si="4">F18-E18</f>
        <v>1.7099999999999795</v>
      </c>
      <c r="H18" s="70">
        <f t="shared" ref="H18:H21" si="5">G18/E18</f>
        <v>8.9388395190798716E-3</v>
      </c>
      <c r="I18" s="34"/>
      <c r="L18" s="13"/>
      <c r="O18" s="4"/>
    </row>
    <row r="19" spans="2:15" x14ac:dyDescent="0.45">
      <c r="B19" s="9"/>
      <c r="C19" s="4">
        <v>40000</v>
      </c>
      <c r="D19" s="33" t="s">
        <v>26</v>
      </c>
      <c r="E19" s="114">
        <f>'Rates DSCM'!F28+25000*'Rates DSCM'!F29</f>
        <v>248</v>
      </c>
      <c r="F19" s="114">
        <f>'Rates DSCM'!H28+25000*'Rates DSCM'!H29</f>
        <v>250.20999999999998</v>
      </c>
      <c r="G19" s="119">
        <f t="shared" si="4"/>
        <v>2.2099999999999795</v>
      </c>
      <c r="H19" s="70">
        <f t="shared" si="5"/>
        <v>8.9112903225805635E-3</v>
      </c>
      <c r="I19" s="34"/>
      <c r="L19" s="13"/>
    </row>
    <row r="20" spans="2:15" x14ac:dyDescent="0.45">
      <c r="B20" s="9"/>
      <c r="C20" s="4">
        <v>50000</v>
      </c>
      <c r="D20" s="33" t="s">
        <v>26</v>
      </c>
      <c r="E20" s="114">
        <f>'Rates DSCM'!F28+35000*'Rates DSCM'!F29</f>
        <v>304.7</v>
      </c>
      <c r="F20" s="114">
        <f>'Rates DSCM'!H28+35000*'Rates DSCM'!H29</f>
        <v>307.41000000000003</v>
      </c>
      <c r="G20" s="119">
        <f t="shared" si="4"/>
        <v>2.7100000000000364</v>
      </c>
      <c r="H20" s="70">
        <f>G20/E20</f>
        <v>8.8939940925501695E-3</v>
      </c>
      <c r="I20" s="34"/>
      <c r="L20" s="13"/>
    </row>
    <row r="21" spans="2:15" x14ac:dyDescent="0.45">
      <c r="B21" s="9"/>
      <c r="C21" s="4">
        <v>75000</v>
      </c>
      <c r="D21" s="33" t="s">
        <v>205</v>
      </c>
      <c r="E21" s="114">
        <f>'Rates DSCM'!F33+15000*'Rates DSCM'!F34+25000*'Rates DSCM'!F35</f>
        <v>429.45</v>
      </c>
      <c r="F21" s="114">
        <f>'Rates DSCM'!H33+15000*'Rates DSCM'!H34+25000*'Rates DSCM'!H35</f>
        <v>433.16</v>
      </c>
      <c r="G21" s="119">
        <f t="shared" si="4"/>
        <v>3.7100000000000364</v>
      </c>
      <c r="H21" s="70">
        <f t="shared" si="5"/>
        <v>8.6389568052160585E-3</v>
      </c>
      <c r="I21" s="34"/>
      <c r="L21" s="13"/>
    </row>
    <row r="22" spans="2:15" x14ac:dyDescent="0.45">
      <c r="B22" s="9"/>
      <c r="C22" s="4">
        <v>100000</v>
      </c>
      <c r="D22" s="33" t="s">
        <v>205</v>
      </c>
      <c r="E22" s="114">
        <f>'Rates DSCM'!F33+15000*'Rates DSCM'!F34+50000*'Rates DSCM'!F35</f>
        <v>554.19999999999993</v>
      </c>
      <c r="F22" s="114">
        <f>'Rates DSCM'!H33+15000*'Rates DSCM'!H34+50000*'Rates DSCM'!H35</f>
        <v>558.91000000000008</v>
      </c>
      <c r="G22" s="119">
        <f t="shared" ref="G22" si="6">F22-E22</f>
        <v>4.7100000000001501</v>
      </c>
      <c r="H22" s="70">
        <f t="shared" ref="H22" si="7">G22/E22</f>
        <v>8.4987369180803875E-3</v>
      </c>
      <c r="I22" s="34"/>
      <c r="L22" s="13"/>
    </row>
    <row r="23" spans="2:15" ht="6" customHeight="1" x14ac:dyDescent="0.45">
      <c r="B23" s="11"/>
      <c r="C23" s="3"/>
      <c r="D23" s="2"/>
      <c r="E23" s="115"/>
      <c r="F23" s="111"/>
      <c r="G23" s="111"/>
      <c r="H23" s="3"/>
      <c r="I23" s="12"/>
    </row>
    <row r="25" spans="2:15" x14ac:dyDescent="0.45">
      <c r="D25" s="46" t="s">
        <v>85</v>
      </c>
    </row>
  </sheetData>
  <mergeCells count="3">
    <mergeCell ref="C3:I3"/>
    <mergeCell ref="C4:I4"/>
    <mergeCell ref="C2:I2"/>
  </mergeCells>
  <printOptions horizontalCentered="1"/>
  <pageMargins left="0.7" right="0.7" top="1.1000000000000001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49EAD-403C-49F5-8FEC-A9F8272FE8F5}">
  <sheetPr>
    <pageSetUpPr fitToPage="1"/>
  </sheetPr>
  <dimension ref="B1:O25"/>
  <sheetViews>
    <sheetView showGridLines="0" workbookViewId="0">
      <selection activeCell="I25" sqref="A1:I25"/>
    </sheetView>
  </sheetViews>
  <sheetFormatPr defaultColWidth="8.88671875" defaultRowHeight="14.25" x14ac:dyDescent="0.45"/>
  <cols>
    <col min="1" max="1" width="3.609375" style="5" customWidth="1"/>
    <col min="2" max="2" width="1.77734375" style="5" customWidth="1"/>
    <col min="3" max="4" width="9.77734375" style="5" customWidth="1"/>
    <col min="5" max="7" width="9.77734375" style="116" customWidth="1"/>
    <col min="8" max="8" width="9.77734375" style="5" customWidth="1"/>
    <col min="9" max="9" width="1.77734375" style="5" customWidth="1"/>
    <col min="10" max="10" width="3.609375" style="5" customWidth="1"/>
    <col min="11" max="16384" width="8.88671875" style="5"/>
  </cols>
  <sheetData>
    <row r="1" spans="2:12" x14ac:dyDescent="0.45">
      <c r="B1" s="6"/>
      <c r="C1" s="7"/>
      <c r="D1" s="7"/>
      <c r="E1" s="110"/>
      <c r="F1" s="110"/>
      <c r="G1" s="110"/>
      <c r="H1" s="7"/>
      <c r="I1" s="8"/>
    </row>
    <row r="2" spans="2:12" ht="18" x14ac:dyDescent="0.55000000000000004">
      <c r="B2" s="9"/>
      <c r="C2" s="327" t="s">
        <v>320</v>
      </c>
      <c r="D2" s="327"/>
      <c r="E2" s="327"/>
      <c r="F2" s="327"/>
      <c r="G2" s="327"/>
      <c r="H2" s="327"/>
      <c r="I2" s="328"/>
    </row>
    <row r="3" spans="2:12" ht="18" x14ac:dyDescent="0.55000000000000004">
      <c r="B3" s="9"/>
      <c r="C3" s="324" t="s">
        <v>72</v>
      </c>
      <c r="D3" s="324"/>
      <c r="E3" s="324"/>
      <c r="F3" s="324"/>
      <c r="G3" s="324"/>
      <c r="H3" s="324"/>
      <c r="I3" s="325"/>
    </row>
    <row r="4" spans="2:12" ht="15.75" x14ac:dyDescent="0.45">
      <c r="B4" s="9"/>
      <c r="C4" s="319" t="str">
        <f>SAO!A2</f>
        <v>NORTH SHELBY WATER COMPANY</v>
      </c>
      <c r="D4" s="319"/>
      <c r="E4" s="319"/>
      <c r="F4" s="319"/>
      <c r="G4" s="319"/>
      <c r="H4" s="319"/>
      <c r="I4" s="326"/>
    </row>
    <row r="5" spans="2:12" x14ac:dyDescent="0.45">
      <c r="B5" s="11"/>
      <c r="C5" s="3"/>
      <c r="D5" s="3"/>
      <c r="E5" s="111"/>
      <c r="F5" s="111"/>
      <c r="G5" s="111"/>
      <c r="H5" s="3"/>
      <c r="I5" s="12"/>
    </row>
    <row r="6" spans="2:12" ht="6" customHeight="1" x14ac:dyDescent="0.45">
      <c r="B6" s="9"/>
      <c r="C6" s="4"/>
      <c r="D6" s="10"/>
      <c r="E6" s="112"/>
      <c r="F6" s="117"/>
      <c r="G6" s="117"/>
      <c r="H6" s="30"/>
      <c r="I6" s="31"/>
      <c r="J6" s="29"/>
      <c r="K6" s="29"/>
    </row>
    <row r="7" spans="2:12" ht="16.5" x14ac:dyDescent="0.75">
      <c r="B7" s="9"/>
      <c r="C7" s="14" t="s">
        <v>13</v>
      </c>
      <c r="D7" s="28" t="s">
        <v>67</v>
      </c>
      <c r="E7" s="113" t="s">
        <v>23</v>
      </c>
      <c r="F7" s="118" t="s">
        <v>11</v>
      </c>
      <c r="G7" s="118"/>
      <c r="H7" s="14"/>
      <c r="I7" s="28"/>
    </row>
    <row r="8" spans="2:12" ht="16.5" x14ac:dyDescent="0.75">
      <c r="B8" s="9"/>
      <c r="C8" s="14" t="s">
        <v>84</v>
      </c>
      <c r="D8" s="28" t="s">
        <v>71</v>
      </c>
      <c r="E8" s="113" t="s">
        <v>69</v>
      </c>
      <c r="F8" s="118" t="s">
        <v>69</v>
      </c>
      <c r="G8" s="118" t="s">
        <v>24</v>
      </c>
      <c r="H8" s="14" t="s">
        <v>70</v>
      </c>
      <c r="I8" s="28"/>
    </row>
    <row r="9" spans="2:12" x14ac:dyDescent="0.45">
      <c r="B9" s="9"/>
      <c r="C9" s="15">
        <v>0</v>
      </c>
      <c r="D9" s="32" t="s">
        <v>203</v>
      </c>
      <c r="E9" s="114">
        <f>'Rates ORM'!F10</f>
        <v>22.88</v>
      </c>
      <c r="F9" s="114">
        <f>'Rates ORM'!H10</f>
        <v>24.37</v>
      </c>
      <c r="G9" s="120">
        <f>F9-E9</f>
        <v>1.490000000000002</v>
      </c>
      <c r="H9" s="70">
        <f>G9/E9</f>
        <v>6.5122377622377714E-2</v>
      </c>
      <c r="I9" s="34"/>
      <c r="L9" s="13"/>
    </row>
    <row r="10" spans="2:12" x14ac:dyDescent="0.45">
      <c r="B10" s="9"/>
      <c r="C10" s="4">
        <v>2000</v>
      </c>
      <c r="D10" s="32" t="s">
        <v>203</v>
      </c>
      <c r="E10" s="114">
        <f>'Rates ORM'!F10</f>
        <v>22.88</v>
      </c>
      <c r="F10" s="114">
        <f>'Rates ORM'!H10</f>
        <v>24.37</v>
      </c>
      <c r="G10" s="119">
        <f t="shared" ref="G10:G22" si="0">F10-E10</f>
        <v>1.490000000000002</v>
      </c>
      <c r="H10" s="70">
        <f t="shared" ref="H10:H22" si="1">G10/E10</f>
        <v>6.5122377622377714E-2</v>
      </c>
      <c r="I10" s="34"/>
      <c r="L10" s="13"/>
    </row>
    <row r="11" spans="2:12" x14ac:dyDescent="0.45">
      <c r="B11" s="9"/>
      <c r="C11" s="35">
        <v>4000</v>
      </c>
      <c r="D11" s="36" t="s">
        <v>203</v>
      </c>
      <c r="E11" s="226">
        <f>'Rates ORM'!F10+2000*'Rates ORM'!F11</f>
        <v>38.36</v>
      </c>
      <c r="F11" s="226">
        <f>'Rates ORM'!H10+2000*'Rates ORM'!H11</f>
        <v>40.85</v>
      </c>
      <c r="G11" s="227">
        <f t="shared" si="0"/>
        <v>2.490000000000002</v>
      </c>
      <c r="H11" s="228">
        <f t="shared" si="1"/>
        <v>6.4911366006256577E-2</v>
      </c>
      <c r="I11" s="37"/>
      <c r="L11" s="13"/>
    </row>
    <row r="12" spans="2:12" x14ac:dyDescent="0.45">
      <c r="B12" s="9"/>
      <c r="C12" s="4">
        <v>6000</v>
      </c>
      <c r="D12" s="32" t="s">
        <v>204</v>
      </c>
      <c r="E12" s="114">
        <f>'Rates ORM'!F10+3000*'Rates ORM'!F11+1000*'Rates ORM'!F12</f>
        <v>52.46</v>
      </c>
      <c r="F12" s="114">
        <f>'Rates ORM'!H10+3000*'Rates ORM'!H11+1000*'Rates ORM'!H12</f>
        <v>55.86</v>
      </c>
      <c r="G12" s="119">
        <f t="shared" si="0"/>
        <v>3.3999999999999986</v>
      </c>
      <c r="H12" s="70">
        <f t="shared" si="1"/>
        <v>6.4811284788410195E-2</v>
      </c>
      <c r="I12" s="34"/>
      <c r="L12" s="13"/>
    </row>
    <row r="13" spans="2:12" x14ac:dyDescent="0.45">
      <c r="B13" s="9"/>
      <c r="C13" s="4">
        <v>8000</v>
      </c>
      <c r="D13" s="32" t="s">
        <v>204</v>
      </c>
      <c r="E13" s="114">
        <f>'Rates ORM'!F10+3000*'Rates ORM'!F11+3000*'Rates ORM'!F12</f>
        <v>65.180000000000007</v>
      </c>
      <c r="F13" s="114">
        <f>'Rates ORM'!H10+3000*'Rates ORM'!H11+3000*'Rates ORM'!H12</f>
        <v>69.400000000000006</v>
      </c>
      <c r="G13" s="119">
        <f t="shared" si="0"/>
        <v>4.2199999999999989</v>
      </c>
      <c r="H13" s="70">
        <f t="shared" si="1"/>
        <v>6.4743786437557516E-2</v>
      </c>
      <c r="I13" s="34"/>
      <c r="L13" s="13"/>
    </row>
    <row r="14" spans="2:12" x14ac:dyDescent="0.45">
      <c r="B14" s="9"/>
      <c r="C14" s="4">
        <v>10000</v>
      </c>
      <c r="D14" s="32" t="s">
        <v>204</v>
      </c>
      <c r="E14" s="114">
        <f>'Rates ORM'!F10+3000*'Rates ORM'!F11+5000*'Rates ORM'!F12</f>
        <v>77.900000000000006</v>
      </c>
      <c r="F14" s="114">
        <f>'Rates ORM'!H10+3000*'Rates ORM'!H11+5000*'Rates ORM'!H12</f>
        <v>82.94</v>
      </c>
      <c r="G14" s="119">
        <f t="shared" si="0"/>
        <v>5.039999999999992</v>
      </c>
      <c r="H14" s="70">
        <f t="shared" si="1"/>
        <v>6.4698331193838152E-2</v>
      </c>
      <c r="I14" s="34"/>
      <c r="L14" s="13"/>
    </row>
    <row r="15" spans="2:12" x14ac:dyDescent="0.45">
      <c r="B15" s="9"/>
      <c r="C15" s="4">
        <v>15000</v>
      </c>
      <c r="D15" s="32" t="s">
        <v>25</v>
      </c>
      <c r="E15" s="114">
        <f>'Rates ORM'!F17+5000*'Rates ORM'!F18+5000*'Rates ORM'!F19</f>
        <v>106.25</v>
      </c>
      <c r="F15" s="114">
        <f>'Rates ORM'!H17+5000*'Rates ORM'!H18+5000*'Rates ORM'!H19</f>
        <v>113.14</v>
      </c>
      <c r="G15" s="119">
        <f t="shared" si="0"/>
        <v>6.8900000000000006</v>
      </c>
      <c r="H15" s="70">
        <f t="shared" si="1"/>
        <v>6.484705882352941E-2</v>
      </c>
      <c r="I15" s="34"/>
      <c r="L15" s="13"/>
    </row>
    <row r="16" spans="2:12" x14ac:dyDescent="0.45">
      <c r="B16" s="9"/>
      <c r="C16" s="4">
        <v>20000</v>
      </c>
      <c r="D16" s="32" t="s">
        <v>25</v>
      </c>
      <c r="E16" s="114">
        <f>'Rates ORM'!F17+5000*'Rates ORM'!F18+10000*'Rates ORM'!F19</f>
        <v>134.6</v>
      </c>
      <c r="F16" s="114">
        <f>'Rates ORM'!H17+5000*'Rates ORM'!H18+10000*'Rates ORM'!H19</f>
        <v>143.34</v>
      </c>
      <c r="G16" s="119">
        <f t="shared" si="0"/>
        <v>8.7400000000000091</v>
      </c>
      <c r="H16" s="70">
        <f t="shared" si="1"/>
        <v>6.4933135215453269E-2</v>
      </c>
      <c r="I16" s="34"/>
      <c r="L16" s="13"/>
    </row>
    <row r="17" spans="2:15" x14ac:dyDescent="0.45">
      <c r="B17" s="9"/>
      <c r="C17" s="4">
        <v>25000</v>
      </c>
      <c r="D17" s="33" t="s">
        <v>25</v>
      </c>
      <c r="E17" s="114">
        <f>'Rates ORM'!F17+5000*'Rates ORM'!F18+15000*'Rates ORM'!F19</f>
        <v>162.94999999999999</v>
      </c>
      <c r="F17" s="114">
        <f>'Rates ORM'!H17+5000*'Rates ORM'!H18+15000*'Rates ORM'!H19</f>
        <v>173.54000000000002</v>
      </c>
      <c r="G17" s="119">
        <f t="shared" si="0"/>
        <v>10.590000000000032</v>
      </c>
      <c r="H17" s="70">
        <f t="shared" si="1"/>
        <v>6.4989260509358895E-2</v>
      </c>
      <c r="I17" s="34"/>
      <c r="L17" s="13"/>
    </row>
    <row r="18" spans="2:15" x14ac:dyDescent="0.45">
      <c r="B18" s="9"/>
      <c r="C18" s="4">
        <v>30000</v>
      </c>
      <c r="D18" s="33" t="s">
        <v>26</v>
      </c>
      <c r="E18" s="114">
        <f>'Rates ORM'!F28+15000*'Rates ORM'!F29</f>
        <v>191.3</v>
      </c>
      <c r="F18" s="114">
        <f>'Rates ORM'!H28+15000*'Rates ORM'!H29</f>
        <v>203.74</v>
      </c>
      <c r="G18" s="119">
        <f t="shared" si="0"/>
        <v>12.439999999999998</v>
      </c>
      <c r="H18" s="70">
        <f t="shared" si="1"/>
        <v>6.5028750653423922E-2</v>
      </c>
      <c r="I18" s="34"/>
      <c r="L18" s="13"/>
      <c r="O18" s="4"/>
    </row>
    <row r="19" spans="2:15" x14ac:dyDescent="0.45">
      <c r="B19" s="9"/>
      <c r="C19" s="4">
        <v>40000</v>
      </c>
      <c r="D19" s="33" t="s">
        <v>26</v>
      </c>
      <c r="E19" s="114">
        <f>'Rates ORM'!F28+25000*'Rates ORM'!F29</f>
        <v>248</v>
      </c>
      <c r="F19" s="114">
        <f>'Rates ORM'!H28+25000*'Rates ORM'!H29</f>
        <v>264.14</v>
      </c>
      <c r="G19" s="119">
        <f t="shared" si="0"/>
        <v>16.139999999999986</v>
      </c>
      <c r="H19" s="70">
        <f t="shared" si="1"/>
        <v>6.5080645161290265E-2</v>
      </c>
      <c r="I19" s="34"/>
      <c r="L19" s="13"/>
    </row>
    <row r="20" spans="2:15" x14ac:dyDescent="0.45">
      <c r="B20" s="9"/>
      <c r="C20" s="4">
        <v>50000</v>
      </c>
      <c r="D20" s="33" t="s">
        <v>26</v>
      </c>
      <c r="E20" s="114">
        <f>'Rates ORM'!F28+35000*'Rates ORM'!F29</f>
        <v>304.7</v>
      </c>
      <c r="F20" s="114">
        <f>'Rates ORM'!H28+35000*'Rates ORM'!H29</f>
        <v>324.54000000000002</v>
      </c>
      <c r="G20" s="119">
        <f t="shared" si="0"/>
        <v>19.840000000000032</v>
      </c>
      <c r="H20" s="70">
        <f>G20/E20</f>
        <v>6.5113226124056553E-2</v>
      </c>
      <c r="I20" s="34"/>
      <c r="L20" s="13"/>
    </row>
    <row r="21" spans="2:15" x14ac:dyDescent="0.45">
      <c r="B21" s="9"/>
      <c r="C21" s="4">
        <v>75000</v>
      </c>
      <c r="D21" s="33" t="s">
        <v>205</v>
      </c>
      <c r="E21" s="114">
        <f>'Rates ORM'!F33+15000*'Rates ORM'!F34+25000*'Rates ORM'!F35</f>
        <v>429.45</v>
      </c>
      <c r="F21" s="114">
        <f>'Rates ORM'!H33+15000*'Rates ORM'!H34+25000*'Rates ORM'!H35</f>
        <v>457.29</v>
      </c>
      <c r="G21" s="119">
        <f t="shared" si="0"/>
        <v>27.840000000000032</v>
      </c>
      <c r="H21" s="70">
        <f t="shared" si="1"/>
        <v>6.4827104435906474E-2</v>
      </c>
      <c r="I21" s="34"/>
      <c r="L21" s="13"/>
    </row>
    <row r="22" spans="2:15" x14ac:dyDescent="0.45">
      <c r="B22" s="9"/>
      <c r="C22" s="4">
        <v>100000</v>
      </c>
      <c r="D22" s="33" t="s">
        <v>205</v>
      </c>
      <c r="E22" s="114">
        <f>'Rates ORM'!F33+15000*'Rates ORM'!F34+50000*'Rates ORM'!F35</f>
        <v>554.19999999999993</v>
      </c>
      <c r="F22" s="114">
        <f>'Rates ORM'!H33+15000*'Rates ORM'!H34+50000*'Rates ORM'!H35</f>
        <v>590.04</v>
      </c>
      <c r="G22" s="119">
        <f t="shared" si="0"/>
        <v>35.840000000000032</v>
      </c>
      <c r="H22" s="70">
        <f t="shared" si="1"/>
        <v>6.4669794298087405E-2</v>
      </c>
      <c r="I22" s="34"/>
      <c r="L22" s="13"/>
    </row>
    <row r="23" spans="2:15" ht="6" customHeight="1" x14ac:dyDescent="0.45">
      <c r="B23" s="11"/>
      <c r="C23" s="3"/>
      <c r="D23" s="2"/>
      <c r="E23" s="115"/>
      <c r="F23" s="111"/>
      <c r="G23" s="111"/>
      <c r="H23" s="3"/>
      <c r="I23" s="12"/>
    </row>
    <row r="25" spans="2:15" x14ac:dyDescent="0.45">
      <c r="D25" s="46" t="s">
        <v>85</v>
      </c>
    </row>
  </sheetData>
  <mergeCells count="3">
    <mergeCell ref="C2:I2"/>
    <mergeCell ref="C3:I3"/>
    <mergeCell ref="C4:I4"/>
  </mergeCells>
  <printOptions horizontalCentered="1"/>
  <pageMargins left="0.7" right="0.7" top="1.1000000000000001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9B43C-08DA-4F35-AF2D-4D6BA18A1447}">
  <sheetPr>
    <pageSetUpPr fitToPage="1"/>
  </sheetPr>
  <dimension ref="A1:N418"/>
  <sheetViews>
    <sheetView showGridLines="0" zoomScaleNormal="100" workbookViewId="0">
      <selection activeCell="G8" sqref="G8"/>
    </sheetView>
  </sheetViews>
  <sheetFormatPr defaultRowHeight="15" x14ac:dyDescent="0.4"/>
  <cols>
    <col min="1" max="1" width="7.77734375" customWidth="1"/>
    <col min="2" max="2" width="8" style="102" customWidth="1"/>
    <col min="3" max="4" width="10.5546875" customWidth="1"/>
    <col min="5" max="6" width="12.609375" customWidth="1"/>
    <col min="7" max="7" width="12.609375" style="109" customWidth="1"/>
    <col min="8" max="9" width="12.609375" customWidth="1"/>
    <col min="10" max="10" width="11.21875"/>
    <col min="11" max="12" width="8.77734375" customWidth="1"/>
  </cols>
  <sheetData>
    <row r="1" spans="1:14" ht="21" x14ac:dyDescent="0.65">
      <c r="A1" s="330" t="s">
        <v>282</v>
      </c>
      <c r="B1" s="330"/>
      <c r="C1" s="330"/>
      <c r="D1" s="330"/>
      <c r="E1" s="330"/>
      <c r="F1" s="330"/>
      <c r="G1" s="330"/>
      <c r="H1" s="330"/>
      <c r="I1" s="1"/>
      <c r="J1" s="1"/>
      <c r="K1" s="1"/>
      <c r="L1" s="1"/>
      <c r="M1" s="1"/>
      <c r="N1" s="1"/>
    </row>
    <row r="2" spans="1:14" ht="18" x14ac:dyDescent="0.45">
      <c r="A2" s="331" t="str">
        <f>SAO!A2</f>
        <v>NORTH SHELBY WATER COMPANY</v>
      </c>
      <c r="B2" s="331"/>
      <c r="C2" s="331"/>
      <c r="D2" s="331"/>
      <c r="E2" s="331"/>
      <c r="F2" s="331"/>
      <c r="G2" s="331"/>
      <c r="H2" s="331"/>
      <c r="I2" s="1"/>
      <c r="J2" s="1"/>
      <c r="K2" s="1"/>
      <c r="L2" s="1"/>
      <c r="M2" s="1"/>
      <c r="N2" s="1"/>
    </row>
    <row r="3" spans="1:14" ht="18" x14ac:dyDescent="0.45">
      <c r="A3" s="29"/>
      <c r="B3" s="99"/>
      <c r="C3" s="29"/>
      <c r="D3" s="29"/>
      <c r="E3" s="29"/>
      <c r="F3" s="29"/>
      <c r="G3" s="104"/>
      <c r="H3" s="29"/>
      <c r="I3" s="1"/>
      <c r="J3" s="1"/>
      <c r="K3" s="1"/>
      <c r="L3" s="1"/>
      <c r="M3" s="1"/>
      <c r="N3" s="1"/>
    </row>
    <row r="4" spans="1:14" ht="15.4" x14ac:dyDescent="0.45">
      <c r="A4" s="92"/>
      <c r="B4" s="100"/>
      <c r="C4" s="93"/>
      <c r="D4" s="93"/>
      <c r="E4" s="93"/>
      <c r="F4" s="93"/>
      <c r="G4" s="105"/>
      <c r="H4" s="93"/>
      <c r="I4" s="1"/>
      <c r="J4" s="1"/>
      <c r="K4" s="1"/>
      <c r="L4" s="1"/>
      <c r="M4" s="1"/>
      <c r="N4" s="1"/>
    </row>
    <row r="5" spans="1:14" ht="15.75" x14ac:dyDescent="0.45">
      <c r="A5" s="1"/>
      <c r="B5" s="332" t="s">
        <v>49</v>
      </c>
      <c r="C5" s="332"/>
      <c r="D5" s="332"/>
      <c r="E5" s="332"/>
      <c r="F5" s="332"/>
      <c r="G5" s="332"/>
      <c r="H5" s="1"/>
      <c r="I5" s="1"/>
      <c r="J5" s="1"/>
      <c r="K5" s="1"/>
      <c r="L5" s="1"/>
      <c r="M5" s="1"/>
      <c r="N5" s="1"/>
    </row>
    <row r="6" spans="1:14" s="1" customFormat="1" ht="14.25" x14ac:dyDescent="0.45">
      <c r="B6" s="4" t="s">
        <v>117</v>
      </c>
      <c r="C6" s="97"/>
      <c r="D6" s="271" t="s">
        <v>51</v>
      </c>
      <c r="E6" s="295" t="s">
        <v>52</v>
      </c>
      <c r="F6" s="88"/>
      <c r="G6" s="106" t="s">
        <v>55</v>
      </c>
    </row>
    <row r="7" spans="1:14" s="1" customFormat="1" ht="14.25" x14ac:dyDescent="0.45">
      <c r="B7" s="4" t="s">
        <v>212</v>
      </c>
      <c r="D7" s="128">
        <f>C27+C45+C61+C76+C91</f>
        <v>64254</v>
      </c>
      <c r="E7" s="4">
        <f>D32+D49+D64+D79+D94</f>
        <v>425447200</v>
      </c>
      <c r="F7" s="89"/>
      <c r="G7" s="21">
        <f>G32+G49+G64+G79+G94</f>
        <v>3442939</v>
      </c>
    </row>
    <row r="8" spans="1:14" s="1" customFormat="1" ht="16.5" x14ac:dyDescent="0.75">
      <c r="B8" s="4" t="s">
        <v>121</v>
      </c>
      <c r="C8" s="94"/>
      <c r="D8" s="103"/>
      <c r="E8" s="41"/>
      <c r="F8" s="41"/>
      <c r="G8" s="274">
        <f>[3]Sheet1!$D$25</f>
        <v>-39254.559999999998</v>
      </c>
    </row>
    <row r="9" spans="1:14" s="1" customFormat="1" ht="14.25" x14ac:dyDescent="0.45">
      <c r="B9" s="4" t="s">
        <v>122</v>
      </c>
      <c r="C9" s="94"/>
      <c r="D9" s="38"/>
      <c r="E9" s="89"/>
      <c r="F9" s="89"/>
      <c r="G9" s="21">
        <f>G7+G8</f>
        <v>3403684.44</v>
      </c>
    </row>
    <row r="10" spans="1:14" s="1" customFormat="1" ht="16.5" x14ac:dyDescent="0.75">
      <c r="B10" s="4" t="s">
        <v>123</v>
      </c>
      <c r="C10" s="94"/>
      <c r="D10" s="38"/>
      <c r="E10" s="41"/>
      <c r="F10" s="91"/>
      <c r="G10" s="274">
        <f>SAO!D6</f>
        <v>3408671</v>
      </c>
    </row>
    <row r="11" spans="1:14" s="1" customFormat="1" ht="14.25" x14ac:dyDescent="0.45">
      <c r="B11" s="4" t="s">
        <v>68</v>
      </c>
      <c r="C11" s="94"/>
      <c r="D11" s="38"/>
      <c r="E11" s="89"/>
      <c r="F11" s="89"/>
      <c r="G11" s="21">
        <f>G9-G10</f>
        <v>-4986.5600000000559</v>
      </c>
      <c r="H11" s="1" t="s">
        <v>190</v>
      </c>
    </row>
    <row r="12" spans="1:14" s="1" customFormat="1" ht="14.25" x14ac:dyDescent="0.45">
      <c r="B12" s="4" t="s">
        <v>275</v>
      </c>
      <c r="C12" s="94"/>
      <c r="D12" s="38"/>
      <c r="E12" s="70"/>
      <c r="F12" s="89"/>
      <c r="G12" s="70">
        <f>G11/G10</f>
        <v>-1.4629044574850597E-3</v>
      </c>
    </row>
    <row r="13" spans="1:14" s="1" customFormat="1" ht="14.25" x14ac:dyDescent="0.45">
      <c r="B13" s="4"/>
      <c r="C13" s="94"/>
      <c r="D13" s="38"/>
      <c r="E13" s="89"/>
      <c r="F13" s="89"/>
      <c r="G13" s="45"/>
    </row>
    <row r="14" spans="1:14" s="1" customFormat="1" ht="14.25" x14ac:dyDescent="0.45">
      <c r="A14" s="121" t="s">
        <v>211</v>
      </c>
      <c r="B14" s="4"/>
      <c r="C14" s="94"/>
      <c r="D14" s="333" t="s">
        <v>253</v>
      </c>
      <c r="E14" s="333"/>
      <c r="F14" s="89"/>
      <c r="G14" s="45"/>
    </row>
    <row r="15" spans="1:14" s="1" customFormat="1" ht="14.25" x14ac:dyDescent="0.45">
      <c r="A15" s="121"/>
      <c r="B15" s="4"/>
      <c r="C15" s="94"/>
      <c r="D15" s="288"/>
      <c r="E15" s="96" t="s">
        <v>199</v>
      </c>
      <c r="F15" s="96" t="s">
        <v>200</v>
      </c>
      <c r="G15" s="96" t="s">
        <v>200</v>
      </c>
      <c r="H15" s="96" t="s">
        <v>200</v>
      </c>
      <c r="I15" s="235" t="s">
        <v>201</v>
      </c>
    </row>
    <row r="16" spans="1:14" s="1" customFormat="1" ht="14.25" x14ac:dyDescent="0.45">
      <c r="B16" s="101" t="s">
        <v>50</v>
      </c>
      <c r="C16" s="88" t="s">
        <v>51</v>
      </c>
      <c r="D16" s="88" t="s">
        <v>52</v>
      </c>
      <c r="E16" s="263">
        <f>B17</f>
        <v>2000</v>
      </c>
      <c r="F16" s="263">
        <f>B18</f>
        <v>3000</v>
      </c>
      <c r="G16" s="263">
        <f>B19</f>
        <v>5000</v>
      </c>
      <c r="H16" s="263">
        <f>B20</f>
        <v>40000</v>
      </c>
      <c r="I16" s="264">
        <f>B21</f>
        <v>50000</v>
      </c>
      <c r="J16" s="96" t="s">
        <v>12</v>
      </c>
    </row>
    <row r="17" spans="1:10" s="1" customFormat="1" ht="14.35" customHeight="1" x14ac:dyDescent="0.45">
      <c r="A17" s="96" t="s">
        <v>199</v>
      </c>
      <c r="B17" s="4">
        <f>'Rates DSCM'!D10</f>
        <v>2000</v>
      </c>
      <c r="C17" s="20">
        <f>'[4]58 X 34 Inch'!$E$113</f>
        <v>16103</v>
      </c>
      <c r="D17" s="4">
        <f>'[4]58 X 34 Inch'!$G$113</f>
        <v>14808900</v>
      </c>
      <c r="E17" s="264">
        <f>D17</f>
        <v>14808900</v>
      </c>
      <c r="F17" s="264"/>
      <c r="G17" s="264"/>
      <c r="H17" s="264"/>
      <c r="I17" s="264"/>
      <c r="J17" s="4">
        <f>SUM(E17:I17)</f>
        <v>14808900</v>
      </c>
    </row>
    <row r="18" spans="1:10" s="1" customFormat="1" ht="14.35" customHeight="1" x14ac:dyDescent="0.45">
      <c r="A18" s="96" t="s">
        <v>200</v>
      </c>
      <c r="B18" s="4">
        <f>'Rates DSCM'!D11</f>
        <v>3000</v>
      </c>
      <c r="C18" s="20">
        <f>'[4]58 X 34 Inch'!$E$269</f>
        <v>27521</v>
      </c>
      <c r="D18" s="4">
        <f>'[4]58 X 34 Inch'!$G$269</f>
        <v>91121700</v>
      </c>
      <c r="E18" s="264">
        <f>C18*E16</f>
        <v>55042000</v>
      </c>
      <c r="F18" s="264">
        <f>D18-E18</f>
        <v>36079700</v>
      </c>
      <c r="G18" s="264"/>
      <c r="H18" s="264"/>
      <c r="I18" s="264"/>
      <c r="J18" s="4">
        <f>SUM(E18:I18)</f>
        <v>91121700</v>
      </c>
    </row>
    <row r="19" spans="1:10" s="1" customFormat="1" ht="14.35" customHeight="1" x14ac:dyDescent="0.45">
      <c r="A19" s="96" t="s">
        <v>200</v>
      </c>
      <c r="B19" s="4">
        <f>'Rates DSCM'!D12</f>
        <v>5000</v>
      </c>
      <c r="C19" s="20">
        <f>'[4]58 X 34 Inch'!$E$468</f>
        <v>13676</v>
      </c>
      <c r="D19" s="4">
        <f>'[4]58 X 34 Inch'!$G$468</f>
        <v>92199800</v>
      </c>
      <c r="E19" s="264">
        <f>C19*E16</f>
        <v>27352000</v>
      </c>
      <c r="F19" s="264">
        <f>C19*F16</f>
        <v>41028000</v>
      </c>
      <c r="G19" s="264">
        <f>D19-E19-F19</f>
        <v>23819800</v>
      </c>
      <c r="H19" s="264"/>
      <c r="I19" s="264"/>
      <c r="J19" s="4">
        <f>SUM(E19:I19)</f>
        <v>92199800</v>
      </c>
    </row>
    <row r="20" spans="1:10" s="1" customFormat="1" ht="14.35" customHeight="1" x14ac:dyDescent="0.45">
      <c r="A20" s="96" t="s">
        <v>200</v>
      </c>
      <c r="B20" s="4">
        <f>'Rates DSCM'!D13</f>
        <v>40000</v>
      </c>
      <c r="C20" s="20">
        <f>'[4]58 X 34 Inch'!$E$1097</f>
        <v>5394</v>
      </c>
      <c r="D20" s="4">
        <f>'[4]58 X 34 Inch'!$G$1097</f>
        <v>96275500</v>
      </c>
      <c r="E20" s="264">
        <f>C20*E16</f>
        <v>10788000</v>
      </c>
      <c r="F20" s="264">
        <f>C20*F16</f>
        <v>16182000</v>
      </c>
      <c r="G20" s="264">
        <f>C20*G16</f>
        <v>26970000</v>
      </c>
      <c r="H20" s="264">
        <f>D20-E20-F20-G20</f>
        <v>42335500</v>
      </c>
      <c r="I20" s="264"/>
      <c r="J20" s="4">
        <f>SUM(E20:I20)</f>
        <v>96275500</v>
      </c>
    </row>
    <row r="21" spans="1:10" s="1" customFormat="1" ht="14.35" customHeight="1" x14ac:dyDescent="0.75">
      <c r="A21" s="235" t="s">
        <v>201</v>
      </c>
      <c r="B21" s="4">
        <f>'Rates DSCM'!D14</f>
        <v>50000</v>
      </c>
      <c r="C21" s="90">
        <f>'[4]58 X 34 Inch'!$E$1345</f>
        <v>296</v>
      </c>
      <c r="D21" s="41">
        <f>'[4]58 X 34 Inch'!$G$1345</f>
        <v>29435700</v>
      </c>
      <c r="E21" s="41">
        <f>C21*E16</f>
        <v>592000</v>
      </c>
      <c r="F21" s="41">
        <f>C21*F16</f>
        <v>888000</v>
      </c>
      <c r="G21" s="41">
        <f>C21*G16</f>
        <v>1480000</v>
      </c>
      <c r="H21" s="41">
        <f>C21*H16</f>
        <v>11840000</v>
      </c>
      <c r="I21" s="41">
        <f>D21-E21-F21-G21-H21</f>
        <v>14635700</v>
      </c>
      <c r="J21" s="41">
        <f>SUM(E21:I21)</f>
        <v>29435700</v>
      </c>
    </row>
    <row r="22" spans="1:10" s="1" customFormat="1" ht="14.35" customHeight="1" x14ac:dyDescent="0.45">
      <c r="A22" s="96"/>
      <c r="B22" s="4"/>
      <c r="C22" s="20">
        <f t="shared" ref="C22:J22" si="0">SUM(C17:C21)</f>
        <v>62990</v>
      </c>
      <c r="D22" s="4">
        <f t="shared" si="0"/>
        <v>323841600</v>
      </c>
      <c r="E22" s="4">
        <f t="shared" si="0"/>
        <v>108582900</v>
      </c>
      <c r="F22" s="4">
        <f t="shared" si="0"/>
        <v>94177700</v>
      </c>
      <c r="G22" s="4">
        <f t="shared" si="0"/>
        <v>52269800</v>
      </c>
      <c r="H22" s="4">
        <f t="shared" si="0"/>
        <v>54175500</v>
      </c>
      <c r="I22" s="4">
        <f t="shared" si="0"/>
        <v>14635700</v>
      </c>
      <c r="J22" s="4">
        <f t="shared" si="0"/>
        <v>323841600</v>
      </c>
    </row>
    <row r="23" spans="1:10" s="1" customFormat="1" ht="14.35" customHeight="1" x14ac:dyDescent="0.45">
      <c r="B23" s="4"/>
      <c r="C23" s="94"/>
      <c r="D23" s="38"/>
      <c r="E23" s="89"/>
      <c r="F23" s="89"/>
      <c r="G23" s="45"/>
    </row>
    <row r="24" spans="1:10" s="1" customFormat="1" ht="14.35" customHeight="1" x14ac:dyDescent="0.45">
      <c r="A24" s="121" t="s">
        <v>210</v>
      </c>
      <c r="D24" s="333" t="s">
        <v>253</v>
      </c>
      <c r="E24" s="333"/>
      <c r="F24" s="121"/>
      <c r="G24" s="121"/>
      <c r="I24" s="4"/>
      <c r="J24" s="95"/>
    </row>
    <row r="25" spans="1:10" s="1" customFormat="1" ht="14.35" customHeight="1" x14ac:dyDescent="0.45">
      <c r="A25" s="121"/>
      <c r="D25" s="288"/>
      <c r="E25" s="288"/>
      <c r="F25" s="121"/>
      <c r="G25" s="121"/>
      <c r="I25" s="4"/>
      <c r="J25" s="95"/>
    </row>
    <row r="26" spans="1:10" s="1" customFormat="1" ht="14.35" customHeight="1" x14ac:dyDescent="0.45">
      <c r="B26" s="101" t="s">
        <v>50</v>
      </c>
      <c r="C26" s="88" t="s">
        <v>51</v>
      </c>
      <c r="D26" s="88" t="s">
        <v>52</v>
      </c>
      <c r="E26" s="329" t="s">
        <v>54</v>
      </c>
      <c r="F26" s="329"/>
      <c r="G26" s="106" t="s">
        <v>55</v>
      </c>
      <c r="H26" s="18"/>
    </row>
    <row r="27" spans="1:10" s="1" customFormat="1" ht="14.35" customHeight="1" x14ac:dyDescent="0.45">
      <c r="A27" s="96" t="s">
        <v>199</v>
      </c>
      <c r="B27" s="4">
        <f>'Rates DSCM'!D10</f>
        <v>2000</v>
      </c>
      <c r="C27" s="20">
        <f>C22</f>
        <v>62990</v>
      </c>
      <c r="D27" s="20">
        <f>E22</f>
        <v>108582900</v>
      </c>
      <c r="E27" s="236">
        <f>'Rates DSCM'!F10</f>
        <v>22.88</v>
      </c>
      <c r="F27" s="47" t="s">
        <v>113</v>
      </c>
      <c r="G27" s="107">
        <f>ROUND(C27*E27,0)</f>
        <v>1441211</v>
      </c>
      <c r="H27" s="20"/>
    </row>
    <row r="28" spans="1:10" s="1" customFormat="1" ht="14.35" customHeight="1" x14ac:dyDescent="0.45">
      <c r="A28" s="96" t="s">
        <v>200</v>
      </c>
      <c r="B28" s="4">
        <f>'Rates DSCM'!D11</f>
        <v>3000</v>
      </c>
      <c r="C28" s="20"/>
      <c r="D28" s="20">
        <f>F22</f>
        <v>94177700</v>
      </c>
      <c r="E28" s="237">
        <f>'Rates DSCM'!F11</f>
        <v>7.7400000000000004E-3</v>
      </c>
      <c r="F28" s="47" t="s">
        <v>197</v>
      </c>
      <c r="G28" s="107">
        <f>ROUND(D28*E28,0)</f>
        <v>728935</v>
      </c>
      <c r="H28" s="20"/>
    </row>
    <row r="29" spans="1:10" s="1" customFormat="1" ht="14.35" customHeight="1" x14ac:dyDescent="0.45">
      <c r="A29" s="96" t="s">
        <v>200</v>
      </c>
      <c r="B29" s="4">
        <f>'Rates DSCM'!D12</f>
        <v>5000</v>
      </c>
      <c r="C29" s="20"/>
      <c r="D29" s="20">
        <f>G22</f>
        <v>52269800</v>
      </c>
      <c r="E29" s="237">
        <f>'Rates DSCM'!F12</f>
        <v>6.3600000000000002E-3</v>
      </c>
      <c r="F29" s="47" t="s">
        <v>197</v>
      </c>
      <c r="G29" s="107">
        <f t="shared" ref="G29:G31" si="1">ROUND(D29*E29,0)</f>
        <v>332436</v>
      </c>
      <c r="H29" s="20"/>
    </row>
    <row r="30" spans="1:10" s="1" customFormat="1" ht="14.35" customHeight="1" x14ac:dyDescent="0.45">
      <c r="A30" s="96" t="s">
        <v>200</v>
      </c>
      <c r="B30" s="4">
        <f>'Rates DSCM'!D13</f>
        <v>40000</v>
      </c>
      <c r="C30" s="20"/>
      <c r="D30" s="20">
        <f>H22</f>
        <v>54175500</v>
      </c>
      <c r="E30" s="237">
        <f>'Rates DSCM'!F13</f>
        <v>5.6699999999999997E-3</v>
      </c>
      <c r="F30" s="47" t="s">
        <v>197</v>
      </c>
      <c r="G30" s="107">
        <f t="shared" si="1"/>
        <v>307175</v>
      </c>
      <c r="H30" s="20"/>
    </row>
    <row r="31" spans="1:10" s="1" customFormat="1" ht="14.35" customHeight="1" x14ac:dyDescent="0.75">
      <c r="A31" s="235" t="s">
        <v>201</v>
      </c>
      <c r="B31" s="4">
        <f>'Rates DSCM'!D14</f>
        <v>50000</v>
      </c>
      <c r="C31" s="90"/>
      <c r="D31" s="90">
        <f>I22</f>
        <v>14635700</v>
      </c>
      <c r="E31" s="237">
        <f>'Rates DSCM'!F14</f>
        <v>4.9899999999999996E-3</v>
      </c>
      <c r="F31" s="47" t="s">
        <v>197</v>
      </c>
      <c r="G31" s="108">
        <f t="shared" si="1"/>
        <v>73032</v>
      </c>
      <c r="H31" s="90"/>
    </row>
    <row r="32" spans="1:10" s="1" customFormat="1" ht="14.35" customHeight="1" x14ac:dyDescent="0.45">
      <c r="A32" s="96"/>
      <c r="B32" s="4"/>
      <c r="C32" s="20"/>
      <c r="D32" s="259">
        <f>SUM(D27:D31)</f>
        <v>323841600</v>
      </c>
      <c r="E32" s="20"/>
      <c r="F32" s="20"/>
      <c r="G32" s="107">
        <f>SUM(G27:G31)</f>
        <v>2882789</v>
      </c>
      <c r="H32" s="20"/>
    </row>
    <row r="33" spans="1:9" s="1" customFormat="1" ht="14.35" customHeight="1" x14ac:dyDescent="0.45">
      <c r="A33" s="96"/>
      <c r="B33" s="4"/>
      <c r="C33" s="20"/>
      <c r="D33" s="4"/>
      <c r="E33" s="20"/>
      <c r="F33" s="20"/>
      <c r="G33" s="107"/>
    </row>
    <row r="34" spans="1:9" s="1" customFormat="1" ht="14.35" customHeight="1" x14ac:dyDescent="0.45">
      <c r="A34" s="121" t="s">
        <v>211</v>
      </c>
      <c r="B34" s="4"/>
      <c r="C34" s="94"/>
      <c r="D34" s="333" t="s">
        <v>118</v>
      </c>
      <c r="E34" s="333"/>
      <c r="F34" s="89"/>
      <c r="G34" s="45"/>
    </row>
    <row r="35" spans="1:9" s="1" customFormat="1" ht="14.35" customHeight="1" x14ac:dyDescent="0.45">
      <c r="A35" s="121"/>
      <c r="B35" s="4"/>
      <c r="C35" s="94"/>
      <c r="D35" s="288"/>
      <c r="E35" s="96" t="s">
        <v>199</v>
      </c>
      <c r="F35" s="96" t="s">
        <v>200</v>
      </c>
      <c r="G35" s="96" t="s">
        <v>200</v>
      </c>
      <c r="H35" s="96" t="s">
        <v>201</v>
      </c>
    </row>
    <row r="36" spans="1:9" s="1" customFormat="1" ht="14.35" customHeight="1" x14ac:dyDescent="0.45">
      <c r="B36" s="101" t="s">
        <v>50</v>
      </c>
      <c r="C36" s="88" t="s">
        <v>51</v>
      </c>
      <c r="D36" s="88" t="s">
        <v>52</v>
      </c>
      <c r="E36" s="263">
        <f>B37</f>
        <v>5000</v>
      </c>
      <c r="F36" s="263">
        <f>B38</f>
        <v>5000</v>
      </c>
      <c r="G36" s="263">
        <f>B39</f>
        <v>40000</v>
      </c>
      <c r="H36" s="263">
        <f>B40</f>
        <v>50000</v>
      </c>
      <c r="I36" s="96" t="s">
        <v>12</v>
      </c>
    </row>
    <row r="37" spans="1:9" s="1" customFormat="1" ht="14.35" customHeight="1" x14ac:dyDescent="0.45">
      <c r="A37" s="96" t="s">
        <v>199</v>
      </c>
      <c r="B37" s="4">
        <f>'Rates DSCM'!D17</f>
        <v>5000</v>
      </c>
      <c r="C37" s="20">
        <f>'[4]1 Inch'!$E$92</f>
        <v>506</v>
      </c>
      <c r="D37" s="4">
        <f>'[4]1 Inch'!$G$92</f>
        <v>937500</v>
      </c>
      <c r="E37" s="264">
        <f>D37</f>
        <v>937500</v>
      </c>
      <c r="F37" s="264"/>
      <c r="G37" s="264"/>
      <c r="H37" s="264"/>
      <c r="I37" s="89">
        <f t="shared" ref="I37:I39" si="2">SUM(E37:H37)</f>
        <v>937500</v>
      </c>
    </row>
    <row r="38" spans="1:9" s="1" customFormat="1" ht="14.35" customHeight="1" x14ac:dyDescent="0.45">
      <c r="A38" s="96" t="s">
        <v>200</v>
      </c>
      <c r="B38" s="4">
        <f>'Rates DSCM'!D18</f>
        <v>5000</v>
      </c>
      <c r="C38" s="20">
        <f>'[4]1 Inch'!$E$152</f>
        <v>238</v>
      </c>
      <c r="D38" s="4">
        <f>'[4]1 Inch'!$G$152</f>
        <v>1663000</v>
      </c>
      <c r="E38" s="264">
        <f>C38*E36</f>
        <v>1190000</v>
      </c>
      <c r="F38" s="264">
        <f>D38-E38</f>
        <v>473000</v>
      </c>
      <c r="G38" s="264"/>
      <c r="H38" s="264"/>
      <c r="I38" s="89">
        <f t="shared" si="2"/>
        <v>1663000</v>
      </c>
    </row>
    <row r="39" spans="1:9" s="1" customFormat="1" ht="14.35" customHeight="1" x14ac:dyDescent="0.45">
      <c r="A39" s="96" t="s">
        <v>200</v>
      </c>
      <c r="B39" s="4">
        <f>'Rates DSCM'!D19</f>
        <v>40000</v>
      </c>
      <c r="C39" s="20">
        <f>'[4]1 Inch'!$E$270</f>
        <v>161</v>
      </c>
      <c r="D39" s="4">
        <f>'[4]1 Inch'!$G$270</f>
        <v>3089200</v>
      </c>
      <c r="E39" s="264">
        <f>C39*E36</f>
        <v>805000</v>
      </c>
      <c r="F39" s="264">
        <f>C39*F36</f>
        <v>805000</v>
      </c>
      <c r="G39" s="264">
        <f>D39-E39-F39</f>
        <v>1479200</v>
      </c>
      <c r="H39" s="264"/>
      <c r="I39" s="89">
        <f t="shared" si="2"/>
        <v>3089200</v>
      </c>
    </row>
    <row r="40" spans="1:9" s="1" customFormat="1" ht="14.35" customHeight="1" x14ac:dyDescent="0.75">
      <c r="A40" s="96" t="s">
        <v>201</v>
      </c>
      <c r="B40" s="4">
        <f>'Rates DSCM'!D20</f>
        <v>50000</v>
      </c>
      <c r="C40" s="90">
        <f>'[4]1 Inch'!$E$292</f>
        <v>23</v>
      </c>
      <c r="D40" s="41">
        <f>'[4]1 Inch'!$G$292</f>
        <v>2198000</v>
      </c>
      <c r="E40" s="265">
        <f>C40*E36</f>
        <v>115000</v>
      </c>
      <c r="F40" s="265">
        <f>C40*F36</f>
        <v>115000</v>
      </c>
      <c r="G40" s="265">
        <f>C40*G36</f>
        <v>920000</v>
      </c>
      <c r="H40" s="265">
        <f>D40-E40-F40-G40</f>
        <v>1048000</v>
      </c>
      <c r="I40" s="91">
        <f>SUM(E40:H40)</f>
        <v>2198000</v>
      </c>
    </row>
    <row r="41" spans="1:9" s="1" customFormat="1" ht="14.35" customHeight="1" x14ac:dyDescent="0.45">
      <c r="A41" s="96"/>
      <c r="B41" s="4"/>
      <c r="C41" s="20">
        <f t="shared" ref="C41:I41" si="3">SUM(C37:C40)</f>
        <v>928</v>
      </c>
      <c r="D41" s="4">
        <f t="shared" si="3"/>
        <v>7887700</v>
      </c>
      <c r="E41" s="4">
        <f t="shared" si="3"/>
        <v>3047500</v>
      </c>
      <c r="F41" s="4">
        <f t="shared" si="3"/>
        <v>1393000</v>
      </c>
      <c r="G41" s="4">
        <f t="shared" si="3"/>
        <v>2399200</v>
      </c>
      <c r="H41" s="4">
        <f t="shared" si="3"/>
        <v>1048000</v>
      </c>
      <c r="I41" s="4">
        <f t="shared" si="3"/>
        <v>7887700</v>
      </c>
    </row>
    <row r="42" spans="1:9" s="1" customFormat="1" ht="14.35" customHeight="1" x14ac:dyDescent="0.45">
      <c r="A42" s="96"/>
      <c r="B42" s="4"/>
      <c r="C42" s="20"/>
      <c r="D42" s="4"/>
      <c r="E42" s="4"/>
      <c r="F42" s="4"/>
      <c r="G42" s="4"/>
      <c r="H42" s="4"/>
      <c r="I42" s="4"/>
    </row>
    <row r="43" spans="1:9" s="1" customFormat="1" ht="14.35" customHeight="1" x14ac:dyDescent="0.45">
      <c r="A43" s="121" t="s">
        <v>210</v>
      </c>
      <c r="C43" s="121"/>
      <c r="D43" s="333" t="s">
        <v>118</v>
      </c>
      <c r="E43" s="333"/>
      <c r="F43" s="121"/>
      <c r="G43" s="121"/>
    </row>
    <row r="44" spans="1:9" s="1" customFormat="1" ht="14.35" customHeight="1" x14ac:dyDescent="0.45">
      <c r="B44" s="101" t="s">
        <v>50</v>
      </c>
      <c r="C44" s="88" t="s">
        <v>51</v>
      </c>
      <c r="D44" s="88" t="s">
        <v>52</v>
      </c>
      <c r="E44" s="329" t="s">
        <v>54</v>
      </c>
      <c r="F44" s="329"/>
      <c r="G44" s="106" t="s">
        <v>55</v>
      </c>
    </row>
    <row r="45" spans="1:9" s="1" customFormat="1" ht="14.35" customHeight="1" x14ac:dyDescent="0.45">
      <c r="A45" s="96" t="s">
        <v>199</v>
      </c>
      <c r="B45" s="4">
        <f>'Rates DSCM'!D17</f>
        <v>5000</v>
      </c>
      <c r="C45" s="89">
        <f>C41</f>
        <v>928</v>
      </c>
      <c r="D45" s="89">
        <f>E41</f>
        <v>3047500</v>
      </c>
      <c r="E45" s="236">
        <f>'Rates DSCM'!F17</f>
        <v>46.1</v>
      </c>
      <c r="F45" s="47" t="s">
        <v>113</v>
      </c>
      <c r="G45" s="107">
        <f>ROUND(C45*E45,0)</f>
        <v>42781</v>
      </c>
    </row>
    <row r="46" spans="1:9" s="1" customFormat="1" ht="14.35" customHeight="1" x14ac:dyDescent="0.45">
      <c r="A46" s="96" t="s">
        <v>200</v>
      </c>
      <c r="B46" s="4">
        <f>'Rates DSCM'!D18</f>
        <v>5000</v>
      </c>
      <c r="D46" s="89">
        <f>F41</f>
        <v>1393000</v>
      </c>
      <c r="E46" s="237">
        <f>'Rates DSCM'!F18</f>
        <v>6.3600000000000002E-3</v>
      </c>
      <c r="F46" s="47" t="s">
        <v>197</v>
      </c>
      <c r="G46" s="107">
        <f t="shared" ref="G46:G48" si="4">ROUND(D46*E46,0)</f>
        <v>8859</v>
      </c>
    </row>
    <row r="47" spans="1:9" s="1" customFormat="1" ht="14.35" customHeight="1" x14ac:dyDescent="0.45">
      <c r="A47" s="96" t="s">
        <v>200</v>
      </c>
      <c r="B47" s="4">
        <f>'Rates DSCM'!D19</f>
        <v>40000</v>
      </c>
      <c r="D47" s="89">
        <f>G41</f>
        <v>2399200</v>
      </c>
      <c r="E47" s="237">
        <f>'Rates DSCM'!F19</f>
        <v>5.6699999999999997E-3</v>
      </c>
      <c r="F47" s="47" t="s">
        <v>197</v>
      </c>
      <c r="G47" s="107">
        <f t="shared" si="4"/>
        <v>13603</v>
      </c>
    </row>
    <row r="48" spans="1:9" s="1" customFormat="1" ht="14.35" customHeight="1" x14ac:dyDescent="0.75">
      <c r="A48" s="235" t="s">
        <v>201</v>
      </c>
      <c r="B48" s="4">
        <f>'Rates DSCM'!D20</f>
        <v>50000</v>
      </c>
      <c r="C48" s="82"/>
      <c r="D48" s="266">
        <f>H41</f>
        <v>1048000</v>
      </c>
      <c r="E48" s="237">
        <f>'Rates DSCM'!F20</f>
        <v>4.9899999999999996E-3</v>
      </c>
      <c r="F48" s="47" t="s">
        <v>197</v>
      </c>
      <c r="G48" s="108">
        <f t="shared" si="4"/>
        <v>5230</v>
      </c>
    </row>
    <row r="49" spans="1:8" s="1" customFormat="1" ht="14.35" customHeight="1" x14ac:dyDescent="0.45">
      <c r="B49" s="4"/>
      <c r="C49" s="15"/>
      <c r="D49" s="4">
        <f>SUM(D45:D48)</f>
        <v>7887700</v>
      </c>
      <c r="G49" s="107">
        <f>SUM(G45:G48)</f>
        <v>70473</v>
      </c>
    </row>
    <row r="50" spans="1:8" s="1" customFormat="1" ht="14.35" customHeight="1" x14ac:dyDescent="0.45">
      <c r="B50" s="4"/>
      <c r="C50" s="15"/>
      <c r="D50" s="4"/>
      <c r="G50" s="107"/>
    </row>
    <row r="51" spans="1:8" s="1" customFormat="1" ht="14.35" customHeight="1" x14ac:dyDescent="0.45">
      <c r="A51" s="121" t="s">
        <v>211</v>
      </c>
      <c r="B51" s="4"/>
      <c r="C51" s="94"/>
      <c r="D51" s="333" t="s">
        <v>119</v>
      </c>
      <c r="E51" s="333"/>
      <c r="F51" s="89"/>
      <c r="G51" s="45"/>
    </row>
    <row r="52" spans="1:8" s="1" customFormat="1" ht="14.35" customHeight="1" x14ac:dyDescent="0.45">
      <c r="A52" s="121"/>
      <c r="B52" s="4"/>
      <c r="C52" s="94"/>
      <c r="D52" s="288"/>
      <c r="E52" s="96" t="s">
        <v>199</v>
      </c>
      <c r="F52" s="96" t="s">
        <v>200</v>
      </c>
      <c r="G52" s="96" t="s">
        <v>201</v>
      </c>
      <c r="H52" s="96"/>
    </row>
    <row r="53" spans="1:8" s="1" customFormat="1" ht="14.35" customHeight="1" x14ac:dyDescent="0.45">
      <c r="B53" s="101" t="s">
        <v>50</v>
      </c>
      <c r="C53" s="88" t="s">
        <v>51</v>
      </c>
      <c r="D53" s="88" t="s">
        <v>52</v>
      </c>
      <c r="E53" s="263">
        <f>B54</f>
        <v>10000</v>
      </c>
      <c r="F53" s="263">
        <f>B55</f>
        <v>40000</v>
      </c>
      <c r="G53" s="263">
        <f>B56</f>
        <v>50000</v>
      </c>
      <c r="H53" s="263" t="s">
        <v>12</v>
      </c>
    </row>
    <row r="54" spans="1:8" s="1" customFormat="1" ht="14.35" customHeight="1" x14ac:dyDescent="0.45">
      <c r="A54" s="96" t="s">
        <v>199</v>
      </c>
      <c r="B54" s="4">
        <f>'Rates DSCM'!D23</f>
        <v>10000</v>
      </c>
      <c r="C54" s="20">
        <f>'[4]1 12 Inch'!$E$37</f>
        <v>58</v>
      </c>
      <c r="D54" s="4">
        <f>'[4]1 12 Inch'!$G$37</f>
        <v>117000</v>
      </c>
      <c r="E54" s="264">
        <f>D54</f>
        <v>117000</v>
      </c>
      <c r="F54" s="264"/>
      <c r="G54" s="264"/>
      <c r="H54" s="264">
        <f>SUM(E54:G54)</f>
        <v>117000</v>
      </c>
    </row>
    <row r="55" spans="1:8" s="1" customFormat="1" ht="14.35" customHeight="1" x14ac:dyDescent="0.45">
      <c r="A55" s="96" t="s">
        <v>200</v>
      </c>
      <c r="B55" s="4">
        <f>'Rates DSCM'!D24</f>
        <v>40000</v>
      </c>
      <c r="C55" s="20">
        <f>'[4]1 12 Inch'!$E$52</f>
        <v>14</v>
      </c>
      <c r="D55" s="4">
        <f>'[4]1 12 Inch'!$G$52</f>
        <v>328400</v>
      </c>
      <c r="E55" s="264">
        <f>C55*E53</f>
        <v>140000</v>
      </c>
      <c r="F55" s="264">
        <f>D55-E55</f>
        <v>188400</v>
      </c>
      <c r="G55" s="264"/>
      <c r="H55" s="264">
        <f t="shared" ref="H55:H56" si="5">SUM(E55:G55)</f>
        <v>328400</v>
      </c>
    </row>
    <row r="56" spans="1:8" s="1" customFormat="1" ht="14.35" customHeight="1" x14ac:dyDescent="0.75">
      <c r="A56" s="96" t="s">
        <v>201</v>
      </c>
      <c r="B56" s="4">
        <f>'Rates DSCM'!D25</f>
        <v>50000</v>
      </c>
      <c r="C56" s="90">
        <f>'[4]1 12 Inch'!$E$94</f>
        <v>41</v>
      </c>
      <c r="D56" s="41">
        <f>'[4]1 12 Inch'!$G$94</f>
        <v>7297800</v>
      </c>
      <c r="E56" s="265">
        <f>C56*E53</f>
        <v>410000</v>
      </c>
      <c r="F56" s="265">
        <f>C56*F53</f>
        <v>1640000</v>
      </c>
      <c r="G56" s="265">
        <f>D56-E56-F56</f>
        <v>5247800</v>
      </c>
      <c r="H56" s="265">
        <f t="shared" si="5"/>
        <v>7297800</v>
      </c>
    </row>
    <row r="57" spans="1:8" s="1" customFormat="1" ht="14.35" customHeight="1" x14ac:dyDescent="0.45">
      <c r="A57" s="96"/>
      <c r="B57" s="4"/>
      <c r="C57" s="20">
        <f t="shared" ref="C57:H57" si="6">SUM(C54:C56)</f>
        <v>113</v>
      </c>
      <c r="D57" s="20">
        <f t="shared" si="6"/>
        <v>7743200</v>
      </c>
      <c r="E57" s="4">
        <f t="shared" si="6"/>
        <v>667000</v>
      </c>
      <c r="F57" s="4">
        <f t="shared" si="6"/>
        <v>1828400</v>
      </c>
      <c r="G57" s="4">
        <f t="shared" si="6"/>
        <v>5247800</v>
      </c>
      <c r="H57" s="4">
        <f t="shared" si="6"/>
        <v>7743200</v>
      </c>
    </row>
    <row r="58" spans="1:8" s="1" customFormat="1" ht="14.35" customHeight="1" x14ac:dyDescent="0.45">
      <c r="B58" s="4"/>
      <c r="G58" s="45"/>
    </row>
    <row r="59" spans="1:8" s="1" customFormat="1" ht="14.35" customHeight="1" x14ac:dyDescent="0.45">
      <c r="A59" s="121" t="s">
        <v>210</v>
      </c>
      <c r="B59" s="4"/>
      <c r="C59" s="94"/>
      <c r="D59" s="333" t="s">
        <v>119</v>
      </c>
      <c r="E59" s="333"/>
      <c r="F59" s="121"/>
      <c r="G59" s="121"/>
    </row>
    <row r="60" spans="1:8" s="1" customFormat="1" ht="14.35" customHeight="1" x14ac:dyDescent="0.45">
      <c r="B60" s="101" t="s">
        <v>50</v>
      </c>
      <c r="C60" s="88" t="s">
        <v>51</v>
      </c>
      <c r="D60" s="88" t="s">
        <v>52</v>
      </c>
      <c r="E60" s="329" t="s">
        <v>54</v>
      </c>
      <c r="F60" s="329"/>
      <c r="G60" s="106" t="s">
        <v>55</v>
      </c>
    </row>
    <row r="61" spans="1:8" s="1" customFormat="1" ht="14.35" customHeight="1" x14ac:dyDescent="0.45">
      <c r="A61" s="96" t="s">
        <v>199</v>
      </c>
      <c r="B61" s="4">
        <f>'Rates DSCM'!D23</f>
        <v>10000</v>
      </c>
      <c r="C61" s="89">
        <f>C57</f>
        <v>113</v>
      </c>
      <c r="D61" s="89">
        <f>E57</f>
        <v>667000</v>
      </c>
      <c r="E61" s="81">
        <f>'Rates DSCM'!F23</f>
        <v>77.900000000000006</v>
      </c>
      <c r="F61" s="47" t="s">
        <v>113</v>
      </c>
      <c r="G61" s="107">
        <f>ROUND(C61*E61,0)</f>
        <v>8803</v>
      </c>
    </row>
    <row r="62" spans="1:8" s="1" customFormat="1" ht="14.35" customHeight="1" x14ac:dyDescent="0.45">
      <c r="A62" s="96" t="s">
        <v>200</v>
      </c>
      <c r="B62" s="4">
        <f>'Rates DSCM'!D24</f>
        <v>40000</v>
      </c>
      <c r="D62" s="89">
        <f>F57</f>
        <v>1828400</v>
      </c>
      <c r="E62" s="257">
        <f>'Rates DSCM'!F24</f>
        <v>5.6699999999999997E-3</v>
      </c>
      <c r="F62" s="47" t="s">
        <v>197</v>
      </c>
      <c r="G62" s="107">
        <f t="shared" ref="G62:G63" si="7">ROUND(D62*E62,0)</f>
        <v>10367</v>
      </c>
    </row>
    <row r="63" spans="1:8" s="1" customFormat="1" ht="14.35" customHeight="1" x14ac:dyDescent="0.75">
      <c r="A63" s="235" t="s">
        <v>201</v>
      </c>
      <c r="B63" s="4">
        <f>'Rates DSCM'!D25</f>
        <v>50000</v>
      </c>
      <c r="C63" s="82"/>
      <c r="D63" s="266">
        <f>G57</f>
        <v>5247800</v>
      </c>
      <c r="E63" s="257">
        <f>'Rates DSCM'!F25</f>
        <v>4.9899999999999996E-3</v>
      </c>
      <c r="F63" s="47" t="s">
        <v>197</v>
      </c>
      <c r="G63" s="108">
        <f t="shared" si="7"/>
        <v>26187</v>
      </c>
    </row>
    <row r="64" spans="1:8" s="1" customFormat="1" ht="14.35" customHeight="1" x14ac:dyDescent="0.45">
      <c r="B64" s="4"/>
      <c r="C64" s="210"/>
      <c r="D64" s="4">
        <f>SUM(D61:D63)</f>
        <v>7743200</v>
      </c>
      <c r="G64" s="210">
        <f>SUM(G61:G63)</f>
        <v>45357</v>
      </c>
    </row>
    <row r="65" spans="1:8" s="1" customFormat="1" ht="14.35" customHeight="1" x14ac:dyDescent="0.45">
      <c r="B65" s="4"/>
      <c r="C65" s="210"/>
      <c r="D65" s="4"/>
      <c r="G65" s="210"/>
    </row>
    <row r="66" spans="1:8" s="1" customFormat="1" ht="14.35" customHeight="1" x14ac:dyDescent="0.45">
      <c r="A66" s="121" t="s">
        <v>211</v>
      </c>
      <c r="B66" s="4"/>
      <c r="C66" s="94"/>
      <c r="D66" s="333" t="s">
        <v>120</v>
      </c>
      <c r="E66" s="333"/>
      <c r="F66" s="89"/>
      <c r="G66" s="45"/>
    </row>
    <row r="67" spans="1:8" s="1" customFormat="1" ht="14.35" customHeight="1" x14ac:dyDescent="0.45">
      <c r="A67" s="121"/>
      <c r="B67" s="4"/>
      <c r="C67" s="94"/>
      <c r="D67" s="288"/>
      <c r="E67" s="96" t="s">
        <v>199</v>
      </c>
      <c r="F67" s="96" t="s">
        <v>200</v>
      </c>
      <c r="G67" s="96" t="s">
        <v>201</v>
      </c>
      <c r="H67" s="96"/>
    </row>
    <row r="68" spans="1:8" s="1" customFormat="1" ht="14.35" customHeight="1" x14ac:dyDescent="0.45">
      <c r="B68" s="101" t="s">
        <v>50</v>
      </c>
      <c r="C68" s="88" t="s">
        <v>51</v>
      </c>
      <c r="D68" s="88" t="s">
        <v>52</v>
      </c>
      <c r="E68" s="263">
        <f>B69</f>
        <v>15000</v>
      </c>
      <c r="F68" s="263">
        <f>B70</f>
        <v>35000</v>
      </c>
      <c r="G68" s="263">
        <f>B71</f>
        <v>50000</v>
      </c>
      <c r="H68" s="263" t="s">
        <v>12</v>
      </c>
    </row>
    <row r="69" spans="1:8" s="1" customFormat="1" ht="14.35" customHeight="1" x14ac:dyDescent="0.45">
      <c r="A69" s="96" t="s">
        <v>199</v>
      </c>
      <c r="B69" s="4">
        <f>'Rates DSCM'!D28</f>
        <v>15000</v>
      </c>
      <c r="C69" s="20">
        <f>'[4]2 Inch'!$E$39</f>
        <v>51</v>
      </c>
      <c r="D69" s="4">
        <f>'[4]2 Inch'!$G$39</f>
        <v>328700</v>
      </c>
      <c r="E69" s="264">
        <f>D69</f>
        <v>328700</v>
      </c>
      <c r="F69" s="264"/>
      <c r="G69" s="264"/>
      <c r="H69" s="264">
        <f>SUM(E69:G69)</f>
        <v>328700</v>
      </c>
    </row>
    <row r="70" spans="1:8" s="1" customFormat="1" ht="14.35" customHeight="1" x14ac:dyDescent="0.45">
      <c r="A70" s="96" t="s">
        <v>200</v>
      </c>
      <c r="B70" s="4">
        <f>'Rates DSCM'!D29</f>
        <v>35000</v>
      </c>
      <c r="C70" s="20">
        <f>'[4]2 Inch'!$E$77</f>
        <v>38</v>
      </c>
      <c r="D70" s="4">
        <f>'[4]2 Inch'!$G$77</f>
        <v>1081900</v>
      </c>
      <c r="E70" s="264">
        <f>C70*E68</f>
        <v>570000</v>
      </c>
      <c r="F70" s="264">
        <f>D70-E70</f>
        <v>511900</v>
      </c>
      <c r="G70" s="264"/>
      <c r="H70" s="264">
        <f t="shared" ref="H70:H71" si="8">SUM(E70:G70)</f>
        <v>1081900</v>
      </c>
    </row>
    <row r="71" spans="1:8" s="1" customFormat="1" ht="14.35" customHeight="1" x14ac:dyDescent="0.75">
      <c r="A71" s="96" t="s">
        <v>201</v>
      </c>
      <c r="B71" s="4">
        <f>'Rates DSCM'!D30</f>
        <v>50000</v>
      </c>
      <c r="C71" s="90">
        <f>'[4]2 Inch'!$E$152</f>
        <v>74</v>
      </c>
      <c r="D71" s="41">
        <f>'[4]2 Inch'!$G$152</f>
        <v>11679300</v>
      </c>
      <c r="E71" s="265">
        <f>C71*E68</f>
        <v>1110000</v>
      </c>
      <c r="F71" s="265">
        <f>C71*F68</f>
        <v>2590000</v>
      </c>
      <c r="G71" s="265">
        <f>D71-E71-F71</f>
        <v>7979300</v>
      </c>
      <c r="H71" s="265">
        <f t="shared" si="8"/>
        <v>11679300</v>
      </c>
    </row>
    <row r="72" spans="1:8" s="1" customFormat="1" ht="14.35" customHeight="1" x14ac:dyDescent="0.45">
      <c r="A72" s="96"/>
      <c r="B72" s="4"/>
      <c r="C72" s="20">
        <f t="shared" ref="C72:H72" si="9">SUM(C69:C71)</f>
        <v>163</v>
      </c>
      <c r="D72" s="4">
        <f t="shared" si="9"/>
        <v>13089900</v>
      </c>
      <c r="E72" s="4">
        <f t="shared" si="9"/>
        <v>2008700</v>
      </c>
      <c r="F72" s="4">
        <f t="shared" si="9"/>
        <v>3101900</v>
      </c>
      <c r="G72" s="4">
        <f t="shared" si="9"/>
        <v>7979300</v>
      </c>
      <c r="H72" s="4">
        <f t="shared" si="9"/>
        <v>13089900</v>
      </c>
    </row>
    <row r="73" spans="1:8" s="1" customFormat="1" ht="14.35" customHeight="1" x14ac:dyDescent="0.45">
      <c r="B73" s="4"/>
      <c r="G73" s="45"/>
    </row>
    <row r="74" spans="1:8" s="1" customFormat="1" ht="14.35" customHeight="1" x14ac:dyDescent="0.45">
      <c r="A74" s="121" t="s">
        <v>210</v>
      </c>
      <c r="B74" s="121"/>
      <c r="C74" s="121"/>
      <c r="D74" s="333" t="s">
        <v>120</v>
      </c>
      <c r="E74" s="333"/>
      <c r="F74" s="121"/>
      <c r="G74" s="121"/>
    </row>
    <row r="75" spans="1:8" s="1" customFormat="1" ht="14.35" customHeight="1" x14ac:dyDescent="0.45">
      <c r="B75" s="101" t="s">
        <v>50</v>
      </c>
      <c r="C75" s="88" t="s">
        <v>51</v>
      </c>
      <c r="D75" s="88" t="s">
        <v>52</v>
      </c>
      <c r="E75" s="329" t="s">
        <v>54</v>
      </c>
      <c r="F75" s="329"/>
      <c r="G75" s="106" t="s">
        <v>55</v>
      </c>
    </row>
    <row r="76" spans="1:8" s="1" customFormat="1" ht="14.35" customHeight="1" x14ac:dyDescent="0.45">
      <c r="A76" s="96" t="s">
        <v>199</v>
      </c>
      <c r="B76" s="4">
        <f>'Rates DSCM'!D28</f>
        <v>15000</v>
      </c>
      <c r="C76" s="89">
        <f>C72</f>
        <v>163</v>
      </c>
      <c r="D76" s="89">
        <f>E72</f>
        <v>2008700</v>
      </c>
      <c r="E76" s="81">
        <f>'Rates DSCM'!F28</f>
        <v>106.25</v>
      </c>
      <c r="F76" s="47" t="s">
        <v>113</v>
      </c>
      <c r="G76" s="107">
        <f>ROUND(C76*E76,0)</f>
        <v>17319</v>
      </c>
    </row>
    <row r="77" spans="1:8" s="1" customFormat="1" ht="14.35" customHeight="1" x14ac:dyDescent="0.45">
      <c r="A77" s="96" t="s">
        <v>200</v>
      </c>
      <c r="B77" s="4">
        <f>'Rates DSCM'!D29</f>
        <v>35000</v>
      </c>
      <c r="D77" s="89">
        <f>F72</f>
        <v>3101900</v>
      </c>
      <c r="E77" s="257">
        <f>'Rates DSCM'!F29</f>
        <v>5.6699999999999997E-3</v>
      </c>
      <c r="F77" s="47" t="s">
        <v>197</v>
      </c>
      <c r="G77" s="107">
        <f t="shared" ref="G77:G78" si="10">ROUND(D77*E77,0)</f>
        <v>17588</v>
      </c>
    </row>
    <row r="78" spans="1:8" s="1" customFormat="1" ht="14.35" customHeight="1" x14ac:dyDescent="0.75">
      <c r="A78" s="235" t="s">
        <v>201</v>
      </c>
      <c r="B78" s="4">
        <f>'Rates DSCM'!D30</f>
        <v>50000</v>
      </c>
      <c r="C78" s="82"/>
      <c r="D78" s="266">
        <f>G72</f>
        <v>7979300</v>
      </c>
      <c r="E78" s="257">
        <f>'Rates DSCM'!F30</f>
        <v>4.9899999999999996E-3</v>
      </c>
      <c r="F78" s="47" t="s">
        <v>197</v>
      </c>
      <c r="G78" s="108">
        <f t="shared" si="10"/>
        <v>39817</v>
      </c>
    </row>
    <row r="79" spans="1:8" s="1" customFormat="1" ht="14.35" customHeight="1" x14ac:dyDescent="0.45">
      <c r="B79" s="4"/>
      <c r="C79" s="210"/>
      <c r="D79" s="4">
        <f>SUM(D76:D78)</f>
        <v>13089900</v>
      </c>
      <c r="G79" s="210">
        <f>SUM(G76:G78)</f>
        <v>74724</v>
      </c>
    </row>
    <row r="80" spans="1:8" s="1" customFormat="1" ht="14.35" customHeight="1" x14ac:dyDescent="0.45">
      <c r="B80" s="4"/>
      <c r="C80" s="210"/>
      <c r="D80" s="4"/>
      <c r="G80" s="210"/>
    </row>
    <row r="81" spans="1:8" s="1" customFormat="1" ht="14.35" customHeight="1" x14ac:dyDescent="0.45">
      <c r="A81" s="121" t="s">
        <v>211</v>
      </c>
      <c r="B81" s="4"/>
      <c r="C81" s="94"/>
      <c r="D81" s="333" t="s">
        <v>206</v>
      </c>
      <c r="E81" s="333"/>
      <c r="F81" s="89"/>
      <c r="G81" s="45"/>
    </row>
    <row r="82" spans="1:8" s="1" customFormat="1" ht="14.35" customHeight="1" x14ac:dyDescent="0.45">
      <c r="A82" s="121"/>
      <c r="B82" s="4"/>
      <c r="C82" s="94"/>
      <c r="D82" s="288"/>
      <c r="E82" s="96" t="s">
        <v>199</v>
      </c>
      <c r="F82" s="96" t="s">
        <v>200</v>
      </c>
      <c r="G82" s="96" t="s">
        <v>201</v>
      </c>
      <c r="H82" s="96"/>
    </row>
    <row r="83" spans="1:8" s="1" customFormat="1" ht="14.35" customHeight="1" x14ac:dyDescent="0.45">
      <c r="B83" s="101" t="s">
        <v>50</v>
      </c>
      <c r="C83" s="88" t="s">
        <v>51</v>
      </c>
      <c r="D83" s="88" t="s">
        <v>52</v>
      </c>
      <c r="E83" s="263">
        <f>B84</f>
        <v>35000</v>
      </c>
      <c r="F83" s="263">
        <f>B85</f>
        <v>15000</v>
      </c>
      <c r="G83" s="263">
        <f>B86</f>
        <v>50000</v>
      </c>
      <c r="H83" s="263" t="s">
        <v>12</v>
      </c>
    </row>
    <row r="84" spans="1:8" s="1" customFormat="1" ht="14.35" customHeight="1" x14ac:dyDescent="0.45">
      <c r="A84" s="96" t="s">
        <v>199</v>
      </c>
      <c r="B84" s="4">
        <f>'Rates DSCM'!D33</f>
        <v>35000</v>
      </c>
      <c r="C84" s="20">
        <f>'[4]3 Inch'!$E$18</f>
        <v>18</v>
      </c>
      <c r="D84" s="4">
        <f>'[4]3 Inch'!$G$18</f>
        <v>72700</v>
      </c>
      <c r="E84" s="264">
        <f>D84</f>
        <v>72700</v>
      </c>
      <c r="F84" s="264"/>
      <c r="G84" s="264"/>
      <c r="H84" s="264">
        <f>SUM(E84:G84)</f>
        <v>72700</v>
      </c>
    </row>
    <row r="85" spans="1:8" s="1" customFormat="1" ht="14.35" customHeight="1" x14ac:dyDescent="0.45">
      <c r="A85" s="96" t="s">
        <v>200</v>
      </c>
      <c r="B85" s="4">
        <f>'Rates DSCM'!D34</f>
        <v>15000</v>
      </c>
      <c r="C85" s="20">
        <f>'[4]3 Inch'!$E$20</f>
        <v>1</v>
      </c>
      <c r="D85" s="4">
        <f>'[4]3 Inch'!$G$20</f>
        <v>37400</v>
      </c>
      <c r="E85" s="264">
        <f>C85*E83</f>
        <v>35000</v>
      </c>
      <c r="F85" s="264">
        <f>D85-E85</f>
        <v>2400</v>
      </c>
      <c r="G85" s="264"/>
      <c r="H85" s="264">
        <f t="shared" ref="H85:H86" si="11">SUM(E85:G85)</f>
        <v>37400</v>
      </c>
    </row>
    <row r="86" spans="1:8" s="1" customFormat="1" ht="14.35" customHeight="1" x14ac:dyDescent="0.75">
      <c r="A86" s="96" t="s">
        <v>200</v>
      </c>
      <c r="B86" s="4">
        <f>'Rates DSCM'!D35</f>
        <v>50000</v>
      </c>
      <c r="C86" s="90">
        <f>'[4]3 Inch'!$E$62</f>
        <v>41</v>
      </c>
      <c r="D86" s="41">
        <f>'[4]3 Inch'!$G$62</f>
        <v>72774700</v>
      </c>
      <c r="E86" s="265">
        <f>C86*E83</f>
        <v>1435000</v>
      </c>
      <c r="F86" s="265">
        <f>C86*F83</f>
        <v>615000</v>
      </c>
      <c r="G86" s="265">
        <f>D86-E86-F86</f>
        <v>70724700</v>
      </c>
      <c r="H86" s="265">
        <f t="shared" si="11"/>
        <v>72774700</v>
      </c>
    </row>
    <row r="87" spans="1:8" s="1" customFormat="1" ht="14.35" customHeight="1" x14ac:dyDescent="0.45">
      <c r="A87" s="96"/>
      <c r="B87" s="4"/>
      <c r="C87" s="20">
        <f t="shared" ref="C87:H87" si="12">SUM(C84:C86)</f>
        <v>60</v>
      </c>
      <c r="D87" s="4">
        <f t="shared" si="12"/>
        <v>72884800</v>
      </c>
      <c r="E87" s="4">
        <f t="shared" si="12"/>
        <v>1542700</v>
      </c>
      <c r="F87" s="4">
        <f t="shared" si="12"/>
        <v>617400</v>
      </c>
      <c r="G87" s="4">
        <f t="shared" si="12"/>
        <v>70724700</v>
      </c>
      <c r="H87" s="4">
        <f t="shared" si="12"/>
        <v>72884800</v>
      </c>
    </row>
    <row r="88" spans="1:8" s="1" customFormat="1" ht="14.35" customHeight="1" x14ac:dyDescent="0.45">
      <c r="B88" s="4"/>
      <c r="G88" s="45"/>
    </row>
    <row r="89" spans="1:8" s="1" customFormat="1" ht="14.35" customHeight="1" x14ac:dyDescent="0.45">
      <c r="A89" s="121" t="s">
        <v>210</v>
      </c>
      <c r="C89" s="121"/>
      <c r="D89" s="333" t="s">
        <v>206</v>
      </c>
      <c r="E89" s="333"/>
      <c r="F89" s="121"/>
      <c r="G89" s="121"/>
    </row>
    <row r="90" spans="1:8" s="1" customFormat="1" ht="14.35" customHeight="1" x14ac:dyDescent="0.45">
      <c r="B90" s="101" t="s">
        <v>50</v>
      </c>
      <c r="C90" s="88" t="s">
        <v>51</v>
      </c>
      <c r="D90" s="88" t="s">
        <v>52</v>
      </c>
      <c r="E90" s="329" t="s">
        <v>54</v>
      </c>
      <c r="F90" s="329"/>
      <c r="G90" s="106" t="s">
        <v>55</v>
      </c>
    </row>
    <row r="91" spans="1:8" s="1" customFormat="1" ht="14.35" customHeight="1" x14ac:dyDescent="0.45">
      <c r="A91" s="96" t="s">
        <v>199</v>
      </c>
      <c r="B91" s="4">
        <f>'Rates DSCM'!D33</f>
        <v>35000</v>
      </c>
      <c r="C91" s="89">
        <f>C87</f>
        <v>60</v>
      </c>
      <c r="D91" s="89">
        <f>E87</f>
        <v>1542700</v>
      </c>
      <c r="E91" s="81">
        <f>'Rates DSCM'!F33</f>
        <v>219.65</v>
      </c>
      <c r="F91" s="47" t="s">
        <v>113</v>
      </c>
      <c r="G91" s="107">
        <f>ROUND(C91*E91,0)</f>
        <v>13179</v>
      </c>
    </row>
    <row r="92" spans="1:8" s="1" customFormat="1" ht="14.35" customHeight="1" x14ac:dyDescent="0.45">
      <c r="A92" s="96" t="s">
        <v>200</v>
      </c>
      <c r="B92" s="4">
        <f>'Rates DSCM'!D34</f>
        <v>15000</v>
      </c>
      <c r="D92" s="89">
        <f>F87</f>
        <v>617400</v>
      </c>
      <c r="E92" s="258">
        <f>'Rates DSCM'!F34</f>
        <v>5.6699999999999997E-3</v>
      </c>
      <c r="F92" s="47" t="s">
        <v>197</v>
      </c>
      <c r="G92" s="107">
        <f t="shared" ref="G92:G93" si="13">ROUND(D92*E92,0)</f>
        <v>3501</v>
      </c>
    </row>
    <row r="93" spans="1:8" s="1" customFormat="1" ht="14.35" customHeight="1" x14ac:dyDescent="0.75">
      <c r="A93" s="235" t="s">
        <v>201</v>
      </c>
      <c r="B93" s="4">
        <f>'Rates DSCM'!D35</f>
        <v>50000</v>
      </c>
      <c r="C93" s="82"/>
      <c r="D93" s="266">
        <f>G87</f>
        <v>70724700</v>
      </c>
      <c r="E93" s="258">
        <f>'Rates DSCM'!F35</f>
        <v>4.9899999999999996E-3</v>
      </c>
      <c r="F93" s="47" t="s">
        <v>197</v>
      </c>
      <c r="G93" s="108">
        <f t="shared" si="13"/>
        <v>352916</v>
      </c>
    </row>
    <row r="94" spans="1:8" s="1" customFormat="1" ht="14.35" customHeight="1" x14ac:dyDescent="0.45">
      <c r="B94" s="4"/>
      <c r="C94" s="210"/>
      <c r="D94" s="4">
        <f>SUM(D91:D93)</f>
        <v>72884800</v>
      </c>
      <c r="G94" s="210">
        <f>SUM(G91:G93)</f>
        <v>369596</v>
      </c>
    </row>
    <row r="95" spans="1:8" s="1" customFormat="1" ht="14.35" customHeight="1" x14ac:dyDescent="0.45">
      <c r="B95" s="4"/>
      <c r="C95" s="210"/>
      <c r="D95" s="260"/>
      <c r="G95" s="210"/>
    </row>
    <row r="96" spans="1:8" s="1" customFormat="1" ht="14.35" customHeight="1" x14ac:dyDescent="0.45">
      <c r="A96" s="121"/>
      <c r="B96" s="4"/>
      <c r="C96" s="94"/>
      <c r="D96" s="333"/>
      <c r="E96" s="333"/>
      <c r="F96" s="89"/>
      <c r="G96" s="45"/>
    </row>
    <row r="97" spans="1:8" s="1" customFormat="1" ht="14.35" customHeight="1" x14ac:dyDescent="0.45">
      <c r="A97" s="121"/>
      <c r="B97" s="4"/>
      <c r="C97" s="94"/>
      <c r="D97" s="288"/>
      <c r="E97" s="96"/>
      <c r="F97" s="96"/>
      <c r="G97" s="96"/>
    </row>
    <row r="98" spans="1:8" s="1" customFormat="1" ht="14.35" customHeight="1" x14ac:dyDescent="0.45">
      <c r="B98" s="101"/>
      <c r="C98" s="88"/>
      <c r="D98" s="88"/>
      <c r="E98" s="263"/>
      <c r="F98" s="263"/>
      <c r="G98" s="263"/>
      <c r="H98" s="96"/>
    </row>
    <row r="99" spans="1:8" s="1" customFormat="1" ht="14.35" customHeight="1" x14ac:dyDescent="0.45">
      <c r="A99" s="96"/>
      <c r="B99" s="4"/>
      <c r="C99" s="20"/>
      <c r="D99" s="4"/>
      <c r="E99" s="264"/>
      <c r="F99" s="264"/>
      <c r="G99" s="264"/>
      <c r="H99" s="4"/>
    </row>
    <row r="100" spans="1:8" s="1" customFormat="1" ht="14.35" customHeight="1" x14ac:dyDescent="0.45">
      <c r="A100" s="96"/>
      <c r="B100" s="4"/>
      <c r="C100" s="20"/>
      <c r="D100" s="4"/>
      <c r="E100" s="264"/>
      <c r="F100" s="264"/>
      <c r="G100" s="264"/>
      <c r="H100" s="4"/>
    </row>
    <row r="101" spans="1:8" s="1" customFormat="1" ht="14.35" customHeight="1" x14ac:dyDescent="0.75">
      <c r="A101" s="96"/>
      <c r="B101" s="4"/>
      <c r="C101" s="90"/>
      <c r="D101" s="41"/>
      <c r="E101" s="265"/>
      <c r="F101" s="265"/>
      <c r="G101" s="265"/>
      <c r="H101" s="41"/>
    </row>
    <row r="102" spans="1:8" s="1" customFormat="1" ht="14.35" customHeight="1" x14ac:dyDescent="0.45">
      <c r="A102" s="96"/>
      <c r="B102" s="4"/>
      <c r="C102" s="20"/>
      <c r="D102" s="20"/>
      <c r="E102" s="4"/>
      <c r="F102" s="4"/>
      <c r="G102" s="4"/>
      <c r="H102" s="4"/>
    </row>
    <row r="103" spans="1:8" s="1" customFormat="1" ht="14.35" customHeight="1" x14ac:dyDescent="0.45">
      <c r="B103" s="4"/>
      <c r="G103" s="45"/>
    </row>
    <row r="104" spans="1:8" s="1" customFormat="1" ht="14.35" customHeight="1" x14ac:dyDescent="0.45">
      <c r="A104" s="121"/>
      <c r="B104" s="121"/>
      <c r="C104" s="121"/>
      <c r="D104" s="333"/>
      <c r="E104" s="333"/>
      <c r="F104" s="121"/>
      <c r="G104" s="121"/>
    </row>
    <row r="105" spans="1:8" s="1" customFormat="1" ht="14.35" customHeight="1" x14ac:dyDescent="0.45">
      <c r="B105" s="101"/>
      <c r="C105" s="88"/>
      <c r="D105" s="88"/>
      <c r="E105" s="329"/>
      <c r="F105" s="329"/>
      <c r="G105" s="106"/>
    </row>
    <row r="106" spans="1:8" s="1" customFormat="1" ht="14.35" customHeight="1" x14ac:dyDescent="0.45">
      <c r="A106" s="96"/>
      <c r="B106" s="4"/>
      <c r="C106" s="89"/>
      <c r="D106" s="89"/>
      <c r="E106" s="81"/>
      <c r="F106" s="47"/>
      <c r="G106" s="209"/>
    </row>
    <row r="107" spans="1:8" s="1" customFormat="1" ht="14.35" customHeight="1" x14ac:dyDescent="0.45">
      <c r="A107" s="96"/>
      <c r="B107" s="4"/>
      <c r="D107" s="89"/>
      <c r="E107" s="258"/>
      <c r="F107" s="47"/>
      <c r="G107" s="209"/>
    </row>
    <row r="108" spans="1:8" s="1" customFormat="1" ht="14.35" customHeight="1" x14ac:dyDescent="0.75">
      <c r="A108" s="235"/>
      <c r="B108" s="4"/>
      <c r="C108" s="82"/>
      <c r="D108" s="266"/>
      <c r="E108" s="258"/>
      <c r="F108" s="47"/>
      <c r="G108" s="272"/>
    </row>
    <row r="109" spans="1:8" s="1" customFormat="1" ht="14.35" customHeight="1" x14ac:dyDescent="0.45">
      <c r="B109" s="4"/>
      <c r="C109" s="210"/>
      <c r="D109" s="4"/>
      <c r="G109" s="210"/>
    </row>
    <row r="110" spans="1:8" s="1" customFormat="1" ht="14.35" customHeight="1" x14ac:dyDescent="0.45">
      <c r="B110" s="4"/>
      <c r="C110" s="210"/>
      <c r="D110" s="4"/>
      <c r="G110" s="210"/>
    </row>
    <row r="111" spans="1:8" s="1" customFormat="1" ht="14.35" customHeight="1" x14ac:dyDescent="0.45">
      <c r="A111" s="121"/>
      <c r="B111" s="4"/>
      <c r="C111" s="94"/>
      <c r="D111" s="333"/>
      <c r="E111" s="333"/>
      <c r="F111" s="89"/>
      <c r="G111" s="45"/>
    </row>
    <row r="112" spans="1:8" s="1" customFormat="1" ht="14.35" customHeight="1" x14ac:dyDescent="0.45">
      <c r="A112" s="121"/>
      <c r="B112" s="4"/>
      <c r="C112" s="94"/>
      <c r="D112" s="288"/>
      <c r="E112" s="96"/>
      <c r="F112" s="96"/>
      <c r="H112" s="15"/>
    </row>
    <row r="113" spans="1:8" s="1" customFormat="1" ht="14.35" customHeight="1" x14ac:dyDescent="0.45">
      <c r="B113" s="101"/>
      <c r="C113" s="88"/>
      <c r="D113" s="88"/>
      <c r="E113" s="263"/>
      <c r="F113" s="263"/>
      <c r="G113" s="96"/>
      <c r="H113" s="15"/>
    </row>
    <row r="114" spans="1:8" s="1" customFormat="1" ht="14.35" customHeight="1" x14ac:dyDescent="0.45">
      <c r="A114" s="96"/>
      <c r="B114" s="4"/>
      <c r="C114" s="20"/>
      <c r="D114" s="4"/>
      <c r="E114" s="264"/>
      <c r="F114" s="264"/>
      <c r="G114" s="4"/>
      <c r="H114" s="15"/>
    </row>
    <row r="115" spans="1:8" s="1" customFormat="1" ht="14.35" customHeight="1" x14ac:dyDescent="0.75">
      <c r="A115" s="96"/>
      <c r="B115" s="4"/>
      <c r="C115" s="90"/>
      <c r="D115" s="41"/>
      <c r="E115" s="265"/>
      <c r="F115" s="265"/>
      <c r="G115" s="41"/>
      <c r="H115" s="15"/>
    </row>
    <row r="116" spans="1:8" s="1" customFormat="1" ht="14.35" customHeight="1" x14ac:dyDescent="0.45">
      <c r="A116" s="96"/>
      <c r="B116" s="4"/>
      <c r="C116" s="20"/>
      <c r="D116" s="20"/>
      <c r="E116" s="4"/>
      <c r="F116" s="4"/>
      <c r="G116" s="4"/>
      <c r="H116" s="15"/>
    </row>
    <row r="117" spans="1:8" s="1" customFormat="1" ht="14.35" customHeight="1" x14ac:dyDescent="0.45">
      <c r="B117" s="4"/>
      <c r="G117" s="45"/>
    </row>
    <row r="118" spans="1:8" s="1" customFormat="1" ht="14.35" customHeight="1" x14ac:dyDescent="0.45">
      <c r="A118" s="121"/>
      <c r="B118" s="121"/>
      <c r="C118" s="121"/>
      <c r="D118" s="333"/>
      <c r="E118" s="333"/>
      <c r="F118" s="121"/>
      <c r="G118" s="121"/>
    </row>
    <row r="119" spans="1:8" s="1" customFormat="1" ht="14.35" customHeight="1" x14ac:dyDescent="0.45">
      <c r="B119" s="101"/>
      <c r="C119" s="88"/>
      <c r="D119" s="88"/>
      <c r="E119" s="329"/>
      <c r="F119" s="329"/>
      <c r="G119" s="106"/>
    </row>
    <row r="120" spans="1:8" s="1" customFormat="1" ht="14.35" customHeight="1" x14ac:dyDescent="0.45">
      <c r="A120" s="96"/>
      <c r="B120" s="4"/>
      <c r="C120" s="89"/>
      <c r="D120" s="89"/>
      <c r="E120" s="81"/>
      <c r="F120" s="47"/>
      <c r="G120" s="209"/>
    </row>
    <row r="121" spans="1:8" s="1" customFormat="1" ht="14.35" customHeight="1" x14ac:dyDescent="0.75">
      <c r="A121" s="235"/>
      <c r="B121" s="4"/>
      <c r="C121" s="82"/>
      <c r="D121" s="266"/>
      <c r="E121" s="258"/>
      <c r="F121" s="47"/>
      <c r="G121" s="272"/>
    </row>
    <row r="122" spans="1:8" s="1" customFormat="1" ht="14.35" customHeight="1" x14ac:dyDescent="0.45">
      <c r="B122" s="4"/>
      <c r="C122" s="210"/>
      <c r="D122" s="4"/>
      <c r="G122" s="210"/>
    </row>
    <row r="123" spans="1:8" s="1" customFormat="1" ht="14.35" customHeight="1" x14ac:dyDescent="0.45">
      <c r="B123" s="4"/>
      <c r="G123" s="45"/>
    </row>
    <row r="124" spans="1:8" s="1" customFormat="1" ht="14.35" customHeight="1" x14ac:dyDescent="0.45">
      <c r="A124" s="121"/>
      <c r="B124" s="4"/>
      <c r="C124" s="94"/>
      <c r="D124" s="333"/>
      <c r="E124" s="333"/>
      <c r="F124" s="89"/>
      <c r="G124" s="45"/>
    </row>
    <row r="125" spans="1:8" s="1" customFormat="1" ht="14.35" customHeight="1" x14ac:dyDescent="0.45">
      <c r="A125" s="121"/>
      <c r="B125" s="4"/>
      <c r="C125" s="94"/>
      <c r="D125" s="288"/>
      <c r="E125" s="96"/>
      <c r="F125" s="96"/>
      <c r="G125" s="96"/>
    </row>
    <row r="126" spans="1:8" s="1" customFormat="1" ht="14.35" customHeight="1" x14ac:dyDescent="0.45">
      <c r="B126" s="101"/>
      <c r="C126" s="88"/>
      <c r="D126" s="88"/>
      <c r="E126" s="263"/>
      <c r="F126" s="263"/>
      <c r="G126" s="263"/>
      <c r="H126" s="96"/>
    </row>
    <row r="127" spans="1:8" s="1" customFormat="1" ht="14.35" customHeight="1" x14ac:dyDescent="0.45">
      <c r="A127" s="96"/>
      <c r="B127" s="4"/>
      <c r="C127" s="20"/>
      <c r="D127" s="4"/>
      <c r="E127" s="264"/>
      <c r="F127" s="264"/>
      <c r="G127" s="264"/>
      <c r="H127" s="4"/>
    </row>
    <row r="128" spans="1:8" s="1" customFormat="1" ht="14.35" customHeight="1" x14ac:dyDescent="0.45">
      <c r="A128" s="96"/>
      <c r="B128" s="4"/>
      <c r="C128" s="20"/>
      <c r="D128" s="4"/>
      <c r="E128" s="264"/>
      <c r="F128" s="264"/>
      <c r="G128" s="264"/>
      <c r="H128" s="4"/>
    </row>
    <row r="129" spans="1:8" s="1" customFormat="1" ht="14.35" customHeight="1" x14ac:dyDescent="0.75">
      <c r="A129" s="96"/>
      <c r="B129" s="4"/>
      <c r="C129" s="90"/>
      <c r="D129" s="41"/>
      <c r="E129" s="265"/>
      <c r="F129" s="265"/>
      <c r="G129" s="265"/>
      <c r="H129" s="41"/>
    </row>
    <row r="130" spans="1:8" s="1" customFormat="1" ht="14.35" customHeight="1" x14ac:dyDescent="0.45">
      <c r="A130" s="96"/>
      <c r="B130" s="4"/>
      <c r="C130" s="20"/>
      <c r="D130" s="20"/>
      <c r="E130" s="4"/>
      <c r="F130" s="4"/>
      <c r="G130" s="4"/>
      <c r="H130" s="4"/>
    </row>
    <row r="131" spans="1:8" s="1" customFormat="1" ht="14.35" customHeight="1" x14ac:dyDescent="0.45">
      <c r="B131" s="4"/>
      <c r="G131" s="45"/>
    </row>
    <row r="132" spans="1:8" s="1" customFormat="1" ht="14.35" customHeight="1" x14ac:dyDescent="0.45">
      <c r="A132" s="121"/>
      <c r="B132" s="121"/>
      <c r="C132" s="121"/>
      <c r="D132" s="333"/>
      <c r="E132" s="333"/>
      <c r="F132" s="121"/>
      <c r="G132" s="121"/>
    </row>
    <row r="133" spans="1:8" s="1" customFormat="1" ht="14.35" customHeight="1" x14ac:dyDescent="0.45">
      <c r="B133" s="101"/>
      <c r="C133" s="88"/>
      <c r="D133" s="88"/>
      <c r="E133" s="329"/>
      <c r="F133" s="329"/>
      <c r="G133" s="106"/>
    </row>
    <row r="134" spans="1:8" s="1" customFormat="1" ht="14.35" customHeight="1" x14ac:dyDescent="0.45">
      <c r="A134" s="96"/>
      <c r="B134" s="4"/>
      <c r="C134" s="89"/>
      <c r="D134" s="89"/>
      <c r="E134" s="81"/>
      <c r="F134" s="47"/>
      <c r="G134" s="209"/>
    </row>
    <row r="135" spans="1:8" s="1" customFormat="1" ht="14.35" customHeight="1" x14ac:dyDescent="0.45">
      <c r="A135" s="96"/>
      <c r="B135" s="4"/>
      <c r="D135" s="89"/>
      <c r="E135" s="258"/>
      <c r="F135" s="47"/>
      <c r="G135" s="209"/>
    </row>
    <row r="136" spans="1:8" s="1" customFormat="1" ht="14.35" customHeight="1" x14ac:dyDescent="0.75">
      <c r="A136" s="235"/>
      <c r="B136" s="4"/>
      <c r="C136" s="82"/>
      <c r="D136" s="266"/>
      <c r="E136" s="258"/>
      <c r="F136" s="47"/>
      <c r="G136" s="272"/>
    </row>
    <row r="137" spans="1:8" s="1" customFormat="1" ht="14.35" customHeight="1" x14ac:dyDescent="0.45">
      <c r="B137" s="4"/>
      <c r="C137" s="210"/>
      <c r="D137" s="4"/>
      <c r="G137" s="210"/>
    </row>
    <row r="138" spans="1:8" s="1" customFormat="1" ht="14.35" customHeight="1" x14ac:dyDescent="0.45">
      <c r="B138" s="4"/>
      <c r="C138" s="210"/>
      <c r="D138" s="4"/>
      <c r="G138" s="210"/>
    </row>
    <row r="139" spans="1:8" s="1" customFormat="1" ht="14.35" customHeight="1" x14ac:dyDescent="0.45">
      <c r="B139" s="4"/>
      <c r="D139" s="89"/>
      <c r="G139" s="45"/>
    </row>
    <row r="140" spans="1:8" s="1" customFormat="1" ht="14.35" customHeight="1" x14ac:dyDescent="0.45">
      <c r="B140" s="4"/>
      <c r="G140" s="45"/>
    </row>
    <row r="141" spans="1:8" s="1" customFormat="1" ht="14.35" customHeight="1" x14ac:dyDescent="0.45">
      <c r="B141" s="4"/>
      <c r="G141" s="45"/>
    </row>
    <row r="142" spans="1:8" s="1" customFormat="1" ht="14.35" customHeight="1" x14ac:dyDescent="0.45">
      <c r="B142" s="4"/>
      <c r="G142" s="45"/>
    </row>
    <row r="143" spans="1:8" s="1" customFormat="1" ht="14.35" customHeight="1" x14ac:dyDescent="0.45">
      <c r="B143" s="4"/>
      <c r="G143" s="45"/>
    </row>
    <row r="144" spans="1:8" s="1" customFormat="1" ht="14.35" customHeight="1" x14ac:dyDescent="0.45">
      <c r="B144" s="4"/>
      <c r="G144" s="45"/>
    </row>
    <row r="145" spans="2:7" s="1" customFormat="1" ht="14.35" customHeight="1" x14ac:dyDescent="0.45">
      <c r="B145" s="4"/>
      <c r="G145" s="45"/>
    </row>
    <row r="146" spans="2:7" s="1" customFormat="1" ht="14.35" customHeight="1" x14ac:dyDescent="0.45">
      <c r="B146" s="4"/>
      <c r="G146" s="45"/>
    </row>
    <row r="147" spans="2:7" s="1" customFormat="1" ht="14.35" customHeight="1" x14ac:dyDescent="0.45">
      <c r="B147" s="4"/>
      <c r="G147" s="45"/>
    </row>
    <row r="148" spans="2:7" s="1" customFormat="1" ht="14.35" customHeight="1" x14ac:dyDescent="0.45">
      <c r="B148" s="4"/>
      <c r="G148" s="45"/>
    </row>
    <row r="149" spans="2:7" s="1" customFormat="1" ht="14.35" customHeight="1" x14ac:dyDescent="0.45">
      <c r="B149" s="4"/>
      <c r="G149" s="45"/>
    </row>
    <row r="150" spans="2:7" s="1" customFormat="1" ht="14.35" customHeight="1" x14ac:dyDescent="0.45">
      <c r="B150" s="4"/>
      <c r="G150" s="45"/>
    </row>
    <row r="151" spans="2:7" s="1" customFormat="1" ht="14.35" customHeight="1" x14ac:dyDescent="0.45">
      <c r="B151" s="4"/>
      <c r="G151" s="45"/>
    </row>
    <row r="152" spans="2:7" s="1" customFormat="1" ht="14.35" customHeight="1" x14ac:dyDescent="0.45">
      <c r="B152" s="4"/>
      <c r="G152" s="45"/>
    </row>
    <row r="153" spans="2:7" s="1" customFormat="1" ht="14.35" customHeight="1" x14ac:dyDescent="0.45">
      <c r="B153" s="4"/>
      <c r="G153" s="45"/>
    </row>
    <row r="154" spans="2:7" s="1" customFormat="1" ht="14.35" customHeight="1" x14ac:dyDescent="0.45">
      <c r="B154" s="4"/>
      <c r="G154" s="45"/>
    </row>
    <row r="155" spans="2:7" s="1" customFormat="1" ht="14.35" customHeight="1" x14ac:dyDescent="0.45">
      <c r="B155" s="4"/>
      <c r="G155" s="45"/>
    </row>
    <row r="156" spans="2:7" s="1" customFormat="1" ht="14.35" customHeight="1" x14ac:dyDescent="0.45">
      <c r="B156" s="4"/>
      <c r="G156" s="45"/>
    </row>
    <row r="157" spans="2:7" s="1" customFormat="1" ht="14.35" customHeight="1" x14ac:dyDescent="0.45">
      <c r="B157" s="4"/>
      <c r="G157" s="45"/>
    </row>
    <row r="158" spans="2:7" s="1" customFormat="1" ht="14.35" customHeight="1" x14ac:dyDescent="0.45">
      <c r="B158" s="4"/>
      <c r="G158" s="45"/>
    </row>
    <row r="159" spans="2:7" s="1" customFormat="1" ht="14.35" customHeight="1" x14ac:dyDescent="0.45">
      <c r="B159" s="4"/>
      <c r="G159" s="45"/>
    </row>
    <row r="160" spans="2:7" s="1" customFormat="1" ht="14.35" customHeight="1" x14ac:dyDescent="0.45">
      <c r="B160" s="4"/>
      <c r="G160" s="45"/>
    </row>
    <row r="161" spans="2:7" s="1" customFormat="1" ht="14.35" customHeight="1" x14ac:dyDescent="0.45">
      <c r="B161" s="4"/>
      <c r="G161" s="45"/>
    </row>
    <row r="162" spans="2:7" s="1" customFormat="1" ht="14.35" customHeight="1" x14ac:dyDescent="0.45">
      <c r="B162" s="4"/>
      <c r="G162" s="45"/>
    </row>
    <row r="163" spans="2:7" s="1" customFormat="1" ht="14.35" customHeight="1" x14ac:dyDescent="0.45">
      <c r="B163" s="4"/>
      <c r="G163" s="45"/>
    </row>
    <row r="164" spans="2:7" s="1" customFormat="1" ht="14.35" customHeight="1" x14ac:dyDescent="0.45">
      <c r="B164" s="4"/>
      <c r="G164" s="45"/>
    </row>
    <row r="165" spans="2:7" s="1" customFormat="1" ht="14.35" customHeight="1" x14ac:dyDescent="0.45">
      <c r="B165" s="4"/>
      <c r="G165" s="45"/>
    </row>
    <row r="166" spans="2:7" s="1" customFormat="1" ht="14.35" customHeight="1" x14ac:dyDescent="0.45">
      <c r="B166" s="4"/>
      <c r="G166" s="45"/>
    </row>
    <row r="167" spans="2:7" s="1" customFormat="1" ht="14.35" customHeight="1" x14ac:dyDescent="0.45">
      <c r="B167" s="4"/>
      <c r="G167" s="45"/>
    </row>
    <row r="168" spans="2:7" s="1" customFormat="1" ht="14.35" customHeight="1" x14ac:dyDescent="0.45">
      <c r="B168" s="4"/>
      <c r="G168" s="45"/>
    </row>
    <row r="169" spans="2:7" s="1" customFormat="1" ht="14.35" customHeight="1" x14ac:dyDescent="0.45">
      <c r="B169" s="4"/>
      <c r="G169" s="45"/>
    </row>
    <row r="170" spans="2:7" s="1" customFormat="1" ht="14.35" customHeight="1" x14ac:dyDescent="0.45">
      <c r="B170" s="4"/>
      <c r="G170" s="45"/>
    </row>
    <row r="171" spans="2:7" s="1" customFormat="1" ht="14.35" customHeight="1" x14ac:dyDescent="0.45">
      <c r="B171" s="4"/>
      <c r="G171" s="45"/>
    </row>
    <row r="172" spans="2:7" s="1" customFormat="1" ht="14.35" customHeight="1" x14ac:dyDescent="0.45">
      <c r="B172" s="4"/>
      <c r="G172" s="45"/>
    </row>
    <row r="173" spans="2:7" s="1" customFormat="1" ht="14.35" customHeight="1" x14ac:dyDescent="0.45">
      <c r="B173" s="4"/>
      <c r="G173" s="45"/>
    </row>
    <row r="174" spans="2:7" s="1" customFormat="1" ht="14.35" customHeight="1" x14ac:dyDescent="0.45">
      <c r="B174" s="4"/>
      <c r="G174" s="45"/>
    </row>
    <row r="175" spans="2:7" s="1" customFormat="1" ht="14.35" customHeight="1" x14ac:dyDescent="0.45">
      <c r="B175" s="4"/>
      <c r="G175" s="45"/>
    </row>
    <row r="176" spans="2:7" s="1" customFormat="1" ht="14.35" customHeight="1" x14ac:dyDescent="0.45">
      <c r="B176" s="4"/>
      <c r="G176" s="45"/>
    </row>
    <row r="177" spans="2:7" s="1" customFormat="1" ht="14.35" customHeight="1" x14ac:dyDescent="0.45">
      <c r="B177" s="4"/>
      <c r="G177" s="45"/>
    </row>
    <row r="178" spans="2:7" s="1" customFormat="1" ht="14.35" customHeight="1" x14ac:dyDescent="0.45">
      <c r="B178" s="4"/>
      <c r="G178" s="45"/>
    </row>
    <row r="179" spans="2:7" s="1" customFormat="1" ht="14.35" customHeight="1" x14ac:dyDescent="0.45">
      <c r="B179" s="4"/>
      <c r="G179" s="45"/>
    </row>
    <row r="180" spans="2:7" s="1" customFormat="1" ht="14.35" customHeight="1" x14ac:dyDescent="0.45">
      <c r="B180" s="4"/>
      <c r="G180" s="45"/>
    </row>
    <row r="181" spans="2:7" s="1" customFormat="1" ht="14.35" customHeight="1" x14ac:dyDescent="0.45">
      <c r="B181" s="4"/>
      <c r="G181" s="45"/>
    </row>
    <row r="182" spans="2:7" s="1" customFormat="1" ht="14.35" customHeight="1" x14ac:dyDescent="0.45">
      <c r="B182" s="4"/>
      <c r="G182" s="45"/>
    </row>
    <row r="183" spans="2:7" s="1" customFormat="1" ht="14.35" customHeight="1" x14ac:dyDescent="0.45">
      <c r="B183" s="4"/>
      <c r="G183" s="45"/>
    </row>
    <row r="184" spans="2:7" s="1" customFormat="1" ht="14.35" customHeight="1" x14ac:dyDescent="0.45">
      <c r="B184" s="4"/>
      <c r="G184" s="45"/>
    </row>
    <row r="185" spans="2:7" s="1" customFormat="1" ht="14.35" customHeight="1" x14ac:dyDescent="0.45">
      <c r="B185" s="4"/>
      <c r="G185" s="45"/>
    </row>
    <row r="186" spans="2:7" s="1" customFormat="1" ht="14.35" customHeight="1" x14ac:dyDescent="0.45">
      <c r="B186" s="4"/>
      <c r="G186" s="45"/>
    </row>
    <row r="187" spans="2:7" s="1" customFormat="1" ht="14.35" customHeight="1" x14ac:dyDescent="0.45">
      <c r="B187" s="4"/>
      <c r="G187" s="45"/>
    </row>
    <row r="188" spans="2:7" s="1" customFormat="1" ht="14.35" customHeight="1" x14ac:dyDescent="0.45">
      <c r="B188" s="4"/>
      <c r="G188" s="45"/>
    </row>
    <row r="189" spans="2:7" s="1" customFormat="1" ht="14.35" customHeight="1" x14ac:dyDescent="0.45">
      <c r="B189" s="4"/>
      <c r="G189" s="45"/>
    </row>
    <row r="190" spans="2:7" s="1" customFormat="1" ht="14.35" customHeight="1" x14ac:dyDescent="0.45">
      <c r="B190" s="4"/>
      <c r="G190" s="45"/>
    </row>
    <row r="191" spans="2:7" s="1" customFormat="1" ht="14.35" customHeight="1" x14ac:dyDescent="0.45">
      <c r="B191" s="4"/>
      <c r="G191" s="45"/>
    </row>
    <row r="192" spans="2:7" s="1" customFormat="1" ht="14.35" customHeight="1" x14ac:dyDescent="0.45">
      <c r="B192" s="4"/>
      <c r="G192" s="45"/>
    </row>
    <row r="193" spans="2:7" s="1" customFormat="1" ht="14.35" customHeight="1" x14ac:dyDescent="0.45">
      <c r="B193" s="4"/>
      <c r="G193" s="45"/>
    </row>
    <row r="194" spans="2:7" s="1" customFormat="1" ht="14.35" customHeight="1" x14ac:dyDescent="0.45">
      <c r="B194" s="4"/>
      <c r="G194" s="45"/>
    </row>
    <row r="195" spans="2:7" s="1" customFormat="1" ht="14.35" customHeight="1" x14ac:dyDescent="0.45">
      <c r="B195" s="4"/>
      <c r="G195" s="45"/>
    </row>
    <row r="196" spans="2:7" s="1" customFormat="1" ht="14.35" customHeight="1" x14ac:dyDescent="0.45">
      <c r="B196" s="4"/>
      <c r="G196" s="45"/>
    </row>
    <row r="197" spans="2:7" s="1" customFormat="1" ht="14.35" customHeight="1" x14ac:dyDescent="0.45">
      <c r="B197" s="4"/>
      <c r="G197" s="45"/>
    </row>
    <row r="198" spans="2:7" s="1" customFormat="1" ht="14.35" customHeight="1" x14ac:dyDescent="0.45">
      <c r="B198" s="4"/>
      <c r="G198" s="45"/>
    </row>
    <row r="199" spans="2:7" s="1" customFormat="1" ht="14.35" customHeight="1" x14ac:dyDescent="0.45">
      <c r="B199" s="4"/>
      <c r="G199" s="45"/>
    </row>
    <row r="200" spans="2:7" s="1" customFormat="1" ht="14.35" customHeight="1" x14ac:dyDescent="0.45">
      <c r="B200" s="4"/>
      <c r="G200" s="45"/>
    </row>
    <row r="201" spans="2:7" s="1" customFormat="1" ht="14.35" customHeight="1" x14ac:dyDescent="0.45">
      <c r="B201" s="4"/>
      <c r="G201" s="45"/>
    </row>
    <row r="202" spans="2:7" s="1" customFormat="1" ht="14.35" customHeight="1" x14ac:dyDescent="0.45">
      <c r="B202" s="4"/>
      <c r="G202" s="45"/>
    </row>
    <row r="203" spans="2:7" s="1" customFormat="1" ht="14.35" customHeight="1" x14ac:dyDescent="0.45">
      <c r="B203" s="4"/>
      <c r="G203" s="45"/>
    </row>
    <row r="204" spans="2:7" s="1" customFormat="1" ht="14.35" customHeight="1" x14ac:dyDescent="0.45">
      <c r="B204" s="4"/>
      <c r="G204" s="45"/>
    </row>
    <row r="205" spans="2:7" s="1" customFormat="1" ht="14.35" customHeight="1" x14ac:dyDescent="0.45">
      <c r="B205" s="4"/>
      <c r="G205" s="45"/>
    </row>
    <row r="206" spans="2:7" s="1" customFormat="1" ht="14.35" customHeight="1" x14ac:dyDescent="0.45">
      <c r="B206" s="4"/>
      <c r="G206" s="45"/>
    </row>
    <row r="207" spans="2:7" s="1" customFormat="1" ht="14.35" customHeight="1" x14ac:dyDescent="0.45">
      <c r="B207" s="4"/>
      <c r="G207" s="45"/>
    </row>
    <row r="208" spans="2:7" s="1" customFormat="1" ht="14.35" customHeight="1" x14ac:dyDescent="0.45">
      <c r="B208" s="4"/>
      <c r="G208" s="45"/>
    </row>
    <row r="209" spans="2:7" s="1" customFormat="1" ht="14.35" customHeight="1" x14ac:dyDescent="0.45">
      <c r="B209" s="4"/>
      <c r="G209" s="45"/>
    </row>
    <row r="210" spans="2:7" s="1" customFormat="1" ht="14.35" customHeight="1" x14ac:dyDescent="0.45">
      <c r="B210" s="4"/>
      <c r="G210" s="45"/>
    </row>
    <row r="211" spans="2:7" s="1" customFormat="1" ht="14.35" customHeight="1" x14ac:dyDescent="0.45">
      <c r="B211" s="4"/>
      <c r="G211" s="45"/>
    </row>
    <row r="212" spans="2:7" s="1" customFormat="1" ht="14.35" customHeight="1" x14ac:dyDescent="0.45">
      <c r="B212" s="4"/>
      <c r="G212" s="45"/>
    </row>
    <row r="213" spans="2:7" s="1" customFormat="1" ht="14.35" customHeight="1" x14ac:dyDescent="0.45">
      <c r="B213" s="4"/>
      <c r="G213" s="45"/>
    </row>
    <row r="214" spans="2:7" s="1" customFormat="1" ht="14.35" customHeight="1" x14ac:dyDescent="0.45">
      <c r="B214" s="4"/>
      <c r="G214" s="45"/>
    </row>
    <row r="215" spans="2:7" s="1" customFormat="1" ht="14.35" customHeight="1" x14ac:dyDescent="0.45">
      <c r="B215" s="4"/>
      <c r="G215" s="45"/>
    </row>
    <row r="216" spans="2:7" s="1" customFormat="1" ht="14.35" customHeight="1" x14ac:dyDescent="0.45">
      <c r="B216" s="4"/>
      <c r="G216" s="45"/>
    </row>
    <row r="217" spans="2:7" s="1" customFormat="1" ht="14.35" customHeight="1" x14ac:dyDescent="0.45">
      <c r="B217" s="4"/>
      <c r="G217" s="45"/>
    </row>
    <row r="218" spans="2:7" s="1" customFormat="1" ht="14.35" customHeight="1" x14ac:dyDescent="0.45">
      <c r="B218" s="4"/>
      <c r="G218" s="45"/>
    </row>
    <row r="219" spans="2:7" s="1" customFormat="1" ht="14.35" customHeight="1" x14ac:dyDescent="0.45">
      <c r="B219" s="4"/>
      <c r="G219" s="45"/>
    </row>
    <row r="220" spans="2:7" s="1" customFormat="1" ht="14.35" customHeight="1" x14ac:dyDescent="0.45">
      <c r="B220" s="4"/>
      <c r="G220" s="45"/>
    </row>
    <row r="221" spans="2:7" s="1" customFormat="1" ht="14.35" customHeight="1" x14ac:dyDescent="0.45">
      <c r="B221" s="4"/>
      <c r="G221" s="45"/>
    </row>
    <row r="222" spans="2:7" s="1" customFormat="1" ht="14.35" customHeight="1" x14ac:dyDescent="0.45">
      <c r="B222" s="4"/>
      <c r="G222" s="45"/>
    </row>
    <row r="223" spans="2:7" s="1" customFormat="1" ht="14.35" customHeight="1" x14ac:dyDescent="0.45">
      <c r="B223" s="4"/>
      <c r="G223" s="45"/>
    </row>
    <row r="224" spans="2:7" s="1" customFormat="1" ht="14.35" customHeight="1" x14ac:dyDescent="0.45">
      <c r="B224" s="4"/>
      <c r="G224" s="45"/>
    </row>
    <row r="225" spans="2:7" s="1" customFormat="1" ht="14.35" customHeight="1" x14ac:dyDescent="0.45">
      <c r="B225" s="4"/>
      <c r="G225" s="45"/>
    </row>
    <row r="226" spans="2:7" s="1" customFormat="1" ht="14.35" customHeight="1" x14ac:dyDescent="0.45">
      <c r="B226" s="4"/>
      <c r="G226" s="45"/>
    </row>
    <row r="227" spans="2:7" s="1" customFormat="1" ht="14.35" customHeight="1" x14ac:dyDescent="0.45">
      <c r="B227" s="4"/>
      <c r="G227" s="45"/>
    </row>
    <row r="228" spans="2:7" s="1" customFormat="1" ht="14.25" x14ac:dyDescent="0.45">
      <c r="B228" s="4"/>
      <c r="G228" s="45"/>
    </row>
    <row r="229" spans="2:7" s="1" customFormat="1" ht="14.25" x14ac:dyDescent="0.45">
      <c r="B229" s="4"/>
      <c r="G229" s="45"/>
    </row>
    <row r="230" spans="2:7" s="1" customFormat="1" ht="14.25" x14ac:dyDescent="0.45">
      <c r="B230" s="4"/>
      <c r="G230" s="45"/>
    </row>
    <row r="231" spans="2:7" s="1" customFormat="1" ht="14.25" x14ac:dyDescent="0.45">
      <c r="B231" s="4"/>
      <c r="G231" s="45"/>
    </row>
    <row r="232" spans="2:7" s="1" customFormat="1" ht="14.25" x14ac:dyDescent="0.45">
      <c r="B232" s="4"/>
      <c r="G232" s="45"/>
    </row>
    <row r="233" spans="2:7" s="1" customFormat="1" ht="14.25" x14ac:dyDescent="0.45">
      <c r="B233" s="4"/>
      <c r="G233" s="45"/>
    </row>
    <row r="234" spans="2:7" s="1" customFormat="1" ht="14.25" x14ac:dyDescent="0.45">
      <c r="B234" s="4"/>
      <c r="G234" s="45"/>
    </row>
    <row r="235" spans="2:7" s="1" customFormat="1" ht="14.25" x14ac:dyDescent="0.45">
      <c r="B235" s="4"/>
      <c r="G235" s="45"/>
    </row>
    <row r="236" spans="2:7" s="1" customFormat="1" ht="14.25" x14ac:dyDescent="0.45">
      <c r="B236" s="4"/>
      <c r="G236" s="45"/>
    </row>
    <row r="237" spans="2:7" s="1" customFormat="1" ht="14.25" x14ac:dyDescent="0.45">
      <c r="B237" s="4"/>
      <c r="G237" s="45"/>
    </row>
    <row r="238" spans="2:7" s="1" customFormat="1" ht="14.25" x14ac:dyDescent="0.45">
      <c r="B238" s="4"/>
      <c r="G238" s="45"/>
    </row>
    <row r="239" spans="2:7" s="1" customFormat="1" ht="14.25" x14ac:dyDescent="0.45">
      <c r="B239" s="4"/>
      <c r="G239" s="45"/>
    </row>
    <row r="240" spans="2:7" s="1" customFormat="1" ht="14.25" x14ac:dyDescent="0.45">
      <c r="B240" s="4"/>
      <c r="G240" s="45"/>
    </row>
    <row r="241" spans="2:7" s="1" customFormat="1" ht="14.25" x14ac:dyDescent="0.45">
      <c r="B241" s="4"/>
      <c r="G241" s="45"/>
    </row>
    <row r="242" spans="2:7" s="1" customFormat="1" ht="14.25" x14ac:dyDescent="0.45">
      <c r="B242" s="4"/>
      <c r="G242" s="45"/>
    </row>
    <row r="243" spans="2:7" s="1" customFormat="1" ht="14.25" x14ac:dyDescent="0.45">
      <c r="B243" s="4"/>
      <c r="G243" s="45"/>
    </row>
    <row r="244" spans="2:7" s="1" customFormat="1" ht="14.25" x14ac:dyDescent="0.45">
      <c r="B244" s="4"/>
      <c r="G244" s="45"/>
    </row>
    <row r="245" spans="2:7" s="1" customFormat="1" ht="14.25" x14ac:dyDescent="0.45">
      <c r="B245" s="4"/>
      <c r="G245" s="45"/>
    </row>
    <row r="246" spans="2:7" s="1" customFormat="1" ht="14.25" x14ac:dyDescent="0.45">
      <c r="B246" s="4"/>
      <c r="G246" s="45"/>
    </row>
    <row r="247" spans="2:7" s="1" customFormat="1" ht="14.25" x14ac:dyDescent="0.45">
      <c r="B247" s="4"/>
      <c r="G247" s="45"/>
    </row>
    <row r="248" spans="2:7" s="1" customFormat="1" ht="14.25" x14ac:dyDescent="0.45">
      <c r="B248" s="4"/>
      <c r="G248" s="45"/>
    </row>
    <row r="249" spans="2:7" s="1" customFormat="1" ht="14.25" x14ac:dyDescent="0.45">
      <c r="B249" s="4"/>
      <c r="G249" s="45"/>
    </row>
    <row r="250" spans="2:7" s="1" customFormat="1" ht="14.25" x14ac:dyDescent="0.45">
      <c r="B250" s="4"/>
      <c r="G250" s="45"/>
    </row>
    <row r="251" spans="2:7" s="1" customFormat="1" ht="14.25" x14ac:dyDescent="0.45">
      <c r="B251" s="4"/>
      <c r="G251" s="45"/>
    </row>
    <row r="252" spans="2:7" s="1" customFormat="1" ht="14.25" x14ac:dyDescent="0.45">
      <c r="B252" s="4"/>
      <c r="G252" s="45"/>
    </row>
    <row r="253" spans="2:7" s="1" customFormat="1" ht="14.25" x14ac:dyDescent="0.45">
      <c r="B253" s="4"/>
      <c r="G253" s="45"/>
    </row>
    <row r="254" spans="2:7" s="1" customFormat="1" ht="14.25" x14ac:dyDescent="0.45">
      <c r="B254" s="4"/>
      <c r="G254" s="45"/>
    </row>
    <row r="255" spans="2:7" s="1" customFormat="1" ht="14.25" x14ac:dyDescent="0.45">
      <c r="B255" s="4"/>
      <c r="G255" s="45"/>
    </row>
    <row r="256" spans="2:7" s="1" customFormat="1" ht="14.25" x14ac:dyDescent="0.45">
      <c r="B256" s="4"/>
      <c r="G256" s="45"/>
    </row>
    <row r="257" spans="2:7" s="1" customFormat="1" ht="14.25" x14ac:dyDescent="0.45">
      <c r="B257" s="4"/>
      <c r="G257" s="45"/>
    </row>
    <row r="258" spans="2:7" s="1" customFormat="1" ht="14.25" x14ac:dyDescent="0.45">
      <c r="B258" s="4"/>
      <c r="G258" s="45"/>
    </row>
    <row r="259" spans="2:7" s="1" customFormat="1" ht="14.25" x14ac:dyDescent="0.45">
      <c r="B259" s="4"/>
      <c r="G259" s="45"/>
    </row>
    <row r="260" spans="2:7" s="1" customFormat="1" ht="14.25" x14ac:dyDescent="0.45">
      <c r="B260" s="4"/>
      <c r="G260" s="45"/>
    </row>
    <row r="261" spans="2:7" s="1" customFormat="1" ht="14.25" x14ac:dyDescent="0.45">
      <c r="B261" s="4"/>
      <c r="G261" s="45"/>
    </row>
    <row r="262" spans="2:7" s="1" customFormat="1" ht="14.25" x14ac:dyDescent="0.45">
      <c r="B262" s="4"/>
      <c r="G262" s="45"/>
    </row>
    <row r="263" spans="2:7" s="1" customFormat="1" ht="14.25" x14ac:dyDescent="0.45">
      <c r="B263" s="4"/>
      <c r="G263" s="45"/>
    </row>
    <row r="264" spans="2:7" s="1" customFormat="1" ht="14.25" x14ac:dyDescent="0.45">
      <c r="B264" s="4"/>
      <c r="G264" s="45"/>
    </row>
    <row r="265" spans="2:7" s="1" customFormat="1" ht="14.25" x14ac:dyDescent="0.45">
      <c r="B265" s="4"/>
      <c r="G265" s="45"/>
    </row>
    <row r="266" spans="2:7" s="1" customFormat="1" ht="14.25" x14ac:dyDescent="0.45">
      <c r="B266" s="4"/>
      <c r="G266" s="45"/>
    </row>
    <row r="267" spans="2:7" s="1" customFormat="1" ht="14.25" x14ac:dyDescent="0.45">
      <c r="B267" s="4"/>
      <c r="G267" s="45"/>
    </row>
    <row r="268" spans="2:7" s="1" customFormat="1" ht="14.25" x14ac:dyDescent="0.45">
      <c r="B268" s="4"/>
      <c r="G268" s="45"/>
    </row>
    <row r="269" spans="2:7" s="1" customFormat="1" ht="14.25" x14ac:dyDescent="0.45">
      <c r="B269" s="4"/>
      <c r="G269" s="45"/>
    </row>
    <row r="270" spans="2:7" s="1" customFormat="1" ht="14.25" x14ac:dyDescent="0.45">
      <c r="B270" s="4"/>
      <c r="G270" s="45"/>
    </row>
    <row r="271" spans="2:7" s="1" customFormat="1" ht="14.25" x14ac:dyDescent="0.45">
      <c r="B271" s="4"/>
      <c r="G271" s="45"/>
    </row>
    <row r="272" spans="2:7" s="1" customFormat="1" ht="14.25" x14ac:dyDescent="0.45">
      <c r="B272" s="4"/>
      <c r="G272" s="45"/>
    </row>
    <row r="273" spans="2:7" s="1" customFormat="1" ht="14.25" x14ac:dyDescent="0.45">
      <c r="B273" s="4"/>
      <c r="G273" s="45"/>
    </row>
    <row r="274" spans="2:7" s="1" customFormat="1" ht="14.25" x14ac:dyDescent="0.45">
      <c r="B274" s="4"/>
      <c r="G274" s="45"/>
    </row>
    <row r="275" spans="2:7" s="1" customFormat="1" ht="14.25" x14ac:dyDescent="0.45">
      <c r="B275" s="4"/>
      <c r="G275" s="45"/>
    </row>
    <row r="276" spans="2:7" s="1" customFormat="1" ht="14.25" x14ac:dyDescent="0.45">
      <c r="B276" s="4"/>
      <c r="G276" s="45"/>
    </row>
    <row r="277" spans="2:7" s="1" customFormat="1" ht="14.25" x14ac:dyDescent="0.45">
      <c r="B277" s="4"/>
      <c r="G277" s="45"/>
    </row>
    <row r="278" spans="2:7" s="1" customFormat="1" ht="14.25" x14ac:dyDescent="0.45">
      <c r="B278" s="4"/>
      <c r="G278" s="45"/>
    </row>
    <row r="279" spans="2:7" s="1" customFormat="1" ht="14.25" x14ac:dyDescent="0.45">
      <c r="B279" s="4"/>
      <c r="G279" s="45"/>
    </row>
    <row r="280" spans="2:7" s="1" customFormat="1" ht="14.25" x14ac:dyDescent="0.45">
      <c r="B280" s="4"/>
      <c r="G280" s="45"/>
    </row>
    <row r="281" spans="2:7" s="1" customFormat="1" ht="14.25" x14ac:dyDescent="0.45">
      <c r="B281" s="4"/>
      <c r="G281" s="45"/>
    </row>
    <row r="282" spans="2:7" s="1" customFormat="1" ht="14.25" x14ac:dyDescent="0.45">
      <c r="B282" s="4"/>
      <c r="G282" s="45"/>
    </row>
    <row r="283" spans="2:7" s="1" customFormat="1" ht="14.25" x14ac:dyDescent="0.45">
      <c r="B283" s="4"/>
      <c r="G283" s="45"/>
    </row>
    <row r="284" spans="2:7" s="1" customFormat="1" ht="14.25" x14ac:dyDescent="0.45">
      <c r="B284" s="4"/>
      <c r="G284" s="45"/>
    </row>
    <row r="285" spans="2:7" s="1" customFormat="1" ht="14.25" x14ac:dyDescent="0.45">
      <c r="B285" s="4"/>
      <c r="G285" s="45"/>
    </row>
    <row r="286" spans="2:7" s="1" customFormat="1" ht="14.25" x14ac:dyDescent="0.45">
      <c r="B286" s="4"/>
      <c r="G286" s="45"/>
    </row>
    <row r="287" spans="2:7" s="1" customFormat="1" ht="14.25" x14ac:dyDescent="0.45">
      <c r="B287" s="4"/>
      <c r="G287" s="45"/>
    </row>
    <row r="288" spans="2:7" s="1" customFormat="1" ht="14.25" x14ac:dyDescent="0.45">
      <c r="B288" s="4"/>
      <c r="G288" s="45"/>
    </row>
    <row r="289" spans="2:7" s="1" customFormat="1" ht="14.25" x14ac:dyDescent="0.45">
      <c r="B289" s="4"/>
      <c r="G289" s="45"/>
    </row>
    <row r="290" spans="2:7" s="1" customFormat="1" ht="14.25" x14ac:dyDescent="0.45">
      <c r="B290" s="4"/>
      <c r="G290" s="45"/>
    </row>
    <row r="291" spans="2:7" s="1" customFormat="1" ht="14.25" x14ac:dyDescent="0.45">
      <c r="B291" s="4"/>
      <c r="G291" s="45"/>
    </row>
    <row r="292" spans="2:7" s="1" customFormat="1" ht="14.25" x14ac:dyDescent="0.45">
      <c r="B292" s="4"/>
      <c r="G292" s="45"/>
    </row>
    <row r="293" spans="2:7" s="1" customFormat="1" ht="14.25" x14ac:dyDescent="0.45">
      <c r="B293" s="4"/>
      <c r="G293" s="45"/>
    </row>
    <row r="294" spans="2:7" s="1" customFormat="1" ht="14.25" x14ac:dyDescent="0.45">
      <c r="B294" s="4"/>
      <c r="G294" s="45"/>
    </row>
    <row r="295" spans="2:7" s="1" customFormat="1" ht="14.25" x14ac:dyDescent="0.45">
      <c r="B295" s="4"/>
      <c r="G295" s="45"/>
    </row>
    <row r="296" spans="2:7" s="1" customFormat="1" ht="14.25" x14ac:dyDescent="0.45">
      <c r="B296" s="4"/>
      <c r="G296" s="45"/>
    </row>
    <row r="297" spans="2:7" s="1" customFormat="1" ht="14.25" x14ac:dyDescent="0.45">
      <c r="B297" s="4"/>
      <c r="G297" s="45"/>
    </row>
    <row r="298" spans="2:7" s="1" customFormat="1" ht="14.25" x14ac:dyDescent="0.45">
      <c r="B298" s="4"/>
      <c r="G298" s="45"/>
    </row>
    <row r="299" spans="2:7" s="1" customFormat="1" ht="14.25" x14ac:dyDescent="0.45">
      <c r="B299" s="4"/>
      <c r="G299" s="45"/>
    </row>
    <row r="300" spans="2:7" s="1" customFormat="1" ht="14.25" x14ac:dyDescent="0.45">
      <c r="B300" s="4"/>
      <c r="G300" s="45"/>
    </row>
    <row r="301" spans="2:7" s="1" customFormat="1" ht="14.25" x14ac:dyDescent="0.45">
      <c r="B301" s="4"/>
      <c r="G301" s="45"/>
    </row>
    <row r="302" spans="2:7" s="1" customFormat="1" ht="14.25" x14ac:dyDescent="0.45">
      <c r="B302" s="4"/>
      <c r="G302" s="45"/>
    </row>
    <row r="303" spans="2:7" s="1" customFormat="1" ht="14.25" x14ac:dyDescent="0.45">
      <c r="B303" s="4"/>
      <c r="G303" s="45"/>
    </row>
    <row r="304" spans="2:7" s="1" customFormat="1" ht="14.25" x14ac:dyDescent="0.45">
      <c r="B304" s="4"/>
      <c r="G304" s="45"/>
    </row>
    <row r="305" spans="2:7" s="1" customFormat="1" ht="14.25" x14ac:dyDescent="0.45">
      <c r="B305" s="4"/>
      <c r="G305" s="45"/>
    </row>
    <row r="306" spans="2:7" s="1" customFormat="1" ht="14.25" x14ac:dyDescent="0.45">
      <c r="B306" s="4"/>
      <c r="G306" s="45"/>
    </row>
    <row r="307" spans="2:7" s="1" customFormat="1" ht="14.25" x14ac:dyDescent="0.45">
      <c r="B307" s="4"/>
      <c r="G307" s="45"/>
    </row>
    <row r="308" spans="2:7" s="1" customFormat="1" ht="14.25" x14ac:dyDescent="0.45">
      <c r="B308" s="4"/>
      <c r="G308" s="45"/>
    </row>
    <row r="309" spans="2:7" s="1" customFormat="1" ht="14.25" x14ac:dyDescent="0.45">
      <c r="B309" s="4"/>
      <c r="G309" s="45"/>
    </row>
    <row r="310" spans="2:7" s="1" customFormat="1" ht="14.25" x14ac:dyDescent="0.45">
      <c r="B310" s="4"/>
      <c r="G310" s="45"/>
    </row>
    <row r="311" spans="2:7" s="1" customFormat="1" ht="14.25" x14ac:dyDescent="0.45">
      <c r="B311" s="4"/>
      <c r="G311" s="45"/>
    </row>
    <row r="312" spans="2:7" s="1" customFormat="1" ht="14.25" x14ac:dyDescent="0.45">
      <c r="B312" s="4"/>
      <c r="G312" s="45"/>
    </row>
    <row r="313" spans="2:7" s="1" customFormat="1" ht="14.25" x14ac:dyDescent="0.45">
      <c r="B313" s="4"/>
      <c r="G313" s="45"/>
    </row>
    <row r="314" spans="2:7" s="1" customFormat="1" ht="14.25" x14ac:dyDescent="0.45">
      <c r="B314" s="4"/>
      <c r="G314" s="45"/>
    </row>
    <row r="315" spans="2:7" s="1" customFormat="1" ht="14.25" x14ac:dyDescent="0.45">
      <c r="B315" s="4"/>
      <c r="G315" s="45"/>
    </row>
    <row r="316" spans="2:7" s="1" customFormat="1" ht="14.25" x14ac:dyDescent="0.45">
      <c r="B316" s="4"/>
      <c r="G316" s="45"/>
    </row>
    <row r="317" spans="2:7" s="1" customFormat="1" ht="14.25" x14ac:dyDescent="0.45">
      <c r="B317" s="4"/>
      <c r="G317" s="45"/>
    </row>
    <row r="318" spans="2:7" s="1" customFormat="1" ht="14.25" x14ac:dyDescent="0.45">
      <c r="B318" s="4"/>
      <c r="G318" s="45"/>
    </row>
    <row r="319" spans="2:7" s="1" customFormat="1" ht="14.25" x14ac:dyDescent="0.45">
      <c r="B319" s="4"/>
      <c r="G319" s="45"/>
    </row>
    <row r="320" spans="2:7" s="1" customFormat="1" ht="14.25" x14ac:dyDescent="0.45">
      <c r="B320" s="4"/>
      <c r="G320" s="45"/>
    </row>
    <row r="321" spans="2:7" s="1" customFormat="1" ht="14.25" x14ac:dyDescent="0.45">
      <c r="B321" s="4"/>
      <c r="G321" s="45"/>
    </row>
    <row r="322" spans="2:7" s="1" customFormat="1" ht="14.25" x14ac:dyDescent="0.45">
      <c r="B322" s="4"/>
      <c r="G322" s="45"/>
    </row>
    <row r="323" spans="2:7" s="1" customFormat="1" ht="14.25" x14ac:dyDescent="0.45">
      <c r="B323" s="4"/>
      <c r="G323" s="45"/>
    </row>
    <row r="324" spans="2:7" s="1" customFormat="1" ht="14.25" x14ac:dyDescent="0.45">
      <c r="B324" s="4"/>
      <c r="G324" s="45"/>
    </row>
    <row r="325" spans="2:7" s="1" customFormat="1" ht="14.25" x14ac:dyDescent="0.45">
      <c r="B325" s="4"/>
      <c r="G325" s="45"/>
    </row>
    <row r="326" spans="2:7" s="1" customFormat="1" ht="14.25" x14ac:dyDescent="0.45">
      <c r="B326" s="4"/>
      <c r="G326" s="45"/>
    </row>
    <row r="327" spans="2:7" s="1" customFormat="1" ht="14.25" x14ac:dyDescent="0.45">
      <c r="B327" s="4"/>
      <c r="G327" s="45"/>
    </row>
    <row r="328" spans="2:7" s="1" customFormat="1" ht="14.25" x14ac:dyDescent="0.45">
      <c r="B328" s="4"/>
      <c r="G328" s="45"/>
    </row>
    <row r="329" spans="2:7" s="1" customFormat="1" ht="14.25" x14ac:dyDescent="0.45">
      <c r="B329" s="4"/>
      <c r="G329" s="45"/>
    </row>
    <row r="330" spans="2:7" s="1" customFormat="1" ht="14.25" x14ac:dyDescent="0.45">
      <c r="B330" s="4"/>
      <c r="G330" s="45"/>
    </row>
    <row r="331" spans="2:7" s="1" customFormat="1" ht="14.25" x14ac:dyDescent="0.45">
      <c r="B331" s="4"/>
      <c r="G331" s="45"/>
    </row>
    <row r="332" spans="2:7" s="1" customFormat="1" ht="14.25" x14ac:dyDescent="0.45">
      <c r="B332" s="4"/>
      <c r="G332" s="45"/>
    </row>
    <row r="333" spans="2:7" s="1" customFormat="1" ht="14.25" x14ac:dyDescent="0.45">
      <c r="B333" s="4"/>
      <c r="G333" s="45"/>
    </row>
    <row r="334" spans="2:7" s="1" customFormat="1" ht="14.25" x14ac:dyDescent="0.45">
      <c r="B334" s="4"/>
      <c r="G334" s="45"/>
    </row>
    <row r="335" spans="2:7" s="1" customFormat="1" ht="14.25" x14ac:dyDescent="0.45">
      <c r="B335" s="4"/>
      <c r="G335" s="45"/>
    </row>
    <row r="336" spans="2:7" s="1" customFormat="1" ht="14.25" x14ac:dyDescent="0.45">
      <c r="B336" s="4"/>
      <c r="G336" s="45"/>
    </row>
    <row r="337" spans="2:7" s="1" customFormat="1" ht="14.25" x14ac:dyDescent="0.45">
      <c r="B337" s="4"/>
      <c r="G337" s="45"/>
    </row>
    <row r="338" spans="2:7" s="1" customFormat="1" ht="14.25" x14ac:dyDescent="0.45">
      <c r="B338" s="4"/>
      <c r="G338" s="45"/>
    </row>
    <row r="339" spans="2:7" s="1" customFormat="1" ht="14.25" x14ac:dyDescent="0.45">
      <c r="B339" s="4"/>
      <c r="G339" s="45"/>
    </row>
    <row r="340" spans="2:7" s="1" customFormat="1" ht="14.25" x14ac:dyDescent="0.45">
      <c r="B340" s="4"/>
      <c r="G340" s="45"/>
    </row>
    <row r="341" spans="2:7" s="1" customFormat="1" ht="14.25" x14ac:dyDescent="0.45">
      <c r="B341" s="4"/>
      <c r="G341" s="45"/>
    </row>
    <row r="342" spans="2:7" s="1" customFormat="1" ht="14.25" x14ac:dyDescent="0.45">
      <c r="B342" s="4"/>
      <c r="G342" s="45"/>
    </row>
    <row r="343" spans="2:7" s="1" customFormat="1" ht="14.25" x14ac:dyDescent="0.45">
      <c r="B343" s="4"/>
      <c r="G343" s="45"/>
    </row>
    <row r="344" spans="2:7" s="1" customFormat="1" ht="14.25" x14ac:dyDescent="0.45">
      <c r="B344" s="4"/>
      <c r="G344" s="45"/>
    </row>
    <row r="345" spans="2:7" s="1" customFormat="1" ht="14.25" x14ac:dyDescent="0.45">
      <c r="B345" s="4"/>
      <c r="G345" s="45"/>
    </row>
    <row r="346" spans="2:7" s="1" customFormat="1" ht="14.25" x14ac:dyDescent="0.45">
      <c r="B346" s="4"/>
      <c r="G346" s="45"/>
    </row>
    <row r="347" spans="2:7" s="1" customFormat="1" ht="14.25" x14ac:dyDescent="0.45">
      <c r="B347" s="4"/>
      <c r="G347" s="45"/>
    </row>
    <row r="348" spans="2:7" s="1" customFormat="1" ht="14.25" x14ac:dyDescent="0.45">
      <c r="B348" s="4"/>
      <c r="G348" s="45"/>
    </row>
    <row r="349" spans="2:7" s="1" customFormat="1" ht="14.25" x14ac:dyDescent="0.45">
      <c r="B349" s="4"/>
      <c r="G349" s="45"/>
    </row>
    <row r="350" spans="2:7" s="1" customFormat="1" ht="14.25" x14ac:dyDescent="0.45">
      <c r="B350" s="4"/>
      <c r="G350" s="45"/>
    </row>
    <row r="351" spans="2:7" s="1" customFormat="1" ht="14.25" x14ac:dyDescent="0.45">
      <c r="B351" s="4"/>
      <c r="G351" s="45"/>
    </row>
    <row r="352" spans="2:7" s="1" customFormat="1" ht="14.25" x14ac:dyDescent="0.45">
      <c r="B352" s="4"/>
      <c r="G352" s="45"/>
    </row>
    <row r="353" spans="2:7" s="1" customFormat="1" ht="14.25" x14ac:dyDescent="0.45">
      <c r="B353" s="4"/>
      <c r="G353" s="45"/>
    </row>
    <row r="354" spans="2:7" s="1" customFormat="1" ht="14.25" x14ac:dyDescent="0.45">
      <c r="B354" s="4"/>
      <c r="G354" s="45"/>
    </row>
    <row r="355" spans="2:7" s="1" customFormat="1" ht="14.25" x14ac:dyDescent="0.45">
      <c r="B355" s="4"/>
      <c r="G355" s="45"/>
    </row>
    <row r="356" spans="2:7" s="1" customFormat="1" ht="14.25" x14ac:dyDescent="0.45">
      <c r="B356" s="4"/>
      <c r="G356" s="45"/>
    </row>
    <row r="357" spans="2:7" s="1" customFormat="1" ht="14.25" x14ac:dyDescent="0.45">
      <c r="B357" s="4"/>
      <c r="G357" s="45"/>
    </row>
    <row r="358" spans="2:7" s="1" customFormat="1" ht="14.25" x14ac:dyDescent="0.45">
      <c r="B358" s="4"/>
      <c r="G358" s="45"/>
    </row>
    <row r="359" spans="2:7" s="1" customFormat="1" ht="14.25" x14ac:dyDescent="0.45">
      <c r="B359" s="4"/>
      <c r="G359" s="45"/>
    </row>
    <row r="360" spans="2:7" s="1" customFormat="1" ht="14.25" x14ac:dyDescent="0.45">
      <c r="B360" s="4"/>
      <c r="G360" s="45"/>
    </row>
    <row r="361" spans="2:7" s="1" customFormat="1" ht="14.25" x14ac:dyDescent="0.45">
      <c r="B361" s="4"/>
      <c r="G361" s="45"/>
    </row>
    <row r="362" spans="2:7" s="1" customFormat="1" ht="14.25" x14ac:dyDescent="0.45">
      <c r="B362" s="4"/>
      <c r="G362" s="45"/>
    </row>
    <row r="363" spans="2:7" s="1" customFormat="1" ht="14.25" x14ac:dyDescent="0.45">
      <c r="B363" s="4"/>
      <c r="G363" s="45"/>
    </row>
    <row r="364" spans="2:7" s="1" customFormat="1" ht="14.25" x14ac:dyDescent="0.45">
      <c r="B364" s="4"/>
      <c r="G364" s="45"/>
    </row>
    <row r="365" spans="2:7" s="1" customFormat="1" ht="14.25" x14ac:dyDescent="0.45">
      <c r="B365" s="4"/>
      <c r="G365" s="45"/>
    </row>
    <row r="366" spans="2:7" s="1" customFormat="1" ht="14.25" x14ac:dyDescent="0.45">
      <c r="B366" s="4"/>
      <c r="G366" s="45"/>
    </row>
    <row r="367" spans="2:7" s="1" customFormat="1" ht="14.25" x14ac:dyDescent="0.45">
      <c r="B367" s="4"/>
      <c r="G367" s="45"/>
    </row>
    <row r="368" spans="2:7" s="1" customFormat="1" ht="14.25" x14ac:dyDescent="0.45">
      <c r="B368" s="4"/>
      <c r="G368" s="45"/>
    </row>
    <row r="369" spans="2:7" s="1" customFormat="1" ht="14.25" x14ac:dyDescent="0.45">
      <c r="B369" s="4"/>
      <c r="G369" s="45"/>
    </row>
    <row r="370" spans="2:7" s="1" customFormat="1" ht="14.25" x14ac:dyDescent="0.45">
      <c r="B370" s="4"/>
      <c r="G370" s="45"/>
    </row>
    <row r="371" spans="2:7" s="1" customFormat="1" ht="14.25" x14ac:dyDescent="0.45">
      <c r="B371" s="4"/>
      <c r="G371" s="45"/>
    </row>
    <row r="372" spans="2:7" s="1" customFormat="1" ht="14.25" x14ac:dyDescent="0.45">
      <c r="B372" s="4"/>
      <c r="G372" s="45"/>
    </row>
    <row r="373" spans="2:7" s="1" customFormat="1" ht="14.25" x14ac:dyDescent="0.45">
      <c r="B373" s="4"/>
      <c r="G373" s="45"/>
    </row>
    <row r="374" spans="2:7" s="1" customFormat="1" ht="14.25" x14ac:dyDescent="0.45">
      <c r="B374" s="4"/>
      <c r="G374" s="45"/>
    </row>
    <row r="375" spans="2:7" s="1" customFormat="1" ht="14.25" x14ac:dyDescent="0.45">
      <c r="B375" s="4"/>
      <c r="G375" s="45"/>
    </row>
    <row r="376" spans="2:7" s="1" customFormat="1" ht="14.25" x14ac:dyDescent="0.45">
      <c r="B376" s="4"/>
      <c r="G376" s="45"/>
    </row>
    <row r="377" spans="2:7" s="1" customFormat="1" ht="14.25" x14ac:dyDescent="0.45">
      <c r="B377" s="4"/>
      <c r="G377" s="45"/>
    </row>
    <row r="378" spans="2:7" s="1" customFormat="1" ht="14.25" x14ac:dyDescent="0.45">
      <c r="B378" s="4"/>
      <c r="G378" s="45"/>
    </row>
    <row r="379" spans="2:7" s="1" customFormat="1" ht="14.25" x14ac:dyDescent="0.45">
      <c r="B379" s="4"/>
      <c r="G379" s="45"/>
    </row>
    <row r="380" spans="2:7" s="1" customFormat="1" ht="14.25" x14ac:dyDescent="0.45">
      <c r="B380" s="4"/>
      <c r="G380" s="45"/>
    </row>
    <row r="381" spans="2:7" s="1" customFormat="1" ht="14.25" x14ac:dyDescent="0.45">
      <c r="B381" s="4"/>
      <c r="G381" s="45"/>
    </row>
    <row r="382" spans="2:7" s="1" customFormat="1" ht="14.25" x14ac:dyDescent="0.45">
      <c r="B382" s="4"/>
      <c r="G382" s="45"/>
    </row>
    <row r="383" spans="2:7" s="1" customFormat="1" ht="14.25" x14ac:dyDescent="0.45">
      <c r="B383" s="4"/>
      <c r="G383" s="45"/>
    </row>
    <row r="384" spans="2:7" s="1" customFormat="1" ht="14.25" x14ac:dyDescent="0.45">
      <c r="B384" s="4"/>
      <c r="G384" s="45"/>
    </row>
    <row r="385" spans="2:7" s="1" customFormat="1" ht="14.25" x14ac:dyDescent="0.45">
      <c r="B385" s="4"/>
      <c r="G385" s="45"/>
    </row>
    <row r="386" spans="2:7" s="1" customFormat="1" ht="14.25" x14ac:dyDescent="0.45">
      <c r="B386" s="4"/>
      <c r="G386" s="45"/>
    </row>
    <row r="387" spans="2:7" s="1" customFormat="1" ht="14.25" x14ac:dyDescent="0.45">
      <c r="B387" s="4"/>
      <c r="G387" s="45"/>
    </row>
    <row r="388" spans="2:7" s="1" customFormat="1" ht="14.25" x14ac:dyDescent="0.45">
      <c r="B388" s="4"/>
      <c r="G388" s="45"/>
    </row>
    <row r="389" spans="2:7" s="1" customFormat="1" ht="14.25" x14ac:dyDescent="0.45">
      <c r="B389" s="4"/>
      <c r="G389" s="45"/>
    </row>
    <row r="390" spans="2:7" s="1" customFormat="1" ht="14.25" x14ac:dyDescent="0.45">
      <c r="B390" s="4"/>
      <c r="G390" s="45"/>
    </row>
    <row r="391" spans="2:7" s="1" customFormat="1" ht="14.25" x14ac:dyDescent="0.45">
      <c r="B391" s="4"/>
      <c r="G391" s="45"/>
    </row>
    <row r="392" spans="2:7" s="1" customFormat="1" ht="14.25" x14ac:dyDescent="0.45">
      <c r="B392" s="4"/>
      <c r="G392" s="45"/>
    </row>
    <row r="393" spans="2:7" s="1" customFormat="1" ht="14.25" x14ac:dyDescent="0.45">
      <c r="B393" s="4"/>
      <c r="G393" s="45"/>
    </row>
    <row r="394" spans="2:7" s="1" customFormat="1" ht="14.25" x14ac:dyDescent="0.45">
      <c r="B394" s="4"/>
      <c r="G394" s="45"/>
    </row>
    <row r="395" spans="2:7" s="1" customFormat="1" ht="14.25" x14ac:dyDescent="0.45">
      <c r="B395" s="4"/>
      <c r="G395" s="45"/>
    </row>
    <row r="396" spans="2:7" s="1" customFormat="1" ht="14.25" x14ac:dyDescent="0.45">
      <c r="B396" s="4"/>
      <c r="G396" s="45"/>
    </row>
    <row r="397" spans="2:7" s="1" customFormat="1" ht="14.25" x14ac:dyDescent="0.45">
      <c r="B397" s="4"/>
      <c r="G397" s="45"/>
    </row>
    <row r="398" spans="2:7" s="1" customFormat="1" ht="14.25" x14ac:dyDescent="0.45">
      <c r="B398" s="4"/>
      <c r="G398" s="45"/>
    </row>
    <row r="399" spans="2:7" s="1" customFormat="1" ht="14.25" x14ac:dyDescent="0.45">
      <c r="B399" s="4"/>
      <c r="G399" s="45"/>
    </row>
    <row r="400" spans="2:7" s="1" customFormat="1" ht="14.25" x14ac:dyDescent="0.45">
      <c r="B400" s="4"/>
      <c r="G400" s="45"/>
    </row>
    <row r="401" spans="1:10" s="1" customFormat="1" ht="14.25" x14ac:dyDescent="0.45">
      <c r="B401" s="4"/>
      <c r="G401" s="45"/>
    </row>
    <row r="402" spans="1:10" s="1" customFormat="1" ht="14.25" x14ac:dyDescent="0.45">
      <c r="B402" s="4"/>
      <c r="G402" s="45"/>
    </row>
    <row r="403" spans="1:10" s="1" customFormat="1" ht="14.25" x14ac:dyDescent="0.45">
      <c r="B403" s="4"/>
      <c r="G403" s="45"/>
    </row>
    <row r="404" spans="1:10" s="1" customFormat="1" ht="14.25" x14ac:dyDescent="0.45">
      <c r="B404" s="4"/>
      <c r="G404" s="45"/>
    </row>
    <row r="405" spans="1:10" s="1" customFormat="1" ht="14.25" x14ac:dyDescent="0.45">
      <c r="B405" s="4"/>
      <c r="G405" s="45"/>
    </row>
    <row r="406" spans="1:10" ht="15.4" x14ac:dyDescent="0.45">
      <c r="A406" s="1"/>
      <c r="B406" s="4"/>
      <c r="C406" s="1"/>
      <c r="D406" s="1"/>
      <c r="E406" s="1"/>
      <c r="F406" s="1"/>
      <c r="G406" s="45"/>
      <c r="H406" s="1"/>
      <c r="I406" s="1"/>
      <c r="J406" s="1"/>
    </row>
    <row r="407" spans="1:10" ht="15.4" x14ac:dyDescent="0.45">
      <c r="A407" s="1"/>
      <c r="B407" s="4"/>
      <c r="C407" s="1"/>
      <c r="D407" s="1"/>
      <c r="E407" s="1"/>
      <c r="F407" s="1"/>
      <c r="G407" s="45"/>
      <c r="H407" s="1"/>
      <c r="I407" s="1"/>
      <c r="J407" s="1"/>
    </row>
    <row r="408" spans="1:10" ht="15.4" x14ac:dyDescent="0.45">
      <c r="A408" s="1"/>
      <c r="B408" s="4"/>
      <c r="C408" s="1"/>
      <c r="D408" s="1"/>
      <c r="E408" s="1"/>
      <c r="F408" s="1"/>
      <c r="G408" s="45"/>
      <c r="H408" s="1"/>
      <c r="I408" s="1"/>
      <c r="J408" s="1"/>
    </row>
    <row r="409" spans="1:10" ht="15.4" x14ac:dyDescent="0.45">
      <c r="A409" s="1"/>
      <c r="B409" s="4"/>
      <c r="C409" s="1"/>
      <c r="D409" s="1"/>
      <c r="E409" s="1"/>
      <c r="F409" s="1"/>
      <c r="G409" s="45"/>
      <c r="H409" s="1"/>
      <c r="I409" s="1"/>
      <c r="J409" s="1"/>
    </row>
    <row r="410" spans="1:10" ht="15.4" x14ac:dyDescent="0.45">
      <c r="A410" s="1"/>
      <c r="B410" s="4"/>
      <c r="C410" s="1"/>
      <c r="D410" s="1"/>
      <c r="E410" s="1"/>
      <c r="F410" s="1"/>
      <c r="G410" s="45"/>
      <c r="H410" s="1"/>
      <c r="I410" s="1"/>
      <c r="J410" s="1"/>
    </row>
    <row r="411" spans="1:10" ht="15.4" x14ac:dyDescent="0.45">
      <c r="A411" s="1"/>
      <c r="B411" s="4"/>
      <c r="C411" s="1"/>
      <c r="D411" s="1"/>
      <c r="E411" s="1"/>
      <c r="F411" s="1"/>
      <c r="G411" s="45"/>
      <c r="H411" s="1"/>
      <c r="I411" s="1"/>
      <c r="J411" s="1"/>
    </row>
    <row r="412" spans="1:10" ht="15.4" x14ac:dyDescent="0.45">
      <c r="A412" s="1"/>
      <c r="B412" s="4"/>
      <c r="C412" s="1"/>
      <c r="D412" s="1"/>
      <c r="E412" s="1"/>
      <c r="F412" s="1"/>
      <c r="G412" s="45"/>
      <c r="H412" s="1"/>
      <c r="I412" s="1"/>
      <c r="J412" s="1"/>
    </row>
    <row r="413" spans="1:10" ht="15.4" x14ac:dyDescent="0.45">
      <c r="A413" s="1"/>
      <c r="B413" s="4"/>
      <c r="C413" s="1"/>
      <c r="D413" s="1"/>
      <c r="E413" s="1"/>
      <c r="F413" s="1"/>
      <c r="G413" s="45"/>
      <c r="H413" s="1"/>
      <c r="I413" s="1"/>
      <c r="J413" s="1"/>
    </row>
    <row r="414" spans="1:10" ht="15.4" x14ac:dyDescent="0.45">
      <c r="A414" s="1"/>
      <c r="B414" s="4"/>
      <c r="C414" s="1"/>
      <c r="D414" s="1"/>
      <c r="E414" s="1"/>
      <c r="F414" s="1"/>
      <c r="G414" s="45"/>
      <c r="H414" s="1"/>
      <c r="I414" s="1"/>
      <c r="J414" s="1"/>
    </row>
    <row r="415" spans="1:10" ht="15.4" x14ac:dyDescent="0.45">
      <c r="A415" s="1"/>
      <c r="B415" s="4"/>
      <c r="C415" s="1"/>
      <c r="D415" s="1"/>
      <c r="E415" s="1"/>
      <c r="F415" s="1"/>
      <c r="G415" s="45"/>
      <c r="H415" s="1"/>
      <c r="I415" s="1"/>
      <c r="J415" s="1"/>
    </row>
    <row r="416" spans="1:10" ht="15.4" x14ac:dyDescent="0.45">
      <c r="A416" s="1"/>
      <c r="B416" s="4"/>
      <c r="C416" s="1"/>
      <c r="D416" s="1"/>
      <c r="E416" s="1"/>
      <c r="F416" s="1"/>
      <c r="G416" s="45"/>
      <c r="H416" s="1"/>
      <c r="I416" s="1"/>
      <c r="J416" s="1"/>
    </row>
    <row r="417" spans="1:10" ht="15.4" x14ac:dyDescent="0.45">
      <c r="A417" s="1"/>
      <c r="B417" s="4"/>
      <c r="C417" s="1"/>
      <c r="D417" s="1"/>
      <c r="E417" s="1"/>
      <c r="F417" s="1"/>
      <c r="G417" s="45"/>
      <c r="H417" s="1"/>
      <c r="I417" s="1"/>
      <c r="J417" s="1"/>
    </row>
    <row r="418" spans="1:10" ht="15.4" x14ac:dyDescent="0.45">
      <c r="A418" s="1"/>
      <c r="B418" s="4"/>
      <c r="C418" s="1"/>
      <c r="D418" s="1"/>
      <c r="E418" s="1"/>
      <c r="F418" s="1"/>
      <c r="G418" s="45"/>
      <c r="H418" s="1"/>
      <c r="I418" s="1"/>
      <c r="J418" s="1"/>
    </row>
  </sheetData>
  <mergeCells count="27">
    <mergeCell ref="E119:F119"/>
    <mergeCell ref="E90:F90"/>
    <mergeCell ref="D111:E111"/>
    <mergeCell ref="D118:E118"/>
    <mergeCell ref="E105:F105"/>
    <mergeCell ref="D81:E81"/>
    <mergeCell ref="D89:E89"/>
    <mergeCell ref="D104:E104"/>
    <mergeCell ref="D96:E96"/>
    <mergeCell ref="E60:F60"/>
    <mergeCell ref="E75:F75"/>
    <mergeCell ref="E133:F133"/>
    <mergeCell ref="A1:H1"/>
    <mergeCell ref="A2:H2"/>
    <mergeCell ref="B5:G5"/>
    <mergeCell ref="E26:F26"/>
    <mergeCell ref="D24:E24"/>
    <mergeCell ref="D14:E14"/>
    <mergeCell ref="D43:E43"/>
    <mergeCell ref="D34:E34"/>
    <mergeCell ref="D51:E51"/>
    <mergeCell ref="E44:F44"/>
    <mergeCell ref="D59:E59"/>
    <mergeCell ref="D66:E66"/>
    <mergeCell ref="D74:E74"/>
    <mergeCell ref="D124:E124"/>
    <mergeCell ref="D132:E132"/>
  </mergeCells>
  <pageMargins left="0.7" right="0.7" top="0.75" bottom="0.75" header="0.3" footer="0.3"/>
  <pageSetup scale="92" fitToHeight="5" orientation="landscape" horizontalDpi="4294967293" verticalDpi="0" r:id="rId1"/>
  <rowBreaks count="2" manualBreakCount="2">
    <brk id="49" max="9" man="1"/>
    <brk id="94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9882F-454F-43CA-BD3D-B445A15C0325}">
  <sheetPr>
    <pageSetUpPr fitToPage="1"/>
  </sheetPr>
  <dimension ref="A1:N418"/>
  <sheetViews>
    <sheetView showGridLines="0" zoomScaleNormal="100" workbookViewId="0">
      <selection activeCell="G11" sqref="G11:G12"/>
    </sheetView>
  </sheetViews>
  <sheetFormatPr defaultRowHeight="15" x14ac:dyDescent="0.4"/>
  <cols>
    <col min="1" max="1" width="7.77734375" customWidth="1"/>
    <col min="2" max="2" width="8" style="102" customWidth="1"/>
    <col min="3" max="4" width="10.5546875" customWidth="1"/>
    <col min="5" max="6" width="12.609375" customWidth="1"/>
    <col min="7" max="7" width="12.609375" style="109" customWidth="1"/>
    <col min="8" max="9" width="12.609375" customWidth="1"/>
    <col min="10" max="10" width="9.88671875" bestFit="1" customWidth="1"/>
    <col min="11" max="12" width="8.77734375" customWidth="1"/>
  </cols>
  <sheetData>
    <row r="1" spans="1:14" ht="21" x14ac:dyDescent="0.65">
      <c r="A1" s="330" t="s">
        <v>286</v>
      </c>
      <c r="B1" s="330"/>
      <c r="C1" s="330"/>
      <c r="D1" s="330"/>
      <c r="E1" s="330"/>
      <c r="F1" s="330"/>
      <c r="G1" s="330"/>
      <c r="H1" s="330"/>
      <c r="I1" s="1"/>
      <c r="J1" s="1"/>
      <c r="K1" s="1"/>
      <c r="L1" s="1"/>
      <c r="M1" s="1"/>
      <c r="N1" s="1"/>
    </row>
    <row r="2" spans="1:14" ht="18" x14ac:dyDescent="0.45">
      <c r="A2" s="331" t="str">
        <f>SAO!A2</f>
        <v>NORTH SHELBY WATER COMPANY</v>
      </c>
      <c r="B2" s="331"/>
      <c r="C2" s="331"/>
      <c r="D2" s="331"/>
      <c r="E2" s="331"/>
      <c r="F2" s="331"/>
      <c r="G2" s="331"/>
      <c r="H2" s="331"/>
      <c r="I2" s="1"/>
      <c r="J2" s="1"/>
      <c r="K2" s="1"/>
      <c r="L2" s="1"/>
      <c r="M2" s="1"/>
      <c r="N2" s="1"/>
    </row>
    <row r="3" spans="1:14" ht="18" x14ac:dyDescent="0.45">
      <c r="A3" s="29"/>
      <c r="B3" s="99"/>
      <c r="C3" s="29"/>
      <c r="D3" s="29"/>
      <c r="E3" s="29"/>
      <c r="F3" s="29"/>
      <c r="G3" s="104"/>
      <c r="H3" s="29"/>
      <c r="I3" s="1"/>
      <c r="J3" s="1"/>
      <c r="K3" s="1"/>
      <c r="L3" s="1"/>
      <c r="M3" s="1"/>
      <c r="N3" s="1"/>
    </row>
    <row r="4" spans="1:14" ht="15.4" x14ac:dyDescent="0.45">
      <c r="A4" s="92"/>
      <c r="B4" s="100"/>
      <c r="C4" s="93"/>
      <c r="D4" s="93"/>
      <c r="E4" s="93"/>
      <c r="F4" s="93"/>
      <c r="G4" s="105"/>
      <c r="H4" s="93"/>
      <c r="I4" s="1"/>
      <c r="J4" s="1"/>
      <c r="K4" s="1"/>
      <c r="L4" s="1"/>
      <c r="M4" s="1"/>
      <c r="N4" s="1"/>
    </row>
    <row r="5" spans="1:14" ht="15.75" x14ac:dyDescent="0.45">
      <c r="A5" s="1"/>
      <c r="B5" s="332" t="s">
        <v>49</v>
      </c>
      <c r="C5" s="332"/>
      <c r="D5" s="332"/>
      <c r="E5" s="332"/>
      <c r="F5" s="332"/>
      <c r="G5" s="332"/>
      <c r="H5" s="1"/>
      <c r="I5" s="1"/>
      <c r="J5" s="1"/>
      <c r="K5" s="1"/>
      <c r="L5" s="1"/>
      <c r="M5" s="1"/>
      <c r="N5" s="1"/>
    </row>
    <row r="6" spans="1:14" s="1" customFormat="1" ht="14.25" x14ac:dyDescent="0.45">
      <c r="B6" s="4" t="s">
        <v>117</v>
      </c>
      <c r="C6" s="97"/>
      <c r="D6" s="271" t="s">
        <v>51</v>
      </c>
      <c r="E6" s="295" t="s">
        <v>52</v>
      </c>
      <c r="F6" s="88"/>
      <c r="G6" s="106" t="s">
        <v>55</v>
      </c>
    </row>
    <row r="7" spans="1:14" s="1" customFormat="1" ht="14.25" x14ac:dyDescent="0.45">
      <c r="B7" s="4" t="s">
        <v>212</v>
      </c>
      <c r="D7" s="128">
        <f>C27+C45+C61+C76+C91</f>
        <v>64254</v>
      </c>
      <c r="E7" s="4">
        <f>D32+D49+D64+D79+D94</f>
        <v>425447200</v>
      </c>
      <c r="F7" s="89"/>
      <c r="G7" s="21">
        <f>G32+G49+G64+G79+G94</f>
        <v>3473174</v>
      </c>
    </row>
    <row r="8" spans="1:14" s="1" customFormat="1" ht="16.5" x14ac:dyDescent="0.75">
      <c r="B8" s="4" t="s">
        <v>121</v>
      </c>
      <c r="C8" s="94"/>
      <c r="D8" s="103"/>
      <c r="E8" s="41"/>
      <c r="F8" s="41"/>
      <c r="G8" s="274">
        <f>[3]Sheet1!$D$25</f>
        <v>-39254.559999999998</v>
      </c>
    </row>
    <row r="9" spans="1:14" s="1" customFormat="1" ht="14.25" x14ac:dyDescent="0.45">
      <c r="B9" s="4" t="s">
        <v>122</v>
      </c>
      <c r="C9" s="94"/>
      <c r="D9" s="38"/>
      <c r="E9" s="89"/>
      <c r="F9" s="89"/>
      <c r="G9" s="21">
        <f>G7+G8</f>
        <v>3433919.44</v>
      </c>
    </row>
    <row r="10" spans="1:14" s="1" customFormat="1" ht="16.5" x14ac:dyDescent="0.75">
      <c r="B10" s="4" t="s">
        <v>285</v>
      </c>
      <c r="C10" s="94"/>
      <c r="D10" s="38"/>
      <c r="E10" s="41"/>
      <c r="F10" s="91"/>
      <c r="G10" s="274">
        <f>'Revenue Requirements'!H9</f>
        <v>3433372.4878498283</v>
      </c>
    </row>
    <row r="11" spans="1:14" s="1" customFormat="1" ht="14.25" x14ac:dyDescent="0.45">
      <c r="B11" s="4" t="s">
        <v>68</v>
      </c>
      <c r="C11" s="94"/>
      <c r="D11" s="38"/>
      <c r="E11" s="89"/>
      <c r="F11" s="89"/>
      <c r="G11" s="21">
        <f>G9-G10</f>
        <v>546.95215017162263</v>
      </c>
      <c r="H11" s="1" t="s">
        <v>190</v>
      </c>
    </row>
    <row r="12" spans="1:14" s="1" customFormat="1" ht="14.25" x14ac:dyDescent="0.45">
      <c r="B12" s="4" t="s">
        <v>275</v>
      </c>
      <c r="C12" s="94"/>
      <c r="D12" s="38"/>
      <c r="E12" s="70"/>
      <c r="F12" s="89"/>
      <c r="G12" s="297">
        <f>G11/G10</f>
        <v>1.5930463475990483E-4</v>
      </c>
    </row>
    <row r="13" spans="1:14" s="1" customFormat="1" ht="14.25" x14ac:dyDescent="0.45">
      <c r="B13" s="4"/>
      <c r="C13" s="94"/>
      <c r="D13" s="38"/>
      <c r="E13" s="89"/>
      <c r="F13" s="89"/>
      <c r="G13" s="45"/>
    </row>
    <row r="14" spans="1:14" s="1" customFormat="1" ht="14.25" x14ac:dyDescent="0.45">
      <c r="A14" s="121" t="s">
        <v>211</v>
      </c>
      <c r="B14" s="4"/>
      <c r="C14" s="94"/>
      <c r="D14" s="333" t="s">
        <v>253</v>
      </c>
      <c r="E14" s="333"/>
      <c r="F14" s="89"/>
      <c r="G14" s="45"/>
    </row>
    <row r="15" spans="1:14" s="1" customFormat="1" ht="14.25" x14ac:dyDescent="0.45">
      <c r="A15" s="121"/>
      <c r="B15" s="4"/>
      <c r="C15" s="94"/>
      <c r="D15" s="288"/>
      <c r="E15" s="96" t="s">
        <v>199</v>
      </c>
      <c r="F15" s="96" t="s">
        <v>200</v>
      </c>
      <c r="G15" s="96" t="s">
        <v>200</v>
      </c>
      <c r="H15" s="96" t="s">
        <v>200</v>
      </c>
      <c r="I15" s="235" t="s">
        <v>201</v>
      </c>
    </row>
    <row r="16" spans="1:14" s="1" customFormat="1" ht="14.25" x14ac:dyDescent="0.45">
      <c r="B16" s="101" t="s">
        <v>50</v>
      </c>
      <c r="C16" s="88" t="s">
        <v>51</v>
      </c>
      <c r="D16" s="88" t="s">
        <v>52</v>
      </c>
      <c r="E16" s="263">
        <f>B17</f>
        <v>2000</v>
      </c>
      <c r="F16" s="263">
        <f>B18</f>
        <v>3000</v>
      </c>
      <c r="G16" s="263">
        <f>B19</f>
        <v>5000</v>
      </c>
      <c r="H16" s="263">
        <f>B20</f>
        <v>40000</v>
      </c>
      <c r="I16" s="264">
        <f>B21</f>
        <v>50000</v>
      </c>
      <c r="J16" s="96" t="s">
        <v>12</v>
      </c>
    </row>
    <row r="17" spans="1:10" s="1" customFormat="1" ht="14.35" customHeight="1" x14ac:dyDescent="0.45">
      <c r="A17" s="96" t="s">
        <v>199</v>
      </c>
      <c r="B17" s="4">
        <f>'Rates DSCM'!D10</f>
        <v>2000</v>
      </c>
      <c r="C17" s="20">
        <f>ExBA!C17</f>
        <v>16103</v>
      </c>
      <c r="D17" s="20">
        <f>ExBA!D17</f>
        <v>14808900</v>
      </c>
      <c r="E17" s="264">
        <f>D17</f>
        <v>14808900</v>
      </c>
      <c r="F17" s="264"/>
      <c r="G17" s="264"/>
      <c r="H17" s="264"/>
      <c r="I17" s="264"/>
      <c r="J17" s="4">
        <f>SUM(E17:I17)</f>
        <v>14808900</v>
      </c>
    </row>
    <row r="18" spans="1:10" s="1" customFormat="1" ht="14.35" customHeight="1" x14ac:dyDescent="0.45">
      <c r="A18" s="96" t="s">
        <v>200</v>
      </c>
      <c r="B18" s="4">
        <f>'Rates DSCM'!D11</f>
        <v>3000</v>
      </c>
      <c r="C18" s="20">
        <f>ExBA!C18</f>
        <v>27521</v>
      </c>
      <c r="D18" s="20">
        <f>ExBA!D18</f>
        <v>91121700</v>
      </c>
      <c r="E18" s="264">
        <f>C18*E16</f>
        <v>55042000</v>
      </c>
      <c r="F18" s="264">
        <f>D18-E18</f>
        <v>36079700</v>
      </c>
      <c r="G18" s="264"/>
      <c r="H18" s="264"/>
      <c r="I18" s="264"/>
      <c r="J18" s="4">
        <f>SUM(E18:I18)</f>
        <v>91121700</v>
      </c>
    </row>
    <row r="19" spans="1:10" s="1" customFormat="1" ht="14.35" customHeight="1" x14ac:dyDescent="0.45">
      <c r="A19" s="96" t="s">
        <v>200</v>
      </c>
      <c r="B19" s="4">
        <f>'Rates DSCM'!D12</f>
        <v>5000</v>
      </c>
      <c r="C19" s="20">
        <f>ExBA!C19</f>
        <v>13676</v>
      </c>
      <c r="D19" s="20">
        <f>ExBA!D19</f>
        <v>92199800</v>
      </c>
      <c r="E19" s="264">
        <f>C19*E16</f>
        <v>27352000</v>
      </c>
      <c r="F19" s="264">
        <f>C19*F16</f>
        <v>41028000</v>
      </c>
      <c r="G19" s="264">
        <f>D19-E19-F19</f>
        <v>23819800</v>
      </c>
      <c r="H19" s="264"/>
      <c r="I19" s="264"/>
      <c r="J19" s="4">
        <f>SUM(E19:I19)</f>
        <v>92199800</v>
      </c>
    </row>
    <row r="20" spans="1:10" s="1" customFormat="1" ht="14.35" customHeight="1" x14ac:dyDescent="0.45">
      <c r="A20" s="96" t="s">
        <v>200</v>
      </c>
      <c r="B20" s="4">
        <f>'Rates DSCM'!D13</f>
        <v>40000</v>
      </c>
      <c r="C20" s="20">
        <f>ExBA!C20</f>
        <v>5394</v>
      </c>
      <c r="D20" s="20">
        <f>ExBA!D20</f>
        <v>96275500</v>
      </c>
      <c r="E20" s="264">
        <f>C20*E16</f>
        <v>10788000</v>
      </c>
      <c r="F20" s="264">
        <f>C20*F16</f>
        <v>16182000</v>
      </c>
      <c r="G20" s="264">
        <f>C20*G16</f>
        <v>26970000</v>
      </c>
      <c r="H20" s="264">
        <f>D20-E20-F20-G20</f>
        <v>42335500</v>
      </c>
      <c r="I20" s="264"/>
      <c r="J20" s="4">
        <f>SUM(E20:I20)</f>
        <v>96275500</v>
      </c>
    </row>
    <row r="21" spans="1:10" s="1" customFormat="1" ht="14.35" customHeight="1" x14ac:dyDescent="0.75">
      <c r="A21" s="235" t="s">
        <v>201</v>
      </c>
      <c r="B21" s="4">
        <f>'Rates DSCM'!D14</f>
        <v>50000</v>
      </c>
      <c r="C21" s="20">
        <f>ExBA!C21</f>
        <v>296</v>
      </c>
      <c r="D21" s="20">
        <f>ExBA!D21</f>
        <v>29435700</v>
      </c>
      <c r="E21" s="41">
        <f>C21*E16</f>
        <v>592000</v>
      </c>
      <c r="F21" s="41">
        <f>C21*F16</f>
        <v>888000</v>
      </c>
      <c r="G21" s="41">
        <f>C21*G16</f>
        <v>1480000</v>
      </c>
      <c r="H21" s="41">
        <f>C21*H16</f>
        <v>11840000</v>
      </c>
      <c r="I21" s="41">
        <f>D21-E21-F21-G21-H21</f>
        <v>14635700</v>
      </c>
      <c r="J21" s="41">
        <f>SUM(E21:I21)</f>
        <v>29435700</v>
      </c>
    </row>
    <row r="22" spans="1:10" s="1" customFormat="1" ht="14.35" customHeight="1" x14ac:dyDescent="0.45">
      <c r="A22" s="96"/>
      <c r="B22" s="4"/>
      <c r="C22" s="20">
        <f t="shared" ref="C22:J22" si="0">SUM(C17:C21)</f>
        <v>62990</v>
      </c>
      <c r="D22" s="4">
        <f t="shared" si="0"/>
        <v>323841600</v>
      </c>
      <c r="E22" s="4">
        <f t="shared" si="0"/>
        <v>108582900</v>
      </c>
      <c r="F22" s="4">
        <f t="shared" si="0"/>
        <v>94177700</v>
      </c>
      <c r="G22" s="4">
        <f t="shared" si="0"/>
        <v>52269800</v>
      </c>
      <c r="H22" s="4">
        <f t="shared" si="0"/>
        <v>54175500</v>
      </c>
      <c r="I22" s="4">
        <f t="shared" si="0"/>
        <v>14635700</v>
      </c>
      <c r="J22" s="4">
        <f t="shared" si="0"/>
        <v>323841600</v>
      </c>
    </row>
    <row r="23" spans="1:10" s="1" customFormat="1" ht="14.35" customHeight="1" x14ac:dyDescent="0.45">
      <c r="B23" s="4"/>
      <c r="C23" s="94"/>
      <c r="D23" s="38"/>
      <c r="E23" s="89"/>
      <c r="F23" s="89"/>
      <c r="G23" s="45"/>
    </row>
    <row r="24" spans="1:10" s="1" customFormat="1" ht="14.35" customHeight="1" x14ac:dyDescent="0.45">
      <c r="A24" s="121" t="s">
        <v>210</v>
      </c>
      <c r="D24" s="333" t="s">
        <v>253</v>
      </c>
      <c r="E24" s="333"/>
      <c r="F24" s="121"/>
      <c r="G24" s="121"/>
      <c r="I24" s="4"/>
      <c r="J24" s="95"/>
    </row>
    <row r="25" spans="1:10" s="1" customFormat="1" ht="14.35" customHeight="1" x14ac:dyDescent="0.45">
      <c r="A25" s="121"/>
      <c r="D25" s="288"/>
      <c r="E25" s="288"/>
      <c r="F25" s="121"/>
      <c r="G25" s="121"/>
      <c r="I25" s="4"/>
      <c r="J25" s="95"/>
    </row>
    <row r="26" spans="1:10" s="1" customFormat="1" ht="14.35" customHeight="1" x14ac:dyDescent="0.45">
      <c r="B26" s="101" t="s">
        <v>50</v>
      </c>
      <c r="C26" s="88" t="s">
        <v>51</v>
      </c>
      <c r="D26" s="88" t="s">
        <v>52</v>
      </c>
      <c r="E26" s="329" t="s">
        <v>54</v>
      </c>
      <c r="F26" s="329"/>
      <c r="G26" s="106" t="s">
        <v>55</v>
      </c>
      <c r="H26" s="18"/>
    </row>
    <row r="27" spans="1:10" s="1" customFormat="1" ht="14.35" customHeight="1" x14ac:dyDescent="0.45">
      <c r="A27" s="96" t="s">
        <v>199</v>
      </c>
      <c r="B27" s="4">
        <f>'Rates DSCM'!D10</f>
        <v>2000</v>
      </c>
      <c r="C27" s="20">
        <f>C22</f>
        <v>62990</v>
      </c>
      <c r="D27" s="20">
        <f>E22</f>
        <v>108582900</v>
      </c>
      <c r="E27" s="236">
        <f>'Rates DSCM'!H10</f>
        <v>23.08</v>
      </c>
      <c r="F27" s="47" t="s">
        <v>113</v>
      </c>
      <c r="G27" s="107">
        <f>ROUND(C27*E27,0)</f>
        <v>1453809</v>
      </c>
      <c r="H27" s="20"/>
    </row>
    <row r="28" spans="1:10" s="1" customFormat="1" ht="14.35" customHeight="1" x14ac:dyDescent="0.45">
      <c r="A28" s="96" t="s">
        <v>200</v>
      </c>
      <c r="B28" s="4">
        <f>'Rates DSCM'!D11</f>
        <v>3000</v>
      </c>
      <c r="C28" s="20"/>
      <c r="D28" s="20">
        <f>F22</f>
        <v>94177700</v>
      </c>
      <c r="E28" s="237">
        <f>'Rates DSCM'!H11</f>
        <v>7.8100000000000001E-3</v>
      </c>
      <c r="F28" s="47" t="s">
        <v>197</v>
      </c>
      <c r="G28" s="107">
        <f>ROUND(D28*E28,0)</f>
        <v>735528</v>
      </c>
      <c r="H28" s="20"/>
    </row>
    <row r="29" spans="1:10" s="1" customFormat="1" ht="14.35" customHeight="1" x14ac:dyDescent="0.45">
      <c r="A29" s="96" t="s">
        <v>200</v>
      </c>
      <c r="B29" s="4">
        <f>'Rates DSCM'!D12</f>
        <v>5000</v>
      </c>
      <c r="C29" s="20"/>
      <c r="D29" s="20">
        <f>G22</f>
        <v>52269800</v>
      </c>
      <c r="E29" s="237">
        <f>'Rates DSCM'!H12</f>
        <v>6.4200000000000004E-3</v>
      </c>
      <c r="F29" s="47" t="s">
        <v>197</v>
      </c>
      <c r="G29" s="107">
        <f t="shared" ref="G29:G31" si="1">ROUND(D29*E29,0)</f>
        <v>335572</v>
      </c>
      <c r="H29" s="20"/>
    </row>
    <row r="30" spans="1:10" s="1" customFormat="1" ht="14.35" customHeight="1" x14ac:dyDescent="0.45">
      <c r="A30" s="96" t="s">
        <v>200</v>
      </c>
      <c r="B30" s="4">
        <f>'Rates DSCM'!D13</f>
        <v>40000</v>
      </c>
      <c r="C30" s="20"/>
      <c r="D30" s="20">
        <f>H22</f>
        <v>54175500</v>
      </c>
      <c r="E30" s="237">
        <f>'Rates DSCM'!H13</f>
        <v>5.7200000000000003E-3</v>
      </c>
      <c r="F30" s="47" t="s">
        <v>197</v>
      </c>
      <c r="G30" s="107">
        <f t="shared" si="1"/>
        <v>309884</v>
      </c>
      <c r="H30" s="20"/>
    </row>
    <row r="31" spans="1:10" s="1" customFormat="1" ht="14.35" customHeight="1" x14ac:dyDescent="0.75">
      <c r="A31" s="235" t="s">
        <v>201</v>
      </c>
      <c r="B31" s="4">
        <f>'Rates DSCM'!D14</f>
        <v>50000</v>
      </c>
      <c r="C31" s="90"/>
      <c r="D31" s="90">
        <f>I22</f>
        <v>14635700</v>
      </c>
      <c r="E31" s="237">
        <f>'Rates DSCM'!H14</f>
        <v>5.0299999999999997E-3</v>
      </c>
      <c r="F31" s="47" t="s">
        <v>197</v>
      </c>
      <c r="G31" s="108">
        <f t="shared" si="1"/>
        <v>73618</v>
      </c>
      <c r="H31" s="90"/>
    </row>
    <row r="32" spans="1:10" s="1" customFormat="1" ht="14.35" customHeight="1" x14ac:dyDescent="0.45">
      <c r="A32" s="96"/>
      <c r="B32" s="4"/>
      <c r="C32" s="20"/>
      <c r="D32" s="259">
        <f>SUM(D27:D31)</f>
        <v>323841600</v>
      </c>
      <c r="E32" s="20"/>
      <c r="F32" s="20"/>
      <c r="G32" s="107">
        <f>SUM(G27:G31)</f>
        <v>2908411</v>
      </c>
      <c r="H32" s="20"/>
    </row>
    <row r="33" spans="1:9" s="1" customFormat="1" ht="14.35" customHeight="1" x14ac:dyDescent="0.45">
      <c r="A33" s="96"/>
      <c r="B33" s="4"/>
      <c r="C33" s="20"/>
      <c r="D33" s="4"/>
      <c r="E33" s="20"/>
      <c r="F33" s="20"/>
      <c r="G33" s="107"/>
    </row>
    <row r="34" spans="1:9" s="1" customFormat="1" ht="14.35" customHeight="1" x14ac:dyDescent="0.45">
      <c r="A34" s="121" t="s">
        <v>211</v>
      </c>
      <c r="B34" s="4"/>
      <c r="C34" s="94"/>
      <c r="D34" s="333" t="s">
        <v>118</v>
      </c>
      <c r="E34" s="333"/>
      <c r="F34" s="89"/>
      <c r="G34" s="45"/>
    </row>
    <row r="35" spans="1:9" s="1" customFormat="1" ht="14.35" customHeight="1" x14ac:dyDescent="0.45">
      <c r="A35" s="121"/>
      <c r="B35" s="4"/>
      <c r="C35" s="94"/>
      <c r="D35" s="288"/>
      <c r="E35" s="96" t="s">
        <v>199</v>
      </c>
      <c r="F35" s="96" t="s">
        <v>200</v>
      </c>
      <c r="G35" s="96" t="s">
        <v>200</v>
      </c>
      <c r="H35" s="96" t="s">
        <v>201</v>
      </c>
    </row>
    <row r="36" spans="1:9" s="1" customFormat="1" ht="14.35" customHeight="1" x14ac:dyDescent="0.45">
      <c r="B36" s="101" t="s">
        <v>50</v>
      </c>
      <c r="C36" s="88" t="s">
        <v>51</v>
      </c>
      <c r="D36" s="88" t="s">
        <v>52</v>
      </c>
      <c r="E36" s="263">
        <f>B37</f>
        <v>5000</v>
      </c>
      <c r="F36" s="263">
        <f>B38</f>
        <v>5000</v>
      </c>
      <c r="G36" s="263">
        <f>B39</f>
        <v>40000</v>
      </c>
      <c r="H36" s="263">
        <f>B40</f>
        <v>50000</v>
      </c>
      <c r="I36" s="96" t="s">
        <v>12</v>
      </c>
    </row>
    <row r="37" spans="1:9" s="1" customFormat="1" ht="14.35" customHeight="1" x14ac:dyDescent="0.45">
      <c r="A37" s="96" t="s">
        <v>199</v>
      </c>
      <c r="B37" s="4">
        <f>'Rates DSCM'!D17</f>
        <v>5000</v>
      </c>
      <c r="C37" s="20">
        <f>ExBA!C37</f>
        <v>506</v>
      </c>
      <c r="D37" s="20">
        <f>ExBA!D37</f>
        <v>937500</v>
      </c>
      <c r="E37" s="264">
        <f>D37</f>
        <v>937500</v>
      </c>
      <c r="F37" s="264"/>
      <c r="G37" s="264"/>
      <c r="H37" s="264"/>
      <c r="I37" s="89">
        <f t="shared" ref="I37:I39" si="2">SUM(E37:H37)</f>
        <v>937500</v>
      </c>
    </row>
    <row r="38" spans="1:9" s="1" customFormat="1" ht="14.35" customHeight="1" x14ac:dyDescent="0.45">
      <c r="A38" s="96" t="s">
        <v>200</v>
      </c>
      <c r="B38" s="4">
        <f>'Rates DSCM'!D18</f>
        <v>5000</v>
      </c>
      <c r="C38" s="20">
        <f>ExBA!C38</f>
        <v>238</v>
      </c>
      <c r="D38" s="20">
        <f>ExBA!D38</f>
        <v>1663000</v>
      </c>
      <c r="E38" s="264">
        <f>C38*E36</f>
        <v>1190000</v>
      </c>
      <c r="F38" s="264">
        <f>D38-E38</f>
        <v>473000</v>
      </c>
      <c r="G38" s="264"/>
      <c r="H38" s="264"/>
      <c r="I38" s="89">
        <f t="shared" si="2"/>
        <v>1663000</v>
      </c>
    </row>
    <row r="39" spans="1:9" s="1" customFormat="1" ht="14.35" customHeight="1" x14ac:dyDescent="0.45">
      <c r="A39" s="96" t="s">
        <v>200</v>
      </c>
      <c r="B39" s="4">
        <f>'Rates DSCM'!D19</f>
        <v>40000</v>
      </c>
      <c r="C39" s="20">
        <f>ExBA!C39</f>
        <v>161</v>
      </c>
      <c r="D39" s="20">
        <f>ExBA!D39</f>
        <v>3089200</v>
      </c>
      <c r="E39" s="264">
        <f>C39*E36</f>
        <v>805000</v>
      </c>
      <c r="F39" s="264">
        <f>C39*F36</f>
        <v>805000</v>
      </c>
      <c r="G39" s="264">
        <f>D39-E39-F39</f>
        <v>1479200</v>
      </c>
      <c r="H39" s="264"/>
      <c r="I39" s="89">
        <f t="shared" si="2"/>
        <v>3089200</v>
      </c>
    </row>
    <row r="40" spans="1:9" s="1" customFormat="1" ht="14.35" customHeight="1" x14ac:dyDescent="0.75">
      <c r="A40" s="96" t="s">
        <v>201</v>
      </c>
      <c r="B40" s="4">
        <f>'Rates DSCM'!D20</f>
        <v>50000</v>
      </c>
      <c r="C40" s="20">
        <f>ExBA!C40</f>
        <v>23</v>
      </c>
      <c r="D40" s="20">
        <f>ExBA!D40</f>
        <v>2198000</v>
      </c>
      <c r="E40" s="265">
        <f>C40*E36</f>
        <v>115000</v>
      </c>
      <c r="F40" s="265">
        <f>C40*F36</f>
        <v>115000</v>
      </c>
      <c r="G40" s="265">
        <f>C40*G36</f>
        <v>920000</v>
      </c>
      <c r="H40" s="265">
        <f>D40-E40-F40-G40</f>
        <v>1048000</v>
      </c>
      <c r="I40" s="91">
        <f>SUM(E40:H40)</f>
        <v>2198000</v>
      </c>
    </row>
    <row r="41" spans="1:9" s="1" customFormat="1" ht="14.35" customHeight="1" x14ac:dyDescent="0.45">
      <c r="A41" s="96"/>
      <c r="B41" s="4"/>
      <c r="C41" s="20">
        <f t="shared" ref="C41:I41" si="3">SUM(C37:C40)</f>
        <v>928</v>
      </c>
      <c r="D41" s="4">
        <f t="shared" si="3"/>
        <v>7887700</v>
      </c>
      <c r="E41" s="4">
        <f t="shared" si="3"/>
        <v>3047500</v>
      </c>
      <c r="F41" s="4">
        <f t="shared" si="3"/>
        <v>1393000</v>
      </c>
      <c r="G41" s="4">
        <f t="shared" si="3"/>
        <v>2399200</v>
      </c>
      <c r="H41" s="4">
        <f t="shared" si="3"/>
        <v>1048000</v>
      </c>
      <c r="I41" s="4">
        <f t="shared" si="3"/>
        <v>7887700</v>
      </c>
    </row>
    <row r="42" spans="1:9" s="1" customFormat="1" ht="14.35" customHeight="1" x14ac:dyDescent="0.45">
      <c r="A42" s="96"/>
      <c r="B42" s="4"/>
      <c r="C42" s="20"/>
      <c r="D42" s="4"/>
      <c r="E42" s="4"/>
      <c r="F42" s="4"/>
      <c r="G42" s="4"/>
      <c r="H42" s="4"/>
      <c r="I42" s="4"/>
    </row>
    <row r="43" spans="1:9" s="1" customFormat="1" ht="14.35" customHeight="1" x14ac:dyDescent="0.45">
      <c r="A43" s="121" t="s">
        <v>210</v>
      </c>
      <c r="C43" s="121"/>
      <c r="D43" s="333" t="s">
        <v>118</v>
      </c>
      <c r="E43" s="333"/>
      <c r="F43" s="121"/>
      <c r="G43" s="121"/>
    </row>
    <row r="44" spans="1:9" s="1" customFormat="1" ht="14.35" customHeight="1" x14ac:dyDescent="0.45">
      <c r="B44" s="101" t="s">
        <v>50</v>
      </c>
      <c r="C44" s="88" t="s">
        <v>51</v>
      </c>
      <c r="D44" s="88" t="s">
        <v>52</v>
      </c>
      <c r="E44" s="329" t="s">
        <v>54</v>
      </c>
      <c r="F44" s="329"/>
      <c r="G44" s="106" t="s">
        <v>55</v>
      </c>
    </row>
    <row r="45" spans="1:9" s="1" customFormat="1" ht="14.35" customHeight="1" x14ac:dyDescent="0.45">
      <c r="A45" s="96" t="s">
        <v>199</v>
      </c>
      <c r="B45" s="4">
        <f>'Rates DSCM'!D17</f>
        <v>5000</v>
      </c>
      <c r="C45" s="89">
        <f>C41</f>
        <v>928</v>
      </c>
      <c r="D45" s="89">
        <f>E41</f>
        <v>3047500</v>
      </c>
      <c r="E45" s="236">
        <f>'Rates DSCM'!H17</f>
        <v>46.51</v>
      </c>
      <c r="F45" s="47" t="s">
        <v>113</v>
      </c>
      <c r="G45" s="107">
        <f>ROUND(C45*E45,0)</f>
        <v>43161</v>
      </c>
    </row>
    <row r="46" spans="1:9" s="1" customFormat="1" ht="14.35" customHeight="1" x14ac:dyDescent="0.45">
      <c r="A46" s="96" t="s">
        <v>200</v>
      </c>
      <c r="B46" s="4">
        <f>'Rates DSCM'!D18</f>
        <v>5000</v>
      </c>
      <c r="D46" s="89">
        <f>F41</f>
        <v>1393000</v>
      </c>
      <c r="E46" s="237">
        <f>'Rates DSCM'!H18</f>
        <v>6.4200000000000004E-3</v>
      </c>
      <c r="F46" s="47" t="s">
        <v>197</v>
      </c>
      <c r="G46" s="107">
        <f t="shared" ref="G46:G48" si="4">ROUND(D46*E46,0)</f>
        <v>8943</v>
      </c>
    </row>
    <row r="47" spans="1:9" s="1" customFormat="1" ht="14.35" customHeight="1" x14ac:dyDescent="0.45">
      <c r="A47" s="96" t="s">
        <v>200</v>
      </c>
      <c r="B47" s="4">
        <f>'Rates DSCM'!D19</f>
        <v>40000</v>
      </c>
      <c r="D47" s="89">
        <f>G41</f>
        <v>2399200</v>
      </c>
      <c r="E47" s="237">
        <f>'Rates DSCM'!H19</f>
        <v>5.7200000000000003E-3</v>
      </c>
      <c r="F47" s="47" t="s">
        <v>197</v>
      </c>
      <c r="G47" s="107">
        <f t="shared" si="4"/>
        <v>13723</v>
      </c>
    </row>
    <row r="48" spans="1:9" s="1" customFormat="1" ht="14.35" customHeight="1" x14ac:dyDescent="0.75">
      <c r="A48" s="235" t="s">
        <v>201</v>
      </c>
      <c r="B48" s="4">
        <f>'Rates DSCM'!D20</f>
        <v>50000</v>
      </c>
      <c r="C48" s="82"/>
      <c r="D48" s="266">
        <f>H41</f>
        <v>1048000</v>
      </c>
      <c r="E48" s="237">
        <f>'Rates DSCM'!H20</f>
        <v>5.0299999999999997E-3</v>
      </c>
      <c r="F48" s="47" t="s">
        <v>197</v>
      </c>
      <c r="G48" s="108">
        <f t="shared" si="4"/>
        <v>5271</v>
      </c>
    </row>
    <row r="49" spans="1:8" s="1" customFormat="1" ht="14.35" customHeight="1" x14ac:dyDescent="0.45">
      <c r="B49" s="4"/>
      <c r="C49" s="15"/>
      <c r="D49" s="4">
        <f>SUM(D45:D48)</f>
        <v>7887700</v>
      </c>
      <c r="G49" s="107">
        <f>SUM(G45:G48)</f>
        <v>71098</v>
      </c>
    </row>
    <row r="50" spans="1:8" s="1" customFormat="1" ht="14.35" customHeight="1" x14ac:dyDescent="0.45">
      <c r="B50" s="4"/>
      <c r="C50" s="15"/>
      <c r="D50" s="4"/>
      <c r="G50" s="107"/>
    </row>
    <row r="51" spans="1:8" s="1" customFormat="1" ht="14.35" customHeight="1" x14ac:dyDescent="0.45">
      <c r="A51" s="121" t="s">
        <v>211</v>
      </c>
      <c r="B51" s="4"/>
      <c r="C51" s="94"/>
      <c r="D51" s="333" t="s">
        <v>119</v>
      </c>
      <c r="E51" s="333"/>
      <c r="F51" s="89"/>
      <c r="G51" s="45"/>
    </row>
    <row r="52" spans="1:8" s="1" customFormat="1" ht="14.35" customHeight="1" x14ac:dyDescent="0.45">
      <c r="A52" s="121"/>
      <c r="B52" s="4"/>
      <c r="C52" s="94"/>
      <c r="D52" s="288"/>
      <c r="E52" s="96" t="s">
        <v>199</v>
      </c>
      <c r="F52" s="96" t="s">
        <v>200</v>
      </c>
      <c r="G52" s="96" t="s">
        <v>201</v>
      </c>
      <c r="H52" s="96"/>
    </row>
    <row r="53" spans="1:8" s="1" customFormat="1" ht="14.35" customHeight="1" x14ac:dyDescent="0.45">
      <c r="B53" s="101" t="s">
        <v>50</v>
      </c>
      <c r="C53" s="88" t="s">
        <v>51</v>
      </c>
      <c r="D53" s="88" t="s">
        <v>52</v>
      </c>
      <c r="E53" s="263">
        <f>B54</f>
        <v>10000</v>
      </c>
      <c r="F53" s="263">
        <f>B55</f>
        <v>40000</v>
      </c>
      <c r="G53" s="263">
        <f>B56</f>
        <v>50000</v>
      </c>
      <c r="H53" s="263" t="s">
        <v>12</v>
      </c>
    </row>
    <row r="54" spans="1:8" s="1" customFormat="1" ht="14.35" customHeight="1" x14ac:dyDescent="0.45">
      <c r="A54" s="96" t="s">
        <v>199</v>
      </c>
      <c r="B54" s="4">
        <f>'Rates DSCM'!D23</f>
        <v>10000</v>
      </c>
      <c r="C54" s="20">
        <f>ExBA!C54</f>
        <v>58</v>
      </c>
      <c r="D54" s="20">
        <f>ExBA!D54</f>
        <v>117000</v>
      </c>
      <c r="E54" s="264">
        <f>D54</f>
        <v>117000</v>
      </c>
      <c r="F54" s="264"/>
      <c r="G54" s="264"/>
      <c r="H54" s="264">
        <f>SUM(E54:G54)</f>
        <v>117000</v>
      </c>
    </row>
    <row r="55" spans="1:8" s="1" customFormat="1" ht="14.35" customHeight="1" x14ac:dyDescent="0.45">
      <c r="A55" s="96" t="s">
        <v>200</v>
      </c>
      <c r="B55" s="4">
        <f>'Rates DSCM'!D24</f>
        <v>40000</v>
      </c>
      <c r="C55" s="20">
        <f>ExBA!C55</f>
        <v>14</v>
      </c>
      <c r="D55" s="20">
        <f>ExBA!D55</f>
        <v>328400</v>
      </c>
      <c r="E55" s="264">
        <f>C55*E53</f>
        <v>140000</v>
      </c>
      <c r="F55" s="264">
        <f>D55-E55</f>
        <v>188400</v>
      </c>
      <c r="G55" s="264"/>
      <c r="H55" s="264">
        <f t="shared" ref="H55:H56" si="5">SUM(E55:G55)</f>
        <v>328400</v>
      </c>
    </row>
    <row r="56" spans="1:8" s="1" customFormat="1" ht="14.35" customHeight="1" x14ac:dyDescent="0.75">
      <c r="A56" s="96" t="s">
        <v>201</v>
      </c>
      <c r="B56" s="4">
        <f>'Rates DSCM'!D25</f>
        <v>50000</v>
      </c>
      <c r="C56" s="20">
        <f>ExBA!C56</f>
        <v>41</v>
      </c>
      <c r="D56" s="20">
        <f>ExBA!D56</f>
        <v>7297800</v>
      </c>
      <c r="E56" s="265">
        <f>C56*E53</f>
        <v>410000</v>
      </c>
      <c r="F56" s="265">
        <f>C56*F53</f>
        <v>1640000</v>
      </c>
      <c r="G56" s="265">
        <f>D56-E56-F56</f>
        <v>5247800</v>
      </c>
      <c r="H56" s="265">
        <f t="shared" si="5"/>
        <v>7297800</v>
      </c>
    </row>
    <row r="57" spans="1:8" s="1" customFormat="1" ht="14.35" customHeight="1" x14ac:dyDescent="0.45">
      <c r="A57" s="96"/>
      <c r="B57" s="4"/>
      <c r="C57" s="20">
        <f t="shared" ref="C57:H57" si="6">SUM(C54:C56)</f>
        <v>113</v>
      </c>
      <c r="D57" s="20">
        <f t="shared" si="6"/>
        <v>7743200</v>
      </c>
      <c r="E57" s="4">
        <f t="shared" si="6"/>
        <v>667000</v>
      </c>
      <c r="F57" s="4">
        <f t="shared" si="6"/>
        <v>1828400</v>
      </c>
      <c r="G57" s="4">
        <f t="shared" si="6"/>
        <v>5247800</v>
      </c>
      <c r="H57" s="4">
        <f t="shared" si="6"/>
        <v>7743200</v>
      </c>
    </row>
    <row r="58" spans="1:8" s="1" customFormat="1" ht="14.35" customHeight="1" x14ac:dyDescent="0.45">
      <c r="B58" s="4"/>
      <c r="G58" s="45"/>
    </row>
    <row r="59" spans="1:8" s="1" customFormat="1" ht="14.35" customHeight="1" x14ac:dyDescent="0.45">
      <c r="A59" s="121" t="s">
        <v>210</v>
      </c>
      <c r="B59" s="4"/>
      <c r="C59" s="94"/>
      <c r="D59" s="333" t="s">
        <v>119</v>
      </c>
      <c r="E59" s="333"/>
      <c r="F59" s="121"/>
      <c r="G59" s="121"/>
    </row>
    <row r="60" spans="1:8" s="1" customFormat="1" ht="14.35" customHeight="1" x14ac:dyDescent="0.45">
      <c r="B60" s="101" t="s">
        <v>50</v>
      </c>
      <c r="C60" s="88" t="s">
        <v>51</v>
      </c>
      <c r="D60" s="88" t="s">
        <v>52</v>
      </c>
      <c r="E60" s="329" t="s">
        <v>54</v>
      </c>
      <c r="F60" s="329"/>
      <c r="G60" s="106" t="s">
        <v>55</v>
      </c>
    </row>
    <row r="61" spans="1:8" s="1" customFormat="1" ht="14.35" customHeight="1" x14ac:dyDescent="0.45">
      <c r="A61" s="96" t="s">
        <v>199</v>
      </c>
      <c r="B61" s="4">
        <f>'Rates DSCM'!D23</f>
        <v>10000</v>
      </c>
      <c r="C61" s="89">
        <f>C57</f>
        <v>113</v>
      </c>
      <c r="D61" s="89">
        <f>E57</f>
        <v>667000</v>
      </c>
      <c r="E61" s="81">
        <f>'Rates DSCM'!H23</f>
        <v>78.61</v>
      </c>
      <c r="F61" s="47" t="s">
        <v>113</v>
      </c>
      <c r="G61" s="107">
        <f>ROUND(C61*E61,0)</f>
        <v>8883</v>
      </c>
    </row>
    <row r="62" spans="1:8" s="1" customFormat="1" ht="14.35" customHeight="1" x14ac:dyDescent="0.45">
      <c r="A62" s="96" t="s">
        <v>200</v>
      </c>
      <c r="B62" s="4">
        <f>'Rates DSCM'!D24</f>
        <v>40000</v>
      </c>
      <c r="D62" s="89">
        <f>F57</f>
        <v>1828400</v>
      </c>
      <c r="E62" s="258">
        <f>'Rates DSCM'!H24</f>
        <v>5.7200000000000003E-3</v>
      </c>
      <c r="F62" s="47" t="s">
        <v>197</v>
      </c>
      <c r="G62" s="107">
        <f t="shared" ref="G62:G63" si="7">ROUND(D62*E62,0)</f>
        <v>10458</v>
      </c>
    </row>
    <row r="63" spans="1:8" s="1" customFormat="1" ht="14.35" customHeight="1" x14ac:dyDescent="0.75">
      <c r="A63" s="235" t="s">
        <v>201</v>
      </c>
      <c r="B63" s="4">
        <f>'Rates DSCM'!D25</f>
        <v>50000</v>
      </c>
      <c r="C63" s="82"/>
      <c r="D63" s="266">
        <f>G57</f>
        <v>5247800</v>
      </c>
      <c r="E63" s="258">
        <f>'Rates DSCM'!H25</f>
        <v>5.0299999999999997E-3</v>
      </c>
      <c r="F63" s="47" t="s">
        <v>197</v>
      </c>
      <c r="G63" s="108">
        <f t="shared" si="7"/>
        <v>26396</v>
      </c>
    </row>
    <row r="64" spans="1:8" s="1" customFormat="1" ht="14.35" customHeight="1" x14ac:dyDescent="0.45">
      <c r="B64" s="4"/>
      <c r="C64" s="210"/>
      <c r="D64" s="4">
        <f>SUM(D61:D63)</f>
        <v>7743200</v>
      </c>
      <c r="G64" s="210">
        <f>SUM(G61:G63)</f>
        <v>45737</v>
      </c>
    </row>
    <row r="65" spans="1:8" s="1" customFormat="1" ht="14.35" customHeight="1" x14ac:dyDescent="0.45">
      <c r="B65" s="4"/>
      <c r="C65" s="210"/>
      <c r="D65" s="4"/>
      <c r="G65" s="210"/>
    </row>
    <row r="66" spans="1:8" s="1" customFormat="1" ht="14.35" customHeight="1" x14ac:dyDescent="0.45">
      <c r="A66" s="121" t="s">
        <v>211</v>
      </c>
      <c r="B66" s="4"/>
      <c r="C66" s="94"/>
      <c r="D66" s="333" t="s">
        <v>120</v>
      </c>
      <c r="E66" s="333"/>
      <c r="F66" s="89"/>
      <c r="G66" s="45"/>
    </row>
    <row r="67" spans="1:8" s="1" customFormat="1" ht="14.35" customHeight="1" x14ac:dyDescent="0.45">
      <c r="A67" s="121"/>
      <c r="B67" s="4"/>
      <c r="C67" s="94"/>
      <c r="D67" s="288"/>
      <c r="E67" s="96" t="s">
        <v>199</v>
      </c>
      <c r="F67" s="96" t="s">
        <v>200</v>
      </c>
      <c r="G67" s="96" t="s">
        <v>201</v>
      </c>
      <c r="H67" s="96"/>
    </row>
    <row r="68" spans="1:8" s="1" customFormat="1" ht="14.35" customHeight="1" x14ac:dyDescent="0.45">
      <c r="B68" s="101" t="s">
        <v>50</v>
      </c>
      <c r="C68" s="88" t="s">
        <v>51</v>
      </c>
      <c r="D68" s="88" t="s">
        <v>52</v>
      </c>
      <c r="E68" s="263">
        <f>B69</f>
        <v>15000</v>
      </c>
      <c r="F68" s="263">
        <f>B70</f>
        <v>35000</v>
      </c>
      <c r="G68" s="263">
        <f>B71</f>
        <v>50000</v>
      </c>
      <c r="H68" s="263" t="s">
        <v>12</v>
      </c>
    </row>
    <row r="69" spans="1:8" s="1" customFormat="1" ht="14.35" customHeight="1" x14ac:dyDescent="0.45">
      <c r="A69" s="96" t="s">
        <v>199</v>
      </c>
      <c r="B69" s="4">
        <f>'Rates DSCM'!D28</f>
        <v>15000</v>
      </c>
      <c r="C69" s="20">
        <f>ExBA!C69</f>
        <v>51</v>
      </c>
      <c r="D69" s="20">
        <f>ExBA!D69</f>
        <v>328700</v>
      </c>
      <c r="E69" s="264">
        <f>D69</f>
        <v>328700</v>
      </c>
      <c r="F69" s="264"/>
      <c r="G69" s="264"/>
      <c r="H69" s="264">
        <f>SUM(E69:G69)</f>
        <v>328700</v>
      </c>
    </row>
    <row r="70" spans="1:8" s="1" customFormat="1" ht="14.35" customHeight="1" x14ac:dyDescent="0.45">
      <c r="A70" s="96" t="s">
        <v>200</v>
      </c>
      <c r="B70" s="4">
        <f>'Rates DSCM'!D29</f>
        <v>35000</v>
      </c>
      <c r="C70" s="20">
        <f>ExBA!C70</f>
        <v>38</v>
      </c>
      <c r="D70" s="20">
        <f>ExBA!D70</f>
        <v>1081900</v>
      </c>
      <c r="E70" s="264">
        <f>C70*E68</f>
        <v>570000</v>
      </c>
      <c r="F70" s="264">
        <f>D70-E70</f>
        <v>511900</v>
      </c>
      <c r="G70" s="264"/>
      <c r="H70" s="264">
        <f t="shared" ref="H70:H71" si="8">SUM(E70:G70)</f>
        <v>1081900</v>
      </c>
    </row>
    <row r="71" spans="1:8" s="1" customFormat="1" ht="14.35" customHeight="1" x14ac:dyDescent="0.75">
      <c r="A71" s="96" t="s">
        <v>201</v>
      </c>
      <c r="B71" s="4">
        <f>'Rates DSCM'!D30</f>
        <v>50000</v>
      </c>
      <c r="C71" s="20">
        <f>ExBA!C71</f>
        <v>74</v>
      </c>
      <c r="D71" s="20">
        <f>ExBA!D71</f>
        <v>11679300</v>
      </c>
      <c r="E71" s="265">
        <f>C71*E68</f>
        <v>1110000</v>
      </c>
      <c r="F71" s="265">
        <f>C71*F68</f>
        <v>2590000</v>
      </c>
      <c r="G71" s="265">
        <f>D71-E71-F71</f>
        <v>7979300</v>
      </c>
      <c r="H71" s="265">
        <f t="shared" si="8"/>
        <v>11679300</v>
      </c>
    </row>
    <row r="72" spans="1:8" s="1" customFormat="1" ht="14.35" customHeight="1" x14ac:dyDescent="0.45">
      <c r="A72" s="96"/>
      <c r="B72" s="4"/>
      <c r="C72" s="20">
        <f t="shared" ref="C72:H72" si="9">SUM(C69:C71)</f>
        <v>163</v>
      </c>
      <c r="D72" s="4">
        <f t="shared" si="9"/>
        <v>13089900</v>
      </c>
      <c r="E72" s="4">
        <f t="shared" si="9"/>
        <v>2008700</v>
      </c>
      <c r="F72" s="4">
        <f t="shared" si="9"/>
        <v>3101900</v>
      </c>
      <c r="G72" s="4">
        <f t="shared" si="9"/>
        <v>7979300</v>
      </c>
      <c r="H72" s="4">
        <f t="shared" si="9"/>
        <v>13089900</v>
      </c>
    </row>
    <row r="73" spans="1:8" s="1" customFormat="1" ht="14.35" customHeight="1" x14ac:dyDescent="0.45">
      <c r="B73" s="4"/>
      <c r="G73" s="45"/>
    </row>
    <row r="74" spans="1:8" s="1" customFormat="1" ht="14.35" customHeight="1" x14ac:dyDescent="0.45">
      <c r="A74" s="121" t="s">
        <v>210</v>
      </c>
      <c r="B74" s="121"/>
      <c r="C74" s="121"/>
      <c r="D74" s="333" t="s">
        <v>120</v>
      </c>
      <c r="E74" s="333"/>
      <c r="F74" s="121"/>
      <c r="G74" s="121"/>
    </row>
    <row r="75" spans="1:8" s="1" customFormat="1" ht="14.35" customHeight="1" x14ac:dyDescent="0.45">
      <c r="B75" s="101" t="s">
        <v>50</v>
      </c>
      <c r="C75" s="88" t="s">
        <v>51</v>
      </c>
      <c r="D75" s="88" t="s">
        <v>52</v>
      </c>
      <c r="E75" s="329" t="s">
        <v>54</v>
      </c>
      <c r="F75" s="329"/>
      <c r="G75" s="106" t="s">
        <v>55</v>
      </c>
    </row>
    <row r="76" spans="1:8" s="1" customFormat="1" ht="14.35" customHeight="1" x14ac:dyDescent="0.45">
      <c r="A76" s="96" t="s">
        <v>199</v>
      </c>
      <c r="B76" s="4">
        <f>'Rates DSCM'!D28</f>
        <v>15000</v>
      </c>
      <c r="C76" s="89">
        <f>C72</f>
        <v>163</v>
      </c>
      <c r="D76" s="89">
        <f>E72</f>
        <v>2008700</v>
      </c>
      <c r="E76" s="81">
        <f>'Rates DSCM'!H28</f>
        <v>107.21</v>
      </c>
      <c r="F76" s="47" t="s">
        <v>113</v>
      </c>
      <c r="G76" s="107">
        <f>ROUND(C76*E76,0)</f>
        <v>17475</v>
      </c>
    </row>
    <row r="77" spans="1:8" s="1" customFormat="1" ht="14.35" customHeight="1" x14ac:dyDescent="0.45">
      <c r="A77" s="96" t="s">
        <v>200</v>
      </c>
      <c r="B77" s="4">
        <f>'Rates DSCM'!D29</f>
        <v>35000</v>
      </c>
      <c r="D77" s="89">
        <f>F72</f>
        <v>3101900</v>
      </c>
      <c r="E77" s="257">
        <f>'Rates DSCM'!H29</f>
        <v>5.7200000000000003E-3</v>
      </c>
      <c r="F77" s="47" t="s">
        <v>197</v>
      </c>
      <c r="G77" s="107">
        <f t="shared" ref="G77:G78" si="10">ROUND(D77*E77,0)</f>
        <v>17743</v>
      </c>
    </row>
    <row r="78" spans="1:8" s="1" customFormat="1" ht="14.35" customHeight="1" x14ac:dyDescent="0.75">
      <c r="A78" s="235" t="s">
        <v>201</v>
      </c>
      <c r="B78" s="4">
        <f>'Rates DSCM'!D30</f>
        <v>50000</v>
      </c>
      <c r="C78" s="82"/>
      <c r="D78" s="266">
        <f>G72</f>
        <v>7979300</v>
      </c>
      <c r="E78" s="257">
        <f>'Rates DSCM'!H30</f>
        <v>5.0299999999999997E-3</v>
      </c>
      <c r="F78" s="47" t="s">
        <v>197</v>
      </c>
      <c r="G78" s="108">
        <f t="shared" si="10"/>
        <v>40136</v>
      </c>
    </row>
    <row r="79" spans="1:8" s="1" customFormat="1" ht="14.35" customHeight="1" x14ac:dyDescent="0.45">
      <c r="B79" s="4"/>
      <c r="C79" s="210"/>
      <c r="D79" s="4">
        <f>SUM(D76:D78)</f>
        <v>13089900</v>
      </c>
      <c r="G79" s="210">
        <f>SUM(G76:G78)</f>
        <v>75354</v>
      </c>
    </row>
    <row r="80" spans="1:8" s="1" customFormat="1" ht="14.35" customHeight="1" x14ac:dyDescent="0.45">
      <c r="B80" s="4"/>
      <c r="C80" s="210"/>
      <c r="D80" s="4"/>
      <c r="G80" s="210"/>
    </row>
    <row r="81" spans="1:8" s="1" customFormat="1" ht="14.35" customHeight="1" x14ac:dyDescent="0.45">
      <c r="A81" s="121" t="s">
        <v>211</v>
      </c>
      <c r="B81" s="4"/>
      <c r="C81" s="94"/>
      <c r="D81" s="333" t="s">
        <v>206</v>
      </c>
      <c r="E81" s="333"/>
      <c r="F81" s="89"/>
      <c r="G81" s="45"/>
    </row>
    <row r="82" spans="1:8" s="1" customFormat="1" ht="14.35" customHeight="1" x14ac:dyDescent="0.45">
      <c r="A82" s="121"/>
      <c r="B82" s="4"/>
      <c r="C82" s="94"/>
      <c r="D82" s="288"/>
      <c r="E82" s="96" t="s">
        <v>199</v>
      </c>
      <c r="F82" s="96" t="s">
        <v>200</v>
      </c>
      <c r="G82" s="96" t="s">
        <v>201</v>
      </c>
      <c r="H82" s="96"/>
    </row>
    <row r="83" spans="1:8" s="1" customFormat="1" ht="14.35" customHeight="1" x14ac:dyDescent="0.45">
      <c r="B83" s="101" t="s">
        <v>50</v>
      </c>
      <c r="C83" s="88" t="s">
        <v>51</v>
      </c>
      <c r="D83" s="88" t="s">
        <v>52</v>
      </c>
      <c r="E83" s="263">
        <f>B84</f>
        <v>35000</v>
      </c>
      <c r="F83" s="263">
        <f>B85</f>
        <v>15000</v>
      </c>
      <c r="G83" s="263">
        <f>B86</f>
        <v>50000</v>
      </c>
      <c r="H83" s="263" t="s">
        <v>12</v>
      </c>
    </row>
    <row r="84" spans="1:8" s="1" customFormat="1" ht="14.35" customHeight="1" x14ac:dyDescent="0.45">
      <c r="A84" s="96" t="s">
        <v>199</v>
      </c>
      <c r="B84" s="4">
        <f>'Rates DSCM'!D33</f>
        <v>35000</v>
      </c>
      <c r="C84" s="20">
        <f>ExBA!C84</f>
        <v>18</v>
      </c>
      <c r="D84" s="20">
        <f>ExBA!D84</f>
        <v>72700</v>
      </c>
      <c r="E84" s="264">
        <f>D84</f>
        <v>72700</v>
      </c>
      <c r="F84" s="264"/>
      <c r="G84" s="264"/>
      <c r="H84" s="264">
        <f>SUM(E84:G84)</f>
        <v>72700</v>
      </c>
    </row>
    <row r="85" spans="1:8" s="1" customFormat="1" ht="14.35" customHeight="1" x14ac:dyDescent="0.45">
      <c r="A85" s="96" t="s">
        <v>200</v>
      </c>
      <c r="B85" s="4">
        <f>'Rates DSCM'!D34</f>
        <v>15000</v>
      </c>
      <c r="C85" s="20">
        <f>ExBA!C85</f>
        <v>1</v>
      </c>
      <c r="D85" s="20">
        <f>ExBA!D85</f>
        <v>37400</v>
      </c>
      <c r="E85" s="264">
        <f>C85*E83</f>
        <v>35000</v>
      </c>
      <c r="F85" s="264">
        <f>D85-E85</f>
        <v>2400</v>
      </c>
      <c r="G85" s="264"/>
      <c r="H85" s="264">
        <f t="shared" ref="H85:H86" si="11">SUM(E85:G85)</f>
        <v>37400</v>
      </c>
    </row>
    <row r="86" spans="1:8" s="1" customFormat="1" ht="14.35" customHeight="1" x14ac:dyDescent="0.75">
      <c r="A86" s="96" t="s">
        <v>200</v>
      </c>
      <c r="B86" s="4">
        <f>'Rates DSCM'!D35</f>
        <v>50000</v>
      </c>
      <c r="C86" s="20">
        <f>ExBA!C86</f>
        <v>41</v>
      </c>
      <c r="D86" s="20">
        <f>ExBA!D86</f>
        <v>72774700</v>
      </c>
      <c r="E86" s="265">
        <f>C86*E83</f>
        <v>1435000</v>
      </c>
      <c r="F86" s="265">
        <f>C86*F83</f>
        <v>615000</v>
      </c>
      <c r="G86" s="265">
        <f>D86-E86-F86</f>
        <v>70724700</v>
      </c>
      <c r="H86" s="265">
        <f t="shared" si="11"/>
        <v>72774700</v>
      </c>
    </row>
    <row r="87" spans="1:8" s="1" customFormat="1" ht="14.35" customHeight="1" x14ac:dyDescent="0.45">
      <c r="A87" s="96"/>
      <c r="B87" s="4"/>
      <c r="C87" s="20">
        <f t="shared" ref="C87:H87" si="12">SUM(C84:C86)</f>
        <v>60</v>
      </c>
      <c r="D87" s="4">
        <f t="shared" si="12"/>
        <v>72884800</v>
      </c>
      <c r="E87" s="4">
        <f t="shared" si="12"/>
        <v>1542700</v>
      </c>
      <c r="F87" s="4">
        <f t="shared" si="12"/>
        <v>617400</v>
      </c>
      <c r="G87" s="4">
        <f t="shared" si="12"/>
        <v>70724700</v>
      </c>
      <c r="H87" s="4">
        <f t="shared" si="12"/>
        <v>72884800</v>
      </c>
    </row>
    <row r="88" spans="1:8" s="1" customFormat="1" ht="14.35" customHeight="1" x14ac:dyDescent="0.45">
      <c r="B88" s="4"/>
      <c r="G88" s="45"/>
    </row>
    <row r="89" spans="1:8" s="1" customFormat="1" ht="14.35" customHeight="1" x14ac:dyDescent="0.45">
      <c r="A89" s="121" t="s">
        <v>210</v>
      </c>
      <c r="C89" s="121"/>
      <c r="D89" s="333" t="s">
        <v>206</v>
      </c>
      <c r="E89" s="333"/>
      <c r="F89" s="121"/>
      <c r="G89" s="121"/>
    </row>
    <row r="90" spans="1:8" s="1" customFormat="1" ht="14.35" customHeight="1" x14ac:dyDescent="0.45">
      <c r="B90" s="101" t="s">
        <v>50</v>
      </c>
      <c r="C90" s="88" t="s">
        <v>51</v>
      </c>
      <c r="D90" s="88" t="s">
        <v>52</v>
      </c>
      <c r="E90" s="329" t="s">
        <v>54</v>
      </c>
      <c r="F90" s="329"/>
      <c r="G90" s="106" t="s">
        <v>55</v>
      </c>
    </row>
    <row r="91" spans="1:8" s="1" customFormat="1" ht="14.35" customHeight="1" x14ac:dyDescent="0.45">
      <c r="A91" s="96" t="s">
        <v>199</v>
      </c>
      <c r="B91" s="4">
        <f>'Rates DSCM'!D33</f>
        <v>35000</v>
      </c>
      <c r="C91" s="89">
        <f>C87</f>
        <v>60</v>
      </c>
      <c r="D91" s="89">
        <f>E87</f>
        <v>1542700</v>
      </c>
      <c r="E91" s="81">
        <f>'Rates DSCM'!H33</f>
        <v>221.61</v>
      </c>
      <c r="F91" s="47" t="s">
        <v>113</v>
      </c>
      <c r="G91" s="107">
        <f>ROUND(C91*E91,0)</f>
        <v>13297</v>
      </c>
    </row>
    <row r="92" spans="1:8" s="1" customFormat="1" ht="14.35" customHeight="1" x14ac:dyDescent="0.45">
      <c r="A92" s="96" t="s">
        <v>200</v>
      </c>
      <c r="B92" s="4">
        <f>'Rates DSCM'!D34</f>
        <v>15000</v>
      </c>
      <c r="D92" s="89">
        <f>F87</f>
        <v>617400</v>
      </c>
      <c r="E92" s="258">
        <f>'Rates DSCM'!H34</f>
        <v>5.7200000000000003E-3</v>
      </c>
      <c r="F92" s="47" t="s">
        <v>197</v>
      </c>
      <c r="G92" s="107">
        <f t="shared" ref="G92:G93" si="13">ROUND(D92*E92,0)</f>
        <v>3532</v>
      </c>
    </row>
    <row r="93" spans="1:8" s="1" customFormat="1" ht="14.35" customHeight="1" x14ac:dyDescent="0.75">
      <c r="A93" s="235" t="s">
        <v>201</v>
      </c>
      <c r="B93" s="4">
        <f>'Rates DSCM'!D35</f>
        <v>50000</v>
      </c>
      <c r="C93" s="82"/>
      <c r="D93" s="266">
        <f>G87</f>
        <v>70724700</v>
      </c>
      <c r="E93" s="258">
        <f>'Rates DSCM'!H35</f>
        <v>5.0299999999999997E-3</v>
      </c>
      <c r="F93" s="47" t="s">
        <v>197</v>
      </c>
      <c r="G93" s="108">
        <f t="shared" si="13"/>
        <v>355745</v>
      </c>
    </row>
    <row r="94" spans="1:8" s="1" customFormat="1" ht="14.35" customHeight="1" x14ac:dyDescent="0.45">
      <c r="B94" s="4"/>
      <c r="C94" s="210"/>
      <c r="D94" s="4">
        <f>SUM(D91:D93)</f>
        <v>72884800</v>
      </c>
      <c r="G94" s="210">
        <f>SUM(G91:G93)</f>
        <v>372574</v>
      </c>
    </row>
    <row r="95" spans="1:8" s="1" customFormat="1" ht="14.35" customHeight="1" x14ac:dyDescent="0.45">
      <c r="B95" s="4"/>
      <c r="C95" s="210"/>
      <c r="D95" s="260"/>
      <c r="G95" s="210"/>
    </row>
    <row r="96" spans="1:8" s="1" customFormat="1" ht="14.35" customHeight="1" x14ac:dyDescent="0.45">
      <c r="A96" s="121"/>
      <c r="B96" s="4"/>
      <c r="C96" s="94"/>
      <c r="D96" s="333"/>
      <c r="E96" s="333"/>
      <c r="F96" s="89"/>
      <c r="G96" s="45"/>
    </row>
    <row r="97" spans="1:8" s="1" customFormat="1" ht="14.35" customHeight="1" x14ac:dyDescent="0.45">
      <c r="A97" s="121"/>
      <c r="B97" s="4"/>
      <c r="C97" s="94"/>
      <c r="D97" s="288"/>
      <c r="E97" s="96"/>
      <c r="F97" s="96"/>
      <c r="G97" s="96"/>
    </row>
    <row r="98" spans="1:8" s="1" customFormat="1" ht="14.35" customHeight="1" x14ac:dyDescent="0.45">
      <c r="B98" s="101"/>
      <c r="C98" s="88"/>
      <c r="D98" s="88"/>
      <c r="E98" s="263"/>
      <c r="F98" s="263"/>
      <c r="G98" s="263"/>
      <c r="H98" s="96"/>
    </row>
    <row r="99" spans="1:8" s="1" customFormat="1" ht="14.35" customHeight="1" x14ac:dyDescent="0.45">
      <c r="A99" s="96"/>
      <c r="B99" s="4"/>
      <c r="C99" s="20"/>
      <c r="D99" s="4"/>
      <c r="E99" s="264"/>
      <c r="F99" s="264"/>
      <c r="G99" s="264"/>
      <c r="H99" s="4"/>
    </row>
    <row r="100" spans="1:8" s="1" customFormat="1" ht="14.35" customHeight="1" x14ac:dyDescent="0.45">
      <c r="A100" s="96"/>
      <c r="B100" s="4"/>
      <c r="C100" s="20"/>
      <c r="D100" s="4"/>
      <c r="E100" s="264"/>
      <c r="F100" s="264"/>
      <c r="G100" s="264"/>
      <c r="H100" s="4"/>
    </row>
    <row r="101" spans="1:8" s="1" customFormat="1" ht="14.35" customHeight="1" x14ac:dyDescent="0.75">
      <c r="A101" s="96"/>
      <c r="B101" s="4"/>
      <c r="C101" s="90"/>
      <c r="D101" s="41"/>
      <c r="E101" s="265"/>
      <c r="F101" s="265"/>
      <c r="G101" s="265"/>
      <c r="H101" s="41"/>
    </row>
    <row r="102" spans="1:8" s="1" customFormat="1" ht="14.35" customHeight="1" x14ac:dyDescent="0.45">
      <c r="A102" s="96"/>
      <c r="B102" s="4"/>
      <c r="C102" s="20"/>
      <c r="D102" s="20"/>
      <c r="E102" s="4"/>
      <c r="F102" s="4"/>
      <c r="G102" s="4"/>
      <c r="H102" s="4"/>
    </row>
    <row r="103" spans="1:8" s="1" customFormat="1" ht="14.35" customHeight="1" x14ac:dyDescent="0.45">
      <c r="B103" s="4"/>
      <c r="G103" s="45"/>
    </row>
    <row r="104" spans="1:8" s="1" customFormat="1" ht="14.35" customHeight="1" x14ac:dyDescent="0.45">
      <c r="A104" s="121"/>
      <c r="B104" s="121"/>
      <c r="C104" s="121"/>
      <c r="D104" s="333"/>
      <c r="E104" s="333"/>
      <c r="F104" s="121"/>
      <c r="G104" s="121"/>
    </row>
    <row r="105" spans="1:8" s="1" customFormat="1" ht="14.35" customHeight="1" x14ac:dyDescent="0.45">
      <c r="B105" s="101"/>
      <c r="C105" s="88"/>
      <c r="D105" s="88"/>
      <c r="E105" s="329"/>
      <c r="F105" s="329"/>
      <c r="G105" s="106"/>
    </row>
    <row r="106" spans="1:8" s="1" customFormat="1" ht="14.35" customHeight="1" x14ac:dyDescent="0.45">
      <c r="A106" s="96"/>
      <c r="B106" s="4"/>
      <c r="C106" s="89"/>
      <c r="D106" s="89"/>
      <c r="E106" s="81"/>
      <c r="F106" s="47"/>
      <c r="G106" s="209"/>
    </row>
    <row r="107" spans="1:8" s="1" customFormat="1" ht="14.35" customHeight="1" x14ac:dyDescent="0.45">
      <c r="A107" s="96"/>
      <c r="B107" s="4"/>
      <c r="D107" s="89"/>
      <c r="E107" s="258"/>
      <c r="F107" s="47"/>
      <c r="G107" s="209"/>
    </row>
    <row r="108" spans="1:8" s="1" customFormat="1" ht="14.35" customHeight="1" x14ac:dyDescent="0.75">
      <c r="A108" s="235"/>
      <c r="B108" s="4"/>
      <c r="C108" s="82"/>
      <c r="D108" s="266"/>
      <c r="E108" s="258"/>
      <c r="F108" s="47"/>
      <c r="G108" s="272"/>
    </row>
    <row r="109" spans="1:8" s="1" customFormat="1" ht="14.35" customHeight="1" x14ac:dyDescent="0.45">
      <c r="B109" s="4"/>
      <c r="C109" s="210"/>
      <c r="D109" s="4"/>
      <c r="G109" s="210"/>
    </row>
    <row r="110" spans="1:8" s="1" customFormat="1" ht="14.35" customHeight="1" x14ac:dyDescent="0.45">
      <c r="B110" s="4"/>
      <c r="C110" s="210"/>
      <c r="D110" s="4"/>
      <c r="G110" s="210"/>
    </row>
    <row r="111" spans="1:8" s="1" customFormat="1" ht="14.35" customHeight="1" x14ac:dyDescent="0.45">
      <c r="A111" s="121"/>
      <c r="B111" s="4"/>
      <c r="C111" s="94"/>
      <c r="D111" s="333"/>
      <c r="E111" s="333"/>
      <c r="F111" s="89"/>
      <c r="G111" s="45"/>
    </row>
    <row r="112" spans="1:8" s="1" customFormat="1" ht="14.35" customHeight="1" x14ac:dyDescent="0.45">
      <c r="A112" s="121"/>
      <c r="B112" s="4"/>
      <c r="C112" s="94"/>
      <c r="D112" s="288"/>
      <c r="E112" s="96"/>
      <c r="F112" s="96"/>
      <c r="H112" s="15"/>
    </row>
    <row r="113" spans="1:8" s="1" customFormat="1" ht="14.35" customHeight="1" x14ac:dyDescent="0.45">
      <c r="B113" s="101"/>
      <c r="C113" s="88"/>
      <c r="D113" s="88"/>
      <c r="E113" s="263"/>
      <c r="F113" s="263"/>
      <c r="G113" s="96"/>
      <c r="H113" s="15"/>
    </row>
    <row r="114" spans="1:8" s="1" customFormat="1" ht="14.35" customHeight="1" x14ac:dyDescent="0.45">
      <c r="A114" s="96"/>
      <c r="B114" s="4"/>
      <c r="C114" s="20"/>
      <c r="D114" s="4"/>
      <c r="E114" s="264"/>
      <c r="F114" s="264"/>
      <c r="G114" s="4"/>
      <c r="H114" s="15"/>
    </row>
    <row r="115" spans="1:8" s="1" customFormat="1" ht="14.35" customHeight="1" x14ac:dyDescent="0.75">
      <c r="A115" s="96"/>
      <c r="B115" s="4"/>
      <c r="C115" s="90"/>
      <c r="D115" s="41"/>
      <c r="E115" s="265"/>
      <c r="F115" s="265"/>
      <c r="G115" s="41"/>
      <c r="H115" s="15"/>
    </row>
    <row r="116" spans="1:8" s="1" customFormat="1" ht="14.35" customHeight="1" x14ac:dyDescent="0.45">
      <c r="A116" s="96"/>
      <c r="B116" s="4"/>
      <c r="C116" s="20"/>
      <c r="D116" s="20"/>
      <c r="E116" s="4"/>
      <c r="F116" s="4"/>
      <c r="G116" s="4"/>
      <c r="H116" s="15"/>
    </row>
    <row r="117" spans="1:8" s="1" customFormat="1" ht="14.35" customHeight="1" x14ac:dyDescent="0.45">
      <c r="B117" s="4"/>
      <c r="G117" s="45"/>
    </row>
    <row r="118" spans="1:8" s="1" customFormat="1" ht="14.35" customHeight="1" x14ac:dyDescent="0.45">
      <c r="A118" s="121"/>
      <c r="B118" s="121"/>
      <c r="C118" s="121"/>
      <c r="D118" s="333"/>
      <c r="E118" s="333"/>
      <c r="F118" s="121"/>
      <c r="G118" s="121"/>
    </row>
    <row r="119" spans="1:8" s="1" customFormat="1" ht="14.35" customHeight="1" x14ac:dyDescent="0.45">
      <c r="B119" s="101"/>
      <c r="C119" s="88"/>
      <c r="D119" s="88"/>
      <c r="E119" s="329"/>
      <c r="F119" s="329"/>
      <c r="G119" s="106"/>
    </row>
    <row r="120" spans="1:8" s="1" customFormat="1" ht="14.35" customHeight="1" x14ac:dyDescent="0.45">
      <c r="A120" s="96"/>
      <c r="B120" s="4"/>
      <c r="C120" s="89"/>
      <c r="D120" s="89"/>
      <c r="E120" s="81"/>
      <c r="F120" s="47"/>
      <c r="G120" s="209"/>
    </row>
    <row r="121" spans="1:8" s="1" customFormat="1" ht="14.35" customHeight="1" x14ac:dyDescent="0.75">
      <c r="A121" s="235"/>
      <c r="B121" s="4"/>
      <c r="C121" s="82"/>
      <c r="D121" s="266"/>
      <c r="E121" s="258"/>
      <c r="F121" s="47"/>
      <c r="G121" s="272"/>
    </row>
    <row r="122" spans="1:8" s="1" customFormat="1" ht="14.35" customHeight="1" x14ac:dyDescent="0.45">
      <c r="B122" s="4"/>
      <c r="C122" s="210"/>
      <c r="D122" s="4"/>
      <c r="G122" s="210"/>
    </row>
    <row r="123" spans="1:8" s="1" customFormat="1" ht="14.35" customHeight="1" x14ac:dyDescent="0.45">
      <c r="B123" s="4"/>
      <c r="G123" s="45"/>
    </row>
    <row r="124" spans="1:8" s="1" customFormat="1" ht="14.35" customHeight="1" x14ac:dyDescent="0.45">
      <c r="A124" s="121"/>
      <c r="B124" s="4"/>
      <c r="C124" s="94"/>
      <c r="D124" s="333"/>
      <c r="E124" s="333"/>
      <c r="F124" s="89"/>
      <c r="G124" s="45"/>
    </row>
    <row r="125" spans="1:8" s="1" customFormat="1" ht="14.35" customHeight="1" x14ac:dyDescent="0.45">
      <c r="A125" s="121"/>
      <c r="B125" s="4"/>
      <c r="C125" s="94"/>
      <c r="D125" s="288"/>
      <c r="E125" s="96"/>
      <c r="F125" s="96"/>
      <c r="G125" s="96"/>
    </row>
    <row r="126" spans="1:8" s="1" customFormat="1" ht="14.35" customHeight="1" x14ac:dyDescent="0.45">
      <c r="B126" s="101"/>
      <c r="C126" s="88"/>
      <c r="D126" s="88"/>
      <c r="E126" s="263"/>
      <c r="F126" s="263"/>
      <c r="G126" s="263"/>
      <c r="H126" s="96"/>
    </row>
    <row r="127" spans="1:8" s="1" customFormat="1" ht="14.35" customHeight="1" x14ac:dyDescent="0.45">
      <c r="A127" s="96"/>
      <c r="B127" s="4"/>
      <c r="C127" s="20"/>
      <c r="D127" s="4"/>
      <c r="E127" s="264"/>
      <c r="F127" s="264"/>
      <c r="G127" s="264"/>
      <c r="H127" s="4"/>
    </row>
    <row r="128" spans="1:8" s="1" customFormat="1" ht="14.35" customHeight="1" x14ac:dyDescent="0.45">
      <c r="A128" s="96"/>
      <c r="B128" s="4"/>
      <c r="C128" s="20"/>
      <c r="D128" s="4"/>
      <c r="E128" s="264"/>
      <c r="F128" s="264"/>
      <c r="G128" s="264"/>
      <c r="H128" s="4"/>
    </row>
    <row r="129" spans="1:8" s="1" customFormat="1" ht="14.35" customHeight="1" x14ac:dyDescent="0.75">
      <c r="A129" s="96"/>
      <c r="B129" s="4"/>
      <c r="C129" s="90"/>
      <c r="D129" s="41"/>
      <c r="E129" s="265"/>
      <c r="F129" s="265"/>
      <c r="G129" s="265"/>
      <c r="H129" s="41"/>
    </row>
    <row r="130" spans="1:8" s="1" customFormat="1" ht="14.35" customHeight="1" x14ac:dyDescent="0.45">
      <c r="A130" s="96"/>
      <c r="B130" s="4"/>
      <c r="C130" s="20"/>
      <c r="D130" s="20"/>
      <c r="E130" s="4"/>
      <c r="F130" s="4"/>
      <c r="G130" s="4"/>
      <c r="H130" s="4"/>
    </row>
    <row r="131" spans="1:8" s="1" customFormat="1" ht="14.35" customHeight="1" x14ac:dyDescent="0.45">
      <c r="B131" s="4"/>
      <c r="G131" s="45"/>
    </row>
    <row r="132" spans="1:8" s="1" customFormat="1" ht="14.35" customHeight="1" x14ac:dyDescent="0.45">
      <c r="A132" s="121"/>
      <c r="B132" s="121"/>
      <c r="C132" s="121"/>
      <c r="D132" s="333"/>
      <c r="E132" s="333"/>
      <c r="F132" s="121"/>
      <c r="G132" s="121"/>
    </row>
    <row r="133" spans="1:8" s="1" customFormat="1" ht="14.35" customHeight="1" x14ac:dyDescent="0.45">
      <c r="B133" s="101"/>
      <c r="C133" s="88"/>
      <c r="D133" s="88"/>
      <c r="E133" s="329"/>
      <c r="F133" s="329"/>
      <c r="G133" s="106"/>
    </row>
    <row r="134" spans="1:8" s="1" customFormat="1" ht="14.35" customHeight="1" x14ac:dyDescent="0.45">
      <c r="A134" s="96"/>
      <c r="B134" s="4"/>
      <c r="C134" s="89"/>
      <c r="D134" s="89"/>
      <c r="E134" s="81"/>
      <c r="F134" s="47"/>
      <c r="G134" s="209"/>
    </row>
    <row r="135" spans="1:8" s="1" customFormat="1" ht="14.35" customHeight="1" x14ac:dyDescent="0.45">
      <c r="A135" s="96"/>
      <c r="B135" s="4"/>
      <c r="D135" s="89"/>
      <c r="E135" s="258"/>
      <c r="F135" s="47"/>
      <c r="G135" s="209"/>
    </row>
    <row r="136" spans="1:8" s="1" customFormat="1" ht="14.35" customHeight="1" x14ac:dyDescent="0.75">
      <c r="A136" s="235"/>
      <c r="B136" s="4"/>
      <c r="C136" s="82"/>
      <c r="D136" s="266"/>
      <c r="E136" s="258"/>
      <c r="F136" s="47"/>
      <c r="G136" s="272"/>
    </row>
    <row r="137" spans="1:8" s="1" customFormat="1" ht="14.35" customHeight="1" x14ac:dyDescent="0.45">
      <c r="B137" s="4"/>
      <c r="C137" s="210"/>
      <c r="D137" s="4"/>
      <c r="G137" s="210"/>
    </row>
    <row r="138" spans="1:8" s="1" customFormat="1" ht="14.35" customHeight="1" x14ac:dyDescent="0.45">
      <c r="B138" s="4"/>
      <c r="C138" s="210"/>
      <c r="D138" s="4"/>
      <c r="G138" s="210"/>
    </row>
    <row r="139" spans="1:8" s="1" customFormat="1" ht="14.35" customHeight="1" x14ac:dyDescent="0.45">
      <c r="B139" s="4"/>
      <c r="D139" s="89"/>
      <c r="G139" s="45"/>
    </row>
    <row r="140" spans="1:8" s="1" customFormat="1" ht="14.35" customHeight="1" x14ac:dyDescent="0.45">
      <c r="B140" s="4"/>
      <c r="G140" s="45"/>
    </row>
    <row r="141" spans="1:8" s="1" customFormat="1" ht="14.35" customHeight="1" x14ac:dyDescent="0.45">
      <c r="B141" s="4"/>
      <c r="G141" s="45"/>
    </row>
    <row r="142" spans="1:8" s="1" customFormat="1" ht="14.35" customHeight="1" x14ac:dyDescent="0.45">
      <c r="B142" s="4"/>
      <c r="G142" s="45"/>
    </row>
    <row r="143" spans="1:8" s="1" customFormat="1" ht="14.35" customHeight="1" x14ac:dyDescent="0.45">
      <c r="B143" s="4"/>
      <c r="G143" s="45"/>
    </row>
    <row r="144" spans="1:8" s="1" customFormat="1" ht="14.35" customHeight="1" x14ac:dyDescent="0.45">
      <c r="B144" s="4"/>
      <c r="G144" s="45"/>
    </row>
    <row r="145" spans="2:7" s="1" customFormat="1" ht="14.35" customHeight="1" x14ac:dyDescent="0.45">
      <c r="B145" s="4"/>
      <c r="G145" s="45"/>
    </row>
    <row r="146" spans="2:7" s="1" customFormat="1" ht="14.35" customHeight="1" x14ac:dyDescent="0.45">
      <c r="B146" s="4"/>
      <c r="G146" s="45"/>
    </row>
    <row r="147" spans="2:7" s="1" customFormat="1" ht="14.35" customHeight="1" x14ac:dyDescent="0.45">
      <c r="B147" s="4"/>
      <c r="G147" s="45"/>
    </row>
    <row r="148" spans="2:7" s="1" customFormat="1" ht="14.35" customHeight="1" x14ac:dyDescent="0.45">
      <c r="B148" s="4"/>
      <c r="G148" s="45"/>
    </row>
    <row r="149" spans="2:7" s="1" customFormat="1" ht="14.35" customHeight="1" x14ac:dyDescent="0.45">
      <c r="B149" s="4"/>
      <c r="G149" s="45"/>
    </row>
    <row r="150" spans="2:7" s="1" customFormat="1" ht="14.35" customHeight="1" x14ac:dyDescent="0.45">
      <c r="B150" s="4"/>
      <c r="G150" s="45"/>
    </row>
    <row r="151" spans="2:7" s="1" customFormat="1" ht="14.35" customHeight="1" x14ac:dyDescent="0.45">
      <c r="B151" s="4"/>
      <c r="G151" s="45"/>
    </row>
    <row r="152" spans="2:7" s="1" customFormat="1" ht="14.35" customHeight="1" x14ac:dyDescent="0.45">
      <c r="B152" s="4"/>
      <c r="G152" s="45"/>
    </row>
    <row r="153" spans="2:7" s="1" customFormat="1" ht="14.35" customHeight="1" x14ac:dyDescent="0.45">
      <c r="B153" s="4"/>
      <c r="G153" s="45"/>
    </row>
    <row r="154" spans="2:7" s="1" customFormat="1" ht="14.35" customHeight="1" x14ac:dyDescent="0.45">
      <c r="B154" s="4"/>
      <c r="G154" s="45"/>
    </row>
    <row r="155" spans="2:7" s="1" customFormat="1" ht="14.35" customHeight="1" x14ac:dyDescent="0.45">
      <c r="B155" s="4"/>
      <c r="G155" s="45"/>
    </row>
    <row r="156" spans="2:7" s="1" customFormat="1" ht="14.35" customHeight="1" x14ac:dyDescent="0.45">
      <c r="B156" s="4"/>
      <c r="G156" s="45"/>
    </row>
    <row r="157" spans="2:7" s="1" customFormat="1" ht="14.35" customHeight="1" x14ac:dyDescent="0.45">
      <c r="B157" s="4"/>
      <c r="G157" s="45"/>
    </row>
    <row r="158" spans="2:7" s="1" customFormat="1" ht="14.35" customHeight="1" x14ac:dyDescent="0.45">
      <c r="B158" s="4"/>
      <c r="G158" s="45"/>
    </row>
    <row r="159" spans="2:7" s="1" customFormat="1" ht="14.35" customHeight="1" x14ac:dyDescent="0.45">
      <c r="B159" s="4"/>
      <c r="G159" s="45"/>
    </row>
    <row r="160" spans="2:7" s="1" customFormat="1" ht="14.35" customHeight="1" x14ac:dyDescent="0.45">
      <c r="B160" s="4"/>
      <c r="G160" s="45"/>
    </row>
    <row r="161" spans="2:7" s="1" customFormat="1" ht="14.35" customHeight="1" x14ac:dyDescent="0.45">
      <c r="B161" s="4"/>
      <c r="G161" s="45"/>
    </row>
    <row r="162" spans="2:7" s="1" customFormat="1" ht="14.35" customHeight="1" x14ac:dyDescent="0.45">
      <c r="B162" s="4"/>
      <c r="G162" s="45"/>
    </row>
    <row r="163" spans="2:7" s="1" customFormat="1" ht="14.35" customHeight="1" x14ac:dyDescent="0.45">
      <c r="B163" s="4"/>
      <c r="G163" s="45"/>
    </row>
    <row r="164" spans="2:7" s="1" customFormat="1" ht="14.35" customHeight="1" x14ac:dyDescent="0.45">
      <c r="B164" s="4"/>
      <c r="G164" s="45"/>
    </row>
    <row r="165" spans="2:7" s="1" customFormat="1" ht="14.35" customHeight="1" x14ac:dyDescent="0.45">
      <c r="B165" s="4"/>
      <c r="G165" s="45"/>
    </row>
    <row r="166" spans="2:7" s="1" customFormat="1" ht="14.35" customHeight="1" x14ac:dyDescent="0.45">
      <c r="B166" s="4"/>
      <c r="G166" s="45"/>
    </row>
    <row r="167" spans="2:7" s="1" customFormat="1" ht="14.35" customHeight="1" x14ac:dyDescent="0.45">
      <c r="B167" s="4"/>
      <c r="G167" s="45"/>
    </row>
    <row r="168" spans="2:7" s="1" customFormat="1" ht="14.35" customHeight="1" x14ac:dyDescent="0.45">
      <c r="B168" s="4"/>
      <c r="G168" s="45"/>
    </row>
    <row r="169" spans="2:7" s="1" customFormat="1" ht="14.35" customHeight="1" x14ac:dyDescent="0.45">
      <c r="B169" s="4"/>
      <c r="G169" s="45"/>
    </row>
    <row r="170" spans="2:7" s="1" customFormat="1" ht="14.35" customHeight="1" x14ac:dyDescent="0.45">
      <c r="B170" s="4"/>
      <c r="G170" s="45"/>
    </row>
    <row r="171" spans="2:7" s="1" customFormat="1" ht="14.35" customHeight="1" x14ac:dyDescent="0.45">
      <c r="B171" s="4"/>
      <c r="G171" s="45"/>
    </row>
    <row r="172" spans="2:7" s="1" customFormat="1" ht="14.35" customHeight="1" x14ac:dyDescent="0.45">
      <c r="B172" s="4"/>
      <c r="G172" s="45"/>
    </row>
    <row r="173" spans="2:7" s="1" customFormat="1" ht="14.35" customHeight="1" x14ac:dyDescent="0.45">
      <c r="B173" s="4"/>
      <c r="G173" s="45"/>
    </row>
    <row r="174" spans="2:7" s="1" customFormat="1" ht="14.35" customHeight="1" x14ac:dyDescent="0.45">
      <c r="B174" s="4"/>
      <c r="G174" s="45"/>
    </row>
    <row r="175" spans="2:7" s="1" customFormat="1" ht="14.35" customHeight="1" x14ac:dyDescent="0.45">
      <c r="B175" s="4"/>
      <c r="G175" s="45"/>
    </row>
    <row r="176" spans="2:7" s="1" customFormat="1" ht="14.35" customHeight="1" x14ac:dyDescent="0.45">
      <c r="B176" s="4"/>
      <c r="G176" s="45"/>
    </row>
    <row r="177" spans="2:7" s="1" customFormat="1" ht="14.35" customHeight="1" x14ac:dyDescent="0.45">
      <c r="B177" s="4"/>
      <c r="G177" s="45"/>
    </row>
    <row r="178" spans="2:7" s="1" customFormat="1" ht="14.35" customHeight="1" x14ac:dyDescent="0.45">
      <c r="B178" s="4"/>
      <c r="G178" s="45"/>
    </row>
    <row r="179" spans="2:7" s="1" customFormat="1" ht="14.35" customHeight="1" x14ac:dyDescent="0.45">
      <c r="B179" s="4"/>
      <c r="G179" s="45"/>
    </row>
    <row r="180" spans="2:7" s="1" customFormat="1" ht="14.35" customHeight="1" x14ac:dyDescent="0.45">
      <c r="B180" s="4"/>
      <c r="G180" s="45"/>
    </row>
    <row r="181" spans="2:7" s="1" customFormat="1" ht="14.35" customHeight="1" x14ac:dyDescent="0.45">
      <c r="B181" s="4"/>
      <c r="G181" s="45"/>
    </row>
    <row r="182" spans="2:7" s="1" customFormat="1" ht="14.35" customHeight="1" x14ac:dyDescent="0.45">
      <c r="B182" s="4"/>
      <c r="G182" s="45"/>
    </row>
    <row r="183" spans="2:7" s="1" customFormat="1" ht="14.35" customHeight="1" x14ac:dyDescent="0.45">
      <c r="B183" s="4"/>
      <c r="G183" s="45"/>
    </row>
    <row r="184" spans="2:7" s="1" customFormat="1" ht="14.35" customHeight="1" x14ac:dyDescent="0.45">
      <c r="B184" s="4"/>
      <c r="G184" s="45"/>
    </row>
    <row r="185" spans="2:7" s="1" customFormat="1" ht="14.35" customHeight="1" x14ac:dyDescent="0.45">
      <c r="B185" s="4"/>
      <c r="G185" s="45"/>
    </row>
    <row r="186" spans="2:7" s="1" customFormat="1" ht="14.35" customHeight="1" x14ac:dyDescent="0.45">
      <c r="B186" s="4"/>
      <c r="G186" s="45"/>
    </row>
    <row r="187" spans="2:7" s="1" customFormat="1" ht="14.35" customHeight="1" x14ac:dyDescent="0.45">
      <c r="B187" s="4"/>
      <c r="G187" s="45"/>
    </row>
    <row r="188" spans="2:7" s="1" customFormat="1" ht="14.35" customHeight="1" x14ac:dyDescent="0.45">
      <c r="B188" s="4"/>
      <c r="G188" s="45"/>
    </row>
    <row r="189" spans="2:7" s="1" customFormat="1" ht="14.35" customHeight="1" x14ac:dyDescent="0.45">
      <c r="B189" s="4"/>
      <c r="G189" s="45"/>
    </row>
    <row r="190" spans="2:7" s="1" customFormat="1" ht="14.35" customHeight="1" x14ac:dyDescent="0.45">
      <c r="B190" s="4"/>
      <c r="G190" s="45"/>
    </row>
    <row r="191" spans="2:7" s="1" customFormat="1" ht="14.35" customHeight="1" x14ac:dyDescent="0.45">
      <c r="B191" s="4"/>
      <c r="G191" s="45"/>
    </row>
    <row r="192" spans="2:7" s="1" customFormat="1" ht="14.35" customHeight="1" x14ac:dyDescent="0.45">
      <c r="B192" s="4"/>
      <c r="G192" s="45"/>
    </row>
    <row r="193" spans="2:7" s="1" customFormat="1" ht="14.35" customHeight="1" x14ac:dyDescent="0.45">
      <c r="B193" s="4"/>
      <c r="G193" s="45"/>
    </row>
    <row r="194" spans="2:7" s="1" customFormat="1" ht="14.35" customHeight="1" x14ac:dyDescent="0.45">
      <c r="B194" s="4"/>
      <c r="G194" s="45"/>
    </row>
    <row r="195" spans="2:7" s="1" customFormat="1" ht="14.35" customHeight="1" x14ac:dyDescent="0.45">
      <c r="B195" s="4"/>
      <c r="G195" s="45"/>
    </row>
    <row r="196" spans="2:7" s="1" customFormat="1" ht="14.35" customHeight="1" x14ac:dyDescent="0.45">
      <c r="B196" s="4"/>
      <c r="G196" s="45"/>
    </row>
    <row r="197" spans="2:7" s="1" customFormat="1" ht="14.35" customHeight="1" x14ac:dyDescent="0.45">
      <c r="B197" s="4"/>
      <c r="G197" s="45"/>
    </row>
    <row r="198" spans="2:7" s="1" customFormat="1" ht="14.35" customHeight="1" x14ac:dyDescent="0.45">
      <c r="B198" s="4"/>
      <c r="G198" s="45"/>
    </row>
    <row r="199" spans="2:7" s="1" customFormat="1" ht="14.35" customHeight="1" x14ac:dyDescent="0.45">
      <c r="B199" s="4"/>
      <c r="G199" s="45"/>
    </row>
    <row r="200" spans="2:7" s="1" customFormat="1" ht="14.35" customHeight="1" x14ac:dyDescent="0.45">
      <c r="B200" s="4"/>
      <c r="G200" s="45"/>
    </row>
    <row r="201" spans="2:7" s="1" customFormat="1" ht="14.35" customHeight="1" x14ac:dyDescent="0.45">
      <c r="B201" s="4"/>
      <c r="G201" s="45"/>
    </row>
    <row r="202" spans="2:7" s="1" customFormat="1" ht="14.35" customHeight="1" x14ac:dyDescent="0.45">
      <c r="B202" s="4"/>
      <c r="G202" s="45"/>
    </row>
    <row r="203" spans="2:7" s="1" customFormat="1" ht="14.35" customHeight="1" x14ac:dyDescent="0.45">
      <c r="B203" s="4"/>
      <c r="G203" s="45"/>
    </row>
    <row r="204" spans="2:7" s="1" customFormat="1" ht="14.35" customHeight="1" x14ac:dyDescent="0.45">
      <c r="B204" s="4"/>
      <c r="G204" s="45"/>
    </row>
    <row r="205" spans="2:7" s="1" customFormat="1" ht="14.35" customHeight="1" x14ac:dyDescent="0.45">
      <c r="B205" s="4"/>
      <c r="G205" s="45"/>
    </row>
    <row r="206" spans="2:7" s="1" customFormat="1" ht="14.35" customHeight="1" x14ac:dyDescent="0.45">
      <c r="B206" s="4"/>
      <c r="G206" s="45"/>
    </row>
    <row r="207" spans="2:7" s="1" customFormat="1" ht="14.35" customHeight="1" x14ac:dyDescent="0.45">
      <c r="B207" s="4"/>
      <c r="G207" s="45"/>
    </row>
    <row r="208" spans="2:7" s="1" customFormat="1" ht="14.35" customHeight="1" x14ac:dyDescent="0.45">
      <c r="B208" s="4"/>
      <c r="G208" s="45"/>
    </row>
    <row r="209" spans="2:7" s="1" customFormat="1" ht="14.35" customHeight="1" x14ac:dyDescent="0.45">
      <c r="B209" s="4"/>
      <c r="G209" s="45"/>
    </row>
    <row r="210" spans="2:7" s="1" customFormat="1" ht="14.35" customHeight="1" x14ac:dyDescent="0.45">
      <c r="B210" s="4"/>
      <c r="G210" s="45"/>
    </row>
    <row r="211" spans="2:7" s="1" customFormat="1" ht="14.35" customHeight="1" x14ac:dyDescent="0.45">
      <c r="B211" s="4"/>
      <c r="G211" s="45"/>
    </row>
    <row r="212" spans="2:7" s="1" customFormat="1" ht="14.35" customHeight="1" x14ac:dyDescent="0.45">
      <c r="B212" s="4"/>
      <c r="G212" s="45"/>
    </row>
    <row r="213" spans="2:7" s="1" customFormat="1" ht="14.35" customHeight="1" x14ac:dyDescent="0.45">
      <c r="B213" s="4"/>
      <c r="G213" s="45"/>
    </row>
    <row r="214" spans="2:7" s="1" customFormat="1" ht="14.35" customHeight="1" x14ac:dyDescent="0.45">
      <c r="B214" s="4"/>
      <c r="G214" s="45"/>
    </row>
    <row r="215" spans="2:7" s="1" customFormat="1" ht="14.35" customHeight="1" x14ac:dyDescent="0.45">
      <c r="B215" s="4"/>
      <c r="G215" s="45"/>
    </row>
    <row r="216" spans="2:7" s="1" customFormat="1" ht="14.35" customHeight="1" x14ac:dyDescent="0.45">
      <c r="B216" s="4"/>
      <c r="G216" s="45"/>
    </row>
    <row r="217" spans="2:7" s="1" customFormat="1" ht="14.35" customHeight="1" x14ac:dyDescent="0.45">
      <c r="B217" s="4"/>
      <c r="G217" s="45"/>
    </row>
    <row r="218" spans="2:7" s="1" customFormat="1" ht="14.35" customHeight="1" x14ac:dyDescent="0.45">
      <c r="B218" s="4"/>
      <c r="G218" s="45"/>
    </row>
    <row r="219" spans="2:7" s="1" customFormat="1" ht="14.35" customHeight="1" x14ac:dyDescent="0.45">
      <c r="B219" s="4"/>
      <c r="G219" s="45"/>
    </row>
    <row r="220" spans="2:7" s="1" customFormat="1" ht="14.35" customHeight="1" x14ac:dyDescent="0.45">
      <c r="B220" s="4"/>
      <c r="G220" s="45"/>
    </row>
    <row r="221" spans="2:7" s="1" customFormat="1" ht="14.35" customHeight="1" x14ac:dyDescent="0.45">
      <c r="B221" s="4"/>
      <c r="G221" s="45"/>
    </row>
    <row r="222" spans="2:7" s="1" customFormat="1" ht="14.35" customHeight="1" x14ac:dyDescent="0.45">
      <c r="B222" s="4"/>
      <c r="G222" s="45"/>
    </row>
    <row r="223" spans="2:7" s="1" customFormat="1" ht="14.35" customHeight="1" x14ac:dyDescent="0.45">
      <c r="B223" s="4"/>
      <c r="G223" s="45"/>
    </row>
    <row r="224" spans="2:7" s="1" customFormat="1" ht="14.35" customHeight="1" x14ac:dyDescent="0.45">
      <c r="B224" s="4"/>
      <c r="G224" s="45"/>
    </row>
    <row r="225" spans="2:7" s="1" customFormat="1" ht="14.35" customHeight="1" x14ac:dyDescent="0.45">
      <c r="B225" s="4"/>
      <c r="G225" s="45"/>
    </row>
    <row r="226" spans="2:7" s="1" customFormat="1" ht="14.35" customHeight="1" x14ac:dyDescent="0.45">
      <c r="B226" s="4"/>
      <c r="G226" s="45"/>
    </row>
    <row r="227" spans="2:7" s="1" customFormat="1" ht="14.35" customHeight="1" x14ac:dyDescent="0.45">
      <c r="B227" s="4"/>
      <c r="G227" s="45"/>
    </row>
    <row r="228" spans="2:7" s="1" customFormat="1" ht="14.25" x14ac:dyDescent="0.45">
      <c r="B228" s="4"/>
      <c r="G228" s="45"/>
    </row>
    <row r="229" spans="2:7" s="1" customFormat="1" ht="14.25" x14ac:dyDescent="0.45">
      <c r="B229" s="4"/>
      <c r="G229" s="45"/>
    </row>
    <row r="230" spans="2:7" s="1" customFormat="1" ht="14.25" x14ac:dyDescent="0.45">
      <c r="B230" s="4"/>
      <c r="G230" s="45"/>
    </row>
    <row r="231" spans="2:7" s="1" customFormat="1" ht="14.25" x14ac:dyDescent="0.45">
      <c r="B231" s="4"/>
      <c r="G231" s="45"/>
    </row>
    <row r="232" spans="2:7" s="1" customFormat="1" ht="14.25" x14ac:dyDescent="0.45">
      <c r="B232" s="4"/>
      <c r="G232" s="45"/>
    </row>
    <row r="233" spans="2:7" s="1" customFormat="1" ht="14.25" x14ac:dyDescent="0.45">
      <c r="B233" s="4"/>
      <c r="G233" s="45"/>
    </row>
    <row r="234" spans="2:7" s="1" customFormat="1" ht="14.25" x14ac:dyDescent="0.45">
      <c r="B234" s="4"/>
      <c r="G234" s="45"/>
    </row>
    <row r="235" spans="2:7" s="1" customFormat="1" ht="14.25" x14ac:dyDescent="0.45">
      <c r="B235" s="4"/>
      <c r="G235" s="45"/>
    </row>
    <row r="236" spans="2:7" s="1" customFormat="1" ht="14.25" x14ac:dyDescent="0.45">
      <c r="B236" s="4"/>
      <c r="G236" s="45"/>
    </row>
    <row r="237" spans="2:7" s="1" customFormat="1" ht="14.25" x14ac:dyDescent="0.45">
      <c r="B237" s="4"/>
      <c r="G237" s="45"/>
    </row>
    <row r="238" spans="2:7" s="1" customFormat="1" ht="14.25" x14ac:dyDescent="0.45">
      <c r="B238" s="4"/>
      <c r="G238" s="45"/>
    </row>
    <row r="239" spans="2:7" s="1" customFormat="1" ht="14.25" x14ac:dyDescent="0.45">
      <c r="B239" s="4"/>
      <c r="G239" s="45"/>
    </row>
    <row r="240" spans="2:7" s="1" customFormat="1" ht="14.25" x14ac:dyDescent="0.45">
      <c r="B240" s="4"/>
      <c r="G240" s="45"/>
    </row>
    <row r="241" spans="2:7" s="1" customFormat="1" ht="14.25" x14ac:dyDescent="0.45">
      <c r="B241" s="4"/>
      <c r="G241" s="45"/>
    </row>
    <row r="242" spans="2:7" s="1" customFormat="1" ht="14.25" x14ac:dyDescent="0.45">
      <c r="B242" s="4"/>
      <c r="G242" s="45"/>
    </row>
    <row r="243" spans="2:7" s="1" customFormat="1" ht="14.25" x14ac:dyDescent="0.45">
      <c r="B243" s="4"/>
      <c r="G243" s="45"/>
    </row>
    <row r="244" spans="2:7" s="1" customFormat="1" ht="14.25" x14ac:dyDescent="0.45">
      <c r="B244" s="4"/>
      <c r="G244" s="45"/>
    </row>
    <row r="245" spans="2:7" s="1" customFormat="1" ht="14.25" x14ac:dyDescent="0.45">
      <c r="B245" s="4"/>
      <c r="G245" s="45"/>
    </row>
    <row r="246" spans="2:7" s="1" customFormat="1" ht="14.25" x14ac:dyDescent="0.45">
      <c r="B246" s="4"/>
      <c r="G246" s="45"/>
    </row>
    <row r="247" spans="2:7" s="1" customFormat="1" ht="14.25" x14ac:dyDescent="0.45">
      <c r="B247" s="4"/>
      <c r="G247" s="45"/>
    </row>
    <row r="248" spans="2:7" s="1" customFormat="1" ht="14.25" x14ac:dyDescent="0.45">
      <c r="B248" s="4"/>
      <c r="G248" s="45"/>
    </row>
    <row r="249" spans="2:7" s="1" customFormat="1" ht="14.25" x14ac:dyDescent="0.45">
      <c r="B249" s="4"/>
      <c r="G249" s="45"/>
    </row>
    <row r="250" spans="2:7" s="1" customFormat="1" ht="14.25" x14ac:dyDescent="0.45">
      <c r="B250" s="4"/>
      <c r="G250" s="45"/>
    </row>
    <row r="251" spans="2:7" s="1" customFormat="1" ht="14.25" x14ac:dyDescent="0.45">
      <c r="B251" s="4"/>
      <c r="G251" s="45"/>
    </row>
    <row r="252" spans="2:7" s="1" customFormat="1" ht="14.25" x14ac:dyDescent="0.45">
      <c r="B252" s="4"/>
      <c r="G252" s="45"/>
    </row>
    <row r="253" spans="2:7" s="1" customFormat="1" ht="14.25" x14ac:dyDescent="0.45">
      <c r="B253" s="4"/>
      <c r="G253" s="45"/>
    </row>
    <row r="254" spans="2:7" s="1" customFormat="1" ht="14.25" x14ac:dyDescent="0.45">
      <c r="B254" s="4"/>
      <c r="G254" s="45"/>
    </row>
    <row r="255" spans="2:7" s="1" customFormat="1" ht="14.25" x14ac:dyDescent="0.45">
      <c r="B255" s="4"/>
      <c r="G255" s="45"/>
    </row>
    <row r="256" spans="2:7" s="1" customFormat="1" ht="14.25" x14ac:dyDescent="0.45">
      <c r="B256" s="4"/>
      <c r="G256" s="45"/>
    </row>
    <row r="257" spans="2:7" s="1" customFormat="1" ht="14.25" x14ac:dyDescent="0.45">
      <c r="B257" s="4"/>
      <c r="G257" s="45"/>
    </row>
    <row r="258" spans="2:7" s="1" customFormat="1" ht="14.25" x14ac:dyDescent="0.45">
      <c r="B258" s="4"/>
      <c r="G258" s="45"/>
    </row>
    <row r="259" spans="2:7" s="1" customFormat="1" ht="14.25" x14ac:dyDescent="0.45">
      <c r="B259" s="4"/>
      <c r="G259" s="45"/>
    </row>
    <row r="260" spans="2:7" s="1" customFormat="1" ht="14.25" x14ac:dyDescent="0.45">
      <c r="B260" s="4"/>
      <c r="G260" s="45"/>
    </row>
    <row r="261" spans="2:7" s="1" customFormat="1" ht="14.25" x14ac:dyDescent="0.45">
      <c r="B261" s="4"/>
      <c r="G261" s="45"/>
    </row>
    <row r="262" spans="2:7" s="1" customFormat="1" ht="14.25" x14ac:dyDescent="0.45">
      <c r="B262" s="4"/>
      <c r="G262" s="45"/>
    </row>
    <row r="263" spans="2:7" s="1" customFormat="1" ht="14.25" x14ac:dyDescent="0.45">
      <c r="B263" s="4"/>
      <c r="G263" s="45"/>
    </row>
    <row r="264" spans="2:7" s="1" customFormat="1" ht="14.25" x14ac:dyDescent="0.45">
      <c r="B264" s="4"/>
      <c r="G264" s="45"/>
    </row>
    <row r="265" spans="2:7" s="1" customFormat="1" ht="14.25" x14ac:dyDescent="0.45">
      <c r="B265" s="4"/>
      <c r="G265" s="45"/>
    </row>
    <row r="266" spans="2:7" s="1" customFormat="1" ht="14.25" x14ac:dyDescent="0.45">
      <c r="B266" s="4"/>
      <c r="G266" s="45"/>
    </row>
    <row r="267" spans="2:7" s="1" customFormat="1" ht="14.25" x14ac:dyDescent="0.45">
      <c r="B267" s="4"/>
      <c r="G267" s="45"/>
    </row>
    <row r="268" spans="2:7" s="1" customFormat="1" ht="14.25" x14ac:dyDescent="0.45">
      <c r="B268" s="4"/>
      <c r="G268" s="45"/>
    </row>
    <row r="269" spans="2:7" s="1" customFormat="1" ht="14.25" x14ac:dyDescent="0.45">
      <c r="B269" s="4"/>
      <c r="G269" s="45"/>
    </row>
    <row r="270" spans="2:7" s="1" customFormat="1" ht="14.25" x14ac:dyDescent="0.45">
      <c r="B270" s="4"/>
      <c r="G270" s="45"/>
    </row>
    <row r="271" spans="2:7" s="1" customFormat="1" ht="14.25" x14ac:dyDescent="0.45">
      <c r="B271" s="4"/>
      <c r="G271" s="45"/>
    </row>
    <row r="272" spans="2:7" s="1" customFormat="1" ht="14.25" x14ac:dyDescent="0.45">
      <c r="B272" s="4"/>
      <c r="G272" s="45"/>
    </row>
    <row r="273" spans="2:7" s="1" customFormat="1" ht="14.25" x14ac:dyDescent="0.45">
      <c r="B273" s="4"/>
      <c r="G273" s="45"/>
    </row>
    <row r="274" spans="2:7" s="1" customFormat="1" ht="14.25" x14ac:dyDescent="0.45">
      <c r="B274" s="4"/>
      <c r="G274" s="45"/>
    </row>
    <row r="275" spans="2:7" s="1" customFormat="1" ht="14.25" x14ac:dyDescent="0.45">
      <c r="B275" s="4"/>
      <c r="G275" s="45"/>
    </row>
    <row r="276" spans="2:7" s="1" customFormat="1" ht="14.25" x14ac:dyDescent="0.45">
      <c r="B276" s="4"/>
      <c r="G276" s="45"/>
    </row>
    <row r="277" spans="2:7" s="1" customFormat="1" ht="14.25" x14ac:dyDescent="0.45">
      <c r="B277" s="4"/>
      <c r="G277" s="45"/>
    </row>
    <row r="278" spans="2:7" s="1" customFormat="1" ht="14.25" x14ac:dyDescent="0.45">
      <c r="B278" s="4"/>
      <c r="G278" s="45"/>
    </row>
    <row r="279" spans="2:7" s="1" customFormat="1" ht="14.25" x14ac:dyDescent="0.45">
      <c r="B279" s="4"/>
      <c r="G279" s="45"/>
    </row>
    <row r="280" spans="2:7" s="1" customFormat="1" ht="14.25" x14ac:dyDescent="0.45">
      <c r="B280" s="4"/>
      <c r="G280" s="45"/>
    </row>
    <row r="281" spans="2:7" s="1" customFormat="1" ht="14.25" x14ac:dyDescent="0.45">
      <c r="B281" s="4"/>
      <c r="G281" s="45"/>
    </row>
    <row r="282" spans="2:7" s="1" customFormat="1" ht="14.25" x14ac:dyDescent="0.45">
      <c r="B282" s="4"/>
      <c r="G282" s="45"/>
    </row>
    <row r="283" spans="2:7" s="1" customFormat="1" ht="14.25" x14ac:dyDescent="0.45">
      <c r="B283" s="4"/>
      <c r="G283" s="45"/>
    </row>
    <row r="284" spans="2:7" s="1" customFormat="1" ht="14.25" x14ac:dyDescent="0.45">
      <c r="B284" s="4"/>
      <c r="G284" s="45"/>
    </row>
    <row r="285" spans="2:7" s="1" customFormat="1" ht="14.25" x14ac:dyDescent="0.45">
      <c r="B285" s="4"/>
      <c r="G285" s="45"/>
    </row>
    <row r="286" spans="2:7" s="1" customFormat="1" ht="14.25" x14ac:dyDescent="0.45">
      <c r="B286" s="4"/>
      <c r="G286" s="45"/>
    </row>
    <row r="287" spans="2:7" s="1" customFormat="1" ht="14.25" x14ac:dyDescent="0.45">
      <c r="B287" s="4"/>
      <c r="G287" s="45"/>
    </row>
    <row r="288" spans="2:7" s="1" customFormat="1" ht="14.25" x14ac:dyDescent="0.45">
      <c r="B288" s="4"/>
      <c r="G288" s="45"/>
    </row>
    <row r="289" spans="2:7" s="1" customFormat="1" ht="14.25" x14ac:dyDescent="0.45">
      <c r="B289" s="4"/>
      <c r="G289" s="45"/>
    </row>
    <row r="290" spans="2:7" s="1" customFormat="1" ht="14.25" x14ac:dyDescent="0.45">
      <c r="B290" s="4"/>
      <c r="G290" s="45"/>
    </row>
    <row r="291" spans="2:7" s="1" customFormat="1" ht="14.25" x14ac:dyDescent="0.45">
      <c r="B291" s="4"/>
      <c r="G291" s="45"/>
    </row>
    <row r="292" spans="2:7" s="1" customFormat="1" ht="14.25" x14ac:dyDescent="0.45">
      <c r="B292" s="4"/>
      <c r="G292" s="45"/>
    </row>
    <row r="293" spans="2:7" s="1" customFormat="1" ht="14.25" x14ac:dyDescent="0.45">
      <c r="B293" s="4"/>
      <c r="G293" s="45"/>
    </row>
    <row r="294" spans="2:7" s="1" customFormat="1" ht="14.25" x14ac:dyDescent="0.45">
      <c r="B294" s="4"/>
      <c r="G294" s="45"/>
    </row>
    <row r="295" spans="2:7" s="1" customFormat="1" ht="14.25" x14ac:dyDescent="0.45">
      <c r="B295" s="4"/>
      <c r="G295" s="45"/>
    </row>
    <row r="296" spans="2:7" s="1" customFormat="1" ht="14.25" x14ac:dyDescent="0.45">
      <c r="B296" s="4"/>
      <c r="G296" s="45"/>
    </row>
    <row r="297" spans="2:7" s="1" customFormat="1" ht="14.25" x14ac:dyDescent="0.45">
      <c r="B297" s="4"/>
      <c r="G297" s="45"/>
    </row>
    <row r="298" spans="2:7" s="1" customFormat="1" ht="14.25" x14ac:dyDescent="0.45">
      <c r="B298" s="4"/>
      <c r="G298" s="45"/>
    </row>
    <row r="299" spans="2:7" s="1" customFormat="1" ht="14.25" x14ac:dyDescent="0.45">
      <c r="B299" s="4"/>
      <c r="G299" s="45"/>
    </row>
    <row r="300" spans="2:7" s="1" customFormat="1" ht="14.25" x14ac:dyDescent="0.45">
      <c r="B300" s="4"/>
      <c r="G300" s="45"/>
    </row>
    <row r="301" spans="2:7" s="1" customFormat="1" ht="14.25" x14ac:dyDescent="0.45">
      <c r="B301" s="4"/>
      <c r="G301" s="45"/>
    </row>
    <row r="302" spans="2:7" s="1" customFormat="1" ht="14.25" x14ac:dyDescent="0.45">
      <c r="B302" s="4"/>
      <c r="G302" s="45"/>
    </row>
    <row r="303" spans="2:7" s="1" customFormat="1" ht="14.25" x14ac:dyDescent="0.45">
      <c r="B303" s="4"/>
      <c r="G303" s="45"/>
    </row>
    <row r="304" spans="2:7" s="1" customFormat="1" ht="14.25" x14ac:dyDescent="0.45">
      <c r="B304" s="4"/>
      <c r="G304" s="45"/>
    </row>
    <row r="305" spans="2:7" s="1" customFormat="1" ht="14.25" x14ac:dyDescent="0.45">
      <c r="B305" s="4"/>
      <c r="G305" s="45"/>
    </row>
    <row r="306" spans="2:7" s="1" customFormat="1" ht="14.25" x14ac:dyDescent="0.45">
      <c r="B306" s="4"/>
      <c r="G306" s="45"/>
    </row>
    <row r="307" spans="2:7" s="1" customFormat="1" ht="14.25" x14ac:dyDescent="0.45">
      <c r="B307" s="4"/>
      <c r="G307" s="45"/>
    </row>
    <row r="308" spans="2:7" s="1" customFormat="1" ht="14.25" x14ac:dyDescent="0.45">
      <c r="B308" s="4"/>
      <c r="G308" s="45"/>
    </row>
    <row r="309" spans="2:7" s="1" customFormat="1" ht="14.25" x14ac:dyDescent="0.45">
      <c r="B309" s="4"/>
      <c r="G309" s="45"/>
    </row>
    <row r="310" spans="2:7" s="1" customFormat="1" ht="14.25" x14ac:dyDescent="0.45">
      <c r="B310" s="4"/>
      <c r="G310" s="45"/>
    </row>
    <row r="311" spans="2:7" s="1" customFormat="1" ht="14.25" x14ac:dyDescent="0.45">
      <c r="B311" s="4"/>
      <c r="G311" s="45"/>
    </row>
    <row r="312" spans="2:7" s="1" customFormat="1" ht="14.25" x14ac:dyDescent="0.45">
      <c r="B312" s="4"/>
      <c r="G312" s="45"/>
    </row>
    <row r="313" spans="2:7" s="1" customFormat="1" ht="14.25" x14ac:dyDescent="0.45">
      <c r="B313" s="4"/>
      <c r="G313" s="45"/>
    </row>
    <row r="314" spans="2:7" s="1" customFormat="1" ht="14.25" x14ac:dyDescent="0.45">
      <c r="B314" s="4"/>
      <c r="G314" s="45"/>
    </row>
    <row r="315" spans="2:7" s="1" customFormat="1" ht="14.25" x14ac:dyDescent="0.45">
      <c r="B315" s="4"/>
      <c r="G315" s="45"/>
    </row>
    <row r="316" spans="2:7" s="1" customFormat="1" ht="14.25" x14ac:dyDescent="0.45">
      <c r="B316" s="4"/>
      <c r="G316" s="45"/>
    </row>
    <row r="317" spans="2:7" s="1" customFormat="1" ht="14.25" x14ac:dyDescent="0.45">
      <c r="B317" s="4"/>
      <c r="G317" s="45"/>
    </row>
    <row r="318" spans="2:7" s="1" customFormat="1" ht="14.25" x14ac:dyDescent="0.45">
      <c r="B318" s="4"/>
      <c r="G318" s="45"/>
    </row>
    <row r="319" spans="2:7" s="1" customFormat="1" ht="14.25" x14ac:dyDescent="0.45">
      <c r="B319" s="4"/>
      <c r="G319" s="45"/>
    </row>
    <row r="320" spans="2:7" s="1" customFormat="1" ht="14.25" x14ac:dyDescent="0.45">
      <c r="B320" s="4"/>
      <c r="G320" s="45"/>
    </row>
    <row r="321" spans="2:7" s="1" customFormat="1" ht="14.25" x14ac:dyDescent="0.45">
      <c r="B321" s="4"/>
      <c r="G321" s="45"/>
    </row>
    <row r="322" spans="2:7" s="1" customFormat="1" ht="14.25" x14ac:dyDescent="0.45">
      <c r="B322" s="4"/>
      <c r="G322" s="45"/>
    </row>
    <row r="323" spans="2:7" s="1" customFormat="1" ht="14.25" x14ac:dyDescent="0.45">
      <c r="B323" s="4"/>
      <c r="G323" s="45"/>
    </row>
    <row r="324" spans="2:7" s="1" customFormat="1" ht="14.25" x14ac:dyDescent="0.45">
      <c r="B324" s="4"/>
      <c r="G324" s="45"/>
    </row>
    <row r="325" spans="2:7" s="1" customFormat="1" ht="14.25" x14ac:dyDescent="0.45">
      <c r="B325" s="4"/>
      <c r="G325" s="45"/>
    </row>
    <row r="326" spans="2:7" s="1" customFormat="1" ht="14.25" x14ac:dyDescent="0.45">
      <c r="B326" s="4"/>
      <c r="G326" s="45"/>
    </row>
    <row r="327" spans="2:7" s="1" customFormat="1" ht="14.25" x14ac:dyDescent="0.45">
      <c r="B327" s="4"/>
      <c r="G327" s="45"/>
    </row>
    <row r="328" spans="2:7" s="1" customFormat="1" ht="14.25" x14ac:dyDescent="0.45">
      <c r="B328" s="4"/>
      <c r="G328" s="45"/>
    </row>
    <row r="329" spans="2:7" s="1" customFormat="1" ht="14.25" x14ac:dyDescent="0.45">
      <c r="B329" s="4"/>
      <c r="G329" s="45"/>
    </row>
    <row r="330" spans="2:7" s="1" customFormat="1" ht="14.25" x14ac:dyDescent="0.45">
      <c r="B330" s="4"/>
      <c r="G330" s="45"/>
    </row>
    <row r="331" spans="2:7" s="1" customFormat="1" ht="14.25" x14ac:dyDescent="0.45">
      <c r="B331" s="4"/>
      <c r="G331" s="45"/>
    </row>
    <row r="332" spans="2:7" s="1" customFormat="1" ht="14.25" x14ac:dyDescent="0.45">
      <c r="B332" s="4"/>
      <c r="G332" s="45"/>
    </row>
    <row r="333" spans="2:7" s="1" customFormat="1" ht="14.25" x14ac:dyDescent="0.45">
      <c r="B333" s="4"/>
      <c r="G333" s="45"/>
    </row>
    <row r="334" spans="2:7" s="1" customFormat="1" ht="14.25" x14ac:dyDescent="0.45">
      <c r="B334" s="4"/>
      <c r="G334" s="45"/>
    </row>
    <row r="335" spans="2:7" s="1" customFormat="1" ht="14.25" x14ac:dyDescent="0.45">
      <c r="B335" s="4"/>
      <c r="G335" s="45"/>
    </row>
    <row r="336" spans="2:7" s="1" customFormat="1" ht="14.25" x14ac:dyDescent="0.45">
      <c r="B336" s="4"/>
      <c r="G336" s="45"/>
    </row>
    <row r="337" spans="2:7" s="1" customFormat="1" ht="14.25" x14ac:dyDescent="0.45">
      <c r="B337" s="4"/>
      <c r="G337" s="45"/>
    </row>
    <row r="338" spans="2:7" s="1" customFormat="1" ht="14.25" x14ac:dyDescent="0.45">
      <c r="B338" s="4"/>
      <c r="G338" s="45"/>
    </row>
    <row r="339" spans="2:7" s="1" customFormat="1" ht="14.25" x14ac:dyDescent="0.45">
      <c r="B339" s="4"/>
      <c r="G339" s="45"/>
    </row>
    <row r="340" spans="2:7" s="1" customFormat="1" ht="14.25" x14ac:dyDescent="0.45">
      <c r="B340" s="4"/>
      <c r="G340" s="45"/>
    </row>
    <row r="341" spans="2:7" s="1" customFormat="1" ht="14.25" x14ac:dyDescent="0.45">
      <c r="B341" s="4"/>
      <c r="G341" s="45"/>
    </row>
    <row r="342" spans="2:7" s="1" customFormat="1" ht="14.25" x14ac:dyDescent="0.45">
      <c r="B342" s="4"/>
      <c r="G342" s="45"/>
    </row>
    <row r="343" spans="2:7" s="1" customFormat="1" ht="14.25" x14ac:dyDescent="0.45">
      <c r="B343" s="4"/>
      <c r="G343" s="45"/>
    </row>
    <row r="344" spans="2:7" s="1" customFormat="1" ht="14.25" x14ac:dyDescent="0.45">
      <c r="B344" s="4"/>
      <c r="G344" s="45"/>
    </row>
    <row r="345" spans="2:7" s="1" customFormat="1" ht="14.25" x14ac:dyDescent="0.45">
      <c r="B345" s="4"/>
      <c r="G345" s="45"/>
    </row>
    <row r="346" spans="2:7" s="1" customFormat="1" ht="14.25" x14ac:dyDescent="0.45">
      <c r="B346" s="4"/>
      <c r="G346" s="45"/>
    </row>
    <row r="347" spans="2:7" s="1" customFormat="1" ht="14.25" x14ac:dyDescent="0.45">
      <c r="B347" s="4"/>
      <c r="G347" s="45"/>
    </row>
    <row r="348" spans="2:7" s="1" customFormat="1" ht="14.25" x14ac:dyDescent="0.45">
      <c r="B348" s="4"/>
      <c r="G348" s="45"/>
    </row>
    <row r="349" spans="2:7" s="1" customFormat="1" ht="14.25" x14ac:dyDescent="0.45">
      <c r="B349" s="4"/>
      <c r="G349" s="45"/>
    </row>
    <row r="350" spans="2:7" s="1" customFormat="1" ht="14.25" x14ac:dyDescent="0.45">
      <c r="B350" s="4"/>
      <c r="G350" s="45"/>
    </row>
    <row r="351" spans="2:7" s="1" customFormat="1" ht="14.25" x14ac:dyDescent="0.45">
      <c r="B351" s="4"/>
      <c r="G351" s="45"/>
    </row>
    <row r="352" spans="2:7" s="1" customFormat="1" ht="14.25" x14ac:dyDescent="0.45">
      <c r="B352" s="4"/>
      <c r="G352" s="45"/>
    </row>
    <row r="353" spans="2:7" s="1" customFormat="1" ht="14.25" x14ac:dyDescent="0.45">
      <c r="B353" s="4"/>
      <c r="G353" s="45"/>
    </row>
    <row r="354" spans="2:7" s="1" customFormat="1" ht="14.25" x14ac:dyDescent="0.45">
      <c r="B354" s="4"/>
      <c r="G354" s="45"/>
    </row>
    <row r="355" spans="2:7" s="1" customFormat="1" ht="14.25" x14ac:dyDescent="0.45">
      <c r="B355" s="4"/>
      <c r="G355" s="45"/>
    </row>
    <row r="356" spans="2:7" s="1" customFormat="1" ht="14.25" x14ac:dyDescent="0.45">
      <c r="B356" s="4"/>
      <c r="G356" s="45"/>
    </row>
    <row r="357" spans="2:7" s="1" customFormat="1" ht="14.25" x14ac:dyDescent="0.45">
      <c r="B357" s="4"/>
      <c r="G357" s="45"/>
    </row>
    <row r="358" spans="2:7" s="1" customFormat="1" ht="14.25" x14ac:dyDescent="0.45">
      <c r="B358" s="4"/>
      <c r="G358" s="45"/>
    </row>
    <row r="359" spans="2:7" s="1" customFormat="1" ht="14.25" x14ac:dyDescent="0.45">
      <c r="B359" s="4"/>
      <c r="G359" s="45"/>
    </row>
    <row r="360" spans="2:7" s="1" customFormat="1" ht="14.25" x14ac:dyDescent="0.45">
      <c r="B360" s="4"/>
      <c r="G360" s="45"/>
    </row>
    <row r="361" spans="2:7" s="1" customFormat="1" ht="14.25" x14ac:dyDescent="0.45">
      <c r="B361" s="4"/>
      <c r="G361" s="45"/>
    </row>
    <row r="362" spans="2:7" s="1" customFormat="1" ht="14.25" x14ac:dyDescent="0.45">
      <c r="B362" s="4"/>
      <c r="G362" s="45"/>
    </row>
    <row r="363" spans="2:7" s="1" customFormat="1" ht="14.25" x14ac:dyDescent="0.45">
      <c r="B363" s="4"/>
      <c r="G363" s="45"/>
    </row>
    <row r="364" spans="2:7" s="1" customFormat="1" ht="14.25" x14ac:dyDescent="0.45">
      <c r="B364" s="4"/>
      <c r="G364" s="45"/>
    </row>
    <row r="365" spans="2:7" s="1" customFormat="1" ht="14.25" x14ac:dyDescent="0.45">
      <c r="B365" s="4"/>
      <c r="G365" s="45"/>
    </row>
    <row r="366" spans="2:7" s="1" customFormat="1" ht="14.25" x14ac:dyDescent="0.45">
      <c r="B366" s="4"/>
      <c r="G366" s="45"/>
    </row>
    <row r="367" spans="2:7" s="1" customFormat="1" ht="14.25" x14ac:dyDescent="0.45">
      <c r="B367" s="4"/>
      <c r="G367" s="45"/>
    </row>
    <row r="368" spans="2:7" s="1" customFormat="1" ht="14.25" x14ac:dyDescent="0.45">
      <c r="B368" s="4"/>
      <c r="G368" s="45"/>
    </row>
    <row r="369" spans="2:7" s="1" customFormat="1" ht="14.25" x14ac:dyDescent="0.45">
      <c r="B369" s="4"/>
      <c r="G369" s="45"/>
    </row>
    <row r="370" spans="2:7" s="1" customFormat="1" ht="14.25" x14ac:dyDescent="0.45">
      <c r="B370" s="4"/>
      <c r="G370" s="45"/>
    </row>
    <row r="371" spans="2:7" s="1" customFormat="1" ht="14.25" x14ac:dyDescent="0.45">
      <c r="B371" s="4"/>
      <c r="G371" s="45"/>
    </row>
    <row r="372" spans="2:7" s="1" customFormat="1" ht="14.25" x14ac:dyDescent="0.45">
      <c r="B372" s="4"/>
      <c r="G372" s="45"/>
    </row>
    <row r="373" spans="2:7" s="1" customFormat="1" ht="14.25" x14ac:dyDescent="0.45">
      <c r="B373" s="4"/>
      <c r="G373" s="45"/>
    </row>
    <row r="374" spans="2:7" s="1" customFormat="1" ht="14.25" x14ac:dyDescent="0.45">
      <c r="B374" s="4"/>
      <c r="G374" s="45"/>
    </row>
    <row r="375" spans="2:7" s="1" customFormat="1" ht="14.25" x14ac:dyDescent="0.45">
      <c r="B375" s="4"/>
      <c r="G375" s="45"/>
    </row>
    <row r="376" spans="2:7" s="1" customFormat="1" ht="14.25" x14ac:dyDescent="0.45">
      <c r="B376" s="4"/>
      <c r="G376" s="45"/>
    </row>
    <row r="377" spans="2:7" s="1" customFormat="1" ht="14.25" x14ac:dyDescent="0.45">
      <c r="B377" s="4"/>
      <c r="G377" s="45"/>
    </row>
    <row r="378" spans="2:7" s="1" customFormat="1" ht="14.25" x14ac:dyDescent="0.45">
      <c r="B378" s="4"/>
      <c r="G378" s="45"/>
    </row>
    <row r="379" spans="2:7" s="1" customFormat="1" ht="14.25" x14ac:dyDescent="0.45">
      <c r="B379" s="4"/>
      <c r="G379" s="45"/>
    </row>
    <row r="380" spans="2:7" s="1" customFormat="1" ht="14.25" x14ac:dyDescent="0.45">
      <c r="B380" s="4"/>
      <c r="G380" s="45"/>
    </row>
    <row r="381" spans="2:7" s="1" customFormat="1" ht="14.25" x14ac:dyDescent="0.45">
      <c r="B381" s="4"/>
      <c r="G381" s="45"/>
    </row>
    <row r="382" spans="2:7" s="1" customFormat="1" ht="14.25" x14ac:dyDescent="0.45">
      <c r="B382" s="4"/>
      <c r="G382" s="45"/>
    </row>
    <row r="383" spans="2:7" s="1" customFormat="1" ht="14.25" x14ac:dyDescent="0.45">
      <c r="B383" s="4"/>
      <c r="G383" s="45"/>
    </row>
    <row r="384" spans="2:7" s="1" customFormat="1" ht="14.25" x14ac:dyDescent="0.45">
      <c r="B384" s="4"/>
      <c r="G384" s="45"/>
    </row>
    <row r="385" spans="2:7" s="1" customFormat="1" ht="14.25" x14ac:dyDescent="0.45">
      <c r="B385" s="4"/>
      <c r="G385" s="45"/>
    </row>
    <row r="386" spans="2:7" s="1" customFormat="1" ht="14.25" x14ac:dyDescent="0.45">
      <c r="B386" s="4"/>
      <c r="G386" s="45"/>
    </row>
    <row r="387" spans="2:7" s="1" customFormat="1" ht="14.25" x14ac:dyDescent="0.45">
      <c r="B387" s="4"/>
      <c r="G387" s="45"/>
    </row>
    <row r="388" spans="2:7" s="1" customFormat="1" ht="14.25" x14ac:dyDescent="0.45">
      <c r="B388" s="4"/>
      <c r="G388" s="45"/>
    </row>
    <row r="389" spans="2:7" s="1" customFormat="1" ht="14.25" x14ac:dyDescent="0.45">
      <c r="B389" s="4"/>
      <c r="G389" s="45"/>
    </row>
    <row r="390" spans="2:7" s="1" customFormat="1" ht="14.25" x14ac:dyDescent="0.45">
      <c r="B390" s="4"/>
      <c r="G390" s="45"/>
    </row>
    <row r="391" spans="2:7" s="1" customFormat="1" ht="14.25" x14ac:dyDescent="0.45">
      <c r="B391" s="4"/>
      <c r="G391" s="45"/>
    </row>
    <row r="392" spans="2:7" s="1" customFormat="1" ht="14.25" x14ac:dyDescent="0.45">
      <c r="B392" s="4"/>
      <c r="G392" s="45"/>
    </row>
    <row r="393" spans="2:7" s="1" customFormat="1" ht="14.25" x14ac:dyDescent="0.45">
      <c r="B393" s="4"/>
      <c r="G393" s="45"/>
    </row>
    <row r="394" spans="2:7" s="1" customFormat="1" ht="14.25" x14ac:dyDescent="0.45">
      <c r="B394" s="4"/>
      <c r="G394" s="45"/>
    </row>
    <row r="395" spans="2:7" s="1" customFormat="1" ht="14.25" x14ac:dyDescent="0.45">
      <c r="B395" s="4"/>
      <c r="G395" s="45"/>
    </row>
    <row r="396" spans="2:7" s="1" customFormat="1" ht="14.25" x14ac:dyDescent="0.45">
      <c r="B396" s="4"/>
      <c r="G396" s="45"/>
    </row>
    <row r="397" spans="2:7" s="1" customFormat="1" ht="14.25" x14ac:dyDescent="0.45">
      <c r="B397" s="4"/>
      <c r="G397" s="45"/>
    </row>
    <row r="398" spans="2:7" s="1" customFormat="1" ht="14.25" x14ac:dyDescent="0.45">
      <c r="B398" s="4"/>
      <c r="G398" s="45"/>
    </row>
    <row r="399" spans="2:7" s="1" customFormat="1" ht="14.25" x14ac:dyDescent="0.45">
      <c r="B399" s="4"/>
      <c r="G399" s="45"/>
    </row>
    <row r="400" spans="2:7" s="1" customFormat="1" ht="14.25" x14ac:dyDescent="0.45">
      <c r="B400" s="4"/>
      <c r="G400" s="45"/>
    </row>
    <row r="401" spans="1:10" s="1" customFormat="1" ht="14.25" x14ac:dyDescent="0.45">
      <c r="B401" s="4"/>
      <c r="G401" s="45"/>
    </row>
    <row r="402" spans="1:10" s="1" customFormat="1" ht="14.25" x14ac:dyDescent="0.45">
      <c r="B402" s="4"/>
      <c r="G402" s="45"/>
    </row>
    <row r="403" spans="1:10" s="1" customFormat="1" ht="14.25" x14ac:dyDescent="0.45">
      <c r="B403" s="4"/>
      <c r="G403" s="45"/>
    </row>
    <row r="404" spans="1:10" s="1" customFormat="1" ht="14.25" x14ac:dyDescent="0.45">
      <c r="B404" s="4"/>
      <c r="G404" s="45"/>
    </row>
    <row r="405" spans="1:10" s="1" customFormat="1" ht="14.25" x14ac:dyDescent="0.45">
      <c r="B405" s="4"/>
      <c r="G405" s="45"/>
    </row>
    <row r="406" spans="1:10" ht="15.4" x14ac:dyDescent="0.45">
      <c r="A406" s="1"/>
      <c r="B406" s="4"/>
      <c r="C406" s="1"/>
      <c r="D406" s="1"/>
      <c r="E406" s="1"/>
      <c r="F406" s="1"/>
      <c r="G406" s="45"/>
      <c r="H406" s="1"/>
      <c r="I406" s="1"/>
      <c r="J406" s="1"/>
    </row>
    <row r="407" spans="1:10" ht="15.4" x14ac:dyDescent="0.45">
      <c r="A407" s="1"/>
      <c r="B407" s="4"/>
      <c r="C407" s="1"/>
      <c r="D407" s="1"/>
      <c r="E407" s="1"/>
      <c r="F407" s="1"/>
      <c r="G407" s="45"/>
      <c r="H407" s="1"/>
      <c r="I407" s="1"/>
      <c r="J407" s="1"/>
    </row>
    <row r="408" spans="1:10" ht="15.4" x14ac:dyDescent="0.45">
      <c r="A408" s="1"/>
      <c r="B408" s="4"/>
      <c r="C408" s="1"/>
      <c r="D408" s="1"/>
      <c r="E408" s="1"/>
      <c r="F408" s="1"/>
      <c r="G408" s="45"/>
      <c r="H408" s="1"/>
      <c r="I408" s="1"/>
      <c r="J408" s="1"/>
    </row>
    <row r="409" spans="1:10" ht="15.4" x14ac:dyDescent="0.45">
      <c r="A409" s="1"/>
      <c r="B409" s="4"/>
      <c r="C409" s="1"/>
      <c r="D409" s="1"/>
      <c r="E409" s="1"/>
      <c r="F409" s="1"/>
      <c r="G409" s="45"/>
      <c r="H409" s="1"/>
      <c r="I409" s="1"/>
      <c r="J409" s="1"/>
    </row>
    <row r="410" spans="1:10" ht="15.4" x14ac:dyDescent="0.45">
      <c r="A410" s="1"/>
      <c r="B410" s="4"/>
      <c r="C410" s="1"/>
      <c r="D410" s="1"/>
      <c r="E410" s="1"/>
      <c r="F410" s="1"/>
      <c r="G410" s="45"/>
      <c r="H410" s="1"/>
      <c r="I410" s="1"/>
      <c r="J410" s="1"/>
    </row>
    <row r="411" spans="1:10" ht="15.4" x14ac:dyDescent="0.45">
      <c r="A411" s="1"/>
      <c r="B411" s="4"/>
      <c r="C411" s="1"/>
      <c r="D411" s="1"/>
      <c r="E411" s="1"/>
      <c r="F411" s="1"/>
      <c r="G411" s="45"/>
      <c r="H411" s="1"/>
      <c r="I411" s="1"/>
      <c r="J411" s="1"/>
    </row>
    <row r="412" spans="1:10" ht="15.4" x14ac:dyDescent="0.45">
      <c r="A412" s="1"/>
      <c r="B412" s="4"/>
      <c r="C412" s="1"/>
      <c r="D412" s="1"/>
      <c r="E412" s="1"/>
      <c r="F412" s="1"/>
      <c r="G412" s="45"/>
      <c r="H412" s="1"/>
      <c r="I412" s="1"/>
      <c r="J412" s="1"/>
    </row>
    <row r="413" spans="1:10" ht="15.4" x14ac:dyDescent="0.45">
      <c r="A413" s="1"/>
      <c r="B413" s="4"/>
      <c r="C413" s="1"/>
      <c r="D413" s="1"/>
      <c r="E413" s="1"/>
      <c r="F413" s="1"/>
      <c r="G413" s="45"/>
      <c r="H413" s="1"/>
      <c r="I413" s="1"/>
      <c r="J413" s="1"/>
    </row>
    <row r="414" spans="1:10" ht="15.4" x14ac:dyDescent="0.45">
      <c r="A414" s="1"/>
      <c r="B414" s="4"/>
      <c r="C414" s="1"/>
      <c r="D414" s="1"/>
      <c r="E414" s="1"/>
      <c r="F414" s="1"/>
      <c r="G414" s="45"/>
      <c r="H414" s="1"/>
      <c r="I414" s="1"/>
      <c r="J414" s="1"/>
    </row>
    <row r="415" spans="1:10" ht="15.4" x14ac:dyDescent="0.45">
      <c r="A415" s="1"/>
      <c r="B415" s="4"/>
      <c r="C415" s="1"/>
      <c r="D415" s="1"/>
      <c r="E415" s="1"/>
      <c r="F415" s="1"/>
      <c r="G415" s="45"/>
      <c r="H415" s="1"/>
      <c r="I415" s="1"/>
      <c r="J415" s="1"/>
    </row>
    <row r="416" spans="1:10" ht="15.4" x14ac:dyDescent="0.45">
      <c r="A416" s="1"/>
      <c r="B416" s="4"/>
      <c r="C416" s="1"/>
      <c r="D416" s="1"/>
      <c r="E416" s="1"/>
      <c r="F416" s="1"/>
      <c r="G416" s="45"/>
      <c r="H416" s="1"/>
      <c r="I416" s="1"/>
      <c r="J416" s="1"/>
    </row>
    <row r="417" spans="1:10" ht="15.4" x14ac:dyDescent="0.45">
      <c r="A417" s="1"/>
      <c r="B417" s="4"/>
      <c r="C417" s="1"/>
      <c r="D417" s="1"/>
      <c r="E417" s="1"/>
      <c r="F417" s="1"/>
      <c r="G417" s="45"/>
      <c r="H417" s="1"/>
      <c r="I417" s="1"/>
      <c r="J417" s="1"/>
    </row>
    <row r="418" spans="1:10" ht="15.4" x14ac:dyDescent="0.45">
      <c r="A418" s="1"/>
      <c r="B418" s="4"/>
      <c r="C418" s="1"/>
      <c r="D418" s="1"/>
      <c r="E418" s="1"/>
      <c r="F418" s="1"/>
      <c r="G418" s="45"/>
      <c r="H418" s="1"/>
      <c r="I418" s="1"/>
      <c r="J418" s="1"/>
    </row>
  </sheetData>
  <mergeCells count="27">
    <mergeCell ref="E26:F26"/>
    <mergeCell ref="A1:H1"/>
    <mergeCell ref="A2:H2"/>
    <mergeCell ref="B5:G5"/>
    <mergeCell ref="D14:E14"/>
    <mergeCell ref="D24:E24"/>
    <mergeCell ref="E90:F90"/>
    <mergeCell ref="D34:E34"/>
    <mergeCell ref="D43:E43"/>
    <mergeCell ref="E44:F44"/>
    <mergeCell ref="D51:E51"/>
    <mergeCell ref="D59:E59"/>
    <mergeCell ref="E60:F60"/>
    <mergeCell ref="D66:E66"/>
    <mergeCell ref="D74:E74"/>
    <mergeCell ref="E75:F75"/>
    <mergeCell ref="D81:E81"/>
    <mergeCell ref="D89:E89"/>
    <mergeCell ref="D124:E124"/>
    <mergeCell ref="D132:E132"/>
    <mergeCell ref="E133:F133"/>
    <mergeCell ref="D96:E96"/>
    <mergeCell ref="D104:E104"/>
    <mergeCell ref="E105:F105"/>
    <mergeCell ref="D111:E111"/>
    <mergeCell ref="D118:E118"/>
    <mergeCell ref="E119:F119"/>
  </mergeCells>
  <pageMargins left="0.7" right="0.7" top="0.75" bottom="0.75" header="0.3" footer="0.3"/>
  <pageSetup scale="63" fitToHeight="8" orientation="landscape" horizontalDpi="4294967293" verticalDpi="0" r:id="rId1"/>
  <rowBreaks count="2" manualBreakCount="2">
    <brk id="49" max="13" man="1"/>
    <brk id="9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56ECB-1166-4A19-BAC2-1CAB016DEA29}">
  <sheetPr>
    <pageSetUpPr fitToPage="1"/>
  </sheetPr>
  <dimension ref="A1:N26"/>
  <sheetViews>
    <sheetView workbookViewId="0">
      <selection activeCell="H21" sqref="H21"/>
    </sheetView>
  </sheetViews>
  <sheetFormatPr defaultRowHeight="15" x14ac:dyDescent="0.4"/>
  <sheetData>
    <row r="1" spans="1:14" ht="18" x14ac:dyDescent="0.45">
      <c r="A1" s="316" t="s">
        <v>218</v>
      </c>
      <c r="B1" s="316"/>
      <c r="C1" s="316"/>
      <c r="D1" s="316"/>
      <c r="E1" s="316"/>
      <c r="F1" s="316"/>
      <c r="G1" s="316"/>
      <c r="H1" s="316"/>
      <c r="I1" s="51"/>
      <c r="J1" s="64"/>
      <c r="K1" s="65"/>
      <c r="L1" s="51"/>
      <c r="M1" s="5"/>
      <c r="N1" s="5"/>
    </row>
    <row r="2" spans="1:14" ht="15.4" x14ac:dyDescent="0.45">
      <c r="A2" s="60" t="s">
        <v>37</v>
      </c>
      <c r="B2" s="51"/>
      <c r="C2" s="51"/>
      <c r="D2" s="66"/>
      <c r="E2" s="51"/>
      <c r="F2" s="61"/>
      <c r="G2" s="61"/>
      <c r="H2" s="5">
        <f>SAO!G48</f>
        <v>3337888.0878498284</v>
      </c>
      <c r="I2" s="51"/>
      <c r="J2" s="5"/>
      <c r="K2" s="51"/>
      <c r="L2" s="51"/>
      <c r="M2" s="5"/>
      <c r="N2" s="5"/>
    </row>
    <row r="3" spans="1:14" ht="15.4" x14ac:dyDescent="0.45">
      <c r="A3" s="51" t="s">
        <v>20</v>
      </c>
      <c r="B3" s="51"/>
      <c r="C3" s="51" t="s">
        <v>163</v>
      </c>
      <c r="D3" s="66"/>
      <c r="E3" s="51"/>
      <c r="F3" s="61"/>
      <c r="G3" s="61" t="s">
        <v>314</v>
      </c>
      <c r="H3" s="5">
        <f>'Debt Service'!M22</f>
        <v>400942</v>
      </c>
      <c r="I3" s="51"/>
      <c r="J3" s="5"/>
      <c r="K3" s="51"/>
      <c r="L3" s="51"/>
      <c r="M3" s="5"/>
      <c r="N3" s="5"/>
    </row>
    <row r="4" spans="1:14" ht="17.649999999999999" x14ac:dyDescent="0.75">
      <c r="A4" s="51"/>
      <c r="B4" s="66"/>
      <c r="C4" s="66" t="s">
        <v>164</v>
      </c>
      <c r="D4" s="66"/>
      <c r="E4" s="51"/>
      <c r="F4" s="61"/>
      <c r="G4" s="61" t="s">
        <v>314</v>
      </c>
      <c r="H4" s="225">
        <f>'Debt Service'!M24</f>
        <v>80188.400000000009</v>
      </c>
      <c r="I4" s="51"/>
      <c r="J4" s="5"/>
      <c r="K4" s="51"/>
      <c r="L4" s="51"/>
      <c r="M4" s="5"/>
      <c r="N4" s="5"/>
    </row>
    <row r="5" spans="1:14" ht="15.4" x14ac:dyDescent="0.45">
      <c r="A5" s="60" t="s">
        <v>63</v>
      </c>
      <c r="B5" s="51"/>
      <c r="C5" s="51"/>
      <c r="D5" s="66"/>
      <c r="E5" s="51"/>
      <c r="F5" s="61"/>
      <c r="G5" s="61"/>
      <c r="H5" s="5">
        <f>H2+H3+H4</f>
        <v>3819018.4878498283</v>
      </c>
      <c r="I5" s="51"/>
      <c r="J5" s="5"/>
      <c r="K5" s="51"/>
      <c r="L5" s="51"/>
      <c r="M5" s="5"/>
      <c r="N5" s="5"/>
    </row>
    <row r="6" spans="1:14" ht="15.4" x14ac:dyDescent="0.45">
      <c r="A6" s="51" t="s">
        <v>21</v>
      </c>
      <c r="B6" s="51"/>
      <c r="C6" s="51" t="s">
        <v>22</v>
      </c>
      <c r="D6" s="66"/>
      <c r="E6" s="51"/>
      <c r="F6" s="61"/>
      <c r="G6" s="61"/>
      <c r="H6" s="5">
        <f>SUM(SAO!G12:G15)</f>
        <v>368471</v>
      </c>
      <c r="I6" s="51"/>
      <c r="J6" s="5"/>
      <c r="K6" s="51"/>
      <c r="L6" s="51"/>
      <c r="M6" s="5"/>
      <c r="N6" s="5"/>
    </row>
    <row r="7" spans="1:14" ht="15.4" x14ac:dyDescent="0.45">
      <c r="A7" s="51"/>
      <c r="B7" s="51"/>
      <c r="C7" s="51" t="s">
        <v>321</v>
      </c>
      <c r="D7" s="66"/>
      <c r="E7" s="51"/>
      <c r="F7" s="61"/>
      <c r="G7" s="61"/>
      <c r="H7" s="5">
        <v>13965</v>
      </c>
      <c r="I7" s="51"/>
      <c r="J7" s="5"/>
      <c r="K7" s="51"/>
      <c r="L7" s="51"/>
      <c r="M7" s="5"/>
      <c r="N7" s="5"/>
    </row>
    <row r="8" spans="1:14" ht="17.649999999999999" x14ac:dyDescent="0.75">
      <c r="A8" s="51"/>
      <c r="B8" s="51"/>
      <c r="C8" s="51" t="s">
        <v>280</v>
      </c>
      <c r="D8" s="66"/>
      <c r="E8" s="51"/>
      <c r="F8" s="61"/>
      <c r="G8" s="61"/>
      <c r="H8" s="225">
        <f>SAO!G8</f>
        <v>3210</v>
      </c>
      <c r="I8" s="51"/>
      <c r="J8" s="5"/>
      <c r="K8" s="51"/>
      <c r="L8" s="51"/>
      <c r="M8" s="5"/>
      <c r="N8" s="5"/>
    </row>
    <row r="9" spans="1:14" ht="15.4" x14ac:dyDescent="0.45">
      <c r="A9" s="60" t="s">
        <v>61</v>
      </c>
      <c r="B9" s="51"/>
      <c r="C9" s="51"/>
      <c r="D9" s="66"/>
      <c r="E9" s="51"/>
      <c r="F9" s="61"/>
      <c r="G9" s="61"/>
      <c r="H9" s="5">
        <f>H5-H6-H7-H8</f>
        <v>3433372.4878498283</v>
      </c>
      <c r="I9" s="51"/>
      <c r="J9" s="5"/>
      <c r="K9" s="51"/>
      <c r="L9" s="51"/>
      <c r="M9" s="5"/>
      <c r="N9" s="5"/>
    </row>
    <row r="10" spans="1:14" ht="17.649999999999999" x14ac:dyDescent="0.75">
      <c r="A10" s="51" t="s">
        <v>21</v>
      </c>
      <c r="B10" s="51"/>
      <c r="C10" s="51" t="s">
        <v>62</v>
      </c>
      <c r="D10" s="66"/>
      <c r="E10" s="51"/>
      <c r="F10" s="61"/>
      <c r="G10" s="61"/>
      <c r="H10" s="41">
        <f>SAO!G6</f>
        <v>3403684.44</v>
      </c>
      <c r="I10" s="51"/>
      <c r="J10" s="27"/>
      <c r="K10" s="51"/>
      <c r="L10" s="51"/>
      <c r="M10" s="5"/>
      <c r="N10" s="5"/>
    </row>
    <row r="11" spans="1:14" ht="15.4" x14ac:dyDescent="0.45">
      <c r="A11" s="60" t="s">
        <v>64</v>
      </c>
      <c r="B11" s="51"/>
      <c r="C11" s="51"/>
      <c r="D11" s="66"/>
      <c r="E11" s="51"/>
      <c r="F11" s="61"/>
      <c r="G11" s="61"/>
      <c r="H11" s="51">
        <f>H9-H10</f>
        <v>29688.047849828377</v>
      </c>
      <c r="I11" s="51"/>
      <c r="J11" s="51"/>
      <c r="K11" s="51"/>
      <c r="L11" s="51"/>
      <c r="M11" s="5"/>
      <c r="N11" s="5"/>
    </row>
    <row r="12" spans="1:14" ht="15.4" x14ac:dyDescent="0.45">
      <c r="A12" s="60" t="s">
        <v>65</v>
      </c>
      <c r="B12" s="51"/>
      <c r="C12" s="51"/>
      <c r="D12" s="66"/>
      <c r="E12" s="51"/>
      <c r="F12" s="61"/>
      <c r="G12" s="61"/>
      <c r="H12" s="67">
        <f>ROUND(H11/H10,4)</f>
        <v>8.6999999999999994E-3</v>
      </c>
      <c r="I12" s="51"/>
      <c r="J12" s="51"/>
      <c r="K12" s="5"/>
      <c r="L12" s="51"/>
      <c r="M12" s="5"/>
      <c r="N12" s="5"/>
    </row>
    <row r="13" spans="1:14" ht="15.4" x14ac:dyDescent="0.4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18" x14ac:dyDescent="0.45">
      <c r="A14" s="316" t="s">
        <v>219</v>
      </c>
      <c r="B14" s="316"/>
      <c r="C14" s="316"/>
      <c r="D14" s="316"/>
      <c r="E14" s="316"/>
      <c r="F14" s="316"/>
      <c r="G14" s="316"/>
      <c r="H14" s="316"/>
      <c r="I14" s="5"/>
      <c r="J14" s="5"/>
      <c r="K14" s="5"/>
      <c r="L14" s="5"/>
      <c r="M14" s="5"/>
      <c r="N14" s="5"/>
    </row>
    <row r="15" spans="1:14" ht="15.4" x14ac:dyDescent="0.45">
      <c r="A15" s="280" t="s">
        <v>37</v>
      </c>
      <c r="B15" s="281"/>
      <c r="C15" s="281"/>
      <c r="D15" s="66"/>
      <c r="E15" s="51"/>
      <c r="F15" s="61"/>
      <c r="G15" s="61"/>
      <c r="H15" s="5">
        <f>SAO!G48</f>
        <v>3337888.0878498284</v>
      </c>
      <c r="I15" s="5"/>
      <c r="J15" s="5"/>
      <c r="K15" s="5"/>
      <c r="L15" s="5"/>
      <c r="M15" s="5"/>
      <c r="N15" s="5"/>
    </row>
    <row r="16" spans="1:14" ht="15.4" x14ac:dyDescent="0.45">
      <c r="A16" s="281" t="s">
        <v>220</v>
      </c>
      <c r="B16" s="281"/>
      <c r="C16" s="281"/>
      <c r="D16" s="66"/>
      <c r="E16" s="51"/>
      <c r="F16" s="61"/>
      <c r="G16" s="61"/>
      <c r="H16" s="296">
        <v>0.88</v>
      </c>
      <c r="I16" s="5"/>
      <c r="J16" s="5"/>
      <c r="K16" s="5"/>
      <c r="L16" s="5"/>
      <c r="M16" s="5"/>
      <c r="N16" s="5"/>
    </row>
    <row r="17" spans="1:14" ht="15.4" x14ac:dyDescent="0.45">
      <c r="A17" s="281" t="s">
        <v>221</v>
      </c>
      <c r="B17" s="128"/>
      <c r="C17" s="128"/>
      <c r="D17" s="66"/>
      <c r="E17" s="51"/>
      <c r="F17" s="61"/>
      <c r="G17" s="61"/>
      <c r="H17" s="5">
        <f>H15/H16</f>
        <v>3793054.645283896</v>
      </c>
      <c r="I17" s="5"/>
      <c r="J17" s="5"/>
      <c r="K17" s="5"/>
      <c r="L17" s="5"/>
      <c r="M17" s="5"/>
      <c r="N17" s="5"/>
    </row>
    <row r="18" spans="1:14" ht="17.649999999999999" x14ac:dyDescent="0.75">
      <c r="A18" s="281" t="s">
        <v>20</v>
      </c>
      <c r="B18" s="281"/>
      <c r="C18" s="281" t="s">
        <v>222</v>
      </c>
      <c r="D18" s="66"/>
      <c r="E18" s="51"/>
      <c r="F18" s="61"/>
      <c r="G18" s="61" t="s">
        <v>315</v>
      </c>
      <c r="H18" s="225">
        <f>'Debt Service'!M29</f>
        <v>217930.6</v>
      </c>
      <c r="I18" s="5"/>
      <c r="J18" s="5"/>
      <c r="K18" s="51"/>
      <c r="L18" s="51"/>
      <c r="M18" s="5"/>
      <c r="N18" s="5"/>
    </row>
    <row r="19" spans="1:14" ht="15.4" x14ac:dyDescent="0.45">
      <c r="A19" s="280" t="s">
        <v>63</v>
      </c>
      <c r="B19" s="281"/>
      <c r="C19" s="281"/>
      <c r="D19" s="66"/>
      <c r="E19" s="51"/>
      <c r="F19" s="61"/>
      <c r="G19" s="61"/>
      <c r="H19" s="5">
        <f>H17+H18</f>
        <v>4010985.2452838961</v>
      </c>
      <c r="I19" s="5"/>
      <c r="J19" s="5"/>
      <c r="K19" s="5"/>
      <c r="L19" s="5"/>
      <c r="M19" s="5"/>
      <c r="N19" s="5"/>
    </row>
    <row r="20" spans="1:14" ht="15.4" x14ac:dyDescent="0.45">
      <c r="A20" s="281" t="s">
        <v>21</v>
      </c>
      <c r="B20" s="281"/>
      <c r="C20" s="285" t="s">
        <v>22</v>
      </c>
      <c r="D20" s="66"/>
      <c r="E20" s="51"/>
      <c r="F20" s="61"/>
      <c r="G20" s="61"/>
      <c r="H20" s="5">
        <f>SUM(SAO!G12:G15)</f>
        <v>368471</v>
      </c>
      <c r="I20" s="5"/>
      <c r="J20" s="5"/>
      <c r="K20" s="5"/>
      <c r="L20" s="5"/>
      <c r="M20" s="5"/>
      <c r="N20" s="5"/>
    </row>
    <row r="21" spans="1:14" ht="15.4" x14ac:dyDescent="0.45">
      <c r="A21" s="281"/>
      <c r="B21" s="281"/>
      <c r="C21" s="285" t="s">
        <v>321</v>
      </c>
      <c r="D21" s="66"/>
      <c r="E21" s="51"/>
      <c r="F21" s="61"/>
      <c r="G21" s="61"/>
      <c r="H21" s="5">
        <v>13965</v>
      </c>
      <c r="I21" s="5"/>
      <c r="J21" s="5"/>
      <c r="K21" s="5"/>
      <c r="L21" s="5"/>
      <c r="M21" s="5"/>
      <c r="N21" s="5"/>
    </row>
    <row r="22" spans="1:14" ht="17.649999999999999" x14ac:dyDescent="0.75">
      <c r="A22" s="281"/>
      <c r="B22" s="281"/>
      <c r="C22" s="286" t="s">
        <v>280</v>
      </c>
      <c r="D22" s="66"/>
      <c r="E22" s="51"/>
      <c r="F22" s="61"/>
      <c r="G22" s="61"/>
      <c r="H22" s="225">
        <f>SAO!G8</f>
        <v>3210</v>
      </c>
      <c r="I22" s="5"/>
      <c r="J22" s="5"/>
      <c r="K22" s="5"/>
      <c r="L22" s="5"/>
      <c r="M22" s="5"/>
      <c r="N22" s="5"/>
    </row>
    <row r="23" spans="1:14" ht="15.4" x14ac:dyDescent="0.45">
      <c r="A23" s="280" t="s">
        <v>61</v>
      </c>
      <c r="B23" s="281"/>
      <c r="C23" s="281"/>
      <c r="D23" s="66"/>
      <c r="E23" s="51"/>
      <c r="F23" s="61"/>
      <c r="G23" s="61"/>
      <c r="H23" s="5">
        <f>H19-H20-H21-H22</f>
        <v>3625339.2452838961</v>
      </c>
      <c r="I23" s="5"/>
      <c r="J23" s="5"/>
      <c r="K23" s="5"/>
      <c r="L23" s="5"/>
      <c r="M23" s="5"/>
      <c r="N23" s="5"/>
    </row>
    <row r="24" spans="1:14" ht="17.649999999999999" x14ac:dyDescent="0.75">
      <c r="A24" s="281" t="s">
        <v>21</v>
      </c>
      <c r="B24" s="281"/>
      <c r="C24" s="284" t="s">
        <v>62</v>
      </c>
      <c r="D24" s="66"/>
      <c r="E24" s="51"/>
      <c r="F24" s="61"/>
      <c r="G24" s="61"/>
      <c r="H24" s="41">
        <f>SAO!G6</f>
        <v>3403684.44</v>
      </c>
      <c r="I24" s="5"/>
      <c r="J24" s="5"/>
      <c r="K24" s="5"/>
      <c r="L24" s="5"/>
      <c r="M24" s="5"/>
      <c r="N24" s="5"/>
    </row>
    <row r="25" spans="1:14" ht="15.4" x14ac:dyDescent="0.45">
      <c r="A25" s="280" t="s">
        <v>64</v>
      </c>
      <c r="B25" s="281"/>
      <c r="C25" s="281"/>
      <c r="D25" s="66"/>
      <c r="E25" s="51"/>
      <c r="F25" s="61"/>
      <c r="G25" s="61"/>
      <c r="H25" s="4">
        <f>H23-H24</f>
        <v>221654.80528389616</v>
      </c>
      <c r="I25" s="5"/>
      <c r="J25" s="5"/>
      <c r="K25" s="5"/>
      <c r="L25" s="5"/>
      <c r="M25" s="5"/>
      <c r="N25" s="5"/>
    </row>
    <row r="26" spans="1:14" ht="15.4" x14ac:dyDescent="0.45">
      <c r="A26" s="280" t="s">
        <v>65</v>
      </c>
      <c r="B26" s="281"/>
      <c r="C26" s="281"/>
      <c r="D26" s="5"/>
      <c r="E26" s="5"/>
      <c r="F26" s="5"/>
      <c r="G26" s="5"/>
      <c r="H26" s="67">
        <f>H25/H24</f>
        <v>6.5122019738085984E-2</v>
      </c>
      <c r="I26" s="5"/>
      <c r="J26" s="211"/>
      <c r="K26" s="5"/>
      <c r="L26" s="5"/>
      <c r="M26" s="5"/>
      <c r="N26" s="5"/>
    </row>
  </sheetData>
  <mergeCells count="2">
    <mergeCell ref="A1:H1"/>
    <mergeCell ref="A14:H14"/>
  </mergeCells>
  <printOptions horizontalCentered="1" verticalCentered="1"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93153-D18D-47C6-A731-B4659C25EE06}">
  <dimension ref="A1:N46"/>
  <sheetViews>
    <sheetView tabSelected="1" topLeftCell="B20" workbookViewId="0">
      <selection activeCell="J49" sqref="J49"/>
    </sheetView>
  </sheetViews>
  <sheetFormatPr defaultRowHeight="14.25" x14ac:dyDescent="0.45"/>
  <cols>
    <col min="1" max="1" width="34.0546875" style="1" bestFit="1" customWidth="1"/>
    <col min="2" max="2" width="39.609375" style="1" customWidth="1"/>
    <col min="3" max="4" width="8.88671875" style="1"/>
    <col min="5" max="5" width="9.88671875" style="1" bestFit="1" customWidth="1"/>
    <col min="6" max="9" width="8.88671875" style="1"/>
    <col min="10" max="10" width="9.88671875" style="1" bestFit="1" customWidth="1"/>
    <col min="11" max="11" width="8.88671875" style="97"/>
    <col min="12" max="16384" width="8.88671875" style="1"/>
  </cols>
  <sheetData>
    <row r="1" spans="1:14" x14ac:dyDescent="0.45">
      <c r="A1" s="147" t="s">
        <v>87</v>
      </c>
    </row>
    <row r="2" spans="1:14" x14ac:dyDescent="0.45">
      <c r="J2" s="18" t="s">
        <v>12</v>
      </c>
      <c r="L2" s="96" t="s">
        <v>322</v>
      </c>
    </row>
    <row r="3" spans="1:14" x14ac:dyDescent="0.45">
      <c r="C3" s="18">
        <v>2021</v>
      </c>
      <c r="D3" s="18">
        <v>2021</v>
      </c>
      <c r="E3" s="18" t="s">
        <v>89</v>
      </c>
      <c r="F3" s="18" t="s">
        <v>88</v>
      </c>
      <c r="G3" s="18" t="s">
        <v>88</v>
      </c>
      <c r="H3" s="18" t="s">
        <v>299</v>
      </c>
      <c r="I3" s="18"/>
      <c r="J3" s="18" t="s">
        <v>88</v>
      </c>
      <c r="L3" s="96" t="s">
        <v>88</v>
      </c>
    </row>
    <row r="4" spans="1:14" x14ac:dyDescent="0.45">
      <c r="B4" s="19" t="s">
        <v>90</v>
      </c>
      <c r="C4" s="19" t="s">
        <v>91</v>
      </c>
      <c r="D4" s="19" t="s">
        <v>92</v>
      </c>
      <c r="E4" s="19" t="s">
        <v>93</v>
      </c>
      <c r="F4" s="19" t="s">
        <v>94</v>
      </c>
      <c r="G4" s="19" t="s">
        <v>95</v>
      </c>
      <c r="H4" s="19" t="s">
        <v>300</v>
      </c>
      <c r="I4" s="19" t="s">
        <v>298</v>
      </c>
      <c r="J4" s="19" t="s">
        <v>96</v>
      </c>
      <c r="L4" s="312" t="s">
        <v>96</v>
      </c>
      <c r="M4" s="312" t="s">
        <v>68</v>
      </c>
      <c r="N4" s="312" t="s">
        <v>275</v>
      </c>
    </row>
    <row r="5" spans="1:14" x14ac:dyDescent="0.45">
      <c r="A5" s="121">
        <v>1</v>
      </c>
      <c r="B5" s="290" t="s">
        <v>234</v>
      </c>
      <c r="C5" s="301">
        <f>[1]Sheet1!$E$37-SUM([1]Sheet1!$E$24:$E$33)</f>
        <v>2080</v>
      </c>
      <c r="D5" s="302">
        <f>SUM([1]Sheet1!$E$24:$E$33)</f>
        <v>0</v>
      </c>
      <c r="E5" s="87">
        <v>20.75</v>
      </c>
      <c r="F5" s="16">
        <f>C5*E5</f>
        <v>43160</v>
      </c>
      <c r="G5" s="16">
        <f>D5*E5*1.5</f>
        <v>0</v>
      </c>
      <c r="H5" s="16">
        <f>[1]Sheet1!$I$36</f>
        <v>280</v>
      </c>
      <c r="I5" s="16">
        <f>[1]Sheet1!$I$35</f>
        <v>1000</v>
      </c>
      <c r="J5" s="16">
        <f>F5+G5+H5+I5</f>
        <v>44440</v>
      </c>
      <c r="L5" s="5">
        <v>44440</v>
      </c>
      <c r="M5" s="89">
        <f t="shared" ref="M5" si="0">L5-J5</f>
        <v>0</v>
      </c>
      <c r="N5" s="314">
        <f>M5/L5</f>
        <v>0</v>
      </c>
    </row>
    <row r="6" spans="1:14" x14ac:dyDescent="0.45">
      <c r="A6" s="121">
        <f t="shared" ref="A6:A18" si="1">A5+1</f>
        <v>2</v>
      </c>
      <c r="B6" s="290" t="s">
        <v>235</v>
      </c>
      <c r="C6" s="301">
        <f>[1]Sheet1!$K$37-SUM([1]Sheet1!$K$24:$K$33)</f>
        <v>2102.5</v>
      </c>
      <c r="D6" s="302">
        <f>SUM([1]Sheet1!$K$24:$K$33)</f>
        <v>170.5</v>
      </c>
      <c r="E6" s="87">
        <v>17</v>
      </c>
      <c r="F6" s="16">
        <f>C6*E6</f>
        <v>35742.5</v>
      </c>
      <c r="G6" s="16">
        <f>D6*E6*1.5</f>
        <v>4347.75</v>
      </c>
      <c r="H6" s="16">
        <f>[1]Sheet1!$O$36</f>
        <v>740</v>
      </c>
      <c r="I6" s="16">
        <f>[1]Sheet1!$O$35</f>
        <v>1000</v>
      </c>
      <c r="J6" s="16">
        <f t="shared" ref="J6:J18" si="2">F6+G6+H6+I6</f>
        <v>41830.25</v>
      </c>
      <c r="L6" s="5">
        <v>41718.375</v>
      </c>
      <c r="M6" s="89">
        <f>L6-J6</f>
        <v>-111.875</v>
      </c>
      <c r="N6" s="314">
        <f t="shared" ref="N6:N20" si="3">M6/L6</f>
        <v>-2.6816720449921649E-3</v>
      </c>
    </row>
    <row r="7" spans="1:14" x14ac:dyDescent="0.45">
      <c r="A7" s="121">
        <f t="shared" si="1"/>
        <v>3</v>
      </c>
      <c r="B7" s="290" t="s">
        <v>236</v>
      </c>
      <c r="C7" s="301">
        <f>[1]Sheet1!$W$37-SUM([1]Sheet1!$W$24:$W$33)</f>
        <v>2111.5</v>
      </c>
      <c r="D7" s="302">
        <f>SUM([1]Sheet1!$W$24:$W$33)</f>
        <v>155</v>
      </c>
      <c r="E7" s="87">
        <v>19.5</v>
      </c>
      <c r="F7" s="16">
        <f>C7*E7</f>
        <v>41174.25</v>
      </c>
      <c r="G7" s="16">
        <f>D7*E7*1.5</f>
        <v>4533.75</v>
      </c>
      <c r="H7" s="16">
        <f>[1]Sheet1!$AA$36</f>
        <v>307.5</v>
      </c>
      <c r="I7" s="16">
        <f>[1]Sheet1!$AA$35</f>
        <v>4848</v>
      </c>
      <c r="J7" s="16">
        <f t="shared" si="2"/>
        <v>50863.5</v>
      </c>
      <c r="L7" s="5">
        <v>50627.25</v>
      </c>
      <c r="M7" s="89">
        <f t="shared" ref="M7:M18" si="4">L7-J7</f>
        <v>-236.25</v>
      </c>
      <c r="N7" s="314">
        <f t="shared" si="3"/>
        <v>-4.6664592684769563E-3</v>
      </c>
    </row>
    <row r="8" spans="1:14" x14ac:dyDescent="0.45">
      <c r="A8" s="121">
        <f t="shared" si="1"/>
        <v>4</v>
      </c>
      <c r="B8" s="290" t="s">
        <v>237</v>
      </c>
      <c r="C8" s="301">
        <f>[1]Sheet1!$AC$37-SUM([1]Sheet1!$AC$24:$AC$33)</f>
        <v>1112</v>
      </c>
      <c r="D8" s="302">
        <f>SUM([1]Sheet1!$AC$24:$AC$33)</f>
        <v>49</v>
      </c>
      <c r="E8" s="87">
        <v>15</v>
      </c>
      <c r="F8" s="16">
        <f t="shared" ref="F8:F18" si="5">C8*E8</f>
        <v>16680</v>
      </c>
      <c r="G8" s="20">
        <f t="shared" ref="G8:G18" si="6">D8*E8*1.5</f>
        <v>1102.5</v>
      </c>
      <c r="H8" s="20">
        <f>[1]Sheet1!$AG$36</f>
        <v>0</v>
      </c>
      <c r="I8" s="20">
        <f>[1]Sheet1!$AG$35</f>
        <v>0</v>
      </c>
      <c r="J8" s="16">
        <f t="shared" si="2"/>
        <v>17782.5</v>
      </c>
      <c r="L8" s="5">
        <v>17760.75</v>
      </c>
      <c r="M8" s="89">
        <f t="shared" si="4"/>
        <v>-21.75</v>
      </c>
      <c r="N8" s="314">
        <f t="shared" si="3"/>
        <v>-1.224610447193953E-3</v>
      </c>
    </row>
    <row r="9" spans="1:14" x14ac:dyDescent="0.45">
      <c r="A9" s="121">
        <f t="shared" si="1"/>
        <v>5</v>
      </c>
      <c r="B9" s="290" t="s">
        <v>238</v>
      </c>
      <c r="C9" s="301">
        <v>2080</v>
      </c>
      <c r="D9" s="302">
        <f>SUM([1]Sheet1!$AI$24:$AI$33)</f>
        <v>0</v>
      </c>
      <c r="E9" s="87">
        <f>83578.48/2080</f>
        <v>40.181961538461536</v>
      </c>
      <c r="F9" s="16">
        <f t="shared" si="5"/>
        <v>83578.48</v>
      </c>
      <c r="G9" s="20">
        <f t="shared" si="6"/>
        <v>0</v>
      </c>
      <c r="H9" s="20">
        <f>[1]Sheet1!$AM$36</f>
        <v>537.6</v>
      </c>
      <c r="I9" s="20">
        <f>[1]Sheet1!$AM$35</f>
        <v>2100</v>
      </c>
      <c r="J9" s="16">
        <f t="shared" si="2"/>
        <v>86216.08</v>
      </c>
      <c r="L9" s="5">
        <v>86216.08</v>
      </c>
      <c r="M9" s="89">
        <f t="shared" si="4"/>
        <v>0</v>
      </c>
      <c r="N9" s="314">
        <f t="shared" si="3"/>
        <v>0</v>
      </c>
    </row>
    <row r="10" spans="1:14" x14ac:dyDescent="0.45">
      <c r="A10" s="121">
        <f t="shared" si="1"/>
        <v>6</v>
      </c>
      <c r="B10" s="290" t="s">
        <v>239</v>
      </c>
      <c r="C10" s="301">
        <f>[1]Sheet1!$AO$37-SUM([1]Sheet1!$AO$24:$AO$33)</f>
        <v>1114</v>
      </c>
      <c r="D10" s="302">
        <f>SUM([1]Sheet1!$AO$24:$AO$33)</f>
        <v>34</v>
      </c>
      <c r="E10" s="87">
        <v>13</v>
      </c>
      <c r="F10" s="16">
        <f>C10*E10</f>
        <v>14482</v>
      </c>
      <c r="G10" s="20">
        <f t="shared" si="6"/>
        <v>663</v>
      </c>
      <c r="H10" s="20">
        <f>[1]Sheet1!$AS$36</f>
        <v>0</v>
      </c>
      <c r="I10" s="20">
        <f>[1]Sheet1!$AS$35</f>
        <v>0</v>
      </c>
      <c r="J10" s="16">
        <f t="shared" si="2"/>
        <v>15145</v>
      </c>
      <c r="L10" s="5">
        <v>15145</v>
      </c>
      <c r="M10" s="89">
        <f t="shared" si="4"/>
        <v>0</v>
      </c>
      <c r="N10" s="314">
        <f t="shared" si="3"/>
        <v>0</v>
      </c>
    </row>
    <row r="11" spans="1:14" x14ac:dyDescent="0.45">
      <c r="A11" s="121">
        <f t="shared" si="1"/>
        <v>7</v>
      </c>
      <c r="B11" s="290" t="s">
        <v>240</v>
      </c>
      <c r="C11" s="301">
        <f>[1]Sheet1!$AU$37-SUM([1]Sheet1!$AU$24:$AU$33)</f>
        <v>2092</v>
      </c>
      <c r="D11" s="302">
        <f>SUM([1]Sheet1!$AU$24:$AU$33)</f>
        <v>57.5</v>
      </c>
      <c r="E11" s="87">
        <v>20.5</v>
      </c>
      <c r="F11" s="16">
        <f t="shared" ref="F11:F17" si="7">C11*E11</f>
        <v>42886</v>
      </c>
      <c r="G11" s="20">
        <f t="shared" ref="G11:G17" si="8">D11*E11*1.5</f>
        <v>1768.125</v>
      </c>
      <c r="H11" s="20">
        <f>[1]Sheet1!$AY$36</f>
        <v>295</v>
      </c>
      <c r="I11" s="20">
        <f>[1]Sheet1!$AY$35</f>
        <v>5056</v>
      </c>
      <c r="J11" s="16">
        <f t="shared" si="2"/>
        <v>50005.125</v>
      </c>
      <c r="L11" s="5">
        <v>49929.625</v>
      </c>
      <c r="M11" s="89">
        <f t="shared" si="4"/>
        <v>-75.5</v>
      </c>
      <c r="N11" s="314">
        <f t="shared" si="3"/>
        <v>-1.5121283206112604E-3</v>
      </c>
    </row>
    <row r="12" spans="1:14" x14ac:dyDescent="0.45">
      <c r="A12" s="121">
        <f t="shared" si="1"/>
        <v>8</v>
      </c>
      <c r="B12" s="290" t="s">
        <v>241</v>
      </c>
      <c r="C12" s="301">
        <f>[1]Sheet1!$BA$37-SUM([1]Sheet1!$BA$24:$BA$33)</f>
        <v>2109.5</v>
      </c>
      <c r="D12" s="302">
        <f>SUM([1]Sheet1!$BA$24:$BA$33)</f>
        <v>39</v>
      </c>
      <c r="E12" s="87">
        <v>16</v>
      </c>
      <c r="F12" s="16">
        <f t="shared" si="7"/>
        <v>33752</v>
      </c>
      <c r="G12" s="20">
        <f t="shared" si="8"/>
        <v>936</v>
      </c>
      <c r="H12" s="20">
        <f>[1]Sheet1!$BE$36</f>
        <v>882</v>
      </c>
      <c r="I12" s="20">
        <f>[1]Sheet1!$BE$35</f>
        <v>1000</v>
      </c>
      <c r="J12" s="16">
        <f t="shared" si="2"/>
        <v>36570</v>
      </c>
      <c r="L12" s="5">
        <v>34783.5</v>
      </c>
      <c r="M12" s="89">
        <f t="shared" si="4"/>
        <v>-1786.5</v>
      </c>
      <c r="N12" s="314">
        <f t="shared" si="3"/>
        <v>-5.1360558885678552E-2</v>
      </c>
    </row>
    <row r="13" spans="1:14" x14ac:dyDescent="0.45">
      <c r="A13" s="121">
        <f t="shared" si="1"/>
        <v>9</v>
      </c>
      <c r="B13" s="290" t="s">
        <v>242</v>
      </c>
      <c r="C13" s="301">
        <v>2080</v>
      </c>
      <c r="D13" s="302">
        <f>SUM([1]Sheet1!$BG$24:$BG$33)</f>
        <v>0</v>
      </c>
      <c r="E13" s="87">
        <f>64193.92/2080</f>
        <v>30.862461538461538</v>
      </c>
      <c r="F13" s="16">
        <f t="shared" si="7"/>
        <v>64193.919999999998</v>
      </c>
      <c r="G13" s="20">
        <f t="shared" si="8"/>
        <v>0</v>
      </c>
      <c r="H13" s="20">
        <f>[1]Sheet1!$BK$36</f>
        <v>403.2</v>
      </c>
      <c r="I13" s="20">
        <f>[1]Sheet1!$BK$35</f>
        <v>1300</v>
      </c>
      <c r="J13" s="16">
        <f t="shared" si="2"/>
        <v>65897.119999999995</v>
      </c>
      <c r="L13" s="5">
        <v>65897.119999999995</v>
      </c>
      <c r="M13" s="89">
        <f t="shared" si="4"/>
        <v>0</v>
      </c>
      <c r="N13" s="314">
        <f t="shared" si="3"/>
        <v>0</v>
      </c>
    </row>
    <row r="14" spans="1:14" x14ac:dyDescent="0.45">
      <c r="A14" s="121">
        <f t="shared" si="1"/>
        <v>10</v>
      </c>
      <c r="B14" s="290" t="s">
        <v>243</v>
      </c>
      <c r="C14" s="301">
        <f>[1]Sheet1!$BS$37-SUM([1]Sheet1!$BS$24:$BS$33)</f>
        <v>176.5</v>
      </c>
      <c r="D14" s="302">
        <f>SUM([1]Sheet1!$BS$24:$BS$33)</f>
        <v>0</v>
      </c>
      <c r="E14" s="87">
        <v>13</v>
      </c>
      <c r="F14" s="16">
        <f t="shared" si="7"/>
        <v>2294.5</v>
      </c>
      <c r="G14" s="20">
        <f t="shared" si="8"/>
        <v>0</v>
      </c>
      <c r="H14" s="20">
        <f>[1]Sheet1!$BW$36</f>
        <v>0</v>
      </c>
      <c r="I14" s="20">
        <f>[1]Sheet1!$BW$35</f>
        <v>0</v>
      </c>
      <c r="J14" s="16">
        <f t="shared" si="2"/>
        <v>2294.5</v>
      </c>
      <c r="L14" s="5">
        <v>2294.5</v>
      </c>
      <c r="M14" s="89">
        <f t="shared" si="4"/>
        <v>0</v>
      </c>
      <c r="N14" s="314">
        <f t="shared" si="3"/>
        <v>0</v>
      </c>
    </row>
    <row r="15" spans="1:14" x14ac:dyDescent="0.45">
      <c r="A15" s="121">
        <f t="shared" si="1"/>
        <v>11</v>
      </c>
      <c r="B15" s="290" t="s">
        <v>244</v>
      </c>
      <c r="C15" s="301">
        <f>[1]Sheet1!$BY$37-SUM([1]Sheet1!$BY$24:$BY$33)</f>
        <v>2102.5</v>
      </c>
      <c r="D15" s="302">
        <f>SUM([1]Sheet1!$BY$24:$BY$33)</f>
        <v>66.5</v>
      </c>
      <c r="E15" s="87">
        <v>19.350000000000001</v>
      </c>
      <c r="F15" s="16">
        <f t="shared" si="7"/>
        <v>40683.375</v>
      </c>
      <c r="G15" s="20">
        <f t="shared" si="8"/>
        <v>1930.1625000000001</v>
      </c>
      <c r="H15" s="20">
        <f>[1]Sheet1!$CC$36</f>
        <v>294.25</v>
      </c>
      <c r="I15" s="20">
        <f>[1]Sheet1!$CC$35</f>
        <v>1000</v>
      </c>
      <c r="J15" s="16">
        <f t="shared" si="2"/>
        <v>43907.787499999999</v>
      </c>
      <c r="L15" s="5">
        <v>43902.12</v>
      </c>
      <c r="M15" s="89">
        <f t="shared" si="4"/>
        <v>-5.6674999999959255</v>
      </c>
      <c r="N15" s="314">
        <f t="shared" si="3"/>
        <v>-1.2909399363848317E-4</v>
      </c>
    </row>
    <row r="16" spans="1:14" x14ac:dyDescent="0.45">
      <c r="A16" s="121">
        <f t="shared" si="1"/>
        <v>12</v>
      </c>
      <c r="B16" s="290" t="s">
        <v>245</v>
      </c>
      <c r="C16" s="301">
        <f>[1]Sheet1!$CE$37-SUM([1]Sheet1!$CE$25:$CE$33)</f>
        <v>2098</v>
      </c>
      <c r="D16" s="302">
        <f>SUM([1]Sheet1!$CE$24:$CE$33)</f>
        <v>25.5</v>
      </c>
      <c r="E16" s="87">
        <v>19.5</v>
      </c>
      <c r="F16" s="16">
        <f t="shared" si="7"/>
        <v>40911</v>
      </c>
      <c r="G16" s="20">
        <f t="shared" si="8"/>
        <v>745.875</v>
      </c>
      <c r="H16" s="20">
        <f>[1]Sheet1!$CI$36</f>
        <v>280</v>
      </c>
      <c r="I16" s="20">
        <f>[1]Sheet1!$CI$35</f>
        <v>4848</v>
      </c>
      <c r="J16" s="16">
        <f t="shared" si="2"/>
        <v>46784.875</v>
      </c>
      <c r="L16" s="5">
        <v>46696.125</v>
      </c>
      <c r="M16" s="89">
        <f t="shared" si="4"/>
        <v>-88.75</v>
      </c>
      <c r="N16" s="314">
        <f t="shared" si="3"/>
        <v>-1.9005859693925352E-3</v>
      </c>
    </row>
    <row r="17" spans="1:14" x14ac:dyDescent="0.45">
      <c r="A17" s="121">
        <f t="shared" si="1"/>
        <v>13</v>
      </c>
      <c r="B17" s="290" t="s">
        <v>246</v>
      </c>
      <c r="C17" s="301">
        <v>2080</v>
      </c>
      <c r="D17" s="302">
        <f>SUM([1]Sheet1!$CK$24:$CK$33)</f>
        <v>0</v>
      </c>
      <c r="E17" s="87">
        <f>60193.76/2080</f>
        <v>28.939307692307693</v>
      </c>
      <c r="F17" s="16">
        <f t="shared" si="7"/>
        <v>60193.760000000002</v>
      </c>
      <c r="G17" s="20">
        <f t="shared" si="8"/>
        <v>0</v>
      </c>
      <c r="H17" s="20">
        <f>[1]Sheet1!$CO$36</f>
        <v>403.2</v>
      </c>
      <c r="I17" s="20">
        <f>[1]Sheet1!$CO$35</f>
        <v>1100</v>
      </c>
      <c r="J17" s="16">
        <f t="shared" si="2"/>
        <v>61696.959999999999</v>
      </c>
      <c r="L17" s="5">
        <v>61696.959999999999</v>
      </c>
      <c r="M17" s="89">
        <f t="shared" si="4"/>
        <v>0</v>
      </c>
      <c r="N17" s="314">
        <f t="shared" si="3"/>
        <v>0</v>
      </c>
    </row>
    <row r="18" spans="1:14" ht="16.5" x14ac:dyDescent="0.75">
      <c r="A18" s="121">
        <f t="shared" si="1"/>
        <v>14</v>
      </c>
      <c r="B18" s="290" t="s">
        <v>247</v>
      </c>
      <c r="C18" s="303">
        <f>[1]Sheet1!$CQ$37-SUM([1]Sheet1!$CQ$24:$CQ$33)</f>
        <v>2080</v>
      </c>
      <c r="D18" s="304">
        <f>SUM([1]Sheet1!$CQ$24:$CQ$33)</f>
        <v>0</v>
      </c>
      <c r="E18" s="287">
        <v>19.75</v>
      </c>
      <c r="F18" s="90">
        <f t="shared" si="5"/>
        <v>41080</v>
      </c>
      <c r="G18" s="90">
        <f t="shared" si="6"/>
        <v>0</v>
      </c>
      <c r="H18" s="90">
        <f>[1]Sheet1!$CU$36</f>
        <v>280</v>
      </c>
      <c r="I18" s="90">
        <f>[1]Sheet1!$CU$35</f>
        <v>1000</v>
      </c>
      <c r="J18" s="25">
        <f t="shared" si="2"/>
        <v>42360</v>
      </c>
      <c r="L18" s="3">
        <v>42360</v>
      </c>
      <c r="M18" s="313">
        <f t="shared" si="4"/>
        <v>0</v>
      </c>
      <c r="N18" s="315">
        <f t="shared" si="3"/>
        <v>0</v>
      </c>
    </row>
    <row r="19" spans="1:14" x14ac:dyDescent="0.45">
      <c r="A19" s="121"/>
      <c r="B19" s="289"/>
      <c r="C19" s="20"/>
      <c r="D19" s="72"/>
      <c r="E19" s="87"/>
      <c r="F19" s="16"/>
      <c r="G19" s="20"/>
      <c r="H19" s="20"/>
      <c r="I19" s="20"/>
      <c r="J19" s="20"/>
      <c r="L19" s="20"/>
      <c r="N19" s="314"/>
    </row>
    <row r="20" spans="1:14" x14ac:dyDescent="0.45">
      <c r="A20" s="1" t="s">
        <v>168</v>
      </c>
      <c r="C20" s="20">
        <f>SUM(C5:C18)</f>
        <v>25418.5</v>
      </c>
      <c r="D20" s="20">
        <f>SUM(D5:D18)</f>
        <v>597</v>
      </c>
      <c r="E20" s="20"/>
      <c r="F20" s="20">
        <f>SUM(F5:F18)</f>
        <v>560811.78499999992</v>
      </c>
      <c r="G20" s="20">
        <f>SUM(G5:G18)</f>
        <v>16027.1625</v>
      </c>
      <c r="H20" s="20">
        <f t="shared" ref="H20:I20" si="9">SUM(H5:H18)</f>
        <v>4702.75</v>
      </c>
      <c r="I20" s="20">
        <f t="shared" si="9"/>
        <v>24252</v>
      </c>
      <c r="J20" s="209">
        <f>SUM(J5:J18)</f>
        <v>605793.69750000001</v>
      </c>
      <c r="L20" s="209">
        <f>SUM(L5:L18)</f>
        <v>603467.40500000003</v>
      </c>
      <c r="M20" s="209">
        <f>SUM(M5:M18)</f>
        <v>-2326.2924999999959</v>
      </c>
      <c r="N20" s="314">
        <f t="shared" si="3"/>
        <v>-3.8548768015067786E-3</v>
      </c>
    </row>
    <row r="21" spans="1:14" x14ac:dyDescent="0.45">
      <c r="C21" s="16"/>
      <c r="D21" s="16"/>
      <c r="E21" s="71"/>
      <c r="F21" s="20"/>
      <c r="G21" s="20"/>
      <c r="H21" s="20"/>
      <c r="I21" s="20"/>
      <c r="J21" s="20"/>
    </row>
    <row r="22" spans="1:14" x14ac:dyDescent="0.45">
      <c r="A22" s="1" t="s">
        <v>169</v>
      </c>
      <c r="C22" s="16"/>
      <c r="D22" s="16"/>
      <c r="E22" s="71"/>
      <c r="F22" s="20"/>
      <c r="G22" s="20"/>
      <c r="H22" s="20"/>
      <c r="I22" s="20"/>
      <c r="J22" s="210">
        <f>J20</f>
        <v>605793.69750000001</v>
      </c>
    </row>
    <row r="23" spans="1:14" x14ac:dyDescent="0.45">
      <c r="B23" s="16"/>
      <c r="C23" s="16"/>
      <c r="D23" s="16"/>
      <c r="J23" s="74"/>
    </row>
    <row r="24" spans="1:14" x14ac:dyDescent="0.45">
      <c r="B24" s="75"/>
      <c r="C24" s="16"/>
      <c r="D24" s="16"/>
      <c r="J24" s="74" t="s">
        <v>30</v>
      </c>
    </row>
    <row r="25" spans="1:14" x14ac:dyDescent="0.45">
      <c r="B25" s="16"/>
      <c r="C25" s="16"/>
      <c r="D25" s="16"/>
      <c r="E25" s="1" t="s">
        <v>97</v>
      </c>
      <c r="J25" s="76">
        <f>L20</f>
        <v>603467.40500000003</v>
      </c>
    </row>
    <row r="26" spans="1:14" x14ac:dyDescent="0.45">
      <c r="B26" s="16"/>
      <c r="C26" s="16"/>
      <c r="D26" s="16"/>
      <c r="E26" s="1" t="s">
        <v>98</v>
      </c>
      <c r="J26" s="310">
        <f>-SAO!D20</f>
        <v>-494157</v>
      </c>
      <c r="L26" s="1" t="s">
        <v>305</v>
      </c>
    </row>
    <row r="27" spans="1:14" ht="14.65" thickBot="1" x14ac:dyDescent="0.5">
      <c r="B27" s="16"/>
      <c r="C27" s="16"/>
      <c r="D27" s="16"/>
      <c r="E27" s="42" t="s">
        <v>99</v>
      </c>
      <c r="F27" s="42"/>
      <c r="G27" s="42"/>
      <c r="H27" s="42"/>
      <c r="I27" s="42"/>
      <c r="J27" s="77">
        <f>J25+J26</f>
        <v>109310.40500000003</v>
      </c>
      <c r="K27" s="18"/>
    </row>
    <row r="28" spans="1:14" ht="14.65" thickTop="1" x14ac:dyDescent="0.45">
      <c r="B28" s="16"/>
      <c r="C28" s="16"/>
      <c r="D28" s="16"/>
      <c r="J28" s="1" t="s">
        <v>100</v>
      </c>
      <c r="K28" s="18"/>
    </row>
    <row r="29" spans="1:14" x14ac:dyDescent="0.45">
      <c r="B29" s="16"/>
      <c r="C29" s="16"/>
      <c r="D29" s="16"/>
      <c r="E29" s="1" t="s">
        <v>101</v>
      </c>
      <c r="J29" s="26">
        <f>L20</f>
        <v>603467.40500000003</v>
      </c>
      <c r="K29" s="18"/>
    </row>
    <row r="30" spans="1:14" x14ac:dyDescent="0.45">
      <c r="B30" s="16"/>
      <c r="C30" s="16"/>
      <c r="D30" s="16"/>
      <c r="E30" s="1" t="s">
        <v>102</v>
      </c>
      <c r="J30" s="78">
        <v>7.6499999999999999E-2</v>
      </c>
      <c r="K30" s="18"/>
    </row>
    <row r="31" spans="1:14" x14ac:dyDescent="0.45">
      <c r="B31" s="16"/>
      <c r="C31" s="16"/>
      <c r="D31" s="16"/>
      <c r="E31" s="1" t="s">
        <v>103</v>
      </c>
      <c r="J31" s="16">
        <f>+J29*J30</f>
        <v>46165.256482500001</v>
      </c>
      <c r="K31" s="18"/>
    </row>
    <row r="32" spans="1:14" x14ac:dyDescent="0.45">
      <c r="B32" s="16"/>
      <c r="C32" s="16"/>
      <c r="D32" s="16"/>
      <c r="E32" s="1" t="s">
        <v>104</v>
      </c>
      <c r="J32" s="299">
        <v>-47210.28</v>
      </c>
      <c r="K32" s="18"/>
      <c r="L32" s="1" t="s">
        <v>287</v>
      </c>
    </row>
    <row r="33" spans="2:12" ht="14.65" thickBot="1" x14ac:dyDescent="0.5">
      <c r="B33" s="16"/>
      <c r="C33" s="16"/>
      <c r="D33" s="16"/>
      <c r="E33" s="42" t="s">
        <v>105</v>
      </c>
      <c r="F33" s="42"/>
      <c r="G33" s="42"/>
      <c r="H33" s="42"/>
      <c r="I33" s="42"/>
      <c r="J33" s="77">
        <f>J31+J32</f>
        <v>-1045.023517499998</v>
      </c>
      <c r="K33" s="18"/>
    </row>
    <row r="34" spans="2:12" ht="14.65" thickTop="1" x14ac:dyDescent="0.45">
      <c r="B34" s="16"/>
      <c r="C34" s="16"/>
      <c r="D34" s="16"/>
      <c r="K34" s="18"/>
    </row>
    <row r="35" spans="2:12" x14ac:dyDescent="0.45">
      <c r="B35" s="16"/>
      <c r="C35" s="16"/>
      <c r="D35" s="16"/>
      <c r="E35" s="1" t="s">
        <v>106</v>
      </c>
      <c r="J35" s="26">
        <f>L20</f>
        <v>603467.40500000003</v>
      </c>
      <c r="K35" s="18"/>
    </row>
    <row r="36" spans="2:12" x14ac:dyDescent="0.45">
      <c r="B36" s="16"/>
      <c r="C36" s="16"/>
      <c r="D36" s="16"/>
      <c r="E36" s="1" t="s">
        <v>107</v>
      </c>
      <c r="J36" s="78">
        <v>0.26950000000000002</v>
      </c>
      <c r="K36" s="18"/>
    </row>
    <row r="37" spans="2:12" x14ac:dyDescent="0.45">
      <c r="B37" s="16"/>
      <c r="C37" s="16"/>
      <c r="D37" s="16"/>
      <c r="E37" s="1" t="s">
        <v>108</v>
      </c>
      <c r="J37" s="16">
        <f>+J35*J36</f>
        <v>162634.46564750001</v>
      </c>
      <c r="K37" s="18"/>
    </row>
    <row r="38" spans="2:12" x14ac:dyDescent="0.45">
      <c r="B38" s="16"/>
      <c r="C38" s="16"/>
      <c r="D38" s="16"/>
      <c r="E38" s="1" t="s">
        <v>109</v>
      </c>
      <c r="J38" s="305">
        <f>-[1]Sheet1!$DA$65</f>
        <v>-148435.59</v>
      </c>
      <c r="K38" s="18"/>
      <c r="L38" s="1" t="s">
        <v>288</v>
      </c>
    </row>
    <row r="39" spans="2:12" ht="14.65" thickBot="1" x14ac:dyDescent="0.5">
      <c r="B39" s="16"/>
      <c r="C39" s="16"/>
      <c r="D39" s="16"/>
      <c r="E39" s="121" t="s">
        <v>110</v>
      </c>
      <c r="F39" s="121"/>
      <c r="G39" s="121"/>
      <c r="H39" s="121"/>
      <c r="I39" s="121"/>
      <c r="J39" s="215">
        <f>+J37+J38</f>
        <v>14198.875647500012</v>
      </c>
      <c r="K39" s="18"/>
    </row>
    <row r="40" spans="2:12" ht="14.65" thickTop="1" x14ac:dyDescent="0.45">
      <c r="B40" s="16"/>
      <c r="C40" s="16"/>
      <c r="D40" s="16"/>
      <c r="E40" s="121"/>
      <c r="F40" s="121"/>
      <c r="G40" s="121"/>
      <c r="H40" s="121"/>
      <c r="I40" s="121"/>
      <c r="J40" s="201"/>
      <c r="K40" s="18"/>
    </row>
    <row r="41" spans="2:12" x14ac:dyDescent="0.45">
      <c r="B41" s="16"/>
      <c r="C41" s="16"/>
      <c r="D41" s="16"/>
      <c r="E41" s="1" t="s">
        <v>254</v>
      </c>
      <c r="F41" s="121"/>
      <c r="G41" s="121"/>
      <c r="H41" s="121"/>
      <c r="I41" s="121"/>
      <c r="J41" s="298">
        <v>223593.33</v>
      </c>
      <c r="K41" s="18"/>
      <c r="L41" s="1" t="s">
        <v>289</v>
      </c>
    </row>
    <row r="42" spans="2:12" x14ac:dyDescent="0.45">
      <c r="B42" s="16"/>
      <c r="C42" s="16"/>
      <c r="D42" s="16"/>
      <c r="E42" s="1" t="s">
        <v>258</v>
      </c>
      <c r="F42" s="121"/>
      <c r="G42" s="121"/>
      <c r="H42" s="121"/>
      <c r="I42" s="121"/>
      <c r="J42" s="299">
        <v>54729</v>
      </c>
      <c r="K42" s="18"/>
      <c r="L42" s="1" t="s">
        <v>290</v>
      </c>
    </row>
    <row r="43" spans="2:12" x14ac:dyDescent="0.45">
      <c r="B43" s="16"/>
      <c r="C43" s="16"/>
      <c r="D43" s="16"/>
      <c r="E43" s="1" t="s">
        <v>301</v>
      </c>
      <c r="F43" s="121"/>
      <c r="G43" s="121"/>
      <c r="H43" s="121"/>
      <c r="I43" s="121"/>
      <c r="J43" s="38">
        <f>J41+J42</f>
        <v>278322.32999999996</v>
      </c>
      <c r="K43" s="18"/>
    </row>
    <row r="44" spans="2:12" x14ac:dyDescent="0.45">
      <c r="B44" s="16"/>
      <c r="C44" s="16"/>
      <c r="D44" s="16"/>
      <c r="E44" s="1" t="s">
        <v>302</v>
      </c>
      <c r="F44" s="121"/>
      <c r="G44" s="121"/>
      <c r="H44" s="121"/>
      <c r="I44" s="121"/>
      <c r="J44" s="306">
        <f>-[1]Sheet1!$DA$65</f>
        <v>-148435.59</v>
      </c>
      <c r="K44" s="18"/>
      <c r="L44" s="1" t="s">
        <v>288</v>
      </c>
    </row>
    <row r="45" spans="2:12" x14ac:dyDescent="0.45">
      <c r="B45" s="16"/>
      <c r="C45" s="16"/>
      <c r="D45" s="16"/>
      <c r="E45" s="1" t="s">
        <v>255</v>
      </c>
      <c r="F45" s="121"/>
      <c r="G45" s="121"/>
      <c r="H45" s="121"/>
      <c r="I45" s="121"/>
      <c r="J45" s="38">
        <f>J43+J44</f>
        <v>129886.73999999996</v>
      </c>
      <c r="K45" s="18"/>
    </row>
    <row r="46" spans="2:12" x14ac:dyDescent="0.45">
      <c r="E46" s="121" t="s">
        <v>257</v>
      </c>
      <c r="J46" s="270">
        <f>-J45</f>
        <v>-129886.73999999996</v>
      </c>
    </row>
  </sheetData>
  <pageMargins left="0.7" right="0.7" top="0.75" bottom="0.75" header="0.3" footer="0.3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4"/>
  <sheetViews>
    <sheetView workbookViewId="0">
      <selection activeCell="H28" sqref="H28"/>
    </sheetView>
  </sheetViews>
  <sheetFormatPr defaultColWidth="8.88671875" defaultRowHeight="14.25" x14ac:dyDescent="0.45"/>
  <cols>
    <col min="1" max="1" width="29.38671875" style="1" bestFit="1" customWidth="1"/>
    <col min="2" max="2" width="9.88671875" style="1" customWidth="1"/>
    <col min="3" max="3" width="9.88671875" style="61" customWidth="1"/>
    <col min="4" max="4" width="12.44140625" style="1" customWidth="1"/>
    <col min="5" max="6" width="9.77734375" style="1" customWidth="1"/>
    <col min="7" max="7" width="10.6640625" style="1" customWidth="1"/>
    <col min="8" max="8" width="10.109375" style="206" customWidth="1"/>
    <col min="9" max="9" width="10.5546875" style="1" customWidth="1"/>
    <col min="10" max="11" width="8.88671875" style="1"/>
    <col min="12" max="12" width="10.109375" style="1" customWidth="1"/>
    <col min="13" max="13" width="9" style="1" bestFit="1" customWidth="1"/>
    <col min="14" max="14" width="9.77734375" style="1" bestFit="1" customWidth="1"/>
    <col min="15" max="16384" width="8.88671875" style="1"/>
  </cols>
  <sheetData>
    <row r="1" spans="1:12" x14ac:dyDescent="0.45">
      <c r="A1" s="121" t="s">
        <v>259</v>
      </c>
    </row>
    <row r="3" spans="1:12" x14ac:dyDescent="0.45">
      <c r="D3" s="18" t="s">
        <v>73</v>
      </c>
      <c r="G3" s="18" t="s">
        <v>165</v>
      </c>
      <c r="H3" s="206" t="s">
        <v>166</v>
      </c>
      <c r="I3" s="18" t="s">
        <v>166</v>
      </c>
      <c r="K3" s="21"/>
      <c r="L3" s="21"/>
    </row>
    <row r="4" spans="1:12" x14ac:dyDescent="0.45">
      <c r="B4" s="18" t="s">
        <v>73</v>
      </c>
      <c r="D4" s="18" t="s">
        <v>74</v>
      </c>
      <c r="E4" s="18" t="s">
        <v>74</v>
      </c>
      <c r="F4" s="18" t="s">
        <v>75</v>
      </c>
      <c r="G4" s="18" t="s">
        <v>77</v>
      </c>
      <c r="H4" s="206" t="s">
        <v>78</v>
      </c>
      <c r="I4" s="18" t="s">
        <v>78</v>
      </c>
    </row>
    <row r="5" spans="1:12" x14ac:dyDescent="0.45">
      <c r="A5" s="262" t="s">
        <v>207</v>
      </c>
      <c r="B5" s="19" t="s">
        <v>76</v>
      </c>
      <c r="C5" s="291" t="s">
        <v>260</v>
      </c>
      <c r="D5" s="19" t="s">
        <v>81</v>
      </c>
      <c r="E5" s="19" t="s">
        <v>82</v>
      </c>
      <c r="F5" s="19" t="s">
        <v>82</v>
      </c>
      <c r="G5" s="43" t="s">
        <v>76</v>
      </c>
      <c r="H5" s="207" t="s">
        <v>79</v>
      </c>
      <c r="I5" s="43" t="s">
        <v>80</v>
      </c>
    </row>
    <row r="6" spans="1:12" x14ac:dyDescent="0.45">
      <c r="A6" s="1" t="s">
        <v>261</v>
      </c>
      <c r="B6" s="40">
        <v>661.53</v>
      </c>
      <c r="C6" s="66">
        <v>3</v>
      </c>
      <c r="D6" s="40">
        <v>0</v>
      </c>
      <c r="E6" s="44">
        <f>IF(B6&gt;0,D6/B6,0)</f>
        <v>0</v>
      </c>
      <c r="F6" s="44">
        <f>1-E6</f>
        <v>1</v>
      </c>
      <c r="G6" s="45">
        <f>B6*12*C6*F6</f>
        <v>23815.079999999998</v>
      </c>
      <c r="H6" s="208">
        <v>0.79</v>
      </c>
      <c r="I6" s="45">
        <f>B6*12*C6*F6*H6</f>
        <v>18813.913199999999</v>
      </c>
    </row>
    <row r="7" spans="1:12" x14ac:dyDescent="0.45">
      <c r="A7" s="1" t="s">
        <v>262</v>
      </c>
      <c r="B7" s="40">
        <v>1389.21</v>
      </c>
      <c r="C7" s="61">
        <v>0</v>
      </c>
      <c r="D7" s="40">
        <v>0</v>
      </c>
      <c r="E7" s="44">
        <f t="shared" ref="E7:E10" si="0">IF(B7&gt;0,D7/B7,0)</f>
        <v>0</v>
      </c>
      <c r="F7" s="44">
        <f t="shared" ref="F7:F10" si="1">1-E7</f>
        <v>1</v>
      </c>
      <c r="G7" s="45">
        <f t="shared" ref="G7:G10" si="2">B7*12*C7*F7</f>
        <v>0</v>
      </c>
      <c r="H7" s="208">
        <v>0.66</v>
      </c>
      <c r="I7" s="45">
        <f t="shared" ref="I7:I10" si="3">B7*12*C7*F7*H7</f>
        <v>0</v>
      </c>
    </row>
    <row r="8" spans="1:12" x14ac:dyDescent="0.45">
      <c r="A8" s="1" t="s">
        <v>264</v>
      </c>
      <c r="B8" s="40">
        <v>1190.75</v>
      </c>
      <c r="C8" s="61">
        <v>0</v>
      </c>
      <c r="D8" s="40">
        <v>0</v>
      </c>
      <c r="E8" s="44">
        <f t="shared" si="0"/>
        <v>0</v>
      </c>
      <c r="F8" s="44">
        <f t="shared" si="1"/>
        <v>1</v>
      </c>
      <c r="G8" s="45">
        <f t="shared" si="2"/>
        <v>0</v>
      </c>
      <c r="H8" s="208">
        <v>0.66</v>
      </c>
      <c r="I8" s="45">
        <f t="shared" si="3"/>
        <v>0</v>
      </c>
    </row>
    <row r="9" spans="1:12" x14ac:dyDescent="0.45">
      <c r="A9" s="1" t="s">
        <v>263</v>
      </c>
      <c r="B9" s="40">
        <v>1918.44</v>
      </c>
      <c r="C9" s="61">
        <v>6</v>
      </c>
      <c r="D9" s="40">
        <v>0</v>
      </c>
      <c r="E9" s="44">
        <f t="shared" si="0"/>
        <v>0</v>
      </c>
      <c r="F9" s="44">
        <f t="shared" si="1"/>
        <v>1</v>
      </c>
      <c r="G9" s="45">
        <f t="shared" si="2"/>
        <v>138127.67999999999</v>
      </c>
      <c r="H9" s="208">
        <v>0.66</v>
      </c>
      <c r="I9" s="45">
        <f t="shared" si="3"/>
        <v>91164.268800000005</v>
      </c>
    </row>
    <row r="10" spans="1:12" x14ac:dyDescent="0.45">
      <c r="A10" s="1" t="s">
        <v>264</v>
      </c>
      <c r="B10" s="40">
        <v>1190.75</v>
      </c>
      <c r="C10" s="291">
        <v>1</v>
      </c>
      <c r="D10" s="40">
        <v>0</v>
      </c>
      <c r="E10" s="44">
        <f t="shared" si="0"/>
        <v>0</v>
      </c>
      <c r="F10" s="44">
        <f t="shared" si="1"/>
        <v>1</v>
      </c>
      <c r="G10" s="261">
        <f t="shared" si="2"/>
        <v>14289</v>
      </c>
      <c r="H10" s="208">
        <v>0.66</v>
      </c>
      <c r="I10" s="261">
        <f t="shared" si="3"/>
        <v>9430.74</v>
      </c>
    </row>
    <row r="11" spans="1:12" x14ac:dyDescent="0.45">
      <c r="A11" s="1" t="s">
        <v>53</v>
      </c>
      <c r="B11" s="45"/>
      <c r="C11" s="61">
        <f>SUM(C6:C10)</f>
        <v>10</v>
      </c>
      <c r="D11" s="13"/>
      <c r="E11" s="44"/>
      <c r="F11" s="44"/>
      <c r="G11" s="45">
        <f>SUM(G6:G10)</f>
        <v>176231.75999999998</v>
      </c>
      <c r="I11" s="45">
        <f>SUM(I6:I10)</f>
        <v>119408.92200000001</v>
      </c>
    </row>
    <row r="12" spans="1:12" x14ac:dyDescent="0.45">
      <c r="B12" s="45"/>
      <c r="D12" s="13"/>
      <c r="E12" s="44"/>
      <c r="F12" s="44"/>
      <c r="G12" s="45"/>
      <c r="I12" s="45"/>
    </row>
    <row r="13" spans="1:12" x14ac:dyDescent="0.45">
      <c r="D13" s="18" t="s">
        <v>73</v>
      </c>
      <c r="G13" s="18" t="s">
        <v>165</v>
      </c>
      <c r="H13" s="206" t="s">
        <v>166</v>
      </c>
      <c r="I13" s="18" t="s">
        <v>166</v>
      </c>
    </row>
    <row r="14" spans="1:12" x14ac:dyDescent="0.45">
      <c r="B14" s="18" t="s">
        <v>73</v>
      </c>
      <c r="D14" s="18" t="s">
        <v>74</v>
      </c>
      <c r="E14" s="18" t="s">
        <v>74</v>
      </c>
      <c r="F14" s="18" t="s">
        <v>75</v>
      </c>
      <c r="G14" s="18" t="s">
        <v>77</v>
      </c>
      <c r="H14" s="206" t="s">
        <v>78</v>
      </c>
      <c r="I14" s="18" t="s">
        <v>78</v>
      </c>
    </row>
    <row r="15" spans="1:12" x14ac:dyDescent="0.45">
      <c r="A15" s="121" t="s">
        <v>208</v>
      </c>
      <c r="B15" s="19" t="s">
        <v>76</v>
      </c>
      <c r="C15" s="291" t="s">
        <v>260</v>
      </c>
      <c r="D15" s="19" t="s">
        <v>81</v>
      </c>
      <c r="E15" s="19" t="s">
        <v>82</v>
      </c>
      <c r="F15" s="19" t="s">
        <v>82</v>
      </c>
      <c r="G15" s="43" t="s">
        <v>76</v>
      </c>
      <c r="H15" s="207" t="s">
        <v>79</v>
      </c>
      <c r="I15" s="43" t="s">
        <v>80</v>
      </c>
    </row>
    <row r="16" spans="1:12" x14ac:dyDescent="0.45">
      <c r="A16" s="1" t="s">
        <v>268</v>
      </c>
      <c r="B16" s="40">
        <v>23.92</v>
      </c>
      <c r="C16" s="61">
        <v>4</v>
      </c>
      <c r="D16" s="40">
        <v>0</v>
      </c>
      <c r="E16" s="44">
        <f>IF(B16&gt;0,D16/B16,0)</f>
        <v>0</v>
      </c>
      <c r="F16" s="44">
        <f>1-E16</f>
        <v>1</v>
      </c>
      <c r="G16" s="45">
        <f t="shared" ref="G16:G18" si="4">B16*12*C16*F16</f>
        <v>1148.1600000000001</v>
      </c>
      <c r="H16" s="208">
        <v>0.6</v>
      </c>
      <c r="I16" s="45">
        <f t="shared" ref="I16:I18" si="5">B16*12*C16*F16*H16</f>
        <v>688.89600000000007</v>
      </c>
    </row>
    <row r="17" spans="1:12" x14ac:dyDescent="0.45">
      <c r="A17" s="1" t="s">
        <v>269</v>
      </c>
      <c r="B17" s="40">
        <v>79.28</v>
      </c>
      <c r="C17" s="61">
        <v>6</v>
      </c>
      <c r="D17" s="40">
        <v>0</v>
      </c>
      <c r="E17" s="44">
        <f t="shared" ref="E17:E18" si="6">IF(B17&gt;0,D17/B17,0)</f>
        <v>0</v>
      </c>
      <c r="F17" s="44">
        <f t="shared" ref="F17:F18" si="7">1-E17</f>
        <v>1</v>
      </c>
      <c r="G17" s="45">
        <f t="shared" si="4"/>
        <v>5708.16</v>
      </c>
      <c r="H17" s="208">
        <v>0.6</v>
      </c>
      <c r="I17" s="45">
        <f t="shared" si="5"/>
        <v>3424.8959999999997</v>
      </c>
    </row>
    <row r="18" spans="1:12" x14ac:dyDescent="0.45">
      <c r="A18" s="1" t="s">
        <v>270</v>
      </c>
      <c r="B18" s="40">
        <v>79.28</v>
      </c>
      <c r="C18" s="291">
        <v>1</v>
      </c>
      <c r="D18" s="40">
        <v>0</v>
      </c>
      <c r="E18" s="44">
        <f t="shared" si="6"/>
        <v>0</v>
      </c>
      <c r="F18" s="44">
        <f t="shared" si="7"/>
        <v>1</v>
      </c>
      <c r="G18" s="261">
        <f t="shared" si="4"/>
        <v>951.36</v>
      </c>
      <c r="H18" s="208">
        <v>0.6</v>
      </c>
      <c r="I18" s="261">
        <f t="shared" si="5"/>
        <v>570.81600000000003</v>
      </c>
    </row>
    <row r="19" spans="1:12" x14ac:dyDescent="0.45">
      <c r="A19" s="1" t="s">
        <v>53</v>
      </c>
      <c r="B19" s="45"/>
      <c r="C19" s="292">
        <f>SUM(C16:C18)</f>
        <v>11</v>
      </c>
      <c r="G19" s="45">
        <f>SUM(G16:G18)</f>
        <v>7807.6799999999994</v>
      </c>
      <c r="I19" s="45">
        <f>SUM(I16:I18)</f>
        <v>4684.6079999999993</v>
      </c>
    </row>
    <row r="20" spans="1:12" x14ac:dyDescent="0.45">
      <c r="C20" s="292"/>
      <c r="G20" s="45"/>
      <c r="I20" s="45"/>
    </row>
    <row r="21" spans="1:12" x14ac:dyDescent="0.45">
      <c r="A21" s="121" t="s">
        <v>167</v>
      </c>
      <c r="C21" s="292"/>
      <c r="G21" s="45">
        <f>G11+G19</f>
        <v>184039.43999999997</v>
      </c>
      <c r="I21" s="45">
        <f>I11+I19</f>
        <v>124093.53</v>
      </c>
    </row>
    <row r="22" spans="1:12" x14ac:dyDescent="0.45">
      <c r="C22" s="292"/>
      <c r="I22" s="45"/>
    </row>
    <row r="23" spans="1:12" x14ac:dyDescent="0.45">
      <c r="A23" s="1" t="s">
        <v>265</v>
      </c>
      <c r="C23" s="292"/>
      <c r="D23" s="218">
        <f>I11</f>
        <v>119408.92200000001</v>
      </c>
      <c r="I23" s="45"/>
    </row>
    <row r="24" spans="1:12" x14ac:dyDescent="0.45">
      <c r="A24" s="1" t="s">
        <v>266</v>
      </c>
      <c r="C24" s="292"/>
      <c r="D24" s="293">
        <f>I19</f>
        <v>4684.6079999999993</v>
      </c>
      <c r="I24" s="45"/>
    </row>
    <row r="25" spans="1:12" x14ac:dyDescent="0.45">
      <c r="A25" s="1" t="s">
        <v>267</v>
      </c>
      <c r="C25" s="292"/>
      <c r="D25" s="218">
        <f>I21</f>
        <v>124093.53</v>
      </c>
      <c r="I25" s="45"/>
    </row>
    <row r="26" spans="1:12" x14ac:dyDescent="0.45">
      <c r="A26" s="1" t="s">
        <v>209</v>
      </c>
      <c r="C26" s="292"/>
      <c r="D26" s="294">
        <v>-169850.92</v>
      </c>
      <c r="F26" s="300" t="s">
        <v>296</v>
      </c>
      <c r="H26" s="207"/>
      <c r="I26" s="43"/>
      <c r="K26" s="125"/>
      <c r="L26" s="125"/>
    </row>
    <row r="27" spans="1:12" x14ac:dyDescent="0.45">
      <c r="A27" s="1" t="s">
        <v>124</v>
      </c>
      <c r="C27" s="292"/>
      <c r="D27" s="219">
        <f>D25+D26</f>
        <v>-45757.390000000014</v>
      </c>
      <c r="E27" s="126"/>
      <c r="F27" s="122"/>
      <c r="G27" s="96"/>
      <c r="H27" s="216"/>
      <c r="I27" s="122"/>
      <c r="K27" s="89"/>
    </row>
    <row r="28" spans="1:12" ht="17.649999999999999" x14ac:dyDescent="0.75">
      <c r="C28" s="292"/>
      <c r="D28" s="124"/>
      <c r="E28" s="123"/>
      <c r="F28" s="123"/>
      <c r="G28" s="204"/>
      <c r="H28" s="217"/>
      <c r="I28" s="123"/>
    </row>
    <row r="29" spans="1:12" ht="15.4" x14ac:dyDescent="0.45">
      <c r="C29" s="292"/>
      <c r="D29" s="124"/>
      <c r="E29" s="122"/>
      <c r="F29" s="122"/>
      <c r="G29" s="204"/>
      <c r="H29" s="216"/>
      <c r="I29" s="122"/>
    </row>
    <row r="34" spans="8:8" x14ac:dyDescent="0.45">
      <c r="H34" s="206" t="s">
        <v>174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34C12-8B08-4347-8810-FE79CDF4480C}">
  <sheetPr>
    <pageSetUpPr fitToPage="1"/>
  </sheetPr>
  <dimension ref="A1:N58"/>
  <sheetViews>
    <sheetView showGridLines="0" topLeftCell="A5" workbookViewId="0">
      <selection activeCell="N41" sqref="N41"/>
    </sheetView>
  </sheetViews>
  <sheetFormatPr defaultRowHeight="15" x14ac:dyDescent="0.4"/>
  <cols>
    <col min="1" max="1" width="2" customWidth="1"/>
    <col min="2" max="2" width="1.88671875" customWidth="1"/>
    <col min="3" max="3" width="1.77734375" customWidth="1"/>
    <col min="4" max="4" width="27.44140625" customWidth="1"/>
    <col min="5" max="5" width="8.33203125" customWidth="1"/>
    <col min="6" max="6" width="13.5" bestFit="1" customWidth="1"/>
    <col min="7" max="7" width="6.109375" customWidth="1"/>
    <col min="8" max="8" width="9.94140625" bestFit="1" customWidth="1"/>
    <col min="9" max="9" width="6.109375" customWidth="1"/>
    <col min="10" max="10" width="9.33203125" customWidth="1"/>
    <col min="11" max="11" width="10.6640625" customWidth="1"/>
    <col min="12" max="12" width="1.88671875" customWidth="1"/>
    <col min="13" max="13" width="2.44140625" customWidth="1"/>
  </cols>
  <sheetData>
    <row r="1" spans="1:13" ht="15.4" x14ac:dyDescent="0.45">
      <c r="A1" s="1"/>
      <c r="B1" s="1"/>
      <c r="C1" s="128"/>
      <c r="D1" s="128"/>
      <c r="E1" s="128"/>
      <c r="F1" s="128"/>
      <c r="G1" s="129"/>
      <c r="H1" s="128"/>
      <c r="I1" s="129"/>
      <c r="J1" s="128"/>
      <c r="K1" s="128"/>
      <c r="L1" s="128"/>
      <c r="M1" s="128"/>
    </row>
    <row r="2" spans="1:13" ht="15.4" x14ac:dyDescent="0.45">
      <c r="A2" s="1"/>
      <c r="B2" s="83"/>
      <c r="C2" s="130"/>
      <c r="D2" s="130"/>
      <c r="E2" s="130"/>
      <c r="F2" s="130"/>
      <c r="G2" s="131"/>
      <c r="H2" s="130"/>
      <c r="I2" s="131"/>
      <c r="J2" s="130"/>
      <c r="K2" s="130"/>
      <c r="L2" s="132"/>
      <c r="M2" s="133"/>
    </row>
    <row r="3" spans="1:13" ht="18" x14ac:dyDescent="0.55000000000000004">
      <c r="A3" s="1"/>
      <c r="B3" s="48"/>
      <c r="C3" s="317" t="s">
        <v>27</v>
      </c>
      <c r="D3" s="317"/>
      <c r="E3" s="317"/>
      <c r="F3" s="317"/>
      <c r="G3" s="317"/>
      <c r="H3" s="317"/>
      <c r="I3" s="317"/>
      <c r="J3" s="317"/>
      <c r="K3" s="317"/>
      <c r="L3" s="134"/>
      <c r="M3" s="133"/>
    </row>
    <row r="4" spans="1:13" ht="18" x14ac:dyDescent="0.55000000000000004">
      <c r="A4" s="1"/>
      <c r="B4" s="48"/>
      <c r="C4" s="318" t="s">
        <v>41</v>
      </c>
      <c r="D4" s="318"/>
      <c r="E4" s="318"/>
      <c r="F4" s="318"/>
      <c r="G4" s="318"/>
      <c r="H4" s="318"/>
      <c r="I4" s="318"/>
      <c r="J4" s="318"/>
      <c r="K4" s="318"/>
      <c r="L4" s="134"/>
      <c r="M4" s="133"/>
    </row>
    <row r="5" spans="1:13" ht="15.75" x14ac:dyDescent="0.45">
      <c r="A5" s="1"/>
      <c r="B5" s="48"/>
      <c r="C5" s="319" t="s">
        <v>226</v>
      </c>
      <c r="D5" s="319"/>
      <c r="E5" s="319"/>
      <c r="F5" s="319"/>
      <c r="G5" s="319"/>
      <c r="H5" s="319"/>
      <c r="I5" s="319"/>
      <c r="J5" s="319"/>
      <c r="K5" s="319"/>
      <c r="L5" s="134"/>
      <c r="M5" s="133"/>
    </row>
    <row r="6" spans="1:13" ht="15.4" x14ac:dyDescent="0.45">
      <c r="A6" s="1"/>
      <c r="B6" s="48"/>
      <c r="C6" s="128"/>
      <c r="D6" s="128"/>
      <c r="E6" s="128"/>
      <c r="F6" s="128"/>
      <c r="G6" s="135"/>
      <c r="H6" s="128"/>
      <c r="I6" s="135"/>
      <c r="J6" s="128"/>
      <c r="K6" s="136" t="s">
        <v>42</v>
      </c>
      <c r="L6" s="134"/>
      <c r="M6" s="133"/>
    </row>
    <row r="7" spans="1:13" ht="15.4" x14ac:dyDescent="0.45">
      <c r="A7" s="1"/>
      <c r="B7" s="48"/>
      <c r="C7" s="137"/>
      <c r="D7" s="137"/>
      <c r="E7" s="137" t="s">
        <v>43</v>
      </c>
      <c r="F7" s="137" t="s">
        <v>44</v>
      </c>
      <c r="G7" s="138" t="s">
        <v>125</v>
      </c>
      <c r="H7" s="139"/>
      <c r="I7" s="138" t="s">
        <v>32</v>
      </c>
      <c r="J7" s="139"/>
      <c r="K7" s="136" t="s">
        <v>45</v>
      </c>
      <c r="L7" s="134"/>
      <c r="M7" s="133"/>
    </row>
    <row r="8" spans="1:13" ht="17.649999999999999" x14ac:dyDescent="0.75">
      <c r="A8" s="1"/>
      <c r="B8" s="48"/>
      <c r="C8" s="136"/>
      <c r="D8" s="140" t="s">
        <v>126</v>
      </c>
      <c r="E8" s="136" t="s">
        <v>46</v>
      </c>
      <c r="F8" s="136" t="s">
        <v>127</v>
      </c>
      <c r="G8" s="23" t="s">
        <v>47</v>
      </c>
      <c r="H8" s="136" t="s">
        <v>48</v>
      </c>
      <c r="I8" s="23" t="s">
        <v>47</v>
      </c>
      <c r="J8" s="136" t="s">
        <v>48</v>
      </c>
      <c r="K8" s="136" t="s">
        <v>38</v>
      </c>
      <c r="L8" s="134"/>
      <c r="M8" s="133"/>
    </row>
    <row r="9" spans="1:13" ht="15.4" x14ac:dyDescent="0.45">
      <c r="A9" s="1"/>
      <c r="B9" s="48"/>
      <c r="C9" s="136"/>
      <c r="D9" s="136"/>
      <c r="E9" s="136"/>
      <c r="F9" s="136"/>
      <c r="G9" s="23"/>
      <c r="H9" s="136"/>
      <c r="I9" s="23"/>
      <c r="J9" s="136"/>
      <c r="K9" s="136"/>
      <c r="L9" s="134"/>
      <c r="M9" s="133"/>
    </row>
    <row r="10" spans="1:13" ht="15.4" x14ac:dyDescent="0.45">
      <c r="A10" s="1"/>
      <c r="B10" s="48"/>
      <c r="C10" s="141" t="s">
        <v>128</v>
      </c>
      <c r="D10" s="128"/>
      <c r="E10" s="142"/>
      <c r="F10" s="89"/>
      <c r="G10" s="135"/>
      <c r="H10" s="89"/>
      <c r="I10" s="135"/>
      <c r="J10" s="89"/>
      <c r="K10" s="89"/>
      <c r="L10" s="134"/>
      <c r="M10" s="133"/>
    </row>
    <row r="11" spans="1:13" ht="15.4" x14ac:dyDescent="0.45">
      <c r="A11" s="1"/>
      <c r="B11" s="48"/>
      <c r="C11" s="141"/>
      <c r="D11" s="128" t="s">
        <v>129</v>
      </c>
      <c r="E11" s="142" t="s">
        <v>66</v>
      </c>
      <c r="F11" s="20">
        <f>[2]ACCUMULATOR!$E$4+[2]ACCUMULATOR!$E$14</f>
        <v>454562.44999999995</v>
      </c>
      <c r="G11" s="68" t="s">
        <v>130</v>
      </c>
      <c r="H11" s="20">
        <f>[2]ACCUMULATOR!$J$4+[2]ACCUMULATOR!$J$14</f>
        <v>15983.86</v>
      </c>
      <c r="I11" s="135">
        <v>37.5</v>
      </c>
      <c r="J11" s="20">
        <f>F11/I11</f>
        <v>12121.665333333332</v>
      </c>
      <c r="K11" s="20">
        <f>J11-H11</f>
        <v>-3862.1946666666681</v>
      </c>
      <c r="L11" s="134"/>
      <c r="M11" s="133"/>
    </row>
    <row r="12" spans="1:13" ht="15.4" x14ac:dyDescent="0.45">
      <c r="A12" s="1"/>
      <c r="B12" s="48"/>
      <c r="C12" s="141"/>
      <c r="D12" s="128" t="s">
        <v>131</v>
      </c>
      <c r="E12" s="142"/>
      <c r="F12" s="20"/>
      <c r="G12" s="68"/>
      <c r="H12" s="20"/>
      <c r="I12" s="135">
        <v>10</v>
      </c>
      <c r="J12" s="20">
        <f>F12/I12</f>
        <v>0</v>
      </c>
      <c r="K12" s="20">
        <f>J12-H12</f>
        <v>0</v>
      </c>
      <c r="L12" s="134"/>
      <c r="M12" s="133"/>
    </row>
    <row r="13" spans="1:13" ht="15.4" x14ac:dyDescent="0.45">
      <c r="A13" s="1"/>
      <c r="B13" s="48"/>
      <c r="C13" s="128"/>
      <c r="D13" s="128" t="s">
        <v>132</v>
      </c>
      <c r="E13" s="142" t="s">
        <v>66</v>
      </c>
      <c r="F13" s="20">
        <f>[2]ACCUMULATOR!$E$15</f>
        <v>100107.47</v>
      </c>
      <c r="G13" s="68" t="s">
        <v>130</v>
      </c>
      <c r="H13" s="20">
        <f>[2]ACCUMULATOR!$J$15</f>
        <v>14744.149999999998</v>
      </c>
      <c r="I13" s="135">
        <v>22.5</v>
      </c>
      <c r="J13" s="20">
        <f>F13/I13</f>
        <v>4449.220888888889</v>
      </c>
      <c r="K13" s="20">
        <f>J13-H13</f>
        <v>-10294.929111111109</v>
      </c>
      <c r="L13" s="134"/>
      <c r="M13" s="133"/>
    </row>
    <row r="14" spans="1:13" ht="15.4" x14ac:dyDescent="0.45">
      <c r="A14" s="1"/>
      <c r="B14" s="48"/>
      <c r="C14" s="128"/>
      <c r="D14" s="128" t="s">
        <v>133</v>
      </c>
      <c r="E14" s="142"/>
      <c r="F14" s="20"/>
      <c r="G14" s="68"/>
      <c r="H14" s="20"/>
      <c r="I14" s="135">
        <v>12.5</v>
      </c>
      <c r="J14" s="20">
        <f t="shared" ref="J14:J16" si="0">F14/I14</f>
        <v>0</v>
      </c>
      <c r="K14" s="20">
        <f t="shared" ref="K14:K16" si="1">J14-H14</f>
        <v>0</v>
      </c>
      <c r="L14" s="134"/>
      <c r="M14" s="133"/>
    </row>
    <row r="15" spans="1:13" ht="15.4" x14ac:dyDescent="0.45">
      <c r="A15" s="1"/>
      <c r="B15" s="48"/>
      <c r="C15" s="128"/>
      <c r="D15" s="128" t="s">
        <v>134</v>
      </c>
      <c r="E15" s="142" t="s">
        <v>66</v>
      </c>
      <c r="F15" s="20">
        <f>[2]ACCUMULATOR!$E$17</f>
        <v>159711.97</v>
      </c>
      <c r="G15" s="68" t="s">
        <v>130</v>
      </c>
      <c r="H15" s="20">
        <f>[2]ACCUMULATOR!$J$17</f>
        <v>18870.239999999998</v>
      </c>
      <c r="I15" s="135">
        <v>17.5</v>
      </c>
      <c r="J15" s="20">
        <f t="shared" si="0"/>
        <v>9126.3982857142855</v>
      </c>
      <c r="K15" s="20">
        <f t="shared" si="1"/>
        <v>-9743.8417142857124</v>
      </c>
      <c r="L15" s="134"/>
      <c r="M15" s="133"/>
    </row>
    <row r="16" spans="1:13" ht="15.4" x14ac:dyDescent="0.45">
      <c r="A16" s="1"/>
      <c r="B16" s="48"/>
      <c r="C16" s="128"/>
      <c r="D16" s="128" t="s">
        <v>135</v>
      </c>
      <c r="E16" s="142"/>
      <c r="F16" s="20"/>
      <c r="G16" s="68"/>
      <c r="H16" s="20"/>
      <c r="I16" s="135">
        <v>15</v>
      </c>
      <c r="J16" s="20">
        <f t="shared" si="0"/>
        <v>0</v>
      </c>
      <c r="K16" s="20">
        <f t="shared" si="1"/>
        <v>0</v>
      </c>
      <c r="L16" s="134"/>
      <c r="M16" s="133"/>
    </row>
    <row r="17" spans="1:13" ht="15.4" x14ac:dyDescent="0.45">
      <c r="A17" s="1"/>
      <c r="B17" s="48"/>
      <c r="C17" s="136"/>
      <c r="D17" s="136"/>
      <c r="E17" s="136"/>
      <c r="F17" s="136"/>
      <c r="G17" s="23"/>
      <c r="H17" s="136"/>
      <c r="I17" s="23"/>
      <c r="J17" s="136"/>
      <c r="K17" s="136"/>
      <c r="L17" s="134"/>
      <c r="M17" s="133"/>
    </row>
    <row r="18" spans="1:13" ht="15.4" x14ac:dyDescent="0.45">
      <c r="A18" s="1"/>
      <c r="B18" s="48"/>
      <c r="C18" s="141" t="s">
        <v>136</v>
      </c>
      <c r="D18" s="128"/>
      <c r="E18" s="142"/>
      <c r="F18" s="89"/>
      <c r="G18" s="143"/>
      <c r="H18" s="89"/>
      <c r="I18" s="143"/>
      <c r="J18" s="89"/>
      <c r="K18" s="89"/>
      <c r="L18" s="134"/>
      <c r="M18" s="133"/>
    </row>
    <row r="19" spans="1:13" ht="15.4" x14ac:dyDescent="0.45">
      <c r="A19" s="1"/>
      <c r="B19" s="48"/>
      <c r="C19" s="141"/>
      <c r="D19" s="128" t="s">
        <v>129</v>
      </c>
      <c r="E19" s="142"/>
      <c r="F19" s="20"/>
      <c r="G19" s="68"/>
      <c r="H19" s="20"/>
      <c r="I19" s="135">
        <v>37.5</v>
      </c>
      <c r="J19" s="20">
        <f>F19/I19</f>
        <v>0</v>
      </c>
      <c r="K19" s="20">
        <f>J19-H19</f>
        <v>0</v>
      </c>
      <c r="L19" s="134"/>
      <c r="M19" s="133"/>
    </row>
    <row r="20" spans="1:13" ht="15.4" x14ac:dyDescent="0.45">
      <c r="A20" s="1"/>
      <c r="B20" s="48"/>
      <c r="C20" s="128"/>
      <c r="D20" s="128" t="s">
        <v>137</v>
      </c>
      <c r="E20" s="142"/>
      <c r="F20" s="89"/>
      <c r="G20" s="68"/>
      <c r="H20" s="20"/>
      <c r="I20" s="135">
        <v>10</v>
      </c>
      <c r="J20" s="89">
        <f>F20/I20</f>
        <v>0</v>
      </c>
      <c r="K20" s="20">
        <f>J20-H20</f>
        <v>0</v>
      </c>
      <c r="L20" s="134"/>
      <c r="M20" s="133"/>
    </row>
    <row r="21" spans="1:13" ht="15.4" x14ac:dyDescent="0.45">
      <c r="A21" s="1"/>
      <c r="B21" s="48"/>
      <c r="C21" s="128"/>
      <c r="D21" s="128" t="s">
        <v>138</v>
      </c>
      <c r="E21" s="142" t="s">
        <v>66</v>
      </c>
      <c r="F21" s="89">
        <f>[2]ACCUMULATOR!$E$12</f>
        <v>2239520.92</v>
      </c>
      <c r="G21" s="68" t="s">
        <v>130</v>
      </c>
      <c r="H21" s="20">
        <f>[2]ACCUMULATOR!$J$12</f>
        <v>130346.64</v>
      </c>
      <c r="I21" s="135">
        <v>20</v>
      </c>
      <c r="J21" s="89">
        <f>F21/I21</f>
        <v>111976.046</v>
      </c>
      <c r="K21" s="20">
        <f>J21-H21</f>
        <v>-18370.593999999997</v>
      </c>
      <c r="L21" s="134"/>
      <c r="M21" s="133"/>
    </row>
    <row r="22" spans="1:13" ht="15.4" x14ac:dyDescent="0.45">
      <c r="A22" s="1"/>
      <c r="B22" s="48"/>
      <c r="C22" s="136"/>
      <c r="D22" s="136"/>
      <c r="E22" s="136"/>
      <c r="F22" s="89"/>
      <c r="G22" s="143"/>
      <c r="H22" s="89"/>
      <c r="I22" s="143"/>
      <c r="J22" s="89"/>
      <c r="K22" s="89"/>
      <c r="L22" s="134"/>
      <c r="M22" s="133"/>
    </row>
    <row r="23" spans="1:13" ht="15.4" x14ac:dyDescent="0.45">
      <c r="A23" s="1"/>
      <c r="B23" s="48"/>
      <c r="C23" s="141" t="s">
        <v>139</v>
      </c>
      <c r="D23" s="128"/>
      <c r="E23" s="142"/>
      <c r="F23" s="89"/>
      <c r="G23" s="135"/>
      <c r="H23" s="89"/>
      <c r="I23" s="135"/>
      <c r="J23" s="89"/>
      <c r="K23" s="89"/>
      <c r="L23" s="134"/>
      <c r="M23" s="133"/>
    </row>
    <row r="24" spans="1:13" ht="15.4" x14ac:dyDescent="0.45">
      <c r="A24" s="1"/>
      <c r="B24" s="48"/>
      <c r="C24" s="141"/>
      <c r="D24" s="128" t="s">
        <v>140</v>
      </c>
      <c r="E24" s="142" t="s">
        <v>66</v>
      </c>
      <c r="F24" s="20">
        <f>[2]ACCUMULATOR!$E$11</f>
        <v>288828.95999999996</v>
      </c>
      <c r="G24" s="68" t="s">
        <v>130</v>
      </c>
      <c r="H24" s="20">
        <f>[2]ACCUMULATOR!$J$11</f>
        <v>5776.6</v>
      </c>
      <c r="I24" s="135">
        <v>50</v>
      </c>
      <c r="J24" s="20">
        <f>H24</f>
        <v>5776.6</v>
      </c>
      <c r="K24" s="20">
        <f>J24-H24</f>
        <v>0</v>
      </c>
      <c r="L24" s="134"/>
      <c r="M24" s="133"/>
    </row>
    <row r="25" spans="1:13" ht="15.4" x14ac:dyDescent="0.45">
      <c r="A25" s="1"/>
      <c r="B25" s="48"/>
      <c r="C25" s="141"/>
      <c r="D25" s="128" t="s">
        <v>141</v>
      </c>
      <c r="E25" s="142" t="s">
        <v>66</v>
      </c>
      <c r="F25" s="20">
        <f>[2]ACCUMULATOR!$E$7</f>
        <v>15620669.719999999</v>
      </c>
      <c r="G25" s="68" t="s">
        <v>130</v>
      </c>
      <c r="H25" s="20">
        <f>[2]ACCUMULATOR!$J$7</f>
        <v>312413.40000000002</v>
      </c>
      <c r="I25" s="135">
        <v>62.5</v>
      </c>
      <c r="J25" s="20">
        <f t="shared" ref="J25:J32" si="2">F25/I25</f>
        <v>249930.71551999997</v>
      </c>
      <c r="K25" s="20">
        <f t="shared" ref="K25:K32" si="3">J25-H25</f>
        <v>-62482.684480000054</v>
      </c>
      <c r="L25" s="134"/>
      <c r="M25" s="133"/>
    </row>
    <row r="26" spans="1:13" ht="15.4" x14ac:dyDescent="0.45">
      <c r="A26" s="1"/>
      <c r="B26" s="48"/>
      <c r="C26" s="141"/>
      <c r="D26" s="128" t="s">
        <v>142</v>
      </c>
      <c r="E26" s="142" t="s">
        <v>66</v>
      </c>
      <c r="F26" s="20">
        <f>[2]ACCUMULATOR!$E$10</f>
        <v>615868.52</v>
      </c>
      <c r="G26" s="68" t="s">
        <v>130</v>
      </c>
      <c r="H26" s="20">
        <f>[2]ACCUMULATOR!$J$10</f>
        <v>18703.72</v>
      </c>
      <c r="I26" s="135">
        <v>45</v>
      </c>
      <c r="J26" s="20">
        <f t="shared" si="2"/>
        <v>13685.967111111111</v>
      </c>
      <c r="K26" s="20">
        <f t="shared" si="3"/>
        <v>-5017.7528888888901</v>
      </c>
      <c r="L26" s="134"/>
      <c r="M26" s="133"/>
    </row>
    <row r="27" spans="1:13" ht="15.4" x14ac:dyDescent="0.45">
      <c r="A27" s="1"/>
      <c r="B27" s="48"/>
      <c r="C27" s="141"/>
      <c r="D27" s="128" t="s">
        <v>143</v>
      </c>
      <c r="E27" s="142" t="s">
        <v>66</v>
      </c>
      <c r="F27" s="20">
        <f>[2]ACCUMULATOR!$E$9</f>
        <v>1234448.1200000001</v>
      </c>
      <c r="G27" s="68" t="s">
        <v>130</v>
      </c>
      <c r="H27" s="20">
        <f>[2]ACCUMULATOR!$J$9</f>
        <v>35251.635000000002</v>
      </c>
      <c r="I27" s="135">
        <v>15</v>
      </c>
      <c r="J27" s="20">
        <f t="shared" si="2"/>
        <v>82296.541333333342</v>
      </c>
      <c r="K27" s="20">
        <f t="shared" si="3"/>
        <v>47044.90633333334</v>
      </c>
      <c r="L27" s="134"/>
      <c r="M27" s="133"/>
    </row>
    <row r="28" spans="1:13" ht="15.4" x14ac:dyDescent="0.45">
      <c r="A28" s="1"/>
      <c r="B28" s="48"/>
      <c r="C28" s="141"/>
      <c r="D28" s="128" t="s">
        <v>144</v>
      </c>
      <c r="E28" s="142"/>
      <c r="F28" s="20"/>
      <c r="G28" s="68"/>
      <c r="H28" s="20"/>
      <c r="I28" s="135">
        <v>20</v>
      </c>
      <c r="J28" s="20">
        <f t="shared" si="2"/>
        <v>0</v>
      </c>
      <c r="K28" s="20">
        <f t="shared" si="3"/>
        <v>0</v>
      </c>
      <c r="L28" s="134"/>
      <c r="M28" s="133"/>
    </row>
    <row r="29" spans="1:13" ht="15.4" x14ac:dyDescent="0.45">
      <c r="A29" s="1"/>
      <c r="B29" s="48"/>
      <c r="C29" s="141"/>
      <c r="D29" s="128" t="s">
        <v>145</v>
      </c>
      <c r="E29" s="142"/>
      <c r="F29" s="20"/>
      <c r="G29" s="68"/>
      <c r="H29" s="20"/>
      <c r="I29" s="135">
        <v>37.5</v>
      </c>
      <c r="J29" s="20">
        <f t="shared" si="2"/>
        <v>0</v>
      </c>
      <c r="K29" s="20">
        <f t="shared" si="3"/>
        <v>0</v>
      </c>
      <c r="L29" s="134"/>
      <c r="M29" s="133"/>
    </row>
    <row r="30" spans="1:13" ht="15.4" x14ac:dyDescent="0.45">
      <c r="A30" s="1"/>
      <c r="B30" s="48"/>
      <c r="C30" s="141"/>
      <c r="D30" s="128" t="s">
        <v>146</v>
      </c>
      <c r="E30" s="142" t="s">
        <v>66</v>
      </c>
      <c r="F30" s="20">
        <f>[2]ACCUMULATOR!$E$8</f>
        <v>670336.93999999994</v>
      </c>
      <c r="G30" s="68" t="s">
        <v>130</v>
      </c>
      <c r="H30" s="20">
        <f>[2]ACCUMULATOR!$J$8</f>
        <v>21575.814999999999</v>
      </c>
      <c r="I30" s="135">
        <v>40</v>
      </c>
      <c r="J30" s="20">
        <f t="shared" si="2"/>
        <v>16758.423499999997</v>
      </c>
      <c r="K30" s="20">
        <f t="shared" si="3"/>
        <v>-4817.3915000000015</v>
      </c>
      <c r="L30" s="134"/>
      <c r="M30" s="133"/>
    </row>
    <row r="31" spans="1:13" ht="15.4" x14ac:dyDescent="0.45">
      <c r="A31" s="1"/>
      <c r="B31" s="48"/>
      <c r="C31" s="141"/>
      <c r="D31" s="128" t="s">
        <v>147</v>
      </c>
      <c r="E31" s="142" t="s">
        <v>66</v>
      </c>
      <c r="F31" s="20">
        <f>[2]ACCUMULATOR!$E$5</f>
        <v>4980129.2700000005</v>
      </c>
      <c r="G31" s="68" t="s">
        <v>130</v>
      </c>
      <c r="H31" s="20">
        <f>[2]ACCUMULATOR!$J$5</f>
        <v>101115.95</v>
      </c>
      <c r="I31" s="135">
        <v>45</v>
      </c>
      <c r="J31" s="20">
        <f t="shared" si="2"/>
        <v>110669.53933333335</v>
      </c>
      <c r="K31" s="20">
        <f t="shared" si="3"/>
        <v>9553.5893333333515</v>
      </c>
      <c r="L31" s="134"/>
      <c r="M31" s="133"/>
    </row>
    <row r="32" spans="1:13" ht="15.4" x14ac:dyDescent="0.45">
      <c r="A32" s="1"/>
      <c r="B32" s="48"/>
      <c r="C32" s="141"/>
      <c r="D32" s="128" t="s">
        <v>303</v>
      </c>
      <c r="E32" s="267"/>
      <c r="F32" s="20"/>
      <c r="G32" s="68"/>
      <c r="H32" s="20"/>
      <c r="I32" s="135">
        <v>15</v>
      </c>
      <c r="J32" s="20">
        <f t="shared" si="2"/>
        <v>0</v>
      </c>
      <c r="K32" s="20">
        <f t="shared" si="3"/>
        <v>0</v>
      </c>
      <c r="L32" s="134"/>
      <c r="M32" s="133"/>
    </row>
    <row r="33" spans="1:14" ht="15.4" x14ac:dyDescent="0.45">
      <c r="A33" s="1"/>
      <c r="B33" s="48"/>
      <c r="C33" s="141"/>
      <c r="D33" s="1"/>
      <c r="E33" s="142"/>
      <c r="F33" s="89"/>
      <c r="G33" s="143"/>
      <c r="H33" s="89"/>
      <c r="I33" s="143"/>
      <c r="J33" s="89"/>
      <c r="K33" s="20"/>
      <c r="L33" s="134"/>
      <c r="M33" s="133"/>
    </row>
    <row r="34" spans="1:14" ht="15.4" x14ac:dyDescent="0.45">
      <c r="A34" s="1"/>
      <c r="B34" s="48"/>
      <c r="C34" s="141" t="s">
        <v>148</v>
      </c>
      <c r="D34" s="1"/>
      <c r="E34" s="142"/>
      <c r="F34" s="89"/>
      <c r="G34" s="135"/>
      <c r="H34" s="89"/>
      <c r="I34" s="144"/>
      <c r="J34" s="89"/>
      <c r="K34" s="89"/>
      <c r="L34" s="134"/>
      <c r="M34" s="133"/>
    </row>
    <row r="35" spans="1:14" ht="15.4" x14ac:dyDescent="0.45">
      <c r="A35" s="1"/>
      <c r="B35" s="48"/>
      <c r="C35" s="128"/>
      <c r="D35" s="1" t="s">
        <v>149</v>
      </c>
      <c r="E35" s="142" t="s">
        <v>66</v>
      </c>
      <c r="F35" s="89">
        <f>[2]ACCUMULATOR!$E$16</f>
        <v>403512.5</v>
      </c>
      <c r="G35" s="68" t="s">
        <v>130</v>
      </c>
      <c r="H35" s="89">
        <f>[2]ACCUMULATOR!$J$16</f>
        <v>72106.48000000001</v>
      </c>
      <c r="I35" s="144">
        <v>7</v>
      </c>
      <c r="J35" s="89">
        <f>F35/I35</f>
        <v>57644.642857142855</v>
      </c>
      <c r="K35" s="89">
        <f>J35-H35</f>
        <v>-14461.837142857155</v>
      </c>
      <c r="L35" s="134"/>
      <c r="M35" s="133"/>
    </row>
    <row r="36" spans="1:14" ht="15.4" x14ac:dyDescent="0.45">
      <c r="A36" s="1"/>
      <c r="B36" s="48"/>
      <c r="C36" s="136"/>
      <c r="D36" s="136"/>
      <c r="E36" s="136"/>
      <c r="F36" s="89"/>
      <c r="G36" s="143"/>
      <c r="H36" s="89"/>
      <c r="I36" s="143"/>
      <c r="J36" s="89"/>
      <c r="K36" s="89"/>
      <c r="L36" s="134"/>
      <c r="M36" s="133"/>
    </row>
    <row r="37" spans="1:14" ht="15.4" x14ac:dyDescent="0.45">
      <c r="A37" s="1"/>
      <c r="B37" s="48"/>
      <c r="C37" s="141" t="s">
        <v>150</v>
      </c>
      <c r="D37" s="128"/>
      <c r="E37" s="142"/>
      <c r="F37" s="89"/>
      <c r="G37" s="145"/>
      <c r="H37" s="89"/>
      <c r="I37" s="135"/>
      <c r="J37" s="89"/>
      <c r="K37" s="89"/>
      <c r="L37" s="134"/>
      <c r="M37" s="133"/>
    </row>
    <row r="38" spans="1:14" ht="15.4" x14ac:dyDescent="0.45">
      <c r="A38" s="1"/>
      <c r="B38" s="48"/>
      <c r="C38" s="141"/>
      <c r="D38" s="1" t="s">
        <v>304</v>
      </c>
      <c r="E38" s="142"/>
      <c r="F38" s="89"/>
      <c r="G38" s="68"/>
      <c r="H38" s="89"/>
      <c r="I38" s="144">
        <v>27.5</v>
      </c>
      <c r="J38" s="89">
        <f>F38/I38</f>
        <v>0</v>
      </c>
      <c r="K38" s="89">
        <f>J38-H37</f>
        <v>0</v>
      </c>
      <c r="L38" s="134"/>
      <c r="M38" s="133"/>
    </row>
    <row r="39" spans="1:14" ht="15.4" x14ac:dyDescent="0.45">
      <c r="A39" s="1"/>
      <c r="B39" s="48"/>
      <c r="C39" s="141"/>
      <c r="D39" s="1" t="s">
        <v>129</v>
      </c>
      <c r="E39" s="142" t="s">
        <v>66</v>
      </c>
      <c r="F39" s="89">
        <f>[2]ACCUMULATOR!$E$6</f>
        <v>14666.42</v>
      </c>
      <c r="G39" s="135" t="s">
        <v>130</v>
      </c>
      <c r="H39" s="89">
        <f>[2]ACCUMULATOR!$J$6</f>
        <v>293.33</v>
      </c>
      <c r="I39" s="144">
        <v>37.5</v>
      </c>
      <c r="J39" s="89">
        <f>F39/I39</f>
        <v>391.10453333333334</v>
      </c>
      <c r="K39" s="89">
        <f>J39-H39</f>
        <v>97.774533333333352</v>
      </c>
      <c r="L39" s="134"/>
      <c r="M39" s="133"/>
    </row>
    <row r="40" spans="1:14" ht="15.4" x14ac:dyDescent="0.45">
      <c r="A40" s="1"/>
      <c r="B40" s="48"/>
      <c r="C40" s="128"/>
      <c r="D40" s="128"/>
      <c r="E40" s="128"/>
      <c r="F40" s="142"/>
      <c r="G40" s="89"/>
      <c r="H40" s="146"/>
      <c r="I40" s="89"/>
      <c r="J40" s="135"/>
      <c r="K40" s="89"/>
      <c r="L40" s="134"/>
      <c r="M40" s="133"/>
    </row>
    <row r="41" spans="1:14" ht="15.4" x14ac:dyDescent="0.45">
      <c r="A41" s="1"/>
      <c r="B41" s="48"/>
      <c r="C41" s="147" t="s">
        <v>83</v>
      </c>
      <c r="D41" s="1"/>
      <c r="E41" s="1"/>
      <c r="F41" s="149">
        <f>SUM(F11:F40)</f>
        <v>26782363.260000002</v>
      </c>
      <c r="G41" s="148"/>
      <c r="H41" s="149">
        <f>SUM(H11:H40)</f>
        <v>747181.81999999983</v>
      </c>
      <c r="I41" s="149"/>
      <c r="J41" s="149">
        <f>SUM(J11:J40)</f>
        <v>674826.86469619046</v>
      </c>
      <c r="K41" s="149">
        <f>SUM(K11:K40)</f>
        <v>-72354.955303809576</v>
      </c>
      <c r="L41" s="134"/>
      <c r="M41" s="133"/>
      <c r="N41" s="309"/>
    </row>
    <row r="42" spans="1:14" ht="15.4" x14ac:dyDescent="0.45">
      <c r="A42" s="1"/>
      <c r="B42" s="84"/>
      <c r="C42" s="150"/>
      <c r="D42" s="150"/>
      <c r="E42" s="150"/>
      <c r="F42" s="150"/>
      <c r="G42" s="150"/>
      <c r="H42" s="151"/>
      <c r="I42" s="150"/>
      <c r="J42" s="151"/>
      <c r="K42" s="150"/>
      <c r="L42" s="152"/>
      <c r="M42" s="153"/>
    </row>
    <row r="43" spans="1:14" ht="15.4" x14ac:dyDescent="0.45">
      <c r="A43" s="1"/>
      <c r="B43" s="1"/>
      <c r="C43" s="128"/>
      <c r="D43" s="128"/>
      <c r="E43" s="128"/>
      <c r="F43" s="128"/>
      <c r="G43" s="128"/>
      <c r="H43" s="22"/>
      <c r="I43" s="128"/>
      <c r="J43" s="22"/>
      <c r="K43" s="128"/>
      <c r="L43" s="128"/>
      <c r="M43" s="128"/>
    </row>
    <row r="44" spans="1:14" ht="15.4" x14ac:dyDescent="0.45">
      <c r="D44" s="128" t="s">
        <v>151</v>
      </c>
    </row>
    <row r="45" spans="1:14" ht="15.4" x14ac:dyDescent="0.45">
      <c r="D45" s="128"/>
      <c r="F45" s="308"/>
      <c r="G45" s="282"/>
      <c r="H45" s="308"/>
    </row>
    <row r="46" spans="1:14" ht="15.4" x14ac:dyDescent="0.45">
      <c r="D46" s="1"/>
    </row>
    <row r="47" spans="1:14" x14ac:dyDescent="0.4">
      <c r="H47" s="307"/>
    </row>
    <row r="50" spans="1:12" ht="15.4" x14ac:dyDescent="0.45">
      <c r="A50" s="282"/>
      <c r="B50" s="282"/>
      <c r="C50" s="282"/>
      <c r="D50" s="282"/>
      <c r="E50" s="282"/>
    </row>
    <row r="51" spans="1:12" ht="15.4" x14ac:dyDescent="0.45">
      <c r="A51" s="282"/>
      <c r="B51" s="282"/>
      <c r="C51" s="282"/>
      <c r="D51" s="282"/>
      <c r="E51" s="282"/>
    </row>
    <row r="52" spans="1:12" ht="15.4" x14ac:dyDescent="0.45">
      <c r="A52" s="282"/>
      <c r="B52" s="282"/>
      <c r="C52" s="282"/>
      <c r="D52" s="282"/>
      <c r="E52" s="282"/>
      <c r="F52" s="282"/>
    </row>
    <row r="53" spans="1:12" ht="15.4" x14ac:dyDescent="0.45">
      <c r="A53" s="282"/>
      <c r="B53" s="282"/>
      <c r="C53" s="282"/>
      <c r="D53" s="282"/>
      <c r="E53" s="282"/>
      <c r="F53" s="282"/>
    </row>
    <row r="54" spans="1:12" ht="15.4" x14ac:dyDescent="0.45">
      <c r="B54" s="282"/>
      <c r="C54" s="282"/>
      <c r="D54" s="282"/>
      <c r="E54" s="282"/>
      <c r="F54" s="282"/>
      <c r="G54" s="282"/>
      <c r="H54" s="282"/>
      <c r="I54" s="282"/>
      <c r="J54" s="282"/>
      <c r="K54" s="282"/>
      <c r="L54" s="282"/>
    </row>
    <row r="55" spans="1:12" ht="15.4" x14ac:dyDescent="0.45">
      <c r="B55" s="282"/>
      <c r="C55" s="282"/>
      <c r="D55" s="282"/>
      <c r="E55" s="282"/>
      <c r="F55" s="282"/>
      <c r="G55" s="282"/>
      <c r="H55" s="282"/>
      <c r="I55" s="282"/>
      <c r="J55" s="282"/>
      <c r="K55" s="282"/>
      <c r="L55" s="282"/>
    </row>
    <row r="56" spans="1:12" ht="15.4" x14ac:dyDescent="0.45">
      <c r="B56" s="282"/>
      <c r="C56" s="282"/>
      <c r="D56" s="282"/>
      <c r="E56" s="282"/>
      <c r="F56" s="282"/>
      <c r="G56" s="282"/>
      <c r="H56" s="282"/>
      <c r="I56" s="282"/>
      <c r="J56" s="282"/>
      <c r="K56" s="282"/>
      <c r="L56" s="282"/>
    </row>
    <row r="57" spans="1:12" ht="15.4" x14ac:dyDescent="0.45">
      <c r="B57" s="282"/>
      <c r="C57" s="282"/>
      <c r="D57" s="282"/>
      <c r="E57" s="282"/>
      <c r="F57" s="282"/>
      <c r="G57" s="282"/>
      <c r="H57" s="282"/>
      <c r="I57" s="282"/>
      <c r="J57" s="282"/>
      <c r="K57" s="282"/>
      <c r="L57" s="282"/>
    </row>
    <row r="58" spans="1:12" ht="15.4" x14ac:dyDescent="0.45">
      <c r="B58" s="282"/>
      <c r="C58" s="282"/>
      <c r="D58" s="282"/>
      <c r="E58" s="282"/>
      <c r="F58" s="282"/>
      <c r="G58" s="282"/>
      <c r="H58" s="282"/>
      <c r="I58" s="282"/>
      <c r="J58" s="282"/>
      <c r="K58" s="282"/>
      <c r="L58" s="282"/>
    </row>
  </sheetData>
  <mergeCells count="3">
    <mergeCell ref="C3:K3"/>
    <mergeCell ref="C4:K4"/>
    <mergeCell ref="C5:K5"/>
  </mergeCells>
  <pageMargins left="0.7" right="0.7" top="0.75" bottom="0.75" header="0.3" footer="0.3"/>
  <pageSetup scale="74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58E55-8DC2-4CD5-8872-149491EA390B}">
  <sheetPr>
    <pageSetUpPr fitToPage="1"/>
  </sheetPr>
  <dimension ref="B1:X35"/>
  <sheetViews>
    <sheetView showGridLines="0" workbookViewId="0">
      <selection sqref="A1:O29"/>
    </sheetView>
  </sheetViews>
  <sheetFormatPr defaultRowHeight="15" x14ac:dyDescent="0.4"/>
  <cols>
    <col min="1" max="1" width="1.77734375" customWidth="1"/>
    <col min="2" max="2" width="17.77734375" customWidth="1"/>
    <col min="3" max="12" width="7.77734375" customWidth="1"/>
    <col min="13" max="13" width="10.6640625" customWidth="1"/>
    <col min="14" max="14" width="0.77734375" customWidth="1"/>
    <col min="15" max="15" width="2.33203125" customWidth="1"/>
    <col min="16" max="16" width="9.6640625" customWidth="1"/>
  </cols>
  <sheetData>
    <row r="1" spans="2:24" ht="15.4" x14ac:dyDescent="0.4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2:24" ht="15.4" x14ac:dyDescent="0.45">
      <c r="B2" s="154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  <c r="O2" s="16"/>
      <c r="P2" s="16"/>
    </row>
    <row r="3" spans="2:24" ht="18" x14ac:dyDescent="0.55000000000000004">
      <c r="B3" s="157" t="s">
        <v>152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73"/>
      <c r="O3" s="16"/>
      <c r="P3" s="16"/>
    </row>
    <row r="4" spans="2:24" ht="18" x14ac:dyDescent="0.55000000000000004">
      <c r="B4" s="159" t="s">
        <v>153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73"/>
      <c r="O4" s="16"/>
      <c r="P4" s="16"/>
    </row>
    <row r="5" spans="2:24" ht="15.75" x14ac:dyDescent="0.45">
      <c r="B5" s="161" t="s">
        <v>226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73"/>
      <c r="O5" s="16"/>
      <c r="P5" s="16"/>
    </row>
    <row r="6" spans="2:24" ht="15.75" x14ac:dyDescent="0.5">
      <c r="B6" s="162" t="s">
        <v>284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73"/>
      <c r="O6" s="16"/>
      <c r="P6" s="16"/>
    </row>
    <row r="7" spans="2:24" ht="15.4" x14ac:dyDescent="0.45">
      <c r="B7" s="164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73"/>
      <c r="O7" s="16"/>
      <c r="P7" s="16"/>
    </row>
    <row r="8" spans="2:24" ht="15.4" x14ac:dyDescent="0.45">
      <c r="B8" s="165"/>
      <c r="C8" s="166"/>
      <c r="D8" s="167"/>
      <c r="E8" s="166"/>
      <c r="F8" s="168"/>
      <c r="G8" s="166"/>
      <c r="H8" s="168"/>
      <c r="I8" s="166"/>
      <c r="J8" s="168"/>
      <c r="K8" s="166"/>
      <c r="L8" s="168"/>
      <c r="M8" s="167"/>
      <c r="N8" s="156"/>
      <c r="O8" s="16"/>
      <c r="P8" s="16"/>
    </row>
    <row r="9" spans="2:24" ht="16.5" x14ac:dyDescent="0.45">
      <c r="B9" s="169"/>
      <c r="C9" s="320" t="s">
        <v>154</v>
      </c>
      <c r="D9" s="321"/>
      <c r="E9" s="320" t="s">
        <v>155</v>
      </c>
      <c r="F9" s="321"/>
      <c r="G9" s="320" t="s">
        <v>156</v>
      </c>
      <c r="H9" s="321"/>
      <c r="I9" s="320" t="s">
        <v>157</v>
      </c>
      <c r="J9" s="321"/>
      <c r="K9" s="320" t="s">
        <v>283</v>
      </c>
      <c r="L9" s="321"/>
      <c r="M9" s="16"/>
      <c r="N9" s="73"/>
      <c r="O9" s="16"/>
      <c r="P9" s="16"/>
    </row>
    <row r="10" spans="2:24" ht="16.5" x14ac:dyDescent="0.45">
      <c r="B10" s="169"/>
      <c r="C10" s="170"/>
      <c r="D10" s="171" t="s">
        <v>158</v>
      </c>
      <c r="E10" s="172"/>
      <c r="F10" s="171" t="s">
        <v>158</v>
      </c>
      <c r="G10" s="172"/>
      <c r="H10" s="171" t="s">
        <v>158</v>
      </c>
      <c r="I10" s="172"/>
      <c r="J10" s="171" t="s">
        <v>158</v>
      </c>
      <c r="K10" s="172"/>
      <c r="L10" s="171" t="s">
        <v>158</v>
      </c>
      <c r="M10" s="16"/>
      <c r="N10" s="73"/>
      <c r="O10" s="16"/>
      <c r="P10" s="16"/>
    </row>
    <row r="11" spans="2:24" ht="16.5" x14ac:dyDescent="0.45">
      <c r="B11" s="169"/>
      <c r="C11" s="170" t="s">
        <v>159</v>
      </c>
      <c r="D11" s="173" t="s">
        <v>160</v>
      </c>
      <c r="E11" s="170" t="s">
        <v>159</v>
      </c>
      <c r="F11" s="173" t="s">
        <v>160</v>
      </c>
      <c r="G11" s="170" t="s">
        <v>159</v>
      </c>
      <c r="H11" s="173" t="s">
        <v>160</v>
      </c>
      <c r="I11" s="170" t="s">
        <v>159</v>
      </c>
      <c r="J11" s="173" t="s">
        <v>160</v>
      </c>
      <c r="K11" s="170" t="s">
        <v>159</v>
      </c>
      <c r="L11" s="173" t="s">
        <v>160</v>
      </c>
      <c r="M11" s="174" t="s">
        <v>83</v>
      </c>
      <c r="N11" s="73"/>
      <c r="O11" s="16"/>
      <c r="P11" s="16"/>
    </row>
    <row r="12" spans="2:24" ht="15.4" x14ac:dyDescent="0.45">
      <c r="B12" s="175" t="s">
        <v>227</v>
      </c>
      <c r="C12" s="176">
        <v>10489</v>
      </c>
      <c r="D12" s="178">
        <v>8555</v>
      </c>
      <c r="E12" s="176">
        <v>11078</v>
      </c>
      <c r="F12" s="178">
        <v>7966</v>
      </c>
      <c r="G12" s="176">
        <v>11702</v>
      </c>
      <c r="H12" s="178">
        <v>7342</v>
      </c>
      <c r="I12" s="176">
        <v>12360</v>
      </c>
      <c r="J12" s="178">
        <v>6684</v>
      </c>
      <c r="K12" s="176">
        <v>13055</v>
      </c>
      <c r="L12" s="178">
        <v>5989</v>
      </c>
      <c r="M12" s="179">
        <f t="shared" ref="M12:M18" si="0">SUM(C12:L12)</f>
        <v>95220</v>
      </c>
      <c r="N12" s="73"/>
      <c r="O12" s="16"/>
      <c r="P12" s="16"/>
      <c r="R12" s="16"/>
      <c r="T12" s="16"/>
      <c r="V12" s="16"/>
      <c r="X12" s="16"/>
    </row>
    <row r="13" spans="2:24" ht="15.4" x14ac:dyDescent="0.45">
      <c r="B13" s="175" t="s">
        <v>228</v>
      </c>
      <c r="C13" s="176">
        <v>7945</v>
      </c>
      <c r="D13" s="178">
        <v>8041</v>
      </c>
      <c r="E13" s="176">
        <v>8303</v>
      </c>
      <c r="F13" s="178">
        <v>7683</v>
      </c>
      <c r="G13" s="176">
        <v>8676</v>
      </c>
      <c r="H13" s="178">
        <v>7310</v>
      </c>
      <c r="I13" s="176">
        <v>9067</v>
      </c>
      <c r="J13" s="178">
        <v>6919</v>
      </c>
      <c r="K13" s="176">
        <v>9475</v>
      </c>
      <c r="L13" s="178">
        <v>6511</v>
      </c>
      <c r="M13" s="180">
        <f t="shared" si="0"/>
        <v>79930</v>
      </c>
      <c r="N13" s="73"/>
      <c r="O13" s="16"/>
      <c r="P13" s="16"/>
      <c r="R13" s="16"/>
      <c r="T13" s="16"/>
      <c r="V13" s="16"/>
      <c r="X13" s="16"/>
    </row>
    <row r="14" spans="2:24" ht="15.4" x14ac:dyDescent="0.45">
      <c r="B14" s="175" t="s">
        <v>229</v>
      </c>
      <c r="C14" s="176">
        <v>14324</v>
      </c>
      <c r="D14" s="178">
        <v>16604</v>
      </c>
      <c r="E14" s="176">
        <v>14951</v>
      </c>
      <c r="F14" s="178">
        <v>15977</v>
      </c>
      <c r="G14" s="176">
        <v>15605</v>
      </c>
      <c r="H14" s="178">
        <v>15323</v>
      </c>
      <c r="I14" s="176">
        <v>16287</v>
      </c>
      <c r="J14" s="178">
        <v>14641</v>
      </c>
      <c r="K14" s="176">
        <v>17000</v>
      </c>
      <c r="L14" s="178">
        <v>13928</v>
      </c>
      <c r="M14" s="180">
        <f t="shared" si="0"/>
        <v>154640</v>
      </c>
      <c r="N14" s="73"/>
      <c r="O14" s="16"/>
      <c r="P14" s="16"/>
      <c r="R14" s="16"/>
      <c r="T14" s="16"/>
      <c r="V14" s="16"/>
      <c r="X14" s="16"/>
    </row>
    <row r="15" spans="2:24" ht="15.4" x14ac:dyDescent="0.45">
      <c r="B15" s="175" t="s">
        <v>230</v>
      </c>
      <c r="C15" s="176">
        <v>18240</v>
      </c>
      <c r="D15" s="178">
        <v>33110</v>
      </c>
      <c r="E15" s="176">
        <v>18878</v>
      </c>
      <c r="F15" s="178">
        <v>32472</v>
      </c>
      <c r="G15" s="176">
        <v>19539</v>
      </c>
      <c r="H15" s="178">
        <v>31811</v>
      </c>
      <c r="I15" s="176">
        <v>20223</v>
      </c>
      <c r="J15" s="178">
        <v>31127</v>
      </c>
      <c r="K15" s="176">
        <v>20931</v>
      </c>
      <c r="L15" s="178">
        <v>30419</v>
      </c>
      <c r="M15" s="180">
        <f t="shared" si="0"/>
        <v>256750</v>
      </c>
      <c r="N15" s="73"/>
      <c r="O15" s="16"/>
      <c r="P15" s="16"/>
      <c r="R15" s="16"/>
      <c r="T15" s="16"/>
      <c r="V15" s="16"/>
      <c r="X15" s="16"/>
    </row>
    <row r="16" spans="2:24" ht="15.4" x14ac:dyDescent="0.45">
      <c r="B16" s="175" t="s">
        <v>231</v>
      </c>
      <c r="C16" s="176">
        <v>35552</v>
      </c>
      <c r="D16" s="177">
        <v>59641</v>
      </c>
      <c r="E16" s="176">
        <v>36663</v>
      </c>
      <c r="F16" s="177">
        <v>58530</v>
      </c>
      <c r="G16" s="176">
        <v>37809</v>
      </c>
      <c r="H16" s="177">
        <v>57384</v>
      </c>
      <c r="I16" s="176">
        <v>38990</v>
      </c>
      <c r="J16" s="178">
        <v>56203</v>
      </c>
      <c r="K16" s="176">
        <v>40209</v>
      </c>
      <c r="L16" s="178">
        <v>54984</v>
      </c>
      <c r="M16" s="180">
        <f t="shared" si="0"/>
        <v>475965</v>
      </c>
      <c r="N16" s="73"/>
      <c r="O16" s="16"/>
      <c r="P16" s="16"/>
      <c r="R16" s="16"/>
      <c r="T16" s="16"/>
      <c r="V16" s="16"/>
      <c r="X16" s="16"/>
    </row>
    <row r="17" spans="2:24" ht="15.4" x14ac:dyDescent="0.45">
      <c r="B17" s="175" t="s">
        <v>232</v>
      </c>
      <c r="C17" s="176">
        <v>50144</v>
      </c>
      <c r="D17" s="177">
        <v>60745</v>
      </c>
      <c r="E17" s="176">
        <v>51335</v>
      </c>
      <c r="F17" s="177">
        <v>59554</v>
      </c>
      <c r="G17" s="176">
        <v>52554</v>
      </c>
      <c r="H17" s="177">
        <v>58335</v>
      </c>
      <c r="I17" s="176">
        <v>53802</v>
      </c>
      <c r="J17" s="178">
        <v>57087</v>
      </c>
      <c r="K17" s="176">
        <v>55080</v>
      </c>
      <c r="L17" s="178">
        <v>55809</v>
      </c>
      <c r="M17" s="180">
        <f t="shared" si="0"/>
        <v>554445</v>
      </c>
      <c r="N17" s="73"/>
      <c r="O17" s="16"/>
      <c r="P17" s="16"/>
      <c r="R17" s="16"/>
      <c r="T17" s="16"/>
      <c r="V17" s="16"/>
      <c r="X17" s="16"/>
    </row>
    <row r="18" spans="2:24" ht="15.4" x14ac:dyDescent="0.45">
      <c r="B18" s="175" t="s">
        <v>233</v>
      </c>
      <c r="C18" s="181">
        <v>35244</v>
      </c>
      <c r="D18" s="182">
        <v>42308</v>
      </c>
      <c r="E18" s="181">
        <v>36081</v>
      </c>
      <c r="F18" s="182">
        <v>41471</v>
      </c>
      <c r="G18" s="181">
        <v>36938</v>
      </c>
      <c r="H18" s="182">
        <v>40614</v>
      </c>
      <c r="I18" s="181">
        <v>37815</v>
      </c>
      <c r="J18" s="183">
        <v>39737</v>
      </c>
      <c r="K18" s="181">
        <v>38713</v>
      </c>
      <c r="L18" s="183">
        <v>38839</v>
      </c>
      <c r="M18" s="180">
        <f t="shared" si="0"/>
        <v>387760</v>
      </c>
      <c r="N18" s="73"/>
      <c r="O18" s="16"/>
      <c r="P18" s="16"/>
    </row>
    <row r="19" spans="2:24" ht="15.4" x14ac:dyDescent="0.45">
      <c r="B19" s="127" t="s">
        <v>83</v>
      </c>
      <c r="C19" s="184">
        <f t="shared" ref="C19:M19" si="1">SUM(C12:C18)</f>
        <v>171938</v>
      </c>
      <c r="D19" s="185">
        <f t="shared" si="1"/>
        <v>229004</v>
      </c>
      <c r="E19" s="184">
        <f t="shared" si="1"/>
        <v>177289</v>
      </c>
      <c r="F19" s="186">
        <f t="shared" si="1"/>
        <v>223653</v>
      </c>
      <c r="G19" s="184">
        <f t="shared" si="1"/>
        <v>182823</v>
      </c>
      <c r="H19" s="186">
        <f t="shared" si="1"/>
        <v>218119</v>
      </c>
      <c r="I19" s="184">
        <f t="shared" si="1"/>
        <v>188544</v>
      </c>
      <c r="J19" s="186">
        <f t="shared" si="1"/>
        <v>212398</v>
      </c>
      <c r="K19" s="184">
        <f t="shared" si="1"/>
        <v>194463</v>
      </c>
      <c r="L19" s="186">
        <f t="shared" si="1"/>
        <v>206479</v>
      </c>
      <c r="M19" s="187">
        <f t="shared" si="1"/>
        <v>2004710</v>
      </c>
      <c r="N19" s="73"/>
      <c r="O19" s="16"/>
      <c r="P19" s="16">
        <f>SUM(C19:L19)</f>
        <v>2004710</v>
      </c>
    </row>
    <row r="20" spans="2:24" ht="15.4" x14ac:dyDescent="0.45">
      <c r="B20" s="188"/>
      <c r="C20" s="189"/>
      <c r="D20" s="190"/>
      <c r="E20" s="189"/>
      <c r="F20" s="191"/>
      <c r="G20" s="189"/>
      <c r="H20" s="191"/>
      <c r="I20" s="189"/>
      <c r="J20" s="192"/>
      <c r="K20" s="189"/>
      <c r="L20" s="191"/>
      <c r="M20" s="190"/>
      <c r="N20" s="193"/>
      <c r="O20" s="16"/>
      <c r="P20" s="16"/>
    </row>
    <row r="21" spans="2:24" ht="15.4" x14ac:dyDescent="0.45">
      <c r="B21" s="194"/>
      <c r="C21" s="195"/>
      <c r="D21" s="195"/>
      <c r="E21" s="195"/>
      <c r="F21" s="195"/>
      <c r="G21" s="195"/>
      <c r="H21" s="195"/>
      <c r="I21" s="195"/>
      <c r="J21" s="196"/>
      <c r="K21" s="196"/>
      <c r="L21" s="196"/>
      <c r="M21" s="195"/>
      <c r="N21" s="73"/>
      <c r="O21" s="16"/>
      <c r="P21" s="16"/>
    </row>
    <row r="22" spans="2:24" ht="15.4" x14ac:dyDescent="0.45">
      <c r="B22" s="197"/>
      <c r="C22" s="198"/>
      <c r="D22" s="199"/>
      <c r="E22" s="198"/>
      <c r="F22" s="198"/>
      <c r="G22" s="198"/>
      <c r="H22" s="198"/>
      <c r="I22" s="199" t="s">
        <v>161</v>
      </c>
      <c r="J22" s="16"/>
      <c r="K22" s="200"/>
      <c r="L22" s="201"/>
      <c r="M22" s="198">
        <f>M19/5</f>
        <v>400942</v>
      </c>
      <c r="N22" s="73"/>
      <c r="O22" s="16"/>
      <c r="P22" s="16"/>
    </row>
    <row r="23" spans="2:24" ht="15.4" x14ac:dyDescent="0.45">
      <c r="B23" s="17"/>
      <c r="C23" s="199"/>
      <c r="D23" s="16"/>
      <c r="E23" s="199"/>
      <c r="F23" s="199"/>
      <c r="G23" s="199"/>
      <c r="H23" s="199"/>
      <c r="I23" s="199"/>
      <c r="J23" s="16"/>
      <c r="K23" s="20"/>
      <c r="L23" s="200"/>
      <c r="M23" s="26"/>
      <c r="N23" s="73"/>
      <c r="O23" s="16"/>
      <c r="P23" s="16"/>
    </row>
    <row r="24" spans="2:24" ht="15.4" x14ac:dyDescent="0.45">
      <c r="B24" s="197"/>
      <c r="C24" s="199"/>
      <c r="D24" s="199"/>
      <c r="E24" s="199"/>
      <c r="F24" s="199"/>
      <c r="G24" s="199"/>
      <c r="H24" s="199"/>
      <c r="I24" s="199" t="s">
        <v>162</v>
      </c>
      <c r="J24" s="16"/>
      <c r="K24" s="200"/>
      <c r="L24" s="199"/>
      <c r="M24" s="198">
        <f>M22*0.2</f>
        <v>80188.400000000009</v>
      </c>
      <c r="N24" s="73"/>
      <c r="O24" s="16"/>
      <c r="P24" s="16">
        <f>M24+M22</f>
        <v>481130.4</v>
      </c>
    </row>
    <row r="25" spans="2:24" ht="15.4" x14ac:dyDescent="0.45">
      <c r="B25" s="202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193"/>
      <c r="O25" s="16"/>
      <c r="P25" s="16"/>
    </row>
    <row r="26" spans="2:24" ht="15.4" x14ac:dyDescent="0.45">
      <c r="B26" s="282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</row>
    <row r="27" spans="2:24" ht="15.4" x14ac:dyDescent="0.45">
      <c r="B27" s="282"/>
      <c r="C27" s="282"/>
      <c r="D27" s="282"/>
      <c r="E27" s="282"/>
      <c r="F27" s="282"/>
      <c r="G27" s="282"/>
      <c r="H27" s="282"/>
      <c r="I27" s="282" t="s">
        <v>223</v>
      </c>
      <c r="J27" s="282"/>
      <c r="K27" s="282"/>
      <c r="L27" s="282"/>
      <c r="M27" s="283">
        <f>D19+F19+H19+J19+L19</f>
        <v>1089653</v>
      </c>
      <c r="N27" s="282"/>
      <c r="O27" s="282"/>
      <c r="P27" s="282"/>
    </row>
    <row r="28" spans="2:24" ht="15.4" x14ac:dyDescent="0.45">
      <c r="B28" s="282"/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</row>
    <row r="29" spans="2:24" ht="15.4" x14ac:dyDescent="0.45">
      <c r="B29" s="282"/>
      <c r="C29" s="282"/>
      <c r="D29" s="282"/>
      <c r="E29" s="282"/>
      <c r="F29" s="282"/>
      <c r="G29" s="282"/>
      <c r="H29" s="282"/>
      <c r="I29" s="282" t="s">
        <v>224</v>
      </c>
      <c r="J29" s="282"/>
      <c r="K29" s="282"/>
      <c r="L29" s="282"/>
      <c r="M29" s="283">
        <f>M27/5</f>
        <v>217930.6</v>
      </c>
      <c r="N29" s="282"/>
      <c r="O29" s="282"/>
      <c r="P29" s="282"/>
    </row>
    <row r="30" spans="2:24" ht="15.4" x14ac:dyDescent="0.45"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</row>
    <row r="31" spans="2:24" ht="15.4" x14ac:dyDescent="0.45">
      <c r="B31" s="282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</row>
    <row r="32" spans="2:24" ht="15.4" x14ac:dyDescent="0.45">
      <c r="B32" s="282"/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</row>
    <row r="33" spans="2:16" ht="15.4" x14ac:dyDescent="0.45"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</row>
    <row r="34" spans="2:16" ht="15.4" x14ac:dyDescent="0.45"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</row>
    <row r="35" spans="2:16" ht="15.4" x14ac:dyDescent="0.45">
      <c r="B35" s="282"/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</row>
  </sheetData>
  <mergeCells count="5">
    <mergeCell ref="C9:D9"/>
    <mergeCell ref="E9:F9"/>
    <mergeCell ref="G9:H9"/>
    <mergeCell ref="I9:J9"/>
    <mergeCell ref="K9:L9"/>
  </mergeCells>
  <pageMargins left="0.7" right="0.7" top="0.75" bottom="0.75" header="0.3" footer="0.3"/>
  <pageSetup scale="92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003B9-59C5-4DF9-BA7B-F1E3EC2BAAEC}">
  <dimension ref="A1:D8"/>
  <sheetViews>
    <sheetView workbookViewId="0">
      <selection activeCell="C21" sqref="C21"/>
    </sheetView>
  </sheetViews>
  <sheetFormatPr defaultRowHeight="14.25" x14ac:dyDescent="0.45"/>
  <cols>
    <col min="1" max="1" width="25.609375" style="1" customWidth="1"/>
    <col min="2" max="2" width="8.83203125" style="211" customWidth="1"/>
    <col min="3" max="3" width="14.5546875" style="212" customWidth="1"/>
    <col min="4" max="4" width="8.88671875" style="18"/>
    <col min="5" max="16384" width="8.88671875" style="1"/>
  </cols>
  <sheetData>
    <row r="1" spans="1:3" x14ac:dyDescent="0.45">
      <c r="A1" s="1" t="s">
        <v>170</v>
      </c>
    </row>
    <row r="3" spans="1:3" x14ac:dyDescent="0.45">
      <c r="A3" s="1" t="s">
        <v>171</v>
      </c>
      <c r="C3" s="212">
        <f>85000+12750</f>
        <v>97750</v>
      </c>
    </row>
    <row r="5" spans="1:3" x14ac:dyDescent="0.45">
      <c r="A5" s="1" t="s">
        <v>172</v>
      </c>
      <c r="B5" s="211">
        <v>0.3</v>
      </c>
      <c r="C5" s="212">
        <f>C3*B5</f>
        <v>29325</v>
      </c>
    </row>
    <row r="6" spans="1:3" x14ac:dyDescent="0.45">
      <c r="A6" s="1" t="s">
        <v>173</v>
      </c>
      <c r="B6" s="211">
        <v>0.7</v>
      </c>
      <c r="C6" s="212">
        <f>C3*B6</f>
        <v>68425</v>
      </c>
    </row>
    <row r="8" spans="1:3" x14ac:dyDescent="0.45">
      <c r="A8" s="121" t="s">
        <v>297</v>
      </c>
    </row>
  </sheetData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423B5-3C4F-4A66-BDCE-8C5FC4A546FE}">
  <dimension ref="A1:G27"/>
  <sheetViews>
    <sheetView workbookViewId="0">
      <selection activeCell="D26" sqref="D26"/>
    </sheetView>
  </sheetViews>
  <sheetFormatPr defaultRowHeight="14.25" x14ac:dyDescent="0.45"/>
  <cols>
    <col min="1" max="1" width="18.71875" style="1" customWidth="1"/>
    <col min="2" max="2" width="9.88671875" style="5" bestFit="1" customWidth="1"/>
    <col min="3" max="3" width="8.88671875" style="1"/>
    <col min="4" max="4" width="9.0546875" style="1" bestFit="1" customWidth="1"/>
    <col min="5" max="16384" width="8.88671875" style="1"/>
  </cols>
  <sheetData>
    <row r="1" spans="1:7" x14ac:dyDescent="0.45">
      <c r="A1" s="1" t="s">
        <v>175</v>
      </c>
    </row>
    <row r="2" spans="1:7" x14ac:dyDescent="0.45">
      <c r="A2" s="1" t="s">
        <v>176</v>
      </c>
      <c r="C2" s="5">
        <v>529992</v>
      </c>
    </row>
    <row r="3" spans="1:7" x14ac:dyDescent="0.45">
      <c r="A3" s="1" t="s">
        <v>177</v>
      </c>
      <c r="C3" s="5">
        <v>427170</v>
      </c>
    </row>
    <row r="4" spans="1:7" x14ac:dyDescent="0.45">
      <c r="A4" s="1" t="s">
        <v>178</v>
      </c>
    </row>
    <row r="5" spans="1:7" x14ac:dyDescent="0.45">
      <c r="A5" s="1" t="s">
        <v>179</v>
      </c>
      <c r="B5" s="5">
        <v>0</v>
      </c>
    </row>
    <row r="6" spans="1:7" x14ac:dyDescent="0.45">
      <c r="A6" s="1" t="s">
        <v>180</v>
      </c>
      <c r="B6" s="5">
        <v>14397</v>
      </c>
    </row>
    <row r="7" spans="1:7" x14ac:dyDescent="0.45">
      <c r="A7" s="1" t="s">
        <v>181</v>
      </c>
      <c r="B7" s="5">
        <v>0</v>
      </c>
    </row>
    <row r="8" spans="1:7" x14ac:dyDescent="0.45">
      <c r="A8" s="1" t="s">
        <v>182</v>
      </c>
      <c r="B8" s="5">
        <v>0</v>
      </c>
    </row>
    <row r="9" spans="1:7" x14ac:dyDescent="0.45">
      <c r="C9" s="128">
        <f>B5+B6+B7+B8</f>
        <v>14397</v>
      </c>
    </row>
    <row r="10" spans="1:7" x14ac:dyDescent="0.45">
      <c r="A10" s="1" t="s">
        <v>183</v>
      </c>
      <c r="B10" s="5">
        <v>1678</v>
      </c>
    </row>
    <row r="11" spans="1:7" x14ac:dyDescent="0.45">
      <c r="A11" s="1" t="s">
        <v>184</v>
      </c>
      <c r="B11" s="5">
        <v>0</v>
      </c>
    </row>
    <row r="12" spans="1:7" x14ac:dyDescent="0.45">
      <c r="A12" s="1" t="s">
        <v>185</v>
      </c>
      <c r="B12" s="5">
        <v>7817</v>
      </c>
    </row>
    <row r="13" spans="1:7" x14ac:dyDescent="0.45">
      <c r="A13" s="1" t="s">
        <v>189</v>
      </c>
      <c r="B13" s="5">
        <v>78930</v>
      </c>
    </row>
    <row r="14" spans="1:7" x14ac:dyDescent="0.45">
      <c r="C14" s="128">
        <f>B10+B11+B12+B13</f>
        <v>88425</v>
      </c>
      <c r="D14" s="214">
        <f>C14/C2</f>
        <v>0.16684214101344927</v>
      </c>
      <c r="E14" s="1" t="s">
        <v>186</v>
      </c>
    </row>
    <row r="15" spans="1:7" x14ac:dyDescent="0.45">
      <c r="C15" s="128"/>
      <c r="D15" s="214">
        <v>0.15</v>
      </c>
      <c r="E15" s="1" t="s">
        <v>187</v>
      </c>
    </row>
    <row r="16" spans="1:7" x14ac:dyDescent="0.45">
      <c r="D16" s="220">
        <f>IF(D14&gt;D15,D14-D15,0)</f>
        <v>1.6842141013449274E-2</v>
      </c>
      <c r="E16" s="1" t="s">
        <v>188</v>
      </c>
      <c r="G16" s="18"/>
    </row>
    <row r="18" spans="1:4" x14ac:dyDescent="0.45">
      <c r="A18" s="1" t="s">
        <v>213</v>
      </c>
      <c r="D18" s="1" t="s">
        <v>38</v>
      </c>
    </row>
    <row r="19" spans="1:4" x14ac:dyDescent="0.45">
      <c r="A19" s="1" t="s">
        <v>5</v>
      </c>
      <c r="B19" s="276">
        <f>SAO!D28</f>
        <v>1262161</v>
      </c>
      <c r="D19" s="275">
        <f>D16*B19</f>
        <v>21257.493543676148</v>
      </c>
    </row>
    <row r="20" spans="1:4" x14ac:dyDescent="0.45">
      <c r="A20" s="1" t="s">
        <v>6</v>
      </c>
      <c r="B20" s="276">
        <f>SAO!D29+SAO!D30</f>
        <v>85713</v>
      </c>
      <c r="D20" s="275">
        <f>D16*B20</f>
        <v>1443.5904326857776</v>
      </c>
    </row>
    <row r="21" spans="1:4" x14ac:dyDescent="0.45">
      <c r="A21" s="1" t="s">
        <v>86</v>
      </c>
      <c r="B21" s="277">
        <f>SAO!D31</f>
        <v>0</v>
      </c>
      <c r="C21" s="278"/>
      <c r="D21" s="279">
        <f>D16*B21</f>
        <v>0</v>
      </c>
    </row>
    <row r="22" spans="1:4" x14ac:dyDescent="0.45">
      <c r="A22" s="1" t="s">
        <v>12</v>
      </c>
      <c r="B22" s="276">
        <f>SUM(B19:B21)</f>
        <v>1347874</v>
      </c>
      <c r="D22" s="275">
        <f>SUM(D19:D21)</f>
        <v>22701.083976361926</v>
      </c>
    </row>
    <row r="24" spans="1:4" x14ac:dyDescent="0.45">
      <c r="A24" s="1" t="s">
        <v>214</v>
      </c>
    </row>
    <row r="25" spans="1:4" x14ac:dyDescent="0.45">
      <c r="A25" s="1" t="s">
        <v>215</v>
      </c>
      <c r="D25" s="212">
        <f>D22</f>
        <v>22701.083976361926</v>
      </c>
    </row>
    <row r="26" spans="1:4" x14ac:dyDescent="0.45">
      <c r="A26" s="1" t="s">
        <v>216</v>
      </c>
      <c r="D26" s="150">
        <f>ExBA!D7</f>
        <v>64254</v>
      </c>
    </row>
    <row r="27" spans="1:4" x14ac:dyDescent="0.45">
      <c r="A27" s="1" t="s">
        <v>217</v>
      </c>
      <c r="D27" s="45">
        <f>IF(D26&gt;0,D25/D26,0)</f>
        <v>0.35330226875154741</v>
      </c>
    </row>
  </sheetData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E464D-89C4-490E-A650-D5A80840A015}">
  <sheetPr>
    <pageSetUpPr fitToPage="1"/>
  </sheetPr>
  <dimension ref="B1:GH35"/>
  <sheetViews>
    <sheetView showGridLines="0" workbookViewId="0">
      <selection activeCell="O15" sqref="O15"/>
    </sheetView>
  </sheetViews>
  <sheetFormatPr defaultColWidth="8.88671875" defaultRowHeight="14.25" x14ac:dyDescent="0.45"/>
  <cols>
    <col min="1" max="1" width="2.609375" style="15" customWidth="1"/>
    <col min="2" max="2" width="1.77734375" style="24" customWidth="1"/>
    <col min="3" max="3" width="4.609375" style="24" customWidth="1"/>
    <col min="4" max="4" width="7.609375" style="98" customWidth="1"/>
    <col min="5" max="5" width="10.609375" style="234" customWidth="1"/>
    <col min="6" max="6" width="10.609375" style="24" customWidth="1"/>
    <col min="7" max="7" width="12.609375" style="24" customWidth="1"/>
    <col min="8" max="8" width="10.609375" style="24" customWidth="1"/>
    <col min="9" max="9" width="12.609375" style="85" customWidth="1"/>
    <col min="10" max="10" width="10.609375" style="24" customWidth="1"/>
    <col min="11" max="11" width="6" style="229" customWidth="1"/>
    <col min="12" max="12" width="1.77734375" style="24" customWidth="1"/>
    <col min="13" max="190" width="9.6640625" style="24" customWidth="1"/>
    <col min="191" max="16384" width="8.88671875" style="15"/>
  </cols>
  <sheetData>
    <row r="1" spans="2:190" ht="14.65" thickBot="1" x14ac:dyDescent="0.5"/>
    <row r="2" spans="2:190" x14ac:dyDescent="0.45">
      <c r="B2" s="238"/>
      <c r="C2" s="239"/>
      <c r="D2" s="240"/>
      <c r="E2" s="254"/>
      <c r="F2" s="239"/>
      <c r="G2" s="239"/>
      <c r="H2" s="239"/>
      <c r="I2" s="241"/>
      <c r="J2" s="239"/>
      <c r="K2" s="242"/>
      <c r="L2" s="243"/>
    </row>
    <row r="3" spans="2:190" ht="18" hidden="1" x14ac:dyDescent="0.55000000000000004">
      <c r="B3" s="244"/>
      <c r="C3" s="323" t="s">
        <v>316</v>
      </c>
      <c r="D3" s="323"/>
      <c r="E3" s="323"/>
      <c r="F3" s="323"/>
      <c r="G3" s="323"/>
      <c r="H3" s="323"/>
      <c r="I3" s="323"/>
      <c r="J3" s="323"/>
      <c r="L3" s="245"/>
    </row>
    <row r="4" spans="2:190" ht="7.15" customHeight="1" x14ac:dyDescent="0.45">
      <c r="B4" s="244"/>
      <c r="L4" s="245"/>
    </row>
    <row r="5" spans="2:190" ht="18" x14ac:dyDescent="0.55000000000000004">
      <c r="B5" s="244"/>
      <c r="C5" s="318" t="s">
        <v>56</v>
      </c>
      <c r="D5" s="318"/>
      <c r="E5" s="318"/>
      <c r="F5" s="318"/>
      <c r="G5" s="318"/>
      <c r="H5" s="318"/>
      <c r="I5" s="318"/>
      <c r="J5" s="318"/>
      <c r="L5" s="245"/>
    </row>
    <row r="6" spans="2:190" ht="18" customHeight="1" x14ac:dyDescent="0.45">
      <c r="B6" s="244"/>
      <c r="C6" s="319" t="str">
        <f>SAO!A2</f>
        <v>NORTH SHELBY WATER COMPANY</v>
      </c>
      <c r="D6" s="319"/>
      <c r="E6" s="319"/>
      <c r="F6" s="319"/>
      <c r="G6" s="319"/>
      <c r="H6" s="319"/>
      <c r="I6" s="319"/>
      <c r="J6" s="319"/>
      <c r="L6" s="245"/>
    </row>
    <row r="7" spans="2:190" ht="6" customHeight="1" x14ac:dyDescent="0.45">
      <c r="B7" s="244"/>
      <c r="L7" s="245"/>
    </row>
    <row r="8" spans="2:190" ht="14.25" customHeight="1" x14ac:dyDescent="0.45">
      <c r="B8" s="244"/>
      <c r="C8" s="82" t="s">
        <v>196</v>
      </c>
      <c r="D8" s="233"/>
      <c r="E8" s="255"/>
      <c r="F8" s="322" t="s">
        <v>193</v>
      </c>
      <c r="G8" s="322"/>
      <c r="H8" s="322" t="s">
        <v>11</v>
      </c>
      <c r="I8" s="322"/>
      <c r="J8" s="322" t="s">
        <v>68</v>
      </c>
      <c r="K8" s="322"/>
      <c r="L8" s="246"/>
      <c r="GH8" s="15"/>
    </row>
    <row r="9" spans="2:190" ht="17.25" customHeight="1" x14ac:dyDescent="0.45">
      <c r="B9" s="244"/>
      <c r="C9" s="96" t="s">
        <v>199</v>
      </c>
      <c r="D9" s="4">
        <v>2000</v>
      </c>
      <c r="E9" s="97" t="s">
        <v>198</v>
      </c>
      <c r="F9" s="236">
        <v>22.88</v>
      </c>
      <c r="G9" s="47" t="s">
        <v>113</v>
      </c>
      <c r="H9" s="47">
        <f>F9</f>
        <v>22.88</v>
      </c>
      <c r="I9" s="85" t="s">
        <v>113</v>
      </c>
      <c r="J9" s="47">
        <f>H9-F9</f>
        <v>0</v>
      </c>
      <c r="K9" s="69">
        <f>J9/F9</f>
        <v>0</v>
      </c>
      <c r="L9" s="246"/>
      <c r="GH9" s="15"/>
    </row>
    <row r="10" spans="2:190" ht="14.25" customHeight="1" x14ac:dyDescent="0.45">
      <c r="B10" s="244"/>
      <c r="C10" s="96" t="s">
        <v>200</v>
      </c>
      <c r="D10" s="4">
        <v>3000</v>
      </c>
      <c r="E10" s="97" t="s">
        <v>198</v>
      </c>
      <c r="F10" s="237">
        <v>7.7400000000000004E-3</v>
      </c>
      <c r="G10" s="47" t="s">
        <v>197</v>
      </c>
      <c r="H10" s="232">
        <f>F10</f>
        <v>7.7400000000000004E-3</v>
      </c>
      <c r="I10" s="85" t="s">
        <v>197</v>
      </c>
      <c r="J10" s="232">
        <f>H10-F10</f>
        <v>0</v>
      </c>
      <c r="K10" s="69">
        <f t="shared" ref="K10:K13" si="0">J10/F10</f>
        <v>0</v>
      </c>
      <c r="L10" s="246"/>
      <c r="GH10" s="15"/>
    </row>
    <row r="11" spans="2:190" ht="14.25" customHeight="1" x14ac:dyDescent="0.45">
      <c r="B11" s="247"/>
      <c r="C11" s="96" t="s">
        <v>200</v>
      </c>
      <c r="D11" s="4">
        <v>5000</v>
      </c>
      <c r="E11" s="97" t="s">
        <v>198</v>
      </c>
      <c r="F11" s="237">
        <v>6.3600000000000002E-3</v>
      </c>
      <c r="G11" s="47" t="s">
        <v>197</v>
      </c>
      <c r="H11" s="232">
        <f t="shared" ref="H11:H13" si="1">F11</f>
        <v>6.3600000000000002E-3</v>
      </c>
      <c r="I11" s="85" t="s">
        <v>197</v>
      </c>
      <c r="J11" s="232">
        <f t="shared" ref="J11:J13" si="2">H11-F11</f>
        <v>0</v>
      </c>
      <c r="K11" s="69">
        <f t="shared" si="0"/>
        <v>0</v>
      </c>
      <c r="L11" s="246"/>
      <c r="GH11" s="15"/>
    </row>
    <row r="12" spans="2:190" ht="14.25" customHeight="1" x14ac:dyDescent="0.45">
      <c r="B12" s="247"/>
      <c r="C12" s="96" t="s">
        <v>200</v>
      </c>
      <c r="D12" s="4">
        <v>40000</v>
      </c>
      <c r="E12" s="97" t="s">
        <v>198</v>
      </c>
      <c r="F12" s="237">
        <v>5.6699999999999997E-3</v>
      </c>
      <c r="G12" s="47" t="s">
        <v>197</v>
      </c>
      <c r="H12" s="232">
        <f t="shared" si="1"/>
        <v>5.6699999999999997E-3</v>
      </c>
      <c r="I12" s="85" t="s">
        <v>197</v>
      </c>
      <c r="J12" s="232">
        <f t="shared" si="2"/>
        <v>0</v>
      </c>
      <c r="K12" s="69">
        <f t="shared" si="0"/>
        <v>0</v>
      </c>
      <c r="L12" s="246"/>
      <c r="GH12" s="15"/>
    </row>
    <row r="13" spans="2:190" ht="15" customHeight="1" x14ac:dyDescent="0.45">
      <c r="B13" s="244"/>
      <c r="C13" s="235" t="s">
        <v>201</v>
      </c>
      <c r="D13" s="101">
        <v>50000</v>
      </c>
      <c r="E13" s="234" t="s">
        <v>198</v>
      </c>
      <c r="F13" s="237">
        <v>4.9899999999999996E-3</v>
      </c>
      <c r="G13" s="47" t="s">
        <v>197</v>
      </c>
      <c r="H13" s="232">
        <f t="shared" si="1"/>
        <v>4.9899999999999996E-3</v>
      </c>
      <c r="I13" s="85" t="s">
        <v>197</v>
      </c>
      <c r="J13" s="232">
        <f t="shared" si="2"/>
        <v>0</v>
      </c>
      <c r="K13" s="69">
        <f t="shared" si="0"/>
        <v>0</v>
      </c>
      <c r="L13" s="246"/>
      <c r="GH13" s="15"/>
    </row>
    <row r="14" spans="2:190" ht="15" customHeight="1" x14ac:dyDescent="0.45">
      <c r="B14" s="244"/>
      <c r="C14" s="79"/>
      <c r="D14" s="101"/>
      <c r="F14" s="80"/>
      <c r="G14" s="79"/>
      <c r="H14" s="47"/>
      <c r="I14" s="86"/>
      <c r="J14" s="47"/>
      <c r="K14" s="69"/>
      <c r="L14" s="246"/>
      <c r="GH14" s="15"/>
    </row>
    <row r="15" spans="2:190" ht="14.25" customHeight="1" x14ac:dyDescent="0.45">
      <c r="B15" s="244"/>
      <c r="C15" s="82" t="s">
        <v>114</v>
      </c>
      <c r="D15" s="233"/>
      <c r="E15" s="255"/>
      <c r="F15" s="322" t="s">
        <v>193</v>
      </c>
      <c r="G15" s="322"/>
      <c r="H15" s="322" t="s">
        <v>11</v>
      </c>
      <c r="I15" s="322"/>
      <c r="J15" s="322" t="s">
        <v>68</v>
      </c>
      <c r="K15" s="322"/>
      <c r="L15" s="245"/>
      <c r="GH15" s="15"/>
    </row>
    <row r="16" spans="2:190" ht="14.25" customHeight="1" x14ac:dyDescent="0.45">
      <c r="B16" s="244"/>
      <c r="C16" s="96" t="s">
        <v>199</v>
      </c>
      <c r="D16" s="4">
        <v>5000</v>
      </c>
      <c r="E16" s="97" t="s">
        <v>198</v>
      </c>
      <c r="F16" s="236">
        <v>46.1</v>
      </c>
      <c r="G16" s="47" t="s">
        <v>113</v>
      </c>
      <c r="H16" s="47">
        <f t="shared" ref="H16:H19" si="3">F16</f>
        <v>46.1</v>
      </c>
      <c r="I16" s="85" t="s">
        <v>113</v>
      </c>
      <c r="J16" s="47">
        <f>H16-F16</f>
        <v>0</v>
      </c>
      <c r="K16" s="69">
        <f>J16/F16</f>
        <v>0</v>
      </c>
      <c r="L16" s="245"/>
      <c r="GH16" s="15"/>
    </row>
    <row r="17" spans="2:190" ht="14.25" customHeight="1" x14ac:dyDescent="0.45">
      <c r="B17" s="244"/>
      <c r="C17" s="96" t="s">
        <v>200</v>
      </c>
      <c r="D17" s="4">
        <v>5000</v>
      </c>
      <c r="E17" s="97" t="s">
        <v>198</v>
      </c>
      <c r="F17" s="237">
        <v>6.3600000000000002E-3</v>
      </c>
      <c r="G17" s="47" t="s">
        <v>197</v>
      </c>
      <c r="H17" s="232">
        <f t="shared" si="3"/>
        <v>6.3600000000000002E-3</v>
      </c>
      <c r="I17" s="85" t="s">
        <v>197</v>
      </c>
      <c r="J17" s="232">
        <f t="shared" ref="J17:J19" si="4">H17-F17</f>
        <v>0</v>
      </c>
      <c r="K17" s="69">
        <f t="shared" ref="K17:K19" si="5">J17/F17</f>
        <v>0</v>
      </c>
      <c r="L17" s="245"/>
      <c r="GH17" s="15"/>
    </row>
    <row r="18" spans="2:190" ht="14.25" customHeight="1" x14ac:dyDescent="0.45">
      <c r="B18" s="244"/>
      <c r="C18" s="96" t="s">
        <v>200</v>
      </c>
      <c r="D18" s="4">
        <v>40000</v>
      </c>
      <c r="E18" s="97" t="s">
        <v>198</v>
      </c>
      <c r="F18" s="237">
        <v>5.6699999999999997E-3</v>
      </c>
      <c r="G18" s="47" t="s">
        <v>197</v>
      </c>
      <c r="H18" s="232">
        <f t="shared" si="3"/>
        <v>5.6699999999999997E-3</v>
      </c>
      <c r="I18" s="85" t="s">
        <v>197</v>
      </c>
      <c r="J18" s="232">
        <f t="shared" si="4"/>
        <v>0</v>
      </c>
      <c r="K18" s="69">
        <f t="shared" si="5"/>
        <v>0</v>
      </c>
      <c r="L18" s="245"/>
      <c r="GH18" s="15"/>
    </row>
    <row r="19" spans="2:190" x14ac:dyDescent="0.45">
      <c r="B19" s="244"/>
      <c r="C19" s="235" t="s">
        <v>201</v>
      </c>
      <c r="D19" s="101">
        <v>50000</v>
      </c>
      <c r="E19" s="234" t="s">
        <v>198</v>
      </c>
      <c r="F19" s="237">
        <v>4.9899999999999996E-3</v>
      </c>
      <c r="G19" s="47" t="s">
        <v>197</v>
      </c>
      <c r="H19" s="232">
        <f t="shared" si="3"/>
        <v>4.9899999999999996E-3</v>
      </c>
      <c r="I19" s="85" t="s">
        <v>197</v>
      </c>
      <c r="J19" s="232">
        <f t="shared" si="4"/>
        <v>0</v>
      </c>
      <c r="K19" s="69">
        <f t="shared" si="5"/>
        <v>0</v>
      </c>
      <c r="L19" s="245"/>
    </row>
    <row r="20" spans="2:190" x14ac:dyDescent="0.45">
      <c r="B20" s="244"/>
      <c r="L20" s="245"/>
    </row>
    <row r="21" spans="2:190" x14ac:dyDescent="0.45">
      <c r="B21" s="244"/>
      <c r="C21" s="82" t="s">
        <v>115</v>
      </c>
      <c r="D21" s="233"/>
      <c r="E21" s="255"/>
      <c r="F21" s="322" t="s">
        <v>193</v>
      </c>
      <c r="G21" s="322"/>
      <c r="H21" s="322" t="s">
        <v>11</v>
      </c>
      <c r="I21" s="322"/>
      <c r="J21" s="322" t="s">
        <v>68</v>
      </c>
      <c r="K21" s="322"/>
      <c r="L21" s="245"/>
    </row>
    <row r="22" spans="2:190" x14ac:dyDescent="0.45">
      <c r="B22" s="244"/>
      <c r="C22" s="96" t="s">
        <v>199</v>
      </c>
      <c r="D22" s="4">
        <v>10000</v>
      </c>
      <c r="E22" s="97" t="s">
        <v>198</v>
      </c>
      <c r="F22" s="236">
        <v>77.900000000000006</v>
      </c>
      <c r="G22" s="47" t="s">
        <v>113</v>
      </c>
      <c r="H22" s="47">
        <f t="shared" ref="H22:H24" si="6">F22</f>
        <v>77.900000000000006</v>
      </c>
      <c r="I22" s="85" t="s">
        <v>113</v>
      </c>
      <c r="J22" s="47">
        <f>H22-F22</f>
        <v>0</v>
      </c>
      <c r="K22" s="69">
        <f>J22/F22</f>
        <v>0</v>
      </c>
      <c r="L22" s="245"/>
    </row>
    <row r="23" spans="2:190" x14ac:dyDescent="0.45">
      <c r="B23" s="244"/>
      <c r="C23" s="96" t="s">
        <v>200</v>
      </c>
      <c r="D23" s="4">
        <v>40000</v>
      </c>
      <c r="E23" s="97" t="s">
        <v>198</v>
      </c>
      <c r="F23" s="237">
        <v>5.6699999999999997E-3</v>
      </c>
      <c r="G23" s="47" t="s">
        <v>197</v>
      </c>
      <c r="H23" s="232">
        <f t="shared" si="6"/>
        <v>5.6699999999999997E-3</v>
      </c>
      <c r="I23" s="85" t="s">
        <v>197</v>
      </c>
      <c r="J23" s="232">
        <f t="shared" ref="J23:J24" si="7">H23-F23</f>
        <v>0</v>
      </c>
      <c r="K23" s="69">
        <f t="shared" ref="K23:K24" si="8">J23/F23</f>
        <v>0</v>
      </c>
      <c r="L23" s="245"/>
    </row>
    <row r="24" spans="2:190" x14ac:dyDescent="0.45">
      <c r="B24" s="244"/>
      <c r="C24" s="235" t="s">
        <v>201</v>
      </c>
      <c r="D24" s="101">
        <v>50000</v>
      </c>
      <c r="E24" s="234" t="s">
        <v>198</v>
      </c>
      <c r="F24" s="237">
        <v>4.9899999999999996E-3</v>
      </c>
      <c r="G24" s="47" t="s">
        <v>197</v>
      </c>
      <c r="H24" s="232">
        <f t="shared" si="6"/>
        <v>4.9899999999999996E-3</v>
      </c>
      <c r="I24" s="85" t="s">
        <v>197</v>
      </c>
      <c r="J24" s="232">
        <f t="shared" si="7"/>
        <v>0</v>
      </c>
      <c r="K24" s="69">
        <f t="shared" si="8"/>
        <v>0</v>
      </c>
      <c r="L24" s="245"/>
    </row>
    <row r="25" spans="2:190" x14ac:dyDescent="0.45">
      <c r="B25" s="244"/>
      <c r="L25" s="245"/>
    </row>
    <row r="26" spans="2:190" x14ac:dyDescent="0.45">
      <c r="B26" s="244"/>
      <c r="C26" s="82" t="s">
        <v>116</v>
      </c>
      <c r="D26" s="233"/>
      <c r="E26" s="255"/>
      <c r="F26" s="322" t="s">
        <v>193</v>
      </c>
      <c r="G26" s="322"/>
      <c r="H26" s="322" t="s">
        <v>11</v>
      </c>
      <c r="I26" s="322"/>
      <c r="J26" s="322" t="s">
        <v>68</v>
      </c>
      <c r="K26" s="322"/>
      <c r="L26" s="245"/>
    </row>
    <row r="27" spans="2:190" x14ac:dyDescent="0.45">
      <c r="B27" s="244"/>
      <c r="C27" s="96" t="s">
        <v>199</v>
      </c>
      <c r="D27" s="4">
        <v>15000</v>
      </c>
      <c r="E27" s="97" t="s">
        <v>198</v>
      </c>
      <c r="F27" s="236">
        <v>106.25</v>
      </c>
      <c r="G27" s="47" t="s">
        <v>113</v>
      </c>
      <c r="H27" s="47">
        <f t="shared" ref="H27:H29" si="9">F27</f>
        <v>106.25</v>
      </c>
      <c r="I27" s="85" t="s">
        <v>113</v>
      </c>
      <c r="J27" s="47">
        <f>H27-F27</f>
        <v>0</v>
      </c>
      <c r="K27" s="69">
        <f>J27/F27</f>
        <v>0</v>
      </c>
      <c r="L27" s="245"/>
    </row>
    <row r="28" spans="2:190" x14ac:dyDescent="0.45">
      <c r="B28" s="244"/>
      <c r="C28" s="96" t="s">
        <v>200</v>
      </c>
      <c r="D28" s="4">
        <v>35000</v>
      </c>
      <c r="E28" s="97" t="s">
        <v>198</v>
      </c>
      <c r="F28" s="237">
        <v>5.6699999999999997E-3</v>
      </c>
      <c r="G28" s="47" t="s">
        <v>197</v>
      </c>
      <c r="H28" s="232">
        <f t="shared" si="9"/>
        <v>5.6699999999999997E-3</v>
      </c>
      <c r="I28" s="85" t="s">
        <v>197</v>
      </c>
      <c r="J28" s="232">
        <f t="shared" ref="J28:J29" si="10">H28-F28</f>
        <v>0</v>
      </c>
      <c r="K28" s="69">
        <f t="shared" ref="K28:K29" si="11">J28/F28</f>
        <v>0</v>
      </c>
      <c r="L28" s="245"/>
    </row>
    <row r="29" spans="2:190" x14ac:dyDescent="0.45">
      <c r="B29" s="244"/>
      <c r="C29" s="235" t="s">
        <v>201</v>
      </c>
      <c r="D29" s="101">
        <v>50000</v>
      </c>
      <c r="E29" s="234" t="s">
        <v>198</v>
      </c>
      <c r="F29" s="237">
        <v>4.9899999999999996E-3</v>
      </c>
      <c r="G29" s="47" t="s">
        <v>197</v>
      </c>
      <c r="H29" s="232">
        <f t="shared" si="9"/>
        <v>4.9899999999999996E-3</v>
      </c>
      <c r="I29" s="85" t="s">
        <v>197</v>
      </c>
      <c r="J29" s="232">
        <f t="shared" si="10"/>
        <v>0</v>
      </c>
      <c r="K29" s="69">
        <f t="shared" si="11"/>
        <v>0</v>
      </c>
      <c r="L29" s="245"/>
    </row>
    <row r="30" spans="2:190" x14ac:dyDescent="0.45">
      <c r="B30" s="244"/>
      <c r="L30" s="245"/>
    </row>
    <row r="31" spans="2:190" x14ac:dyDescent="0.45">
      <c r="B31" s="244"/>
      <c r="C31" s="82" t="s">
        <v>202</v>
      </c>
      <c r="D31" s="233"/>
      <c r="E31" s="255"/>
      <c r="F31" s="322" t="s">
        <v>193</v>
      </c>
      <c r="G31" s="322"/>
      <c r="H31" s="322" t="s">
        <v>11</v>
      </c>
      <c r="I31" s="322"/>
      <c r="J31" s="322" t="s">
        <v>68</v>
      </c>
      <c r="K31" s="322"/>
      <c r="L31" s="245"/>
    </row>
    <row r="32" spans="2:190" x14ac:dyDescent="0.45">
      <c r="B32" s="244"/>
      <c r="C32" s="96" t="s">
        <v>199</v>
      </c>
      <c r="D32" s="4">
        <v>35000</v>
      </c>
      <c r="E32" s="97" t="s">
        <v>198</v>
      </c>
      <c r="F32" s="236">
        <v>219.65</v>
      </c>
      <c r="G32" s="47" t="s">
        <v>113</v>
      </c>
      <c r="H32" s="47">
        <f t="shared" ref="H32:H34" si="12">F32</f>
        <v>219.65</v>
      </c>
      <c r="I32" s="85" t="s">
        <v>113</v>
      </c>
      <c r="J32" s="47">
        <f>H32-F32</f>
        <v>0</v>
      </c>
      <c r="K32" s="69">
        <f>J32/F32</f>
        <v>0</v>
      </c>
      <c r="L32" s="245"/>
    </row>
    <row r="33" spans="2:12" x14ac:dyDescent="0.45">
      <c r="B33" s="244"/>
      <c r="C33" s="96" t="s">
        <v>200</v>
      </c>
      <c r="D33" s="4">
        <v>15000</v>
      </c>
      <c r="E33" s="97" t="s">
        <v>198</v>
      </c>
      <c r="F33" s="237">
        <v>5.6699999999999997E-3</v>
      </c>
      <c r="G33" s="47" t="s">
        <v>197</v>
      </c>
      <c r="H33" s="232">
        <f t="shared" si="12"/>
        <v>5.6699999999999997E-3</v>
      </c>
      <c r="I33" s="85" t="s">
        <v>197</v>
      </c>
      <c r="J33" s="232">
        <f t="shared" ref="J33:J34" si="13">H33-F33</f>
        <v>0</v>
      </c>
      <c r="K33" s="69">
        <f t="shared" ref="K33:K34" si="14">J33/F33</f>
        <v>0</v>
      </c>
      <c r="L33" s="245"/>
    </row>
    <row r="34" spans="2:12" x14ac:dyDescent="0.45">
      <c r="B34" s="244"/>
      <c r="C34" s="235" t="s">
        <v>201</v>
      </c>
      <c r="D34" s="101">
        <v>50000</v>
      </c>
      <c r="E34" s="234" t="s">
        <v>198</v>
      </c>
      <c r="F34" s="237">
        <v>4.9899999999999996E-3</v>
      </c>
      <c r="G34" s="47" t="s">
        <v>197</v>
      </c>
      <c r="H34" s="232">
        <f t="shared" si="12"/>
        <v>4.9899999999999996E-3</v>
      </c>
      <c r="I34" s="85" t="s">
        <v>197</v>
      </c>
      <c r="J34" s="232">
        <f t="shared" si="13"/>
        <v>0</v>
      </c>
      <c r="K34" s="69">
        <f t="shared" si="14"/>
        <v>0</v>
      </c>
      <c r="L34" s="245"/>
    </row>
    <row r="35" spans="2:12" ht="14.65" thickBot="1" x14ac:dyDescent="0.5">
      <c r="B35" s="248"/>
      <c r="C35" s="249"/>
      <c r="D35" s="250"/>
      <c r="E35" s="256"/>
      <c r="F35" s="249"/>
      <c r="G35" s="249"/>
      <c r="H35" s="249"/>
      <c r="I35" s="251"/>
      <c r="J35" s="249"/>
      <c r="K35" s="252"/>
      <c r="L35" s="253"/>
    </row>
  </sheetData>
  <mergeCells count="18">
    <mergeCell ref="C3:J3"/>
    <mergeCell ref="C5:J5"/>
    <mergeCell ref="C6:J6"/>
    <mergeCell ref="F8:G8"/>
    <mergeCell ref="H8:I8"/>
    <mergeCell ref="J8:K8"/>
    <mergeCell ref="F15:G15"/>
    <mergeCell ref="H15:I15"/>
    <mergeCell ref="J15:K15"/>
    <mergeCell ref="F21:G21"/>
    <mergeCell ref="H21:I21"/>
    <mergeCell ref="J21:K21"/>
    <mergeCell ref="F26:G26"/>
    <mergeCell ref="H26:I26"/>
    <mergeCell ref="J26:K26"/>
    <mergeCell ref="F31:G31"/>
    <mergeCell ref="H31:I31"/>
    <mergeCell ref="J31:K31"/>
  </mergeCells>
  <printOptions horizontalCentered="1" verticalCentered="1"/>
  <pageMargins left="0.5" right="0.5" top="0.75" bottom="0.75" header="0" footer="0"/>
  <pageSetup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SAO</vt:lpstr>
      <vt:lpstr>Revenue Requirements</vt:lpstr>
      <vt:lpstr>Wages</vt:lpstr>
      <vt:lpstr>Medical</vt:lpstr>
      <vt:lpstr>Depreciation</vt:lpstr>
      <vt:lpstr>Debt Service</vt:lpstr>
      <vt:lpstr>Capital</vt:lpstr>
      <vt:lpstr>Water Loss</vt:lpstr>
      <vt:lpstr>Rates No Increase</vt:lpstr>
      <vt:lpstr>Rates DSCM</vt:lpstr>
      <vt:lpstr>Rates ORM</vt:lpstr>
      <vt:lpstr>Bills DSCM</vt:lpstr>
      <vt:lpstr>Bills ORM</vt:lpstr>
      <vt:lpstr>ExBA</vt:lpstr>
      <vt:lpstr>PrBA</vt:lpstr>
      <vt:lpstr>'Bills DSCM'!Print_Area</vt:lpstr>
      <vt:lpstr>'Bills ORM'!Print_Area</vt:lpstr>
      <vt:lpstr>'Debt Service'!Print_Area</vt:lpstr>
      <vt:lpstr>ExBA!Print_Area</vt:lpstr>
      <vt:lpstr>PrBA!Print_Area</vt:lpstr>
      <vt:lpstr>'Rates DSCM'!Print_Area</vt:lpstr>
      <vt:lpstr>'Rates No Increase'!Print_Area</vt:lpstr>
      <vt:lpstr>'Rates ORM'!Print_Area</vt:lpstr>
      <vt:lpstr>'Revenue Requirements'!Print_Area</vt:lpstr>
      <vt:lpstr>SAO!Print_Area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Robert Miller</cp:lastModifiedBy>
  <cp:lastPrinted>2022-09-05T23:47:46Z</cp:lastPrinted>
  <dcterms:created xsi:type="dcterms:W3CDTF">2016-05-18T14:12:06Z</dcterms:created>
  <dcterms:modified xsi:type="dcterms:W3CDTF">2022-11-21T16:56:47Z</dcterms:modified>
</cp:coreProperties>
</file>