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W:\DOC\WRJ\East Casey County WD\PSC\"/>
    </mc:Choice>
  </mc:AlternateContent>
  <xr:revisionPtr revIDLastSave="0" documentId="8_{8938717A-EA00-47FE-A8C2-3CEFCFD8FB6F}" xr6:coauthVersionLast="47" xr6:coauthVersionMax="47" xr10:uidLastSave="{00000000-0000-0000-0000-000000000000}"/>
  <bookViews>
    <workbookView xWindow="14292" yWindow="-108" windowWidth="14616" windowHeight="22656" tabRatio="636" firstSheet="7" activeTab="7" xr2:uid="{00000000-000D-0000-FFFF-FFFF00000000}"/>
  </bookViews>
  <sheets>
    <sheet name="2019 Operating Budget" sheetId="18" r:id="rId1"/>
    <sheet name="Exist. Debt Service" sheetId="20" r:id="rId2"/>
    <sheet name="Project Revenue Requirements" sheetId="16" r:id="rId3"/>
    <sheet name="Percent Rate Increase" sheetId="15" r:id="rId4"/>
    <sheet name="Rates With Proposed Increase" sheetId="21" r:id="rId5"/>
    <sheet name="Cash Flow Analysis" sheetId="23" r:id="rId6"/>
    <sheet name="Short Lived Assets" sheetId="24" r:id="rId7"/>
    <sheet name="Billing Analysis" sheetId="25" r:id="rId8"/>
  </sheets>
  <definedNames>
    <definedName name="_xlnm.Print_Area" localSheetId="0">'2019 Operating Budget'!$A$1:$G$52</definedName>
    <definedName name="_xlnm.Print_Area" localSheetId="5">'Cash Flow Analysis'!$A$1:$O$41</definedName>
    <definedName name="_xlnm.Print_Area" localSheetId="1">'Exist. Debt Service'!$A$1:$J$14</definedName>
    <definedName name="_xlnm.Print_Area" localSheetId="3">'Percent Rate Increase'!$A$1:$G$42</definedName>
    <definedName name="_xlnm.Print_Area" localSheetId="2">'Project Revenue Requirements'!$A$1:$G$29</definedName>
    <definedName name="_xlnm.Print_Area" localSheetId="4">'Rates With Proposed Increase'!$A$1:$E$13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24" l="1"/>
  <c r="I7" i="20"/>
  <c r="O19" i="20"/>
  <c r="N19" i="20"/>
  <c r="M19" i="25"/>
  <c r="M20" i="25"/>
  <c r="M21" i="25"/>
  <c r="M22" i="25"/>
  <c r="M23" i="25"/>
  <c r="M18" i="25"/>
  <c r="W19" i="25"/>
  <c r="W20" i="25"/>
  <c r="W21" i="25"/>
  <c r="W22" i="25"/>
  <c r="W23" i="25"/>
  <c r="W18" i="25"/>
  <c r="AA22" i="25"/>
  <c r="Q21" i="25"/>
  <c r="AA18" i="25"/>
  <c r="D26" i="25"/>
  <c r="C26" i="25"/>
  <c r="D40" i="25"/>
  <c r="H40" i="25"/>
  <c r="E20" i="25"/>
  <c r="J19" i="25"/>
  <c r="I19" i="25"/>
  <c r="H19" i="25"/>
  <c r="G19" i="25"/>
  <c r="F19" i="25"/>
  <c r="E19" i="25"/>
  <c r="E7" i="16"/>
  <c r="E13" i="16"/>
  <c r="E6" i="16"/>
  <c r="F30" i="15"/>
  <c r="V53" i="23"/>
  <c r="V51" i="23"/>
  <c r="V44" i="23"/>
  <c r="V50" i="23"/>
  <c r="F23" i="18"/>
  <c r="F12" i="15"/>
  <c r="N12" i="15"/>
  <c r="F8" i="18"/>
  <c r="G21" i="18"/>
  <c r="H50" i="25"/>
  <c r="K6" i="23"/>
  <c r="L6" i="23"/>
  <c r="F44" i="18"/>
  <c r="F45" i="18"/>
  <c r="B44" i="18"/>
  <c r="B45" i="18"/>
  <c r="J67" i="23"/>
  <c r="H67" i="23"/>
  <c r="F67" i="23"/>
  <c r="D67" i="23"/>
  <c r="D21" i="23"/>
  <c r="I65" i="23"/>
  <c r="G65" i="23"/>
  <c r="E65" i="23"/>
  <c r="L65" i="23"/>
  <c r="I64" i="23"/>
  <c r="G64" i="23"/>
  <c r="E64" i="23"/>
  <c r="L64" i="23"/>
  <c r="L8" i="23"/>
  <c r="M8" i="23"/>
  <c r="L7" i="23"/>
  <c r="M7" i="23"/>
  <c r="N30" i="15"/>
  <c r="K8" i="23"/>
  <c r="K7" i="23"/>
  <c r="L14" i="23"/>
  <c r="L26" i="23"/>
  <c r="M14" i="23"/>
  <c r="M26" i="23"/>
  <c r="K14" i="23"/>
  <c r="K26" i="23"/>
  <c r="J23" i="15"/>
  <c r="J18" i="15"/>
  <c r="J13" i="15"/>
  <c r="J8" i="15"/>
  <c r="F43" i="18"/>
  <c r="F42" i="18"/>
  <c r="G46" i="18"/>
  <c r="F38" i="18"/>
  <c r="F39" i="18"/>
  <c r="F37" i="18"/>
  <c r="J54" i="25"/>
  <c r="F9" i="18"/>
  <c r="F10" i="18"/>
  <c r="F11" i="18"/>
  <c r="F12" i="18"/>
  <c r="F13" i="18"/>
  <c r="F14" i="18"/>
  <c r="F15" i="18"/>
  <c r="F16" i="18"/>
  <c r="F17" i="18"/>
  <c r="F18" i="18"/>
  <c r="F19" i="18"/>
  <c r="F20" i="18"/>
  <c r="J45" i="23"/>
  <c r="J46" i="23"/>
  <c r="I46" i="23"/>
  <c r="J47" i="23"/>
  <c r="J48" i="23"/>
  <c r="J49" i="23"/>
  <c r="J50" i="23"/>
  <c r="J51" i="23"/>
  <c r="J52" i="23"/>
  <c r="J53" i="23"/>
  <c r="J54" i="23"/>
  <c r="I54" i="23"/>
  <c r="J55" i="23"/>
  <c r="J56" i="23"/>
  <c r="J44" i="23"/>
  <c r="J21" i="23"/>
  <c r="J23" i="23"/>
  <c r="I63" i="23"/>
  <c r="I62" i="23"/>
  <c r="I61" i="23"/>
  <c r="J35" i="23"/>
  <c r="I32" i="23"/>
  <c r="I31" i="23"/>
  <c r="J26" i="23"/>
  <c r="I14" i="23"/>
  <c r="J10" i="23"/>
  <c r="I8" i="23"/>
  <c r="I7" i="23"/>
  <c r="I6" i="23"/>
  <c r="I42" i="18"/>
  <c r="I37" i="18"/>
  <c r="I9" i="18"/>
  <c r="I10" i="18"/>
  <c r="G63" i="23"/>
  <c r="G62" i="23"/>
  <c r="G61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I56" i="23"/>
  <c r="H44" i="23"/>
  <c r="H35" i="23"/>
  <c r="G32" i="23"/>
  <c r="G31" i="23"/>
  <c r="H26" i="23"/>
  <c r="G14" i="23"/>
  <c r="H10" i="23"/>
  <c r="G8" i="23"/>
  <c r="G7" i="23"/>
  <c r="G6" i="23"/>
  <c r="K35" i="23"/>
  <c r="D14" i="25"/>
  <c r="E41" i="15"/>
  <c r="G2" i="21"/>
  <c r="A1" i="21"/>
  <c r="G1" i="21"/>
  <c r="G6" i="21"/>
  <c r="H9" i="21"/>
  <c r="H10" i="21"/>
  <c r="H11" i="21"/>
  <c r="H12" i="21"/>
  <c r="H13" i="21"/>
  <c r="H8" i="21"/>
  <c r="G9" i="21"/>
  <c r="G10" i="21"/>
  <c r="G11" i="21"/>
  <c r="G12" i="21"/>
  <c r="G13" i="21"/>
  <c r="G8" i="21"/>
  <c r="F17" i="15"/>
  <c r="A2" i="23"/>
  <c r="M12" i="25"/>
  <c r="W12" i="25"/>
  <c r="B31" i="25"/>
  <c r="B41" i="25"/>
  <c r="B32" i="25"/>
  <c r="B42" i="25"/>
  <c r="B33" i="25"/>
  <c r="B43" i="25"/>
  <c r="B34" i="25"/>
  <c r="B44" i="25"/>
  <c r="B35" i="25"/>
  <c r="B45" i="25"/>
  <c r="B30" i="25"/>
  <c r="B40" i="25"/>
  <c r="I7" i="25"/>
  <c r="I13" i="25"/>
  <c r="H7" i="25"/>
  <c r="H13" i="25"/>
  <c r="J7" i="25"/>
  <c r="M41" i="15"/>
  <c r="A1" i="15"/>
  <c r="I1" i="15"/>
  <c r="A1" i="16"/>
  <c r="I1" i="16"/>
  <c r="I12" i="20"/>
  <c r="I14" i="20"/>
  <c r="A1" i="20"/>
  <c r="B43" i="18"/>
  <c r="B42" i="18"/>
  <c r="B38" i="18"/>
  <c r="B39" i="18"/>
  <c r="B37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8" i="18"/>
  <c r="F10" i="23"/>
  <c r="D10" i="23"/>
  <c r="E10" i="23"/>
  <c r="F45" i="23"/>
  <c r="F46" i="23"/>
  <c r="G46" i="23"/>
  <c r="F47" i="23"/>
  <c r="F58" i="23"/>
  <c r="G58" i="23"/>
  <c r="F48" i="23"/>
  <c r="E48" i="23"/>
  <c r="F49" i="23"/>
  <c r="F50" i="23"/>
  <c r="F51" i="23"/>
  <c r="F52" i="23"/>
  <c r="G52" i="23"/>
  <c r="F53" i="23"/>
  <c r="F54" i="23"/>
  <c r="E54" i="23"/>
  <c r="F55" i="23"/>
  <c r="G55" i="23"/>
  <c r="F56" i="23"/>
  <c r="G56" i="23"/>
  <c r="F44" i="23"/>
  <c r="D45" i="23"/>
  <c r="D46" i="23"/>
  <c r="D47" i="23"/>
  <c r="D48" i="23"/>
  <c r="D49" i="23"/>
  <c r="E49" i="23"/>
  <c r="L49" i="23"/>
  <c r="T49" i="23"/>
  <c r="U49" i="23"/>
  <c r="V49" i="23"/>
  <c r="D50" i="23"/>
  <c r="D51" i="23"/>
  <c r="E51" i="23"/>
  <c r="L51" i="23"/>
  <c r="T51" i="23"/>
  <c r="U51" i="23"/>
  <c r="D52" i="23"/>
  <c r="D53" i="23"/>
  <c r="D54" i="23"/>
  <c r="D55" i="23"/>
  <c r="D56" i="23"/>
  <c r="D44" i="23"/>
  <c r="D58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44" i="23"/>
  <c r="E6" i="23"/>
  <c r="E7" i="23"/>
  <c r="N23" i="15"/>
  <c r="N22" i="15"/>
  <c r="O24" i="15"/>
  <c r="E8" i="25"/>
  <c r="M13" i="25"/>
  <c r="W13" i="25"/>
  <c r="M11" i="25"/>
  <c r="W11" i="25"/>
  <c r="M10" i="25"/>
  <c r="W10" i="25"/>
  <c r="M9" i="25"/>
  <c r="W9" i="25"/>
  <c r="C14" i="25"/>
  <c r="D30" i="25"/>
  <c r="Y8" i="25"/>
  <c r="M8" i="25"/>
  <c r="W8" i="25"/>
  <c r="G7" i="25"/>
  <c r="G12" i="25"/>
  <c r="F7" i="25"/>
  <c r="F10" i="25"/>
  <c r="E7" i="25"/>
  <c r="E13" i="25"/>
  <c r="M35" i="23"/>
  <c r="M8" i="16"/>
  <c r="E62" i="23"/>
  <c r="L62" i="23"/>
  <c r="E63" i="23"/>
  <c r="L63" i="23"/>
  <c r="E61" i="23"/>
  <c r="L61" i="23"/>
  <c r="P57" i="23"/>
  <c r="D13" i="23"/>
  <c r="D35" i="23"/>
  <c r="F26" i="23"/>
  <c r="G26" i="23"/>
  <c r="D26" i="23"/>
  <c r="E14" i="23"/>
  <c r="E8" i="23"/>
  <c r="E15" i="24"/>
  <c r="E17" i="24"/>
  <c r="E4" i="24"/>
  <c r="E14" i="24"/>
  <c r="E11" i="24"/>
  <c r="E10" i="24"/>
  <c r="E9" i="24"/>
  <c r="E8" i="24"/>
  <c r="E5" i="24"/>
  <c r="E3" i="24"/>
  <c r="M16" i="16"/>
  <c r="O18" i="16"/>
  <c r="M13" i="16"/>
  <c r="M30" i="16"/>
  <c r="N30" i="16"/>
  <c r="F22" i="15"/>
  <c r="G24" i="15"/>
  <c r="H12" i="20"/>
  <c r="E12" i="20"/>
  <c r="F12" i="20"/>
  <c r="E16" i="16"/>
  <c r="G30" i="18"/>
  <c r="F35" i="23"/>
  <c r="G35" i="23"/>
  <c r="E32" i="23"/>
  <c r="Q57" i="23"/>
  <c r="F13" i="23"/>
  <c r="E31" i="23"/>
  <c r="L35" i="23"/>
  <c r="R57" i="23"/>
  <c r="H13" i="23"/>
  <c r="S57" i="23"/>
  <c r="J13" i="23"/>
  <c r="J16" i="23"/>
  <c r="J18" i="23"/>
  <c r="J28" i="23"/>
  <c r="I39" i="18"/>
  <c r="I11" i="18"/>
  <c r="I12" i="18"/>
  <c r="I13" i="18"/>
  <c r="I14" i="18"/>
  <c r="I15" i="18"/>
  <c r="I16" i="18"/>
  <c r="I17" i="18"/>
  <c r="I18" i="18"/>
  <c r="I19" i="18"/>
  <c r="I20" i="18"/>
  <c r="I38" i="18"/>
  <c r="I43" i="18"/>
  <c r="E47" i="23"/>
  <c r="I52" i="23"/>
  <c r="I35" i="23"/>
  <c r="I50" i="23"/>
  <c r="G49" i="23"/>
  <c r="I67" i="23"/>
  <c r="I10" i="23"/>
  <c r="E53" i="23"/>
  <c r="L53" i="23"/>
  <c r="T53" i="23"/>
  <c r="U53" i="23"/>
  <c r="E45" i="23"/>
  <c r="L45" i="23"/>
  <c r="T45" i="23"/>
  <c r="U45" i="23"/>
  <c r="V45" i="23"/>
  <c r="E55" i="23"/>
  <c r="G24" i="18"/>
  <c r="G45" i="23"/>
  <c r="I55" i="23"/>
  <c r="I47" i="23"/>
  <c r="E35" i="23"/>
  <c r="E52" i="23"/>
  <c r="I53" i="23"/>
  <c r="I45" i="23"/>
  <c r="G53" i="23"/>
  <c r="E67" i="23"/>
  <c r="L67" i="23"/>
  <c r="G50" i="23"/>
  <c r="G51" i="23"/>
  <c r="G27" i="18"/>
  <c r="I26" i="23"/>
  <c r="I44" i="23"/>
  <c r="I49" i="23"/>
  <c r="E46" i="23"/>
  <c r="I51" i="23"/>
  <c r="G44" i="23"/>
  <c r="F21" i="23"/>
  <c r="G21" i="23"/>
  <c r="H21" i="23"/>
  <c r="H23" i="23"/>
  <c r="I23" i="23"/>
  <c r="G67" i="23"/>
  <c r="H58" i="23"/>
  <c r="G10" i="23"/>
  <c r="E26" i="23"/>
  <c r="D23" i="23"/>
  <c r="E23" i="23"/>
  <c r="N17" i="15"/>
  <c r="E50" i="23"/>
  <c r="L50" i="23"/>
  <c r="T50" i="23"/>
  <c r="U50" i="23"/>
  <c r="I48" i="23"/>
  <c r="L21" i="23"/>
  <c r="L23" i="23"/>
  <c r="E21" i="23"/>
  <c r="K21" i="23"/>
  <c r="K23" i="23"/>
  <c r="M21" i="23"/>
  <c r="M23" i="23"/>
  <c r="F23" i="23"/>
  <c r="K10" i="23"/>
  <c r="G32" i="18"/>
  <c r="F7" i="15"/>
  <c r="N7" i="15"/>
  <c r="J37" i="23"/>
  <c r="J39" i="23"/>
  <c r="L46" i="23"/>
  <c r="T46" i="23"/>
  <c r="U46" i="23"/>
  <c r="V46" i="23"/>
  <c r="G13" i="23"/>
  <c r="F16" i="23"/>
  <c r="E58" i="23"/>
  <c r="L58" i="23"/>
  <c r="L55" i="23"/>
  <c r="T55" i="23"/>
  <c r="U55" i="23"/>
  <c r="V55" i="23"/>
  <c r="H16" i="23"/>
  <c r="I13" i="23"/>
  <c r="N13" i="15"/>
  <c r="O14" i="15"/>
  <c r="L52" i="23"/>
  <c r="T52" i="23"/>
  <c r="U52" i="23"/>
  <c r="V52" i="23"/>
  <c r="G23" i="23"/>
  <c r="E13" i="23"/>
  <c r="D16" i="23"/>
  <c r="E16" i="23"/>
  <c r="L10" i="23"/>
  <c r="M6" i="23"/>
  <c r="M10" i="23"/>
  <c r="J58" i="23"/>
  <c r="I58" i="23"/>
  <c r="E44" i="23"/>
  <c r="L44" i="23"/>
  <c r="T44" i="23"/>
  <c r="E56" i="23"/>
  <c r="L56" i="23"/>
  <c r="T56" i="23"/>
  <c r="U56" i="23"/>
  <c r="V56" i="23"/>
  <c r="G54" i="23"/>
  <c r="L54" i="23"/>
  <c r="T54" i="23"/>
  <c r="U54" i="23"/>
  <c r="V54" i="23"/>
  <c r="G47" i="23"/>
  <c r="L47" i="23"/>
  <c r="T47" i="23"/>
  <c r="U47" i="23"/>
  <c r="V47" i="23"/>
  <c r="I21" i="23"/>
  <c r="G40" i="18"/>
  <c r="G48" i="18"/>
  <c r="G48" i="23"/>
  <c r="L48" i="23"/>
  <c r="T48" i="23"/>
  <c r="U48" i="23"/>
  <c r="V48" i="23"/>
  <c r="D18" i="23"/>
  <c r="G51" i="18"/>
  <c r="D28" i="23"/>
  <c r="E18" i="23"/>
  <c r="T57" i="23"/>
  <c r="K13" i="23"/>
  <c r="K16" i="23"/>
  <c r="K18" i="23"/>
  <c r="K28" i="23"/>
  <c r="U44" i="23"/>
  <c r="H18" i="23"/>
  <c r="I16" i="23"/>
  <c r="G16" i="23"/>
  <c r="F18" i="23"/>
  <c r="I18" i="23"/>
  <c r="H28" i="23"/>
  <c r="D37" i="23"/>
  <c r="E28" i="23"/>
  <c r="D39" i="23"/>
  <c r="U57" i="23"/>
  <c r="L13" i="23"/>
  <c r="L16" i="23"/>
  <c r="L18" i="23"/>
  <c r="L28" i="23"/>
  <c r="V57" i="23"/>
  <c r="M13" i="23"/>
  <c r="K39" i="23"/>
  <c r="K37" i="23"/>
  <c r="F28" i="23"/>
  <c r="G18" i="23"/>
  <c r="M16" i="23"/>
  <c r="M18" i="23"/>
  <c r="M28" i="23"/>
  <c r="F8" i="15"/>
  <c r="L37" i="23"/>
  <c r="L39" i="23"/>
  <c r="G28" i="23"/>
  <c r="F37" i="23"/>
  <c r="F39" i="23"/>
  <c r="I28" i="23"/>
  <c r="H39" i="23"/>
  <c r="H37" i="23"/>
  <c r="N8" i="15"/>
  <c r="O9" i="15"/>
  <c r="G9" i="15"/>
  <c r="M37" i="23"/>
  <c r="M39" i="23"/>
  <c r="O22" i="16"/>
  <c r="N18" i="15"/>
  <c r="O19" i="15"/>
  <c r="O26" i="15"/>
  <c r="O33" i="15"/>
  <c r="N37" i="15"/>
  <c r="G18" i="16"/>
  <c r="E30" i="16"/>
  <c r="E8" i="16"/>
  <c r="V4" i="25"/>
  <c r="AA8" i="25"/>
  <c r="K4" i="21"/>
  <c r="O25" i="16"/>
  <c r="F13" i="15"/>
  <c r="G14" i="15"/>
  <c r="G26" i="15"/>
  <c r="G33" i="15"/>
  <c r="F37" i="15"/>
  <c r="F30" i="16"/>
  <c r="G22" i="16"/>
  <c r="F18" i="15"/>
  <c r="G19" i="15"/>
  <c r="J13" i="21"/>
  <c r="J11" i="21"/>
  <c r="J10" i="21"/>
  <c r="J9" i="21"/>
  <c r="J8" i="21"/>
  <c r="M42" i="15"/>
  <c r="J12" i="21"/>
  <c r="E4" i="21"/>
  <c r="L4" i="25"/>
  <c r="Q13" i="25"/>
  <c r="G25" i="16"/>
  <c r="D9" i="21"/>
  <c r="D10" i="21"/>
  <c r="D11" i="21"/>
  <c r="D12" i="21"/>
  <c r="D8" i="21"/>
  <c r="D13" i="21"/>
  <c r="E42" i="15"/>
  <c r="Q20" i="25"/>
  <c r="AA21" i="25"/>
  <c r="Q19" i="25"/>
  <c r="AA20" i="25"/>
  <c r="Q23" i="25"/>
  <c r="O18" i="25"/>
  <c r="Q18" i="25"/>
  <c r="AA19" i="25"/>
  <c r="Q22" i="25"/>
  <c r="AA23" i="25"/>
  <c r="Y18" i="25"/>
  <c r="AC18" i="25"/>
  <c r="E25" i="25"/>
  <c r="E21" i="25"/>
  <c r="F21" i="25"/>
  <c r="F24" i="25"/>
  <c r="F22" i="25"/>
  <c r="G24" i="25"/>
  <c r="E23" i="25"/>
  <c r="F25" i="25"/>
  <c r="F23" i="25"/>
  <c r="G25" i="25"/>
  <c r="G23" i="25"/>
  <c r="H25" i="25"/>
  <c r="E24" i="25"/>
  <c r="I25" i="25"/>
  <c r="E22" i="25"/>
  <c r="H24" i="25"/>
  <c r="F11" i="25"/>
  <c r="G11" i="25"/>
  <c r="E12" i="25"/>
  <c r="F13" i="25"/>
  <c r="E10" i="25"/>
  <c r="G10" i="25"/>
  <c r="E9" i="25"/>
  <c r="F9" i="25"/>
  <c r="G13" i="25"/>
  <c r="F12" i="25"/>
  <c r="AC8" i="25"/>
  <c r="AA12" i="25"/>
  <c r="Q10" i="25"/>
  <c r="AA13" i="25"/>
  <c r="AA10" i="25"/>
  <c r="H12" i="25"/>
  <c r="Q11" i="25"/>
  <c r="Q9" i="25"/>
  <c r="AA9" i="25"/>
  <c r="O8" i="25"/>
  <c r="E11" i="25"/>
  <c r="H30" i="25"/>
  <c r="Q8" i="25"/>
  <c r="Q12" i="25"/>
  <c r="AA11" i="25"/>
  <c r="S18" i="25"/>
  <c r="I24" i="25"/>
  <c r="I26" i="25"/>
  <c r="E44" i="25"/>
  <c r="H23" i="25"/>
  <c r="H26" i="25"/>
  <c r="E43" i="25"/>
  <c r="J25" i="25"/>
  <c r="E26" i="25"/>
  <c r="G22" i="25"/>
  <c r="F26" i="25"/>
  <c r="E41" i="25"/>
  <c r="H11" i="25"/>
  <c r="H14" i="25"/>
  <c r="E33" i="25"/>
  <c r="Z11" i="25"/>
  <c r="AC11" i="25"/>
  <c r="G14" i="25"/>
  <c r="E32" i="25"/>
  <c r="H32" i="25"/>
  <c r="F14" i="25"/>
  <c r="E31" i="25"/>
  <c r="Z9" i="25"/>
  <c r="AC9" i="25"/>
  <c r="J13" i="25"/>
  <c r="J14" i="25"/>
  <c r="E35" i="25"/>
  <c r="Z13" i="25"/>
  <c r="AC13" i="25"/>
  <c r="I12" i="25"/>
  <c r="I14" i="25"/>
  <c r="E34" i="25"/>
  <c r="E14" i="25"/>
  <c r="S8" i="25"/>
  <c r="H41" i="25"/>
  <c r="Z19" i="25"/>
  <c r="AC19" i="25"/>
  <c r="P19" i="25"/>
  <c r="S19" i="25"/>
  <c r="H43" i="25"/>
  <c r="P21" i="25"/>
  <c r="S21" i="25"/>
  <c r="Z21" i="25"/>
  <c r="AC21" i="25"/>
  <c r="H44" i="25"/>
  <c r="Z22" i="25"/>
  <c r="AC22" i="25"/>
  <c r="P22" i="25"/>
  <c r="S22" i="25"/>
  <c r="H34" i="25"/>
  <c r="P12" i="25"/>
  <c r="S12" i="25"/>
  <c r="Z12" i="25"/>
  <c r="AC12" i="25"/>
  <c r="J26" i="25"/>
  <c r="E45" i="25"/>
  <c r="G26" i="25"/>
  <c r="E42" i="25"/>
  <c r="Z10" i="25"/>
  <c r="AC10" i="25"/>
  <c r="P10" i="25"/>
  <c r="S10" i="25"/>
  <c r="H31" i="25"/>
  <c r="P9" i="25"/>
  <c r="S9" i="25"/>
  <c r="P11" i="25"/>
  <c r="S11" i="25"/>
  <c r="P13" i="25"/>
  <c r="S13" i="25"/>
  <c r="H35" i="25"/>
  <c r="H33" i="25"/>
  <c r="H45" i="25"/>
  <c r="Z23" i="25"/>
  <c r="AC23" i="25"/>
  <c r="P23" i="25"/>
  <c r="S23" i="25"/>
  <c r="Z20" i="25"/>
  <c r="AC20" i="25"/>
  <c r="P20" i="25"/>
  <c r="S20" i="25"/>
  <c r="T24" i="25"/>
  <c r="AD24" i="25"/>
  <c r="AD14" i="25"/>
  <c r="AD26" i="25"/>
  <c r="H42" i="25"/>
  <c r="J46" i="25"/>
  <c r="T14" i="25"/>
  <c r="J36" i="25"/>
  <c r="T26" i="25"/>
  <c r="J53" i="25"/>
  <c r="T27" i="25"/>
  <c r="AD27" i="25"/>
  <c r="AC29" i="25"/>
  <c r="J55" i="25"/>
  <c r="S29" i="25"/>
  <c r="E12" i="24"/>
  <c r="E18" i="24"/>
  <c r="E20" i="24"/>
  <c r="E6" i="24"/>
</calcChain>
</file>

<file path=xl/sharedStrings.xml><?xml version="1.0" encoding="utf-8"?>
<sst xmlns="http://schemas.openxmlformats.org/spreadsheetml/2006/main" count="495" uniqueCount="216">
  <si>
    <t>EAST CASEY COUNTY WATER DISTRICT</t>
  </si>
  <si>
    <t>Existing Operating Budget</t>
  </si>
  <si>
    <t>For Year Ending 2019</t>
  </si>
  <si>
    <t>REVENUE REQUIREMENTS</t>
  </si>
  <si>
    <t>Operation &amp; Maintenance Expenses</t>
  </si>
  <si>
    <t>pg. 4 of Independent Auditors' Report and Financial Statements ending 12/31/19</t>
  </si>
  <si>
    <t>Debt Service</t>
  </si>
  <si>
    <t>Annual Principal &amp; Interest</t>
  </si>
  <si>
    <t>pg. 5 of Independent Auditors' Report and Financial Statements ending 12/31/19</t>
  </si>
  <si>
    <t>Debt Service Coverage, Reserve, &amp; Service Fees</t>
  </si>
  <si>
    <t>RD</t>
  </si>
  <si>
    <t>Other</t>
  </si>
  <si>
    <t>Short-Term Assets</t>
  </si>
  <si>
    <t>TOTAL REVENUE REQUIREMENTS</t>
  </si>
  <si>
    <t>UTILITY INCOME</t>
  </si>
  <si>
    <t xml:space="preserve">Operating Revenues </t>
  </si>
  <si>
    <t>Non-Operating Revenues (Expenses)</t>
  </si>
  <si>
    <t>TOTAL UTILITY INCOME</t>
  </si>
  <si>
    <t xml:space="preserve">                     PERCENT RATE INCREASE</t>
  </si>
  <si>
    <t xml:space="preserve">Revenue Required from Water Sales </t>
  </si>
  <si>
    <t>=</t>
  </si>
  <si>
    <t>Current Water Sales Income</t>
  </si>
  <si>
    <t>Debt Service Summary</t>
  </si>
  <si>
    <t>Loan Number</t>
  </si>
  <si>
    <t>Issuer of Note</t>
  </si>
  <si>
    <t>Project Name</t>
  </si>
  <si>
    <t>Date of Issue</t>
  </si>
  <si>
    <t>Original Loan / Bond Amount</t>
  </si>
  <si>
    <t>Principal Balance Remaining</t>
  </si>
  <si>
    <t>Interest Rate</t>
  </si>
  <si>
    <t>2019 Principal Payment</t>
  </si>
  <si>
    <t>2019 Interest Payment</t>
  </si>
  <si>
    <t>Date of Maturity</t>
  </si>
  <si>
    <t>KY Bond Corp</t>
  </si>
  <si>
    <t>KIA</t>
  </si>
  <si>
    <t>KY Bond Premium</t>
  </si>
  <si>
    <t>---</t>
  </si>
  <si>
    <t>TOTAL</t>
  </si>
  <si>
    <t>TOTAL EXISTING ANNUAL PRINCIPAL &amp; INTEREST ………………………………………………………………………………………………………………</t>
  </si>
  <si>
    <t>Revenue Requirements For</t>
  </si>
  <si>
    <t>Proposed Project w/ RUS Grant</t>
  </si>
  <si>
    <t>Proposed Project w/o RUS Grant</t>
  </si>
  <si>
    <t>PROPOSED PROJECT FUNDING</t>
  </si>
  <si>
    <t>USDA Rural Development Grant (30%)</t>
  </si>
  <si>
    <t>Rural Development Grant (0%)</t>
  </si>
  <si>
    <t>USDA Rural Development Loan (70%)</t>
  </si>
  <si>
    <t>Rural Development Loan (100%)</t>
  </si>
  <si>
    <t>REVENUE REQUIREMENT FOR PROPOSED PROJECT</t>
  </si>
  <si>
    <t>RD Loan Amount</t>
  </si>
  <si>
    <t>RD Loan Amount w/ Grant</t>
  </si>
  <si>
    <t>Term of Loan, Years</t>
  </si>
  <si>
    <t>Capital Recovery Factor</t>
  </si>
  <si>
    <t>RD Annual Principal &amp; Interest</t>
  </si>
  <si>
    <t>Rural Development Coverage at 10%</t>
  </si>
  <si>
    <t>FOR PROPOSED PROJECT LOAN REPAYMENT…………………………………………….</t>
  </si>
  <si>
    <t>First Year</t>
  </si>
  <si>
    <t>Interest</t>
  </si>
  <si>
    <t>Principal</t>
  </si>
  <si>
    <t>General Revenue Requirements</t>
  </si>
  <si>
    <t>&amp; Percent Rate Increase Without  RD Grant</t>
  </si>
  <si>
    <t>&amp; Percent Rate Increase Without RD Grant</t>
  </si>
  <si>
    <t>Existing</t>
  </si>
  <si>
    <t>Proposed Increase (Beginning 2022)</t>
  </si>
  <si>
    <t>Debt Service (Principal &amp; Interest)</t>
  </si>
  <si>
    <t>Short Lived Asset Coverage</t>
  </si>
  <si>
    <t>PROJECTED REVENUE REQUIREMENTS</t>
  </si>
  <si>
    <t>Less Current Income from Miscellaneous</t>
  </si>
  <si>
    <t>Services and Non-Operating Sources</t>
  </si>
  <si>
    <t>REVISED REVENUE REQUIREMENT FROM SALES</t>
  </si>
  <si>
    <t>Monthly Water Rates for 5/8" x 3/4" Meter</t>
  </si>
  <si>
    <t>Current Cost for 4,000 gallons</t>
  </si>
  <si>
    <t>Proposed Cost for 4,000 gallons</t>
  </si>
  <si>
    <t>2020 Water System Improvements</t>
  </si>
  <si>
    <t>Proposed Percent Rate Increase…………………………………………………………………</t>
  </si>
  <si>
    <t>All Meters</t>
  </si>
  <si>
    <t>Water Use</t>
  </si>
  <si>
    <t>Existing Rate</t>
  </si>
  <si>
    <t>Proposed Rate</t>
  </si>
  <si>
    <t>First               2,000</t>
  </si>
  <si>
    <t>Min. Bill</t>
  </si>
  <si>
    <t>Next               3,000</t>
  </si>
  <si>
    <t>/1,000 gal.</t>
  </si>
  <si>
    <t>Next               5,000</t>
  </si>
  <si>
    <t>All Over         20,000</t>
  </si>
  <si>
    <t>EXHIBIT 1</t>
  </si>
  <si>
    <t xml:space="preserve">CASH FLOW ANALYSIS (YEAR END) </t>
  </si>
  <si>
    <t>Operating Revenues</t>
  </si>
  <si>
    <t>Audited 2016</t>
  </si>
  <si>
    <t>% Change</t>
  </si>
  <si>
    <t>Audited 2017</t>
  </si>
  <si>
    <t>Audited 2018</t>
  </si>
  <si>
    <t>Audited 2019</t>
  </si>
  <si>
    <t>Projected 2020</t>
  </si>
  <si>
    <t>Projected 2021</t>
  </si>
  <si>
    <t>Projected 2022</t>
  </si>
  <si>
    <t>Water Sales</t>
  </si>
  <si>
    <t>Late Charges</t>
  </si>
  <si>
    <t>Other Revenue</t>
  </si>
  <si>
    <t>Total Revenues</t>
  </si>
  <si>
    <t>Operating Expenses</t>
  </si>
  <si>
    <t>See O&amp;M Expenses Projections below</t>
  </si>
  <si>
    <t>Depreciation</t>
  </si>
  <si>
    <t>Average Depreciation from 2016 - 2019</t>
  </si>
  <si>
    <t>Total Expenses</t>
  </si>
  <si>
    <t>Net Operating Income</t>
  </si>
  <si>
    <t>Non-Operating Revenues</t>
  </si>
  <si>
    <t>Average non-operating revenue from 2016 - 2019</t>
  </si>
  <si>
    <t>Total Non-Operating Revenue</t>
  </si>
  <si>
    <t>Add Non-Cash Expenses</t>
  </si>
  <si>
    <t>See Depreciation Line Item Note Above</t>
  </si>
  <si>
    <t>Cash Available for Debt Service</t>
  </si>
  <si>
    <r>
      <t xml:space="preserve">Debt Service </t>
    </r>
    <r>
      <rPr>
        <sz val="8"/>
        <rFont val="Arial"/>
        <family val="2"/>
      </rPr>
      <t>(enter as positive #'s)</t>
    </r>
  </si>
  <si>
    <t>Existing Principal</t>
  </si>
  <si>
    <t>Existing Interest</t>
  </si>
  <si>
    <t>Proposed Principal, Interest, &amp; Fees</t>
  </si>
  <si>
    <t>Total Debt Service</t>
  </si>
  <si>
    <t>Income After Debt Service</t>
  </si>
  <si>
    <t>Debt Coverage Ratio</t>
  </si>
  <si>
    <t>O &amp; M Expenses</t>
  </si>
  <si>
    <t>Detailed Operating Expenses</t>
  </si>
  <si>
    <t xml:space="preserve">Average % Increase/
Decrease </t>
  </si>
  <si>
    <t>Category</t>
  </si>
  <si>
    <t>Existing (2016)</t>
  </si>
  <si>
    <t>Existing (2017)</t>
  </si>
  <si>
    <t>Existing (2018)</t>
  </si>
  <si>
    <t>Existing (2019)</t>
  </si>
  <si>
    <t>Projected (2020)</t>
  </si>
  <si>
    <t>Projected (2021)</t>
  </si>
  <si>
    <t>Projected (2022)</t>
  </si>
  <si>
    <t>Water Purchases</t>
  </si>
  <si>
    <t>Salaries</t>
  </si>
  <si>
    <t>Employee Benefits</t>
  </si>
  <si>
    <t>Taxes</t>
  </si>
  <si>
    <t>Office Expense &amp; Postage</t>
  </si>
  <si>
    <t>Insurance</t>
  </si>
  <si>
    <t>Transportation Expense</t>
  </si>
  <si>
    <t>Line Upkeep</t>
  </si>
  <si>
    <t>Contract Labor</t>
  </si>
  <si>
    <t>Utilities &amp; Telephone</t>
  </si>
  <si>
    <t>Legal &amp; Professional</t>
  </si>
  <si>
    <t>Miscellaneous</t>
  </si>
  <si>
    <t>Regulatory Commission Expenses</t>
  </si>
  <si>
    <t>Detailed Non-Operating Revenues</t>
  </si>
  <si>
    <t>Interest Income</t>
  </si>
  <si>
    <t>Gain on Sale of Fixed Asset</t>
  </si>
  <si>
    <t>Bond Issue Costs</t>
  </si>
  <si>
    <t>Tap Fees</t>
  </si>
  <si>
    <t>Existing Replacement Reserves - Short Lived Assets</t>
  </si>
  <si>
    <t>Type of Reserve</t>
  </si>
  <si>
    <t>User Description</t>
  </si>
  <si>
    <t>Replacement Cost</t>
  </si>
  <si>
    <t>Reserve on Hand</t>
  </si>
  <si>
    <t>Annual Reserve</t>
  </si>
  <si>
    <t>0-5 Years</t>
  </si>
  <si>
    <t>Computer System &amp; Equipment</t>
  </si>
  <si>
    <t>Lawn Mower</t>
  </si>
  <si>
    <t>Pumps, Drilling Machine, Maintenance Equipment</t>
  </si>
  <si>
    <t>Subtotal for 0-5 Years</t>
  </si>
  <si>
    <t>5-10 Years</t>
  </si>
  <si>
    <t>8 Utility Trucks</t>
  </si>
  <si>
    <t>Telephone System</t>
  </si>
  <si>
    <t>Office Furniture</t>
  </si>
  <si>
    <t>Pump</t>
  </si>
  <si>
    <t>Subtotal for 5-10 Years</t>
  </si>
  <si>
    <t>10-15 Years</t>
  </si>
  <si>
    <t>Tank Repaint</t>
  </si>
  <si>
    <t>Metal Building</t>
  </si>
  <si>
    <t>Paving</t>
  </si>
  <si>
    <t>HVAC Unit</t>
  </si>
  <si>
    <t>Subtotal for 10-15 Years</t>
  </si>
  <si>
    <t>Total - Existing Short Lived Assets</t>
  </si>
  <si>
    <t>CONFIRMATION OF BILLING ANALYSIS</t>
  </si>
  <si>
    <t>BILLING ANALYSIS USING PROPOSED RATES WITH RD GRANT</t>
  </si>
  <si>
    <t>BILLING ANALYSIS USING PROPOSED RATES WITHOUT RD GRANT</t>
  </si>
  <si>
    <t>USING CURRENT RATES AND WATER USE FOR 2019</t>
  </si>
  <si>
    <t>AND WATER USE FOR 2022</t>
  </si>
  <si>
    <t>RESIDENTIAL WATER RATES</t>
  </si>
  <si>
    <t>Rate Increase Applied Throughout The Rate Structure</t>
  </si>
  <si>
    <t>Water</t>
  </si>
  <si>
    <t>Sold</t>
  </si>
  <si>
    <t>Number</t>
  </si>
  <si>
    <t xml:space="preserve">First  </t>
  </si>
  <si>
    <t xml:space="preserve">Next  </t>
  </si>
  <si>
    <t>Next</t>
  </si>
  <si>
    <t xml:space="preserve">Over  </t>
  </si>
  <si>
    <t>RESIDENTIAL METERS - Proposed Rate and Projected Revenue</t>
  </si>
  <si>
    <t>(Gal.)</t>
  </si>
  <si>
    <t>Bills</t>
  </si>
  <si>
    <t>(1,000's)</t>
  </si>
  <si>
    <t>No. Bills</t>
  </si>
  <si>
    <t>Gallons</t>
  </si>
  <si>
    <t>Billing Rates</t>
  </si>
  <si>
    <t>Revenue</t>
  </si>
  <si>
    <t>First</t>
  </si>
  <si>
    <t xml:space="preserve"> gallons</t>
  </si>
  <si>
    <t>-----</t>
  </si>
  <si>
    <t>/ 1,000 gal</t>
  </si>
  <si>
    <t>Over</t>
  </si>
  <si>
    <t>TOTALS</t>
  </si>
  <si>
    <t>ANNUAL REVENUE</t>
  </si>
  <si>
    <t>COMMERCIAL WATER RATES</t>
  </si>
  <si>
    <t>COMMERCIAL METERS - Proposed Rate and Projected Revenue</t>
  </si>
  <si>
    <t>PROJECTED REVENUE FROM WATER SALES ……………………………………………….</t>
  </si>
  <si>
    <t>Less Revenue From Current Rates ………………………………………………………..</t>
  </si>
  <si>
    <t>RESIDENTIAL REVENUE TABLE</t>
  </si>
  <si>
    <t>Additional Revenue Generated Through Rate Increase …………………………………………..</t>
  </si>
  <si>
    <t>COMMERCIAL REVENUE TABLE</t>
  </si>
  <si>
    <t>WHOLESALE WATER CUSTOMERS</t>
  </si>
  <si>
    <t>Water Purchaser</t>
  </si>
  <si>
    <t>Gallons Sold
(1,000's)</t>
  </si>
  <si>
    <t>Billing Rate</t>
  </si>
  <si>
    <t>City of Russell Springs</t>
  </si>
  <si>
    <t>ESTIMATED ANNUAL REVENUE FROM WATER SALES (2019)</t>
  </si>
  <si>
    <t>Annual Revenue from Water Sales Reported in PSC Report</t>
  </si>
  <si>
    <t xml:space="preserve">Percent Error </t>
  </si>
  <si>
    <t>pg.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</si>
</sst>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#,##0.0"/>
    <numFmt numFmtId="169" formatCode="0.0%"/>
    <numFmt numFmtId="170" formatCode="#,##0.0_);\(#,##0.0\)"/>
    <numFmt numFmtId="171" formatCode="#,##0.0000"/>
    <numFmt numFmtId="172" formatCode="0.0"/>
    <numFmt numFmtId="173" formatCode="0.000%"/>
  </numFmts>
  <fonts count="14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40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166" fontId="4" fillId="0" borderId="0" xfId="0" applyNumberFormat="1" applyFont="1"/>
    <xf numFmtId="5" fontId="6" fillId="0" borderId="0" xfId="0" applyNumberFormat="1" applyFont="1"/>
    <xf numFmtId="5" fontId="4" fillId="0" borderId="0" xfId="0" applyNumberFormat="1" applyFont="1"/>
    <xf numFmtId="37" fontId="4" fillId="0" borderId="0" xfId="0" applyNumberFormat="1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5" fontId="7" fillId="0" borderId="0" xfId="0" applyNumberFormat="1" applyFont="1" applyAlignment="1">
      <alignment horizontal="right"/>
    </xf>
    <xf numFmtId="5" fontId="8" fillId="0" borderId="0" xfId="0" applyNumberFormat="1" applyFont="1" applyAlignment="1">
      <alignment horizontal="right"/>
    </xf>
    <xf numFmtId="166" fontId="7" fillId="0" borderId="0" xfId="0" applyNumberFormat="1" applyFont="1"/>
    <xf numFmtId="3" fontId="7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horizontal="right"/>
    </xf>
    <xf numFmtId="171" fontId="7" fillId="0" borderId="0" xfId="0" applyNumberFormat="1" applyFont="1"/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6" fontId="8" fillId="0" borderId="0" xfId="0" applyNumberFormat="1" applyFont="1" applyAlignment="1">
      <alignment horizontal="right"/>
    </xf>
    <xf numFmtId="166" fontId="8" fillId="0" borderId="0" xfId="0" applyNumberFormat="1" applyFont="1"/>
    <xf numFmtId="5" fontId="7" fillId="0" borderId="0" xfId="0" applyNumberFormat="1" applyFont="1"/>
    <xf numFmtId="0" fontId="5" fillId="0" borderId="0" xfId="0" applyFont="1" applyAlignment="1">
      <alignment horizontal="center"/>
    </xf>
    <xf numFmtId="172" fontId="7" fillId="0" borderId="0" xfId="0" quotePrefix="1" applyNumberFormat="1" applyFont="1"/>
    <xf numFmtId="172" fontId="7" fillId="0" borderId="0" xfId="0" applyNumberFormat="1" applyFont="1" applyAlignment="1">
      <alignment horizontal="left"/>
    </xf>
    <xf numFmtId="172" fontId="7" fillId="0" borderId="0" xfId="0" applyNumberFormat="1" applyFont="1"/>
    <xf numFmtId="172" fontId="7" fillId="0" borderId="0" xfId="0" quotePrefix="1" applyNumberFormat="1" applyFont="1" applyAlignment="1">
      <alignment horizontal="left"/>
    </xf>
    <xf numFmtId="172" fontId="8" fillId="0" borderId="0" xfId="0" applyNumberFormat="1" applyFont="1" applyAlignment="1">
      <alignment horizontal="left"/>
    </xf>
    <xf numFmtId="5" fontId="6" fillId="0" borderId="0" xfId="0" applyNumberFormat="1" applyFont="1" applyAlignment="1">
      <alignment horizontal="right"/>
    </xf>
    <xf numFmtId="5" fontId="8" fillId="0" borderId="2" xfId="0" applyNumberFormat="1" applyFont="1" applyBorder="1" applyAlignment="1">
      <alignment horizontal="right"/>
    </xf>
    <xf numFmtId="167" fontId="7" fillId="0" borderId="0" xfId="0" applyNumberFormat="1" applyFont="1"/>
    <xf numFmtId="3" fontId="7" fillId="0" borderId="0" xfId="0" applyNumberFormat="1" applyFont="1"/>
    <xf numFmtId="167" fontId="5" fillId="0" borderId="0" xfId="0" applyNumberFormat="1" applyFont="1"/>
    <xf numFmtId="0" fontId="3" fillId="0" borderId="0" xfId="0" applyFont="1"/>
    <xf numFmtId="0" fontId="10" fillId="0" borderId="0" xfId="0" applyFont="1"/>
    <xf numFmtId="0" fontId="10" fillId="0" borderId="3" xfId="0" applyFont="1" applyBorder="1"/>
    <xf numFmtId="0" fontId="10" fillId="0" borderId="0" xfId="0" applyFont="1" applyAlignment="1">
      <alignment horizontal="center" vertical="center"/>
    </xf>
    <xf numFmtId="0" fontId="10" fillId="0" borderId="4" xfId="0" applyFont="1" applyBorder="1"/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0" fillId="0" borderId="5" xfId="0" applyFont="1" applyBorder="1"/>
    <xf numFmtId="8" fontId="10" fillId="0" borderId="6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43" fontId="10" fillId="0" borderId="7" xfId="1" applyFont="1" applyBorder="1" applyAlignment="1">
      <alignment horizontal="left" vertical="center"/>
    </xf>
    <xf numFmtId="8" fontId="10" fillId="0" borderId="8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10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/>
    </xf>
    <xf numFmtId="166" fontId="7" fillId="0" borderId="11" xfId="0" applyNumberFormat="1" applyFont="1" applyBorder="1"/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2" applyNumberFormat="1" applyFont="1" applyBorder="1" applyAlignment="1">
      <alignment horizontal="center"/>
    </xf>
    <xf numFmtId="173" fontId="4" fillId="0" borderId="10" xfId="5" applyNumberFormat="1" applyFont="1" applyBorder="1" applyAlignment="1" applyProtection="1">
      <alignment horizontal="right"/>
    </xf>
    <xf numFmtId="166" fontId="7" fillId="0" borderId="10" xfId="0" applyNumberFormat="1" applyFont="1" applyBorder="1" applyAlignment="1">
      <alignment horizontal="right"/>
    </xf>
    <xf numFmtId="166" fontId="0" fillId="0" borderId="0" xfId="0" applyNumberForma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8" fontId="10" fillId="0" borderId="0" xfId="0" applyNumberFormat="1" applyFont="1" applyAlignment="1">
      <alignment horizontal="right" vertical="center"/>
    </xf>
    <xf numFmtId="44" fontId="10" fillId="0" borderId="0" xfId="2" applyFont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164" fontId="5" fillId="0" borderId="0" xfId="1" applyNumberFormat="1" applyFont="1"/>
    <xf numFmtId="0" fontId="5" fillId="0" borderId="12" xfId="0" applyFont="1" applyBorder="1"/>
    <xf numFmtId="164" fontId="5" fillId="0" borderId="0" xfId="0" applyNumberFormat="1" applyFont="1"/>
    <xf numFmtId="164" fontId="5" fillId="0" borderId="13" xfId="1" applyNumberFormat="1" applyFont="1" applyBorder="1"/>
    <xf numFmtId="0" fontId="5" fillId="0" borderId="14" xfId="0" applyFont="1" applyBorder="1"/>
    <xf numFmtId="0" fontId="5" fillId="0" borderId="13" xfId="0" applyFont="1" applyBorder="1"/>
    <xf numFmtId="164" fontId="5" fillId="0" borderId="12" xfId="0" applyNumberFormat="1" applyFont="1" applyBorder="1"/>
    <xf numFmtId="172" fontId="5" fillId="0" borderId="0" xfId="0" applyNumberFormat="1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69" fontId="5" fillId="0" borderId="0" xfId="5" applyNumberFormat="1" applyFont="1"/>
    <xf numFmtId="164" fontId="5" fillId="0" borderId="0" xfId="1" applyNumberFormat="1" applyFont="1" applyFill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164" fontId="11" fillId="0" borderId="0" xfId="0" applyNumberFormat="1" applyFont="1"/>
    <xf numFmtId="164" fontId="11" fillId="0" borderId="13" xfId="0" applyNumberFormat="1" applyFont="1" applyBorder="1"/>
    <xf numFmtId="43" fontId="0" fillId="0" borderId="0" xfId="1" applyFont="1"/>
    <xf numFmtId="0" fontId="11" fillId="0" borderId="0" xfId="0" applyFont="1" applyAlignment="1">
      <alignment horizontal="center"/>
    </xf>
    <xf numFmtId="166" fontId="5" fillId="0" borderId="10" xfId="0" applyNumberFormat="1" applyFont="1" applyBorder="1"/>
    <xf numFmtId="0" fontId="11" fillId="0" borderId="10" xfId="0" applyFont="1" applyBorder="1" applyAlignment="1">
      <alignment horizontal="center"/>
    </xf>
    <xf numFmtId="166" fontId="11" fillId="0" borderId="10" xfId="0" applyNumberFormat="1" applyFont="1" applyBorder="1"/>
    <xf numFmtId="0" fontId="5" fillId="0" borderId="10" xfId="0" applyFont="1" applyBorder="1"/>
    <xf numFmtId="8" fontId="5" fillId="0" borderId="0" xfId="0" applyNumberFormat="1" applyFont="1"/>
    <xf numFmtId="165" fontId="5" fillId="0" borderId="0" xfId="2" applyNumberFormat="1" applyFont="1"/>
    <xf numFmtId="0" fontId="11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5" fillId="0" borderId="0" xfId="0" applyNumberFormat="1" applyFont="1"/>
    <xf numFmtId="0" fontId="11" fillId="0" borderId="0" xfId="0" applyFont="1" applyAlignment="1">
      <alignment horizontal="right"/>
    </xf>
    <xf numFmtId="166" fontId="13" fillId="0" borderId="0" xfId="0" applyNumberFormat="1" applyFont="1" applyAlignment="1">
      <alignment horizontal="right"/>
    </xf>
    <xf numFmtId="44" fontId="7" fillId="0" borderId="0" xfId="0" applyNumberFormat="1" applyFont="1" applyAlignment="1">
      <alignment horizontal="right"/>
    </xf>
    <xf numFmtId="44" fontId="7" fillId="0" borderId="0" xfId="0" applyNumberFormat="1" applyFont="1"/>
    <xf numFmtId="44" fontId="7" fillId="0" borderId="11" xfId="0" applyNumberFormat="1" applyFont="1" applyBorder="1"/>
    <xf numFmtId="44" fontId="4" fillId="0" borderId="0" xfId="0" applyNumberFormat="1" applyFont="1"/>
    <xf numFmtId="44" fontId="6" fillId="0" borderId="2" xfId="0" applyNumberFormat="1" applyFont="1" applyBorder="1"/>
    <xf numFmtId="44" fontId="6" fillId="0" borderId="0" xfId="0" applyNumberFormat="1" applyFont="1"/>
    <xf numFmtId="44" fontId="5" fillId="0" borderId="0" xfId="0" applyNumberFormat="1" applyFont="1"/>
    <xf numFmtId="44" fontId="7" fillId="0" borderId="0" xfId="0" applyNumberFormat="1" applyFont="1" applyAlignment="1">
      <alignment horizontal="left"/>
    </xf>
    <xf numFmtId="44" fontId="7" fillId="0" borderId="12" xfId="0" applyNumberFormat="1" applyFont="1" applyBorder="1"/>
    <xf numFmtId="44" fontId="6" fillId="0" borderId="0" xfId="0" applyNumberFormat="1" applyFont="1" applyAlignment="1">
      <alignment horizontal="right"/>
    </xf>
    <xf numFmtId="7" fontId="7" fillId="0" borderId="0" xfId="0" applyNumberFormat="1" applyFont="1"/>
    <xf numFmtId="7" fontId="7" fillId="0" borderId="0" xfId="0" applyNumberFormat="1" applyFont="1" applyAlignment="1">
      <alignment horizontal="right"/>
    </xf>
    <xf numFmtId="7" fontId="6" fillId="0" borderId="0" xfId="0" applyNumberFormat="1" applyFont="1"/>
    <xf numFmtId="164" fontId="5" fillId="0" borderId="0" xfId="1" applyNumberFormat="1" applyFont="1" applyBorder="1"/>
    <xf numFmtId="14" fontId="4" fillId="0" borderId="10" xfId="2" applyNumberFormat="1" applyFont="1" applyBorder="1" applyAlignment="1">
      <alignment horizontal="center" vertical="center"/>
    </xf>
    <xf numFmtId="167" fontId="7" fillId="0" borderId="0" xfId="0" applyNumberFormat="1" applyFont="1" applyAlignment="1">
      <alignment horizontal="right"/>
    </xf>
    <xf numFmtId="167" fontId="6" fillId="0" borderId="0" xfId="0" applyNumberFormat="1" applyFont="1"/>
    <xf numFmtId="0" fontId="10" fillId="0" borderId="7" xfId="0" applyFont="1" applyBorder="1" applyAlignment="1">
      <alignment horizontal="center" vertical="center"/>
    </xf>
    <xf numFmtId="44" fontId="5" fillId="0" borderId="0" xfId="0" applyNumberFormat="1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" xfId="0" applyFont="1" applyBorder="1"/>
    <xf numFmtId="166" fontId="7" fillId="0" borderId="4" xfId="0" applyNumberFormat="1" applyFont="1" applyBorder="1"/>
    <xf numFmtId="166" fontId="7" fillId="0" borderId="8" xfId="0" applyNumberFormat="1" applyFont="1" applyBorder="1"/>
    <xf numFmtId="0" fontId="7" fillId="0" borderId="10" xfId="0" applyFont="1" applyBorder="1"/>
    <xf numFmtId="166" fontId="7" fillId="0" borderId="10" xfId="0" applyNumberFormat="1" applyFont="1" applyBorder="1"/>
    <xf numFmtId="166" fontId="7" fillId="0" borderId="18" xfId="0" applyNumberFormat="1" applyFont="1" applyBorder="1"/>
    <xf numFmtId="166" fontId="8" fillId="0" borderId="4" xfId="0" applyNumberFormat="1" applyFont="1" applyBorder="1"/>
    <xf numFmtId="166" fontId="8" fillId="0" borderId="7" xfId="0" applyNumberFormat="1" applyFont="1" applyBorder="1" applyAlignment="1">
      <alignment horizontal="right"/>
    </xf>
    <xf numFmtId="166" fontId="8" fillId="0" borderId="6" xfId="0" applyNumberFormat="1" applyFont="1" applyBorder="1"/>
    <xf numFmtId="10" fontId="5" fillId="0" borderId="0" xfId="5" applyNumberFormat="1" applyFont="1"/>
    <xf numFmtId="0" fontId="5" fillId="0" borderId="0" xfId="0" applyFont="1" applyAlignment="1">
      <alignment horizontal="center" vertical="center" wrapText="1"/>
    </xf>
    <xf numFmtId="10" fontId="5" fillId="0" borderId="0" xfId="0" applyNumberFormat="1" applyFont="1"/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10" fontId="5" fillId="0" borderId="0" xfId="5" applyNumberFormat="1" applyFont="1" applyBorder="1"/>
    <xf numFmtId="173" fontId="7" fillId="0" borderId="0" xfId="0" applyNumberFormat="1" applyFont="1"/>
    <xf numFmtId="164" fontId="6" fillId="0" borderId="0" xfId="1" applyNumberFormat="1" applyFont="1" applyAlignment="1">
      <alignment horizontal="center"/>
    </xf>
    <xf numFmtId="164" fontId="4" fillId="0" borderId="0" xfId="1" applyNumberFormat="1" applyFont="1"/>
    <xf numFmtId="164" fontId="4" fillId="0" borderId="0" xfId="1" applyNumberFormat="1" applyFont="1" applyAlignment="1">
      <alignment horizontal="center"/>
    </xf>
    <xf numFmtId="164" fontId="6" fillId="0" borderId="0" xfId="1" applyNumberFormat="1" applyFont="1"/>
    <xf numFmtId="10" fontId="6" fillId="0" borderId="0" xfId="0" applyNumberFormat="1" applyFont="1"/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22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7" fontId="4" fillId="0" borderId="22" xfId="0" applyNumberFormat="1" applyFont="1" applyBorder="1"/>
    <xf numFmtId="3" fontId="4" fillId="0" borderId="0" xfId="0" applyNumberFormat="1" applyFont="1"/>
    <xf numFmtId="168" fontId="4" fillId="0" borderId="0" xfId="0" applyNumberFormat="1" applyFont="1"/>
    <xf numFmtId="167" fontId="4" fillId="0" borderId="0" xfId="0" applyNumberFormat="1" applyFont="1"/>
    <xf numFmtId="0" fontId="4" fillId="0" borderId="23" xfId="0" applyFont="1" applyBorder="1"/>
    <xf numFmtId="37" fontId="4" fillId="0" borderId="20" xfId="0" applyNumberFormat="1" applyFont="1" applyBorder="1"/>
    <xf numFmtId="170" fontId="4" fillId="0" borderId="20" xfId="0" applyNumberFormat="1" applyFont="1" applyBorder="1"/>
    <xf numFmtId="0" fontId="4" fillId="0" borderId="20" xfId="0" applyFont="1" applyBorder="1"/>
    <xf numFmtId="0" fontId="4" fillId="0" borderId="1" xfId="0" applyFont="1" applyBorder="1"/>
    <xf numFmtId="3" fontId="4" fillId="0" borderId="1" xfId="0" applyNumberFormat="1" applyFont="1" applyBorder="1"/>
    <xf numFmtId="168" fontId="4" fillId="0" borderId="1" xfId="0" applyNumberFormat="1" applyFont="1" applyBorder="1"/>
    <xf numFmtId="166" fontId="4" fillId="0" borderId="1" xfId="0" applyNumberFormat="1" applyFont="1" applyBorder="1"/>
    <xf numFmtId="167" fontId="4" fillId="0" borderId="1" xfId="0" applyNumberFormat="1" applyFont="1" applyBorder="1"/>
    <xf numFmtId="167" fontId="6" fillId="0" borderId="1" xfId="0" applyNumberFormat="1" applyFont="1" applyBorder="1"/>
    <xf numFmtId="0" fontId="4" fillId="0" borderId="24" xfId="0" applyFont="1" applyBorder="1"/>
    <xf numFmtId="37" fontId="4" fillId="0" borderId="25" xfId="0" applyNumberFormat="1" applyFont="1" applyBorder="1"/>
    <xf numFmtId="170" fontId="4" fillId="0" borderId="25" xfId="0" applyNumberFormat="1" applyFont="1" applyBorder="1"/>
    <xf numFmtId="170" fontId="4" fillId="0" borderId="26" xfId="0" applyNumberFormat="1" applyFont="1" applyBorder="1"/>
    <xf numFmtId="170" fontId="4" fillId="0" borderId="0" xfId="0" applyNumberFormat="1" applyFont="1"/>
    <xf numFmtId="0" fontId="4" fillId="0" borderId="27" xfId="0" applyFont="1" applyBorder="1" applyAlignment="1">
      <alignment horizontal="left"/>
    </xf>
    <xf numFmtId="0" fontId="4" fillId="0" borderId="28" xfId="0" applyFont="1" applyBorder="1"/>
    <xf numFmtId="37" fontId="4" fillId="0" borderId="29" xfId="0" applyNumberFormat="1" applyFont="1" applyBorder="1"/>
    <xf numFmtId="170" fontId="4" fillId="0" borderId="29" xfId="0" applyNumberFormat="1" applyFont="1" applyBorder="1"/>
    <xf numFmtId="0" fontId="4" fillId="0" borderId="1" xfId="0" applyFont="1" applyBorder="1" applyAlignment="1">
      <alignment horizontal="right"/>
    </xf>
    <xf numFmtId="166" fontId="6" fillId="0" borderId="0" xfId="0" applyNumberFormat="1" applyFont="1"/>
    <xf numFmtId="164" fontId="6" fillId="0" borderId="0" xfId="1" applyNumberFormat="1" applyFont="1" applyBorder="1"/>
    <xf numFmtId="164" fontId="4" fillId="0" borderId="0" xfId="1" applyNumberFormat="1" applyFont="1" applyBorder="1" applyAlignment="1">
      <alignment horizontal="left"/>
    </xf>
    <xf numFmtId="164" fontId="4" fillId="0" borderId="0" xfId="1" applyNumberFormat="1" applyFont="1" applyBorder="1"/>
    <xf numFmtId="164" fontId="4" fillId="0" borderId="0" xfId="1" applyNumberFormat="1" applyFont="1" applyBorder="1" applyAlignment="1">
      <alignment horizontal="center"/>
    </xf>
    <xf numFmtId="3" fontId="6" fillId="0" borderId="0" xfId="0" applyNumberFormat="1" applyFont="1"/>
    <xf numFmtId="0" fontId="6" fillId="0" borderId="1" xfId="0" applyFont="1" applyBorder="1"/>
    <xf numFmtId="166" fontId="6" fillId="0" borderId="1" xfId="0" applyNumberFormat="1" applyFont="1" applyBorder="1"/>
    <xf numFmtId="165" fontId="7" fillId="0" borderId="0" xfId="0" applyNumberFormat="1" applyFont="1" applyAlignment="1">
      <alignment horizontal="right"/>
    </xf>
    <xf numFmtId="166" fontId="7" fillId="0" borderId="1" xfId="0" applyNumberFormat="1" applyFont="1" applyBorder="1" applyAlignment="1">
      <alignment horizontal="right"/>
    </xf>
    <xf numFmtId="164" fontId="4" fillId="0" borderId="8" xfId="1" applyNumberFormat="1" applyFont="1" applyBorder="1"/>
    <xf numFmtId="173" fontId="4" fillId="0" borderId="10" xfId="5" quotePrefix="1" applyNumberFormat="1" applyFont="1" applyBorder="1" applyAlignment="1" applyProtection="1">
      <alignment horizontal="right"/>
    </xf>
    <xf numFmtId="0" fontId="5" fillId="0" borderId="0" xfId="0" applyFont="1" applyAlignment="1">
      <alignment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44" fontId="7" fillId="0" borderId="1" xfId="0" applyNumberFormat="1" applyFont="1" applyBorder="1" applyAlignment="1">
      <alignment horizontal="left"/>
    </xf>
    <xf numFmtId="44" fontId="7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164" fontId="5" fillId="0" borderId="0" xfId="1" applyNumberFormat="1" applyFont="1" applyFill="1"/>
    <xf numFmtId="10" fontId="5" fillId="0" borderId="0" xfId="5" applyNumberFormat="1" applyFont="1" applyFill="1"/>
    <xf numFmtId="169" fontId="5" fillId="0" borderId="0" xfId="5" applyNumberFormat="1" applyFont="1" applyFill="1"/>
    <xf numFmtId="10" fontId="7" fillId="0" borderId="10" xfId="5" applyNumberFormat="1" applyFont="1" applyBorder="1" applyAlignment="1" applyProtection="1">
      <alignment horizontal="right"/>
    </xf>
    <xf numFmtId="2" fontId="0" fillId="0" borderId="0" xfId="0" applyNumberFormat="1"/>
    <xf numFmtId="0" fontId="3" fillId="0" borderId="0" xfId="0" applyFont="1" applyAlignment="1">
      <alignment horizontal="center"/>
    </xf>
    <xf numFmtId="172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166" fontId="8" fillId="0" borderId="8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6" fontId="8" fillId="0" borderId="9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6" fontId="8" fillId="0" borderId="30" xfId="0" applyNumberFormat="1" applyFont="1" applyBorder="1" applyAlignment="1">
      <alignment horizontal="right"/>
    </xf>
    <xf numFmtId="166" fontId="8" fillId="0" borderId="31" xfId="0" applyNumberFormat="1" applyFont="1" applyBorder="1" applyAlignment="1">
      <alignment horizontal="right"/>
    </xf>
    <xf numFmtId="166" fontId="8" fillId="0" borderId="32" xfId="0" applyNumberFormat="1" applyFont="1" applyBorder="1" applyAlignment="1">
      <alignment horizontal="right"/>
    </xf>
    <xf numFmtId="164" fontId="6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7">
    <cellStyle name="Comma" xfId="1" builtinId="3"/>
    <cellStyle name="Currency" xfId="2" builtinId="4"/>
    <cellStyle name="Currency 2" xfId="3" xr:uid="{00000000-0005-0000-0000-000002000000}"/>
    <cellStyle name="Normal" xfId="0" builtinId="0"/>
    <cellStyle name="Normal 2" xfId="4" xr:uid="{00000000-0005-0000-0000-000004000000}"/>
    <cellStyle name="Percent" xfId="5" builtinId="5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0"/>
  <sheetViews>
    <sheetView topLeftCell="A34" zoomScaleNormal="100" workbookViewId="0">
      <selection activeCell="G51" sqref="G51:G52"/>
    </sheetView>
  </sheetViews>
  <sheetFormatPr defaultColWidth="9.109375" defaultRowHeight="13.2" x14ac:dyDescent="0.25"/>
  <cols>
    <col min="1" max="2" width="3.6640625" style="2" customWidth="1"/>
    <col min="3" max="3" width="11.33203125" style="2" customWidth="1"/>
    <col min="4" max="4" width="33.109375" style="2" customWidth="1"/>
    <col min="5" max="5" width="11.6640625" style="2" customWidth="1"/>
    <col min="6" max="6" width="16.44140625" style="2" customWidth="1"/>
    <col min="7" max="7" width="17.5546875" style="2" bestFit="1" customWidth="1"/>
    <col min="8" max="8" width="9.109375" style="2" customWidth="1"/>
    <col min="9" max="9" width="21.88671875" style="2" customWidth="1"/>
    <col min="10" max="13" width="12.6640625" style="2" customWidth="1"/>
    <col min="14" max="16384" width="9.109375" style="2"/>
  </cols>
  <sheetData>
    <row r="1" spans="1:13" ht="17.399999999999999" x14ac:dyDescent="0.3">
      <c r="A1" s="204" t="s">
        <v>0</v>
      </c>
      <c r="B1" s="204"/>
      <c r="C1" s="204"/>
      <c r="D1" s="204"/>
      <c r="E1" s="204"/>
      <c r="F1" s="204"/>
      <c r="G1" s="204"/>
    </row>
    <row r="2" spans="1:13" ht="17.399999999999999" x14ac:dyDescent="0.3">
      <c r="A2" s="204" t="s">
        <v>1</v>
      </c>
      <c r="B2" s="204"/>
      <c r="C2" s="204"/>
      <c r="D2" s="204"/>
      <c r="E2" s="204"/>
      <c r="F2" s="204"/>
      <c r="G2" s="204"/>
      <c r="H2" s="11"/>
      <c r="I2" s="5"/>
    </row>
    <row r="3" spans="1:13" ht="17.399999999999999" x14ac:dyDescent="0.3">
      <c r="A3" s="204" t="s">
        <v>2</v>
      </c>
      <c r="B3" s="204"/>
      <c r="C3" s="204"/>
      <c r="D3" s="204"/>
      <c r="E3" s="204"/>
      <c r="F3" s="204"/>
      <c r="G3" s="204"/>
      <c r="H3" s="11"/>
      <c r="I3" s="5"/>
    </row>
    <row r="4" spans="1:13" ht="15.6" x14ac:dyDescent="0.3">
      <c r="A4" s="3"/>
      <c r="B4" s="207"/>
      <c r="C4" s="207"/>
      <c r="D4" s="207"/>
      <c r="E4" s="207"/>
      <c r="F4" s="207"/>
      <c r="G4" s="207"/>
      <c r="H4" s="12"/>
      <c r="I4" s="5"/>
    </row>
    <row r="5" spans="1:13" ht="15.6" x14ac:dyDescent="0.3">
      <c r="A5" s="3"/>
      <c r="B5" s="12"/>
      <c r="C5" s="12"/>
      <c r="D5" s="12"/>
      <c r="E5" s="12"/>
      <c r="F5" s="12"/>
      <c r="G5" s="12"/>
      <c r="H5" s="12"/>
      <c r="I5" s="5"/>
    </row>
    <row r="6" spans="1:13" ht="15.6" x14ac:dyDescent="0.3">
      <c r="A6" s="13" t="s">
        <v>3</v>
      </c>
      <c r="B6" s="22"/>
      <c r="C6" s="22"/>
      <c r="D6" s="22"/>
      <c r="E6" s="21"/>
      <c r="F6" s="19"/>
      <c r="G6" s="19"/>
      <c r="H6" s="29"/>
      <c r="I6" s="29"/>
      <c r="J6" s="19"/>
      <c r="K6" s="19"/>
      <c r="L6" s="19"/>
      <c r="M6" s="19"/>
    </row>
    <row r="7" spans="1:13" ht="13.8" x14ac:dyDescent="0.25">
      <c r="A7" s="205" t="s">
        <v>4</v>
      </c>
      <c r="B7" s="205"/>
      <c r="C7" s="205"/>
      <c r="D7" s="205"/>
      <c r="E7" s="30"/>
      <c r="F7" s="19"/>
      <c r="G7" s="19"/>
      <c r="H7" s="31"/>
      <c r="I7" s="29"/>
      <c r="J7" s="30"/>
      <c r="K7" s="31"/>
      <c r="L7" s="30"/>
      <c r="M7" s="31"/>
    </row>
    <row r="8" spans="1:13" ht="13.8" x14ac:dyDescent="0.25">
      <c r="A8" s="38"/>
      <c r="B8" s="206" t="str">
        <f>'Cash Flow Analysis'!O44</f>
        <v>Water Purchases</v>
      </c>
      <c r="C8" s="206"/>
      <c r="D8" s="206"/>
      <c r="E8" s="26"/>
      <c r="F8" s="104">
        <f>'Cash Flow Analysis'!S44</f>
        <v>961635</v>
      </c>
      <c r="G8" s="103"/>
      <c r="H8" s="31"/>
      <c r="I8" s="21" t="s">
        <v>5</v>
      </c>
      <c r="J8" s="26"/>
      <c r="K8" s="31"/>
      <c r="L8" s="26"/>
      <c r="M8" s="31"/>
    </row>
    <row r="9" spans="1:13" ht="13.8" x14ac:dyDescent="0.25">
      <c r="A9" s="38"/>
      <c r="B9" s="206" t="str">
        <f>'Cash Flow Analysis'!O45</f>
        <v>Salaries</v>
      </c>
      <c r="C9" s="206"/>
      <c r="D9" s="206"/>
      <c r="E9" s="26"/>
      <c r="F9" s="104">
        <f>'Cash Flow Analysis'!S45</f>
        <v>253713</v>
      </c>
      <c r="G9" s="103"/>
      <c r="H9" s="31"/>
      <c r="I9" s="21" t="str">
        <f>I8</f>
        <v>pg. 4 of Independent Auditors' Report and Financial Statements ending 12/31/19</v>
      </c>
      <c r="J9" s="26"/>
      <c r="K9" s="31"/>
      <c r="L9" s="26"/>
      <c r="M9" s="31"/>
    </row>
    <row r="10" spans="1:13" ht="13.8" x14ac:dyDescent="0.25">
      <c r="A10" s="38"/>
      <c r="B10" s="206" t="str">
        <f>'Cash Flow Analysis'!O46</f>
        <v>Employee Benefits</v>
      </c>
      <c r="C10" s="206"/>
      <c r="D10" s="206"/>
      <c r="E10" s="26"/>
      <c r="F10" s="104">
        <f>'Cash Flow Analysis'!S46</f>
        <v>240725</v>
      </c>
      <c r="G10" s="103"/>
      <c r="H10" s="31"/>
      <c r="I10" s="21" t="str">
        <f t="shared" ref="I10:I20" si="0">I9</f>
        <v>pg. 4 of Independent Auditors' Report and Financial Statements ending 12/31/19</v>
      </c>
      <c r="J10" s="26"/>
      <c r="K10" s="31"/>
      <c r="L10" s="26"/>
      <c r="M10" s="31"/>
    </row>
    <row r="11" spans="1:13" ht="13.8" x14ac:dyDescent="0.25">
      <c r="A11" s="38"/>
      <c r="B11" s="206" t="str">
        <f>'Cash Flow Analysis'!O47</f>
        <v>Taxes</v>
      </c>
      <c r="C11" s="206"/>
      <c r="D11" s="206"/>
      <c r="E11" s="26"/>
      <c r="F11" s="104">
        <f>'Cash Flow Analysis'!S47</f>
        <v>22554</v>
      </c>
      <c r="G11" s="103"/>
      <c r="H11" s="31"/>
      <c r="I11" s="21" t="str">
        <f t="shared" si="0"/>
        <v>pg. 4 of Independent Auditors' Report and Financial Statements ending 12/31/19</v>
      </c>
      <c r="J11" s="26"/>
      <c r="K11" s="31"/>
      <c r="L11" s="26"/>
      <c r="M11" s="31"/>
    </row>
    <row r="12" spans="1:13" ht="13.8" x14ac:dyDescent="0.25">
      <c r="A12" s="38"/>
      <c r="B12" s="206" t="str">
        <f>'Cash Flow Analysis'!O48</f>
        <v>Office Expense &amp; Postage</v>
      </c>
      <c r="C12" s="206"/>
      <c r="D12" s="206"/>
      <c r="E12" s="26"/>
      <c r="F12" s="104">
        <f>'Cash Flow Analysis'!S48</f>
        <v>40325</v>
      </c>
      <c r="G12" s="103"/>
      <c r="H12" s="31"/>
      <c r="I12" s="21" t="str">
        <f t="shared" si="0"/>
        <v>pg. 4 of Independent Auditors' Report and Financial Statements ending 12/31/19</v>
      </c>
      <c r="J12" s="26"/>
      <c r="K12" s="31"/>
      <c r="L12" s="26"/>
      <c r="M12" s="31"/>
    </row>
    <row r="13" spans="1:13" ht="13.8" x14ac:dyDescent="0.25">
      <c r="A13" s="38"/>
      <c r="B13" s="206" t="str">
        <f>'Cash Flow Analysis'!O49</f>
        <v>Insurance</v>
      </c>
      <c r="C13" s="206"/>
      <c r="D13" s="206"/>
      <c r="E13" s="26"/>
      <c r="F13" s="104">
        <f>'Cash Flow Analysis'!S49</f>
        <v>30987</v>
      </c>
      <c r="G13" s="103"/>
      <c r="H13" s="31"/>
      <c r="I13" s="21" t="str">
        <f t="shared" si="0"/>
        <v>pg. 4 of Independent Auditors' Report and Financial Statements ending 12/31/19</v>
      </c>
      <c r="J13" s="26"/>
      <c r="K13" s="31"/>
      <c r="L13" s="26"/>
      <c r="M13" s="31"/>
    </row>
    <row r="14" spans="1:13" ht="13.8" x14ac:dyDescent="0.25">
      <c r="A14" s="38"/>
      <c r="B14" s="206" t="str">
        <f>'Cash Flow Analysis'!O50</f>
        <v>Transportation Expense</v>
      </c>
      <c r="C14" s="206"/>
      <c r="D14" s="206"/>
      <c r="E14" s="26"/>
      <c r="F14" s="104">
        <f>'Cash Flow Analysis'!S50</f>
        <v>27246</v>
      </c>
      <c r="G14" s="103"/>
      <c r="H14" s="31"/>
      <c r="I14" s="21" t="str">
        <f t="shared" si="0"/>
        <v>pg. 4 of Independent Auditors' Report and Financial Statements ending 12/31/19</v>
      </c>
      <c r="J14" s="26"/>
      <c r="K14" s="31"/>
      <c r="L14" s="26"/>
      <c r="M14" s="31"/>
    </row>
    <row r="15" spans="1:13" ht="13.8" x14ac:dyDescent="0.25">
      <c r="A15" s="38"/>
      <c r="B15" s="206" t="str">
        <f>'Cash Flow Analysis'!O51</f>
        <v>Line Upkeep</v>
      </c>
      <c r="C15" s="206"/>
      <c r="D15" s="206"/>
      <c r="E15" s="26"/>
      <c r="F15" s="104">
        <f>'Cash Flow Analysis'!S51</f>
        <v>60659</v>
      </c>
      <c r="G15" s="103"/>
      <c r="H15" s="31"/>
      <c r="I15" s="21" t="str">
        <f t="shared" si="0"/>
        <v>pg. 4 of Independent Auditors' Report and Financial Statements ending 12/31/19</v>
      </c>
      <c r="J15" s="26"/>
      <c r="K15" s="31"/>
      <c r="L15" s="26"/>
      <c r="M15" s="31"/>
    </row>
    <row r="16" spans="1:13" ht="13.8" x14ac:dyDescent="0.25">
      <c r="A16" s="38"/>
      <c r="B16" s="206" t="str">
        <f>'Cash Flow Analysis'!O52</f>
        <v>Contract Labor</v>
      </c>
      <c r="C16" s="206"/>
      <c r="D16" s="206"/>
      <c r="E16" s="26"/>
      <c r="F16" s="104">
        <f>'Cash Flow Analysis'!S52</f>
        <v>26498</v>
      </c>
      <c r="G16" s="103"/>
      <c r="H16" s="31"/>
      <c r="I16" s="21" t="str">
        <f t="shared" si="0"/>
        <v>pg. 4 of Independent Auditors' Report and Financial Statements ending 12/31/19</v>
      </c>
      <c r="J16" s="26"/>
      <c r="K16" s="31"/>
      <c r="L16" s="26"/>
      <c r="M16" s="31"/>
    </row>
    <row r="17" spans="1:13" ht="13.8" x14ac:dyDescent="0.25">
      <c r="A17" s="38"/>
      <c r="B17" s="206" t="str">
        <f>'Cash Flow Analysis'!O53</f>
        <v>Utilities &amp; Telephone</v>
      </c>
      <c r="C17" s="206"/>
      <c r="D17" s="206"/>
      <c r="E17" s="26"/>
      <c r="F17" s="104">
        <f>'Cash Flow Analysis'!S53</f>
        <v>102691</v>
      </c>
      <c r="G17" s="103"/>
      <c r="H17" s="31"/>
      <c r="I17" s="21" t="str">
        <f t="shared" si="0"/>
        <v>pg. 4 of Independent Auditors' Report and Financial Statements ending 12/31/19</v>
      </c>
      <c r="J17" s="26"/>
      <c r="K17" s="31"/>
      <c r="L17" s="26"/>
      <c r="M17" s="31"/>
    </row>
    <row r="18" spans="1:13" ht="13.8" x14ac:dyDescent="0.25">
      <c r="A18" s="38"/>
      <c r="B18" s="206" t="str">
        <f>'Cash Flow Analysis'!O54</f>
        <v>Legal &amp; Professional</v>
      </c>
      <c r="C18" s="206"/>
      <c r="D18" s="206"/>
      <c r="E18" s="26"/>
      <c r="F18" s="104">
        <f>'Cash Flow Analysis'!S54</f>
        <v>28104</v>
      </c>
      <c r="G18" s="103"/>
      <c r="H18" s="31"/>
      <c r="I18" s="21" t="str">
        <f t="shared" si="0"/>
        <v>pg. 4 of Independent Auditors' Report and Financial Statements ending 12/31/19</v>
      </c>
      <c r="J18" s="26"/>
      <c r="K18" s="31"/>
      <c r="L18" s="26"/>
      <c r="M18" s="31"/>
    </row>
    <row r="19" spans="1:13" ht="13.8" x14ac:dyDescent="0.25">
      <c r="A19" s="38"/>
      <c r="B19" s="206" t="str">
        <f>'Cash Flow Analysis'!O55</f>
        <v>Miscellaneous</v>
      </c>
      <c r="C19" s="206"/>
      <c r="D19" s="206"/>
      <c r="E19" s="26"/>
      <c r="F19" s="104">
        <f>'Cash Flow Analysis'!S55</f>
        <v>24272</v>
      </c>
      <c r="G19" s="103"/>
      <c r="H19" s="31"/>
      <c r="I19" s="21" t="str">
        <f t="shared" si="0"/>
        <v>pg. 4 of Independent Auditors' Report and Financial Statements ending 12/31/19</v>
      </c>
      <c r="J19" s="26"/>
      <c r="K19" s="31"/>
      <c r="L19" s="26"/>
      <c r="M19" s="31"/>
    </row>
    <row r="20" spans="1:13" ht="13.8" x14ac:dyDescent="0.25">
      <c r="A20" s="38"/>
      <c r="B20" s="206" t="str">
        <f>'Cash Flow Analysis'!O56</f>
        <v>Regulatory Commission Expenses</v>
      </c>
      <c r="C20" s="206"/>
      <c r="D20" s="206"/>
      <c r="E20" s="26"/>
      <c r="F20" s="104">
        <f>'Cash Flow Analysis'!S56</f>
        <v>3344</v>
      </c>
      <c r="G20" s="103"/>
      <c r="H20" s="31"/>
      <c r="I20" s="21" t="str">
        <f t="shared" si="0"/>
        <v>pg. 4 of Independent Auditors' Report and Financial Statements ending 12/31/19</v>
      </c>
      <c r="J20" s="26"/>
      <c r="K20" s="31"/>
      <c r="L20" s="26"/>
      <c r="M20" s="31"/>
    </row>
    <row r="21" spans="1:13" ht="13.8" x14ac:dyDescent="0.25">
      <c r="A21" s="38"/>
      <c r="B21" s="37"/>
      <c r="C21" s="21"/>
      <c r="D21" s="21"/>
      <c r="E21" s="26"/>
      <c r="F21" s="104"/>
      <c r="G21" s="105">
        <f>SUM(F8:F20)</f>
        <v>1822753</v>
      </c>
      <c r="H21" s="30"/>
      <c r="I21" s="29"/>
      <c r="J21" s="26"/>
      <c r="K21" s="31"/>
      <c r="L21" s="26"/>
      <c r="M21" s="31"/>
    </row>
    <row r="22" spans="1:13" ht="13.8" x14ac:dyDescent="0.25">
      <c r="A22" s="205" t="s">
        <v>6</v>
      </c>
      <c r="B22" s="205"/>
      <c r="C22" s="205"/>
      <c r="D22" s="21"/>
      <c r="E22" s="26"/>
      <c r="F22" s="103"/>
      <c r="G22" s="103"/>
      <c r="H22" s="31"/>
      <c r="I22" s="29"/>
      <c r="J22" s="26"/>
      <c r="K22" s="31"/>
      <c r="L22" s="26"/>
      <c r="M22" s="31"/>
    </row>
    <row r="23" spans="1:13" ht="13.8" x14ac:dyDescent="0.25">
      <c r="A23" s="38"/>
      <c r="B23" s="206" t="s">
        <v>7</v>
      </c>
      <c r="C23" s="206"/>
      <c r="D23" s="206"/>
      <c r="E23" s="26"/>
      <c r="F23" s="104">
        <f>SUM('Cash Flow Analysis'!J31:J32)</f>
        <v>253816</v>
      </c>
      <c r="G23" s="104"/>
      <c r="H23" s="19"/>
      <c r="I23" s="21" t="s">
        <v>8</v>
      </c>
      <c r="J23" s="26"/>
      <c r="K23" s="19"/>
      <c r="L23" s="26"/>
      <c r="M23" s="19"/>
    </row>
    <row r="24" spans="1:13" ht="13.8" x14ac:dyDescent="0.25">
      <c r="A24" s="38"/>
      <c r="B24" s="37"/>
      <c r="C24" s="21"/>
      <c r="D24" s="21"/>
      <c r="E24" s="26"/>
      <c r="F24" s="103"/>
      <c r="G24" s="104">
        <f>SUM(F23:F23)</f>
        <v>253816</v>
      </c>
      <c r="H24" s="25"/>
      <c r="I24" s="29"/>
      <c r="J24" s="19"/>
      <c r="K24" s="30"/>
      <c r="L24" s="19"/>
      <c r="M24" s="30"/>
    </row>
    <row r="25" spans="1:13" ht="13.8" x14ac:dyDescent="0.25">
      <c r="A25" s="208" t="s">
        <v>9</v>
      </c>
      <c r="B25" s="208"/>
      <c r="C25" s="208"/>
      <c r="D25" s="208"/>
      <c r="E25" s="19"/>
      <c r="F25" s="104"/>
      <c r="G25" s="104"/>
      <c r="H25" s="19"/>
      <c r="I25" s="29"/>
      <c r="J25" s="26"/>
      <c r="K25" s="31"/>
      <c r="L25" s="26"/>
      <c r="M25" s="31"/>
    </row>
    <row r="26" spans="1:13" ht="13.8" x14ac:dyDescent="0.25">
      <c r="A26" s="36"/>
      <c r="B26" s="206" t="s">
        <v>10</v>
      </c>
      <c r="C26" s="206"/>
      <c r="D26" s="206"/>
      <c r="E26" s="19"/>
      <c r="F26" s="104">
        <v>8898</v>
      </c>
      <c r="G26" s="104"/>
      <c r="H26" s="25"/>
      <c r="I26" s="29"/>
      <c r="J26" s="23"/>
      <c r="K26" s="19"/>
      <c r="L26" s="23"/>
      <c r="M26" s="19"/>
    </row>
    <row r="27" spans="1:13" ht="13.8" x14ac:dyDescent="0.25">
      <c r="A27" s="36"/>
      <c r="B27" s="38"/>
      <c r="C27" s="19"/>
      <c r="D27" s="19"/>
      <c r="E27" s="19"/>
      <c r="F27" s="104"/>
      <c r="G27" s="104">
        <f>SUM(F26:F26)</f>
        <v>8898</v>
      </c>
      <c r="H27" s="25"/>
      <c r="I27" s="29"/>
      <c r="J27" s="26"/>
      <c r="K27" s="25"/>
      <c r="L27" s="26"/>
      <c r="M27" s="25"/>
    </row>
    <row r="28" spans="1:13" ht="13.8" x14ac:dyDescent="0.25">
      <c r="A28" s="205" t="s">
        <v>11</v>
      </c>
      <c r="B28" s="205"/>
      <c r="C28" s="205"/>
      <c r="D28" s="19"/>
      <c r="E28" s="19"/>
      <c r="F28" s="104"/>
      <c r="G28" s="104"/>
      <c r="H28" s="25"/>
      <c r="I28" s="29"/>
      <c r="J28" s="19"/>
      <c r="K28" s="19"/>
      <c r="L28" s="19"/>
      <c r="M28" s="19"/>
    </row>
    <row r="29" spans="1:13" ht="13.8" x14ac:dyDescent="0.25">
      <c r="A29" s="38"/>
      <c r="B29" s="206" t="s">
        <v>12</v>
      </c>
      <c r="C29" s="206"/>
      <c r="D29" s="206"/>
      <c r="E29" s="19"/>
      <c r="F29" s="104">
        <v>0</v>
      </c>
      <c r="G29" s="104"/>
      <c r="H29" s="19"/>
      <c r="I29" s="21"/>
      <c r="J29" s="34"/>
      <c r="K29" s="25"/>
      <c r="L29" s="34"/>
      <c r="M29" s="25"/>
    </row>
    <row r="30" spans="1:13" ht="13.8" x14ac:dyDescent="0.25">
      <c r="A30" s="38"/>
      <c r="B30" s="37"/>
      <c r="C30" s="19"/>
      <c r="D30" s="25"/>
      <c r="E30" s="19"/>
      <c r="F30" s="104"/>
      <c r="G30" s="104">
        <f>SUM(F29:F29)</f>
        <v>0</v>
      </c>
      <c r="H30" s="25"/>
      <c r="I30" s="29"/>
      <c r="J30" s="19"/>
      <c r="K30" s="25"/>
      <c r="L30" s="19"/>
      <c r="M30" s="25"/>
    </row>
    <row r="31" spans="1:13" ht="14.4" thickBot="1" x14ac:dyDescent="0.3">
      <c r="A31" s="38"/>
      <c r="B31" s="37"/>
      <c r="C31" s="19"/>
      <c r="D31" s="25"/>
      <c r="E31" s="19"/>
      <c r="F31" s="104"/>
      <c r="G31" s="104"/>
      <c r="H31" s="25"/>
      <c r="I31" s="29"/>
      <c r="J31" s="19"/>
      <c r="K31" s="25"/>
      <c r="L31" s="19"/>
      <c r="M31" s="25"/>
    </row>
    <row r="32" spans="1:13" ht="15.6" x14ac:dyDescent="0.3">
      <c r="A32" s="38"/>
      <c r="B32" s="37"/>
      <c r="C32" s="13" t="s">
        <v>13</v>
      </c>
      <c r="D32" s="3"/>
      <c r="E32" s="3"/>
      <c r="F32" s="106"/>
      <c r="G32" s="107">
        <f>SUM(G21:G30)</f>
        <v>2085467</v>
      </c>
      <c r="H32" s="33"/>
      <c r="I32" s="29"/>
      <c r="J32" s="44"/>
      <c r="K32" s="19"/>
      <c r="L32" s="44"/>
      <c r="M32" s="19"/>
    </row>
    <row r="33" spans="1:14" ht="15.6" x14ac:dyDescent="0.3">
      <c r="A33" s="38"/>
      <c r="B33" s="37"/>
      <c r="C33" s="13"/>
      <c r="D33" s="3"/>
      <c r="E33" s="3"/>
      <c r="F33" s="106"/>
      <c r="G33" s="108"/>
      <c r="H33" s="33"/>
      <c r="I33" s="29"/>
      <c r="J33" s="19"/>
      <c r="K33" s="25"/>
      <c r="L33" s="19"/>
      <c r="M33" s="25"/>
    </row>
    <row r="34" spans="1:14" ht="13.8" x14ac:dyDescent="0.25">
      <c r="A34" s="38"/>
      <c r="B34" s="38"/>
      <c r="F34" s="109"/>
      <c r="G34" s="109"/>
      <c r="J34" s="19"/>
      <c r="K34" s="25"/>
      <c r="L34" s="19"/>
      <c r="M34" s="25"/>
    </row>
    <row r="35" spans="1:14" ht="15.6" x14ac:dyDescent="0.3">
      <c r="A35" s="13" t="s">
        <v>14</v>
      </c>
      <c r="B35" s="19"/>
      <c r="C35" s="19"/>
      <c r="D35" s="19"/>
      <c r="E35" s="19"/>
      <c r="F35" s="104"/>
      <c r="G35" s="104"/>
      <c r="H35" s="19"/>
      <c r="I35" s="29"/>
      <c r="J35" s="19"/>
      <c r="K35" s="33"/>
      <c r="L35" s="19"/>
      <c r="M35" s="33"/>
    </row>
    <row r="36" spans="1:14" ht="13.8" x14ac:dyDescent="0.25">
      <c r="A36" s="205" t="s">
        <v>15</v>
      </c>
      <c r="B36" s="205"/>
      <c r="C36" s="205"/>
      <c r="D36" s="205"/>
      <c r="E36" s="19"/>
      <c r="F36" s="110"/>
      <c r="G36" s="104"/>
      <c r="H36" s="19"/>
      <c r="I36" s="29"/>
      <c r="J36" s="19"/>
      <c r="K36" s="33"/>
      <c r="L36" s="19"/>
      <c r="M36" s="33"/>
    </row>
    <row r="37" spans="1:14" ht="13.8" x14ac:dyDescent="0.25">
      <c r="A37" s="38"/>
      <c r="B37" s="206" t="str">
        <f>'Cash Flow Analysis'!A6</f>
        <v>Water Sales</v>
      </c>
      <c r="C37" s="206"/>
      <c r="D37" s="206"/>
      <c r="E37" s="30"/>
      <c r="F37" s="103">
        <f>'Cash Flow Analysis'!J6</f>
        <v>1746231</v>
      </c>
      <c r="G37" s="110"/>
      <c r="H37" s="21"/>
      <c r="I37" s="21" t="str">
        <f>I8</f>
        <v>pg. 4 of Independent Auditors' Report and Financial Statements ending 12/31/19</v>
      </c>
    </row>
    <row r="38" spans="1:14" ht="13.8" x14ac:dyDescent="0.25">
      <c r="A38" s="38"/>
      <c r="B38" s="206" t="str">
        <f>'Cash Flow Analysis'!A7</f>
        <v>Late Charges</v>
      </c>
      <c r="C38" s="206"/>
      <c r="D38" s="206"/>
      <c r="E38" s="30"/>
      <c r="F38" s="103">
        <f>'Cash Flow Analysis'!J7</f>
        <v>46200</v>
      </c>
      <c r="G38" s="110"/>
      <c r="H38" s="21"/>
      <c r="I38" s="21" t="str">
        <f>I9</f>
        <v>pg. 4 of Independent Auditors' Report and Financial Statements ending 12/31/19</v>
      </c>
      <c r="J38" s="19"/>
      <c r="K38" s="19"/>
    </row>
    <row r="39" spans="1:14" ht="15" customHeight="1" x14ac:dyDescent="0.25">
      <c r="A39" s="38"/>
      <c r="B39" s="206" t="str">
        <f>'Cash Flow Analysis'!A8</f>
        <v>Other Revenue</v>
      </c>
      <c r="C39" s="206"/>
      <c r="D39" s="206"/>
      <c r="E39" s="30"/>
      <c r="F39" s="103">
        <f>'Cash Flow Analysis'!J8</f>
        <v>26155</v>
      </c>
      <c r="G39" s="194"/>
      <c r="H39" s="21"/>
      <c r="I39" s="21" t="str">
        <f>I10</f>
        <v>pg. 4 of Independent Auditors' Report and Financial Statements ending 12/31/19</v>
      </c>
      <c r="J39" s="21"/>
      <c r="K39" s="19"/>
      <c r="L39" s="21"/>
      <c r="M39" s="19"/>
    </row>
    <row r="40" spans="1:14" ht="13.8" x14ac:dyDescent="0.25">
      <c r="A40" s="38"/>
      <c r="B40" s="40"/>
      <c r="C40" s="21"/>
      <c r="D40" s="21"/>
      <c r="E40" s="26"/>
      <c r="F40" s="104"/>
      <c r="G40" s="103">
        <f>SUM(F37:F39)</f>
        <v>1818586</v>
      </c>
      <c r="H40" s="30"/>
      <c r="I40" s="29"/>
      <c r="J40" s="26"/>
      <c r="K40" s="30"/>
      <c r="L40" s="26"/>
      <c r="M40" s="30"/>
    </row>
    <row r="41" spans="1:14" ht="13.8" x14ac:dyDescent="0.25">
      <c r="A41" s="205" t="s">
        <v>16</v>
      </c>
      <c r="B41" s="205"/>
      <c r="C41" s="205"/>
      <c r="D41" s="205"/>
      <c r="E41" s="26"/>
      <c r="F41" s="103"/>
      <c r="G41" s="103"/>
      <c r="H41" s="31"/>
      <c r="I41" s="29"/>
      <c r="J41" s="19"/>
      <c r="K41" s="30"/>
      <c r="L41" s="19"/>
      <c r="M41" s="30"/>
    </row>
    <row r="42" spans="1:14" ht="13.8" x14ac:dyDescent="0.25">
      <c r="A42" s="38"/>
      <c r="B42" s="206" t="str">
        <f>'Cash Flow Analysis'!A61</f>
        <v>Interest Income</v>
      </c>
      <c r="C42" s="206"/>
      <c r="D42" s="206"/>
      <c r="E42" s="26"/>
      <c r="F42" s="103">
        <f>'Cash Flow Analysis'!J61</f>
        <v>21520</v>
      </c>
      <c r="G42" s="103"/>
      <c r="H42" s="31"/>
      <c r="I42" s="21" t="str">
        <f>I8</f>
        <v>pg. 4 of Independent Auditors' Report and Financial Statements ending 12/31/19</v>
      </c>
      <c r="J42" s="26"/>
      <c r="K42" s="31"/>
      <c r="L42" s="26"/>
      <c r="M42" s="31"/>
    </row>
    <row r="43" spans="1:14" ht="13.8" x14ac:dyDescent="0.25">
      <c r="A43" s="38"/>
      <c r="B43" s="206" t="str">
        <f>'Cash Flow Analysis'!A62</f>
        <v>Gain on Sale of Fixed Asset</v>
      </c>
      <c r="C43" s="206"/>
      <c r="D43" s="206"/>
      <c r="E43" s="26"/>
      <c r="F43" s="103">
        <f>'Cash Flow Analysis'!J62</f>
        <v>0</v>
      </c>
      <c r="G43" s="103"/>
      <c r="H43" s="31"/>
      <c r="I43" s="21" t="str">
        <f>I38</f>
        <v>pg. 4 of Independent Auditors' Report and Financial Statements ending 12/31/19</v>
      </c>
      <c r="J43" s="30"/>
      <c r="K43" s="31"/>
      <c r="L43" s="30"/>
      <c r="M43" s="31"/>
      <c r="N43" s="19"/>
    </row>
    <row r="44" spans="1:14" ht="13.8" x14ac:dyDescent="0.25">
      <c r="A44" s="38"/>
      <c r="B44" s="206" t="str">
        <f>'Cash Flow Analysis'!A64</f>
        <v>Tap Fees</v>
      </c>
      <c r="C44" s="206"/>
      <c r="D44" s="206"/>
      <c r="E44" s="26"/>
      <c r="F44" s="103">
        <f>'Cash Flow Analysis'!J64</f>
        <v>39890</v>
      </c>
      <c r="G44" s="103"/>
      <c r="H44" s="31"/>
      <c r="I44" s="21"/>
      <c r="J44" s="26"/>
      <c r="K44" s="26"/>
      <c r="L44" s="26"/>
      <c r="M44" s="26"/>
      <c r="N44" s="19"/>
    </row>
    <row r="45" spans="1:14" ht="13.8" x14ac:dyDescent="0.25">
      <c r="A45" s="38"/>
      <c r="B45" s="206" t="str">
        <f>'Cash Flow Analysis'!A65</f>
        <v>Other</v>
      </c>
      <c r="C45" s="206"/>
      <c r="D45" s="206"/>
      <c r="E45" s="26"/>
      <c r="F45" s="103">
        <f>'Cash Flow Analysis'!J65</f>
        <v>8662</v>
      </c>
      <c r="G45" s="195"/>
      <c r="H45" s="31"/>
      <c r="I45" s="21"/>
      <c r="J45" s="26"/>
      <c r="K45" s="26"/>
      <c r="L45" s="26"/>
      <c r="M45" s="26"/>
      <c r="N45" s="19"/>
    </row>
    <row r="46" spans="1:14" ht="13.8" x14ac:dyDescent="0.25">
      <c r="A46" s="38"/>
      <c r="B46" s="40"/>
      <c r="C46" s="19"/>
      <c r="D46" s="21"/>
      <c r="E46" s="26"/>
      <c r="F46" s="103"/>
      <c r="G46" s="103">
        <f>SUM(F42:F45)</f>
        <v>70072</v>
      </c>
      <c r="H46" s="31"/>
      <c r="I46" s="35"/>
      <c r="J46" s="32"/>
      <c r="K46" s="32"/>
      <c r="L46" s="32"/>
      <c r="M46" s="32"/>
    </row>
    <row r="47" spans="1:14" ht="16.2" thickBot="1" x14ac:dyDescent="0.35">
      <c r="A47" s="38"/>
      <c r="B47" s="40"/>
      <c r="C47" s="13" t="s">
        <v>17</v>
      </c>
      <c r="D47" s="13"/>
      <c r="E47" s="18"/>
      <c r="F47" s="112"/>
      <c r="G47" s="111"/>
      <c r="H47" s="26"/>
      <c r="I47" s="35"/>
    </row>
    <row r="48" spans="1:14" ht="15.6" x14ac:dyDescent="0.3">
      <c r="A48" s="38"/>
      <c r="G48" s="112">
        <f>SUM(G40:G46)</f>
        <v>1888658</v>
      </c>
      <c r="H48" s="30"/>
      <c r="I48" s="35"/>
    </row>
    <row r="49" spans="1:9" ht="13.8" x14ac:dyDescent="0.25">
      <c r="A49" s="38"/>
      <c r="H49" s="19"/>
      <c r="I49" s="121"/>
    </row>
    <row r="50" spans="1:9" ht="13.8" x14ac:dyDescent="0.25">
      <c r="C50" s="209" t="s">
        <v>18</v>
      </c>
      <c r="D50" s="209"/>
      <c r="E50" s="209"/>
      <c r="F50" s="209"/>
      <c r="G50" s="209"/>
      <c r="H50" s="23"/>
      <c r="I50" s="35"/>
    </row>
    <row r="51" spans="1:9" ht="13.8" x14ac:dyDescent="0.25">
      <c r="C51" s="210" t="s">
        <v>19</v>
      </c>
      <c r="D51" s="210"/>
      <c r="E51" s="210"/>
      <c r="F51" s="211" t="s">
        <v>20</v>
      </c>
      <c r="G51" s="212">
        <f>((G32-G48)/F37)</f>
        <v>0.11270502012620323</v>
      </c>
      <c r="H51" s="35"/>
    </row>
    <row r="52" spans="1:9" ht="13.8" x14ac:dyDescent="0.25">
      <c r="C52" s="213" t="s">
        <v>21</v>
      </c>
      <c r="D52" s="213"/>
      <c r="E52" s="213"/>
      <c r="F52" s="211"/>
      <c r="G52" s="212"/>
      <c r="H52" s="35"/>
    </row>
    <row r="53" spans="1:9" x14ac:dyDescent="0.25">
      <c r="I53" s="35"/>
    </row>
    <row r="54" spans="1:9" x14ac:dyDescent="0.25">
      <c r="I54" s="35"/>
    </row>
    <row r="55" spans="1:9" x14ac:dyDescent="0.25">
      <c r="I55" s="35"/>
    </row>
    <row r="56" spans="1:9" x14ac:dyDescent="0.25">
      <c r="I56" s="35"/>
    </row>
    <row r="57" spans="1:9" x14ac:dyDescent="0.25">
      <c r="I57" s="35"/>
    </row>
    <row r="58" spans="1:9" x14ac:dyDescent="0.25">
      <c r="I58" s="35"/>
    </row>
    <row r="59" spans="1:9" x14ac:dyDescent="0.25">
      <c r="I59" s="35"/>
    </row>
    <row r="60" spans="1:9" x14ac:dyDescent="0.25">
      <c r="I60" s="35"/>
    </row>
    <row r="61" spans="1:9" x14ac:dyDescent="0.25">
      <c r="I61" s="35"/>
    </row>
    <row r="62" spans="1:9" x14ac:dyDescent="0.25">
      <c r="I62" s="35"/>
    </row>
    <row r="63" spans="1:9" x14ac:dyDescent="0.25">
      <c r="I63" s="35"/>
    </row>
    <row r="64" spans="1:9" x14ac:dyDescent="0.25">
      <c r="I64" s="35"/>
    </row>
    <row r="65" spans="9:9" x14ac:dyDescent="0.25">
      <c r="I65" s="35"/>
    </row>
    <row r="66" spans="9:9" x14ac:dyDescent="0.25">
      <c r="I66" s="35"/>
    </row>
    <row r="67" spans="9:9" x14ac:dyDescent="0.25">
      <c r="I67" s="35"/>
    </row>
    <row r="68" spans="9:9" x14ac:dyDescent="0.25">
      <c r="I68" s="35"/>
    </row>
    <row r="69" spans="9:9" x14ac:dyDescent="0.25">
      <c r="I69" s="35"/>
    </row>
    <row r="70" spans="9:9" x14ac:dyDescent="0.25">
      <c r="I70" s="35"/>
    </row>
    <row r="71" spans="9:9" x14ac:dyDescent="0.25">
      <c r="I71" s="35"/>
    </row>
    <row r="72" spans="9:9" x14ac:dyDescent="0.25">
      <c r="I72" s="35"/>
    </row>
    <row r="73" spans="9:9" x14ac:dyDescent="0.25">
      <c r="I73" s="35"/>
    </row>
    <row r="74" spans="9:9" x14ac:dyDescent="0.25">
      <c r="I74" s="35"/>
    </row>
    <row r="75" spans="9:9" x14ac:dyDescent="0.25">
      <c r="I75" s="35"/>
    </row>
    <row r="76" spans="9:9" x14ac:dyDescent="0.25">
      <c r="I76" s="35"/>
    </row>
    <row r="77" spans="9:9" x14ac:dyDescent="0.25">
      <c r="I77" s="35"/>
    </row>
    <row r="78" spans="9:9" x14ac:dyDescent="0.25">
      <c r="I78" s="35"/>
    </row>
    <row r="79" spans="9:9" x14ac:dyDescent="0.25">
      <c r="I79" s="35"/>
    </row>
    <row r="80" spans="9:9" x14ac:dyDescent="0.25">
      <c r="I80" s="35"/>
    </row>
  </sheetData>
  <mergeCells count="38">
    <mergeCell ref="B45:D45"/>
    <mergeCell ref="C50:G50"/>
    <mergeCell ref="C51:E51"/>
    <mergeCell ref="F51:F52"/>
    <mergeCell ref="G51:G52"/>
    <mergeCell ref="C52:E52"/>
    <mergeCell ref="B18:D18"/>
    <mergeCell ref="B44:D44"/>
    <mergeCell ref="A36:D36"/>
    <mergeCell ref="B38:D38"/>
    <mergeCell ref="B29:D29"/>
    <mergeCell ref="B26:D26"/>
    <mergeCell ref="B39:D39"/>
    <mergeCell ref="A41:D41"/>
    <mergeCell ref="B42:D42"/>
    <mergeCell ref="B43:D43"/>
    <mergeCell ref="B37:D37"/>
    <mergeCell ref="B14:D14"/>
    <mergeCell ref="B15:D15"/>
    <mergeCell ref="B13:D13"/>
    <mergeCell ref="B8:D8"/>
    <mergeCell ref="B9:D9"/>
    <mergeCell ref="A1:G1"/>
    <mergeCell ref="A28:C28"/>
    <mergeCell ref="A7:D7"/>
    <mergeCell ref="B23:D23"/>
    <mergeCell ref="B10:D10"/>
    <mergeCell ref="B11:D11"/>
    <mergeCell ref="B19:D19"/>
    <mergeCell ref="A2:G2"/>
    <mergeCell ref="B16:D16"/>
    <mergeCell ref="A3:G3"/>
    <mergeCell ref="B17:D17"/>
    <mergeCell ref="B20:D20"/>
    <mergeCell ref="B4:G4"/>
    <mergeCell ref="A25:D25"/>
    <mergeCell ref="A22:C22"/>
    <mergeCell ref="B12:D12"/>
  </mergeCells>
  <phoneticPr fontId="0" type="noConversion"/>
  <pageMargins left="0.7" right="0.7" top="0.75" bottom="0.75" header="0.3" footer="0.3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8"/>
  <sheetViews>
    <sheetView workbookViewId="0">
      <selection sqref="A1:J1"/>
    </sheetView>
  </sheetViews>
  <sheetFormatPr defaultRowHeight="13.2" x14ac:dyDescent="0.25"/>
  <cols>
    <col min="1" max="1" width="10.88671875" customWidth="1"/>
    <col min="2" max="2" width="19.88671875" bestFit="1" customWidth="1"/>
    <col min="3" max="3" width="28.33203125" bestFit="1" customWidth="1"/>
    <col min="4" max="8" width="15.33203125" customWidth="1"/>
    <col min="9" max="9" width="14.109375" customWidth="1"/>
    <col min="10" max="10" width="15.33203125" customWidth="1"/>
    <col min="13" max="13" width="9.109375" customWidth="1"/>
    <col min="14" max="14" width="10.5546875" bestFit="1" customWidth="1"/>
  </cols>
  <sheetData>
    <row r="1" spans="1:13" ht="17.399999999999999" x14ac:dyDescent="0.3">
      <c r="A1" s="204" t="str">
        <f>'2019 Operating Budget'!A1:G1</f>
        <v>EAST CASEY COUNTY WATER DISTRICT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3" ht="17.399999999999999" x14ac:dyDescent="0.3">
      <c r="A2" s="204" t="s">
        <v>22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3" ht="15.6" x14ac:dyDescent="0.3">
      <c r="B3" s="12"/>
      <c r="C3" s="12"/>
      <c r="D3" s="12"/>
      <c r="E3" s="12"/>
      <c r="F3" s="12"/>
      <c r="G3" s="12"/>
      <c r="H3" s="12"/>
      <c r="I3" s="12"/>
    </row>
    <row r="5" spans="1:13" s="63" customFormat="1" ht="46.8" x14ac:dyDescent="0.25">
      <c r="A5" s="62" t="s">
        <v>23</v>
      </c>
      <c r="B5" s="62" t="s">
        <v>24</v>
      </c>
      <c r="C5" s="62" t="s">
        <v>25</v>
      </c>
      <c r="D5" s="62" t="s">
        <v>26</v>
      </c>
      <c r="E5" s="62" t="s">
        <v>27</v>
      </c>
      <c r="F5" s="62" t="s">
        <v>28</v>
      </c>
      <c r="G5" s="62" t="s">
        <v>29</v>
      </c>
      <c r="H5" s="62" t="s">
        <v>30</v>
      </c>
      <c r="I5" s="62" t="s">
        <v>31</v>
      </c>
      <c r="J5" s="62" t="s">
        <v>32</v>
      </c>
    </row>
    <row r="6" spans="1:13" ht="15" x14ac:dyDescent="0.25">
      <c r="A6" s="60"/>
      <c r="B6" s="60" t="s">
        <v>33</v>
      </c>
      <c r="C6" s="60"/>
      <c r="D6" s="64">
        <v>2014</v>
      </c>
      <c r="E6" s="66">
        <v>2960000</v>
      </c>
      <c r="F6" s="66">
        <v>2409584</v>
      </c>
      <c r="G6" s="202">
        <v>3.6299999999999999E-2</v>
      </c>
      <c r="H6" s="66">
        <v>115000</v>
      </c>
      <c r="I6" s="66">
        <v>83260.429999999993</v>
      </c>
      <c r="J6" s="117">
        <v>51502</v>
      </c>
      <c r="M6" s="63"/>
    </row>
    <row r="7" spans="1:13" ht="15" x14ac:dyDescent="0.25">
      <c r="A7" s="60"/>
      <c r="B7" s="60" t="s">
        <v>34</v>
      </c>
      <c r="C7" s="60"/>
      <c r="D7" s="64">
        <v>2013</v>
      </c>
      <c r="E7" s="66">
        <v>1004250</v>
      </c>
      <c r="F7" s="66">
        <v>819553</v>
      </c>
      <c r="G7" s="202">
        <v>0.01</v>
      </c>
      <c r="H7" s="66">
        <v>47008</v>
      </c>
      <c r="I7" s="66">
        <f>I9-I6</f>
        <v>7274.570000000007</v>
      </c>
      <c r="J7" s="117">
        <v>52963</v>
      </c>
      <c r="M7" s="63"/>
    </row>
    <row r="8" spans="1:13" ht="15" x14ac:dyDescent="0.25">
      <c r="A8" s="60"/>
      <c r="B8" s="60" t="s">
        <v>35</v>
      </c>
      <c r="C8" s="60"/>
      <c r="D8" s="64">
        <v>2014</v>
      </c>
      <c r="E8" s="66">
        <v>30552</v>
      </c>
      <c r="F8" s="66">
        <v>24187</v>
      </c>
      <c r="G8" s="190" t="s">
        <v>36</v>
      </c>
      <c r="H8" s="66">
        <v>1273</v>
      </c>
      <c r="I8" s="66"/>
      <c r="J8" s="117">
        <v>51502</v>
      </c>
      <c r="M8" s="63"/>
    </row>
    <row r="9" spans="1:13" ht="15" x14ac:dyDescent="0.25">
      <c r="A9" s="60"/>
      <c r="B9" s="60"/>
      <c r="C9" s="60"/>
      <c r="D9" s="64"/>
      <c r="E9" s="66"/>
      <c r="F9" s="66"/>
      <c r="G9" s="65"/>
      <c r="H9" s="66"/>
      <c r="I9" s="66">
        <v>90535</v>
      </c>
      <c r="J9" s="117"/>
      <c r="M9" s="63"/>
    </row>
    <row r="10" spans="1:13" ht="15" x14ac:dyDescent="0.25">
      <c r="A10" s="60"/>
      <c r="B10" s="60"/>
      <c r="C10" s="60"/>
      <c r="D10" s="64"/>
      <c r="E10" s="66"/>
      <c r="F10" s="66"/>
      <c r="G10" s="65"/>
      <c r="H10" s="66"/>
      <c r="I10" s="66"/>
      <c r="J10" s="117"/>
      <c r="M10" s="63"/>
    </row>
    <row r="11" spans="1:13" ht="15" x14ac:dyDescent="0.25">
      <c r="A11" s="60"/>
      <c r="B11" s="60"/>
      <c r="C11" s="60"/>
      <c r="D11" s="64"/>
      <c r="E11" s="66"/>
      <c r="F11" s="66"/>
      <c r="G11" s="65"/>
      <c r="H11" s="66"/>
      <c r="I11" s="66"/>
      <c r="J11" s="117"/>
      <c r="M11" s="63"/>
    </row>
    <row r="12" spans="1:13" ht="15.6" x14ac:dyDescent="0.3">
      <c r="B12" s="3"/>
      <c r="C12" s="3"/>
      <c r="D12" s="4" t="s">
        <v>37</v>
      </c>
      <c r="E12" s="6">
        <f>SUM(E6:E11)</f>
        <v>3994802</v>
      </c>
      <c r="F12" s="6">
        <f>SUM(F6:F11)</f>
        <v>3253324</v>
      </c>
      <c r="G12" s="3"/>
      <c r="H12" s="6">
        <f>SUM(H6:H11)</f>
        <v>163281</v>
      </c>
      <c r="I12" s="6">
        <f>SUM(I6:I11)</f>
        <v>181070</v>
      </c>
      <c r="M12" s="63"/>
    </row>
    <row r="13" spans="1:13" ht="15.6" x14ac:dyDescent="0.3">
      <c r="B13" s="3"/>
      <c r="C13" s="3"/>
      <c r="D13" s="3"/>
      <c r="E13" s="3"/>
      <c r="F13" s="3"/>
      <c r="G13" s="3"/>
      <c r="H13" s="3"/>
      <c r="I13" s="7"/>
      <c r="J13" s="67"/>
      <c r="M13" s="63"/>
    </row>
    <row r="14" spans="1:13" ht="15.6" x14ac:dyDescent="0.3">
      <c r="A14" s="4" t="s">
        <v>38</v>
      </c>
      <c r="B14" s="4"/>
      <c r="C14" s="4"/>
      <c r="D14" s="3"/>
      <c r="E14" s="3"/>
      <c r="F14" s="3"/>
      <c r="G14" s="3"/>
      <c r="H14" s="3"/>
      <c r="I14" s="17">
        <f>H12+I12</f>
        <v>344351</v>
      </c>
      <c r="M14" s="63"/>
    </row>
    <row r="15" spans="1:13" x14ac:dyDescent="0.25">
      <c r="M15" s="63"/>
    </row>
    <row r="16" spans="1:13" ht="15" x14ac:dyDescent="0.25">
      <c r="A16" s="214"/>
      <c r="B16" s="214"/>
      <c r="C16" s="214"/>
      <c r="D16" s="214"/>
      <c r="E16" s="214"/>
      <c r="F16" s="214"/>
      <c r="G16" s="214"/>
      <c r="H16" s="214"/>
      <c r="I16" s="214"/>
      <c r="M16" s="63"/>
    </row>
    <row r="17" spans="1:15" ht="15" x14ac:dyDescent="0.25">
      <c r="A17" s="214"/>
      <c r="B17" s="215"/>
      <c r="C17" s="215"/>
      <c r="D17" s="215"/>
      <c r="E17" s="215"/>
      <c r="F17" s="215"/>
      <c r="G17" s="215"/>
      <c r="H17" s="215"/>
      <c r="I17" s="215"/>
    </row>
    <row r="18" spans="1:15" x14ac:dyDescent="0.25">
      <c r="I18" s="67"/>
    </row>
    <row r="19" spans="1:15" x14ac:dyDescent="0.25">
      <c r="F19" s="72"/>
      <c r="G19" s="72"/>
      <c r="H19" s="72"/>
      <c r="I19" s="72"/>
      <c r="N19" s="203">
        <f>12*9583.33+0.04</f>
        <v>114999.99999999999</v>
      </c>
      <c r="O19">
        <f>(6922.4*11)-0.03+7114.06</f>
        <v>83260.429999999993</v>
      </c>
    </row>
    <row r="20" spans="1:15" x14ac:dyDescent="0.25">
      <c r="F20" s="98"/>
      <c r="G20" s="98"/>
      <c r="H20" s="98"/>
      <c r="I20" s="91"/>
    </row>
    <row r="21" spans="1:15" x14ac:dyDescent="0.25">
      <c r="F21" s="99"/>
      <c r="G21" s="99"/>
      <c r="H21" s="99"/>
      <c r="I21" s="67"/>
    </row>
    <row r="22" spans="1:15" x14ac:dyDescent="0.25">
      <c r="F22" s="90"/>
      <c r="I22" s="67"/>
    </row>
    <row r="23" spans="1:15" x14ac:dyDescent="0.25">
      <c r="F23" s="90"/>
      <c r="I23" s="67"/>
    </row>
    <row r="24" spans="1:15" x14ac:dyDescent="0.25">
      <c r="F24" s="90"/>
      <c r="I24" s="67"/>
    </row>
    <row r="25" spans="1:15" x14ac:dyDescent="0.25">
      <c r="F25" s="90"/>
      <c r="I25" s="67"/>
    </row>
    <row r="26" spans="1:15" x14ac:dyDescent="0.25">
      <c r="F26" s="90"/>
      <c r="I26" s="67"/>
    </row>
    <row r="27" spans="1:15" x14ac:dyDescent="0.25">
      <c r="F27" s="90"/>
      <c r="I27" s="67"/>
    </row>
    <row r="28" spans="1:15" x14ac:dyDescent="0.25">
      <c r="F28" s="90"/>
    </row>
  </sheetData>
  <mergeCells count="4">
    <mergeCell ref="A1:J1"/>
    <mergeCell ref="A2:J2"/>
    <mergeCell ref="A16:I16"/>
    <mergeCell ref="A17:I17"/>
  </mergeCells>
  <phoneticPr fontId="9" type="noConversion"/>
  <pageMargins left="0.25" right="0.25" top="0.75" bottom="0.75" header="0.3" footer="0.3"/>
  <pageSetup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851"/>
  <sheetViews>
    <sheetView topLeftCell="A10" zoomScaleNormal="100" workbookViewId="0">
      <selection activeCell="M8" sqref="M8"/>
    </sheetView>
  </sheetViews>
  <sheetFormatPr defaultRowHeight="13.2" x14ac:dyDescent="0.25"/>
  <cols>
    <col min="1" max="2" width="3.6640625" customWidth="1"/>
    <col min="3" max="3" width="11.33203125" customWidth="1"/>
    <col min="4" max="4" width="25.44140625" customWidth="1"/>
    <col min="5" max="5" width="11.6640625" customWidth="1"/>
    <col min="6" max="6" width="12.6640625" customWidth="1"/>
    <col min="7" max="7" width="14.88671875" bestFit="1" customWidth="1"/>
    <col min="9" max="10" width="3.6640625" customWidth="1"/>
    <col min="11" max="11" width="11.33203125" customWidth="1"/>
    <col min="12" max="12" width="25.44140625" customWidth="1"/>
    <col min="13" max="13" width="11.6640625" customWidth="1"/>
    <col min="14" max="14" width="12.6640625" customWidth="1"/>
    <col min="15" max="15" width="14.109375" bestFit="1" customWidth="1"/>
    <col min="16" max="20" width="9.109375" customWidth="1"/>
  </cols>
  <sheetData>
    <row r="1" spans="1:27" ht="17.399999999999999" x14ac:dyDescent="0.3">
      <c r="A1" s="204" t="str">
        <f>'2019 Operating Budget'!A1</f>
        <v>EAST CASEY COUNTY WATER DISTRICT</v>
      </c>
      <c r="B1" s="204"/>
      <c r="C1" s="204"/>
      <c r="D1" s="204"/>
      <c r="E1" s="204"/>
      <c r="F1" s="204"/>
      <c r="G1" s="204"/>
      <c r="I1" s="204" t="str">
        <f>'2019 Operating Budget'!A1</f>
        <v>EAST CASEY COUNTY WATER DISTRICT</v>
      </c>
      <c r="J1" s="204"/>
      <c r="K1" s="204"/>
      <c r="L1" s="204"/>
      <c r="M1" s="204"/>
      <c r="N1" s="204"/>
      <c r="O1" s="204"/>
    </row>
    <row r="2" spans="1:27" s="2" customFormat="1" ht="17.399999999999999" x14ac:dyDescent="0.3">
      <c r="A2" s="204" t="s">
        <v>39</v>
      </c>
      <c r="B2" s="204"/>
      <c r="C2" s="204"/>
      <c r="D2" s="204"/>
      <c r="E2" s="204"/>
      <c r="F2" s="204"/>
      <c r="G2" s="204"/>
      <c r="I2" s="204" t="s">
        <v>39</v>
      </c>
      <c r="J2" s="204"/>
      <c r="K2" s="204"/>
      <c r="L2" s="204"/>
      <c r="M2" s="204"/>
      <c r="N2" s="204"/>
      <c r="O2" s="204"/>
    </row>
    <row r="3" spans="1:27" s="2" customFormat="1" ht="17.399999999999999" x14ac:dyDescent="0.3">
      <c r="A3" s="204" t="s">
        <v>40</v>
      </c>
      <c r="B3" s="204"/>
      <c r="C3" s="204"/>
      <c r="D3" s="204"/>
      <c r="E3" s="204"/>
      <c r="F3" s="204"/>
      <c r="G3" s="204"/>
      <c r="I3" s="204" t="s">
        <v>41</v>
      </c>
      <c r="J3" s="204"/>
      <c r="K3" s="204"/>
      <c r="L3" s="204"/>
      <c r="M3" s="204"/>
      <c r="N3" s="204"/>
      <c r="O3" s="204"/>
    </row>
    <row r="4" spans="1:27" s="2" customFormat="1" ht="13.8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27" s="2" customFormat="1" ht="15.6" x14ac:dyDescent="0.3">
      <c r="A5" s="4" t="s">
        <v>42</v>
      </c>
      <c r="B5" s="19"/>
      <c r="C5" s="19"/>
      <c r="D5" s="19"/>
      <c r="E5" s="20"/>
      <c r="F5" s="20"/>
      <c r="G5" s="19"/>
      <c r="H5" s="19"/>
      <c r="I5" s="4" t="s">
        <v>42</v>
      </c>
      <c r="J5" s="19"/>
      <c r="K5" s="19"/>
      <c r="L5" s="19"/>
      <c r="M5" s="20"/>
      <c r="N5" s="20"/>
      <c r="O5" s="19"/>
      <c r="AA5" s="3"/>
    </row>
    <row r="6" spans="1:27" s="2" customFormat="1" ht="13.8" x14ac:dyDescent="0.25">
      <c r="A6" s="19"/>
      <c r="B6" s="19" t="s">
        <v>43</v>
      </c>
      <c r="C6" s="19"/>
      <c r="D6" s="19"/>
      <c r="E6" s="26">
        <f>1920000*0.3</f>
        <v>576000</v>
      </c>
      <c r="F6" s="26"/>
      <c r="H6" s="19"/>
      <c r="I6" s="19"/>
      <c r="J6" s="19" t="s">
        <v>44</v>
      </c>
      <c r="K6" s="19"/>
      <c r="L6" s="19"/>
      <c r="M6" s="26">
        <v>0</v>
      </c>
      <c r="N6" s="19"/>
      <c r="P6" s="45"/>
    </row>
    <row r="7" spans="1:27" s="2" customFormat="1" ht="13.8" x14ac:dyDescent="0.25">
      <c r="A7" s="19"/>
      <c r="B7" s="19" t="s">
        <v>45</v>
      </c>
      <c r="C7" s="19"/>
      <c r="D7" s="19"/>
      <c r="E7" s="26">
        <f>1920000*0.7</f>
        <v>1344000</v>
      </c>
      <c r="F7" s="26"/>
      <c r="H7" s="19"/>
      <c r="I7" s="19"/>
      <c r="J7" s="19" t="s">
        <v>46</v>
      </c>
      <c r="K7" s="19"/>
      <c r="L7" s="19"/>
      <c r="M7" s="27">
        <v>1920000</v>
      </c>
      <c r="N7" s="19"/>
      <c r="P7" s="45"/>
    </row>
    <row r="8" spans="1:27" s="2" customFormat="1" ht="13.8" x14ac:dyDescent="0.25">
      <c r="A8" s="19"/>
      <c r="B8" s="19"/>
      <c r="C8" s="19"/>
      <c r="D8" s="19"/>
      <c r="E8" s="61">
        <f>SUM(E6:E7)</f>
        <v>1920000</v>
      </c>
      <c r="F8" s="19"/>
      <c r="H8" s="19"/>
      <c r="I8" s="19"/>
      <c r="J8" s="19"/>
      <c r="K8" s="19"/>
      <c r="L8" s="19"/>
      <c r="M8" s="61">
        <f>SUM(M6:M7)</f>
        <v>1920000</v>
      </c>
      <c r="N8" s="19"/>
      <c r="P8" s="45"/>
    </row>
    <row r="9" spans="1:27" s="2" customFormat="1" ht="13.8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27" s="2" customFormat="1" ht="15.6" x14ac:dyDescent="0.3">
      <c r="A10" s="4" t="s">
        <v>47</v>
      </c>
      <c r="B10" s="19"/>
      <c r="C10" s="19"/>
      <c r="D10" s="19"/>
      <c r="E10" s="19"/>
      <c r="F10" s="19"/>
      <c r="G10" s="19"/>
      <c r="H10" s="19"/>
      <c r="I10" s="4" t="s">
        <v>47</v>
      </c>
      <c r="J10" s="19"/>
      <c r="K10" s="19"/>
      <c r="L10" s="19"/>
      <c r="M10" s="19"/>
      <c r="N10" s="19"/>
      <c r="O10" s="19"/>
    </row>
    <row r="11" spans="1:27" s="2" customFormat="1" ht="13.8" x14ac:dyDescent="0.25">
      <c r="A11" s="38"/>
      <c r="B11" s="37"/>
      <c r="C11" s="21"/>
      <c r="D11" s="21"/>
      <c r="E11" s="26"/>
      <c r="F11" s="19"/>
      <c r="H11" s="19"/>
      <c r="I11" s="38"/>
      <c r="J11" s="37"/>
      <c r="K11" s="21"/>
      <c r="L11" s="21"/>
      <c r="M11" s="26"/>
      <c r="N11" s="19"/>
      <c r="O11" s="100"/>
    </row>
    <row r="12" spans="1:27" s="2" customFormat="1" ht="15" x14ac:dyDescent="0.25">
      <c r="A12" s="205" t="s">
        <v>6</v>
      </c>
      <c r="B12" s="205"/>
      <c r="C12" s="205"/>
      <c r="D12" s="205"/>
      <c r="E12" s="26"/>
      <c r="F12" s="19"/>
      <c r="G12" s="30"/>
      <c r="H12" s="19"/>
      <c r="I12" s="205" t="s">
        <v>6</v>
      </c>
      <c r="J12" s="205"/>
      <c r="K12" s="205"/>
      <c r="L12" s="205"/>
      <c r="M12" s="26"/>
      <c r="N12" s="19"/>
      <c r="O12" s="30"/>
      <c r="AA12" s="3"/>
    </row>
    <row r="13" spans="1:27" s="2" customFormat="1" ht="15" x14ac:dyDescent="0.25">
      <c r="A13" s="36"/>
      <c r="B13" s="206" t="s">
        <v>48</v>
      </c>
      <c r="C13" s="206"/>
      <c r="D13" s="206"/>
      <c r="E13" s="25">
        <f>E7</f>
        <v>1344000</v>
      </c>
      <c r="F13" s="19"/>
      <c r="G13" s="30"/>
      <c r="H13" s="19"/>
      <c r="I13" s="36"/>
      <c r="J13" s="206" t="s">
        <v>49</v>
      </c>
      <c r="K13" s="206"/>
      <c r="L13" s="206"/>
      <c r="M13" s="25">
        <f>M7</f>
        <v>1920000</v>
      </c>
      <c r="N13" s="19"/>
      <c r="O13" s="30"/>
      <c r="AA13" s="3"/>
    </row>
    <row r="14" spans="1:27" s="2" customFormat="1" ht="15" x14ac:dyDescent="0.25">
      <c r="A14" s="38"/>
      <c r="C14" s="19" t="s">
        <v>50</v>
      </c>
      <c r="D14" s="21"/>
      <c r="E14" s="19">
        <v>40</v>
      </c>
      <c r="F14" s="19"/>
      <c r="G14" s="30"/>
      <c r="H14" s="19"/>
      <c r="I14" s="38"/>
      <c r="K14" s="19" t="s">
        <v>50</v>
      </c>
      <c r="L14" s="21"/>
      <c r="M14" s="19">
        <v>40</v>
      </c>
      <c r="N14" s="19"/>
      <c r="O14" s="30"/>
      <c r="P14" s="19"/>
      <c r="Q14" s="19"/>
      <c r="AA14" s="3"/>
    </row>
    <row r="15" spans="1:27" s="2" customFormat="1" ht="15" x14ac:dyDescent="0.25">
      <c r="A15" s="38"/>
      <c r="B15" s="37"/>
      <c r="C15" s="19" t="s">
        <v>29</v>
      </c>
      <c r="D15" s="21"/>
      <c r="E15" s="140">
        <v>1.375E-2</v>
      </c>
      <c r="F15" s="19"/>
      <c r="G15" s="30"/>
      <c r="H15" s="19"/>
      <c r="I15" s="38"/>
      <c r="J15" s="37"/>
      <c r="K15" s="19" t="s">
        <v>29</v>
      </c>
      <c r="L15" s="21"/>
      <c r="M15" s="140">
        <v>1.375E-2</v>
      </c>
      <c r="N15" s="19"/>
      <c r="O15" s="30"/>
      <c r="P15" s="19"/>
      <c r="Q15" s="19"/>
      <c r="AA15" s="3"/>
    </row>
    <row r="16" spans="1:27" s="2" customFormat="1" ht="15" x14ac:dyDescent="0.25">
      <c r="A16" s="38"/>
      <c r="B16" s="37"/>
      <c r="C16" s="19" t="s">
        <v>51</v>
      </c>
      <c r="D16" s="21"/>
      <c r="E16" s="28">
        <f>((((1+E15)^E14)*E15)/(((1+E15)^E14)-1))</f>
        <v>3.2669307913474901E-2</v>
      </c>
      <c r="F16" s="19"/>
      <c r="G16" s="30"/>
      <c r="H16" s="19"/>
      <c r="I16" s="38"/>
      <c r="J16" s="37"/>
      <c r="K16" s="19" t="s">
        <v>51</v>
      </c>
      <c r="L16" s="21"/>
      <c r="M16" s="28">
        <f>((((1+M15)^M14)*M15)/(((1+M15)^M14)-1))</f>
        <v>3.2669307913474901E-2</v>
      </c>
      <c r="N16" s="19"/>
      <c r="O16" s="30"/>
      <c r="AA16" s="3"/>
    </row>
    <row r="17" spans="1:27" s="2" customFormat="1" ht="15" x14ac:dyDescent="0.25">
      <c r="A17" s="38"/>
      <c r="B17" s="37"/>
      <c r="C17" s="21"/>
      <c r="D17" s="21"/>
      <c r="E17" s="26"/>
      <c r="F17" s="19"/>
      <c r="G17" s="30"/>
      <c r="H17" s="19"/>
      <c r="I17" s="38"/>
      <c r="J17" s="37"/>
      <c r="K17" s="21"/>
      <c r="L17" s="21"/>
      <c r="M17" s="26"/>
      <c r="N17" s="19"/>
      <c r="O17" s="30"/>
      <c r="AA17" s="3"/>
    </row>
    <row r="18" spans="1:27" s="2" customFormat="1" ht="15" x14ac:dyDescent="0.25">
      <c r="A18" s="38"/>
      <c r="B18" s="206" t="s">
        <v>52</v>
      </c>
      <c r="C18" s="206"/>
      <c r="D18" s="206"/>
      <c r="E18" s="26"/>
      <c r="F18" s="19"/>
      <c r="G18" s="113">
        <f>E16*E13</f>
        <v>43907.54983571027</v>
      </c>
      <c r="H18" s="19"/>
      <c r="I18" s="38"/>
      <c r="J18" s="206" t="s">
        <v>52</v>
      </c>
      <c r="K18" s="206"/>
      <c r="L18" s="206"/>
      <c r="M18" s="26"/>
      <c r="N18" s="19"/>
      <c r="O18" s="43">
        <f>M13*M16</f>
        <v>62725.071193871809</v>
      </c>
      <c r="AA18" s="3"/>
    </row>
    <row r="19" spans="1:27" s="2" customFormat="1" ht="15" x14ac:dyDescent="0.25">
      <c r="A19" s="38"/>
      <c r="B19" s="37"/>
      <c r="C19" s="21"/>
      <c r="D19" s="21"/>
      <c r="E19" s="26"/>
      <c r="F19" s="19"/>
      <c r="G19" s="114"/>
      <c r="H19" s="19"/>
      <c r="I19" s="38"/>
      <c r="J19" s="21"/>
      <c r="K19" s="21"/>
      <c r="L19" s="21"/>
      <c r="M19" s="26"/>
      <c r="N19" s="19"/>
      <c r="O19" s="43"/>
      <c r="Q19" s="29"/>
      <c r="AA19" s="3"/>
    </row>
    <row r="20" spans="1:27" s="2" customFormat="1" ht="15" x14ac:dyDescent="0.25">
      <c r="A20" s="38"/>
      <c r="B20" s="37"/>
      <c r="C20" s="21"/>
      <c r="D20" s="21"/>
      <c r="E20" s="26"/>
      <c r="F20" s="19"/>
      <c r="G20" s="114"/>
      <c r="H20" s="19"/>
      <c r="I20" s="38"/>
      <c r="J20" s="37"/>
      <c r="K20" s="21"/>
      <c r="L20" s="21"/>
      <c r="M20" s="26"/>
      <c r="N20" s="19"/>
      <c r="O20" s="118"/>
      <c r="P20" s="29"/>
      <c r="Q20" s="29"/>
      <c r="AA20" s="3"/>
    </row>
    <row r="21" spans="1:27" s="2" customFormat="1" ht="15" x14ac:dyDescent="0.25">
      <c r="A21" s="36"/>
      <c r="B21" s="38" t="s">
        <v>9</v>
      </c>
      <c r="C21" s="19"/>
      <c r="D21" s="21"/>
      <c r="E21" s="26"/>
      <c r="F21" s="19"/>
      <c r="G21" s="114"/>
      <c r="H21" s="19"/>
      <c r="I21" s="36"/>
      <c r="J21" s="38" t="s">
        <v>9</v>
      </c>
      <c r="K21" s="19"/>
      <c r="L21" s="21"/>
      <c r="M21" s="26"/>
      <c r="N21" s="19"/>
      <c r="O21" s="118"/>
      <c r="P21" s="29"/>
      <c r="Y21" s="3"/>
    </row>
    <row r="22" spans="1:27" s="2" customFormat="1" ht="15" x14ac:dyDescent="0.25">
      <c r="A22" s="20"/>
      <c r="B22" s="39"/>
      <c r="C22" s="19" t="s">
        <v>53</v>
      </c>
      <c r="D22" s="19"/>
      <c r="E22" s="19"/>
      <c r="F22" s="19"/>
      <c r="G22" s="113">
        <f>G18*0.1</f>
        <v>4390.754983571027</v>
      </c>
      <c r="H22" s="19"/>
      <c r="I22" s="20"/>
      <c r="J22" s="39"/>
      <c r="K22" s="19" t="s">
        <v>53</v>
      </c>
      <c r="L22" s="19"/>
      <c r="M22" s="19"/>
      <c r="N22" s="19"/>
      <c r="O22" s="43">
        <f>O18*0.1</f>
        <v>6272.5071193871809</v>
      </c>
      <c r="Y22" s="3"/>
    </row>
    <row r="23" spans="1:27" s="2" customFormat="1" ht="15" x14ac:dyDescent="0.25">
      <c r="A23" s="38"/>
      <c r="B23" s="38"/>
      <c r="C23" s="38"/>
      <c r="D23" s="38"/>
      <c r="E23" s="19"/>
      <c r="F23" s="19"/>
      <c r="G23" s="113"/>
      <c r="H23" s="19"/>
      <c r="I23" s="19"/>
      <c r="J23" s="19"/>
      <c r="K23" s="19"/>
      <c r="L23" s="19"/>
      <c r="M23" s="34"/>
      <c r="N23" s="19"/>
      <c r="O23" s="45"/>
      <c r="S23" s="35"/>
      <c r="T23" s="35"/>
      <c r="Y23" s="3"/>
    </row>
    <row r="24" spans="1:27" s="2" customFormat="1" ht="15.6" x14ac:dyDescent="0.3">
      <c r="A24" s="19"/>
      <c r="B24" s="4" t="s">
        <v>13</v>
      </c>
      <c r="C24" s="3"/>
      <c r="D24" s="3"/>
      <c r="E24" s="3"/>
      <c r="F24" s="3"/>
      <c r="G24" s="115"/>
      <c r="H24" s="19"/>
      <c r="I24" s="19"/>
      <c r="J24" s="4" t="s">
        <v>13</v>
      </c>
      <c r="K24" s="3"/>
      <c r="L24" s="3"/>
      <c r="M24" s="3"/>
      <c r="N24" s="3"/>
      <c r="O24" s="119"/>
      <c r="S24" s="96"/>
      <c r="T24" s="96"/>
      <c r="Y24" s="3"/>
    </row>
    <row r="25" spans="1:27" s="2" customFormat="1" ht="15.6" x14ac:dyDescent="0.3">
      <c r="A25" s="19"/>
      <c r="B25" s="3"/>
      <c r="C25" s="4" t="s">
        <v>54</v>
      </c>
      <c r="D25" s="3"/>
      <c r="E25" s="3"/>
      <c r="F25" s="3"/>
      <c r="G25" s="115">
        <f>G18+G22</f>
        <v>48298.3048192813</v>
      </c>
      <c r="H25" s="19"/>
      <c r="I25" s="19"/>
      <c r="J25" s="3"/>
      <c r="K25" s="4" t="s">
        <v>54</v>
      </c>
      <c r="L25" s="3"/>
      <c r="M25" s="3"/>
      <c r="N25" s="3"/>
      <c r="O25" s="119">
        <f>SUM(O11:O23)</f>
        <v>68997.578313258986</v>
      </c>
      <c r="S25" s="96"/>
      <c r="T25" s="96"/>
      <c r="Y25" s="3"/>
    </row>
    <row r="26" spans="1:27" s="2" customFormat="1" ht="15" x14ac:dyDescent="0.25">
      <c r="A26" s="19"/>
      <c r="B26" s="19"/>
      <c r="C26" s="20"/>
      <c r="D26" s="19"/>
      <c r="E26" s="19"/>
      <c r="F26" s="19"/>
      <c r="G26" s="19"/>
      <c r="H26" s="19"/>
      <c r="I26" s="19"/>
      <c r="J26" s="19"/>
      <c r="K26" s="20"/>
      <c r="L26" s="19"/>
      <c r="M26" s="19"/>
      <c r="N26" s="19"/>
      <c r="O26" s="19"/>
      <c r="S26" s="96"/>
      <c r="T26" s="96"/>
      <c r="Y26" s="3"/>
    </row>
    <row r="27" spans="1:27" s="2" customFormat="1" ht="15" x14ac:dyDescent="0.25">
      <c r="A27" s="19"/>
      <c r="B27" s="68"/>
      <c r="C27" s="69"/>
      <c r="D27" s="68"/>
      <c r="E27" s="68"/>
      <c r="F27" s="68"/>
      <c r="G27" s="19"/>
      <c r="H27" s="19"/>
      <c r="I27" s="19"/>
      <c r="J27" s="19"/>
      <c r="K27" s="20"/>
      <c r="L27" s="19"/>
      <c r="M27" s="19"/>
      <c r="N27" s="19"/>
      <c r="O27" s="19"/>
      <c r="Y27" s="3"/>
    </row>
    <row r="28" spans="1:27" s="2" customFormat="1" ht="15" x14ac:dyDescent="0.25">
      <c r="A28" s="20"/>
      <c r="B28" s="19"/>
      <c r="C28" s="19"/>
      <c r="D28" s="19"/>
      <c r="E28" s="210" t="s">
        <v>55</v>
      </c>
      <c r="F28" s="210"/>
      <c r="G28" s="19"/>
      <c r="H28" s="19"/>
      <c r="I28" s="31"/>
      <c r="J28" s="31"/>
      <c r="K28" s="31"/>
      <c r="L28" s="31"/>
      <c r="M28" s="210" t="s">
        <v>55</v>
      </c>
      <c r="N28" s="210"/>
      <c r="O28" s="31"/>
      <c r="Y28" s="3"/>
    </row>
    <row r="29" spans="1:27" s="2" customFormat="1" ht="15" x14ac:dyDescent="0.25">
      <c r="A29" s="19"/>
      <c r="B29" s="19"/>
      <c r="C29" s="19"/>
      <c r="D29" s="19"/>
      <c r="E29" s="29" t="s">
        <v>56</v>
      </c>
      <c r="F29" s="29" t="s">
        <v>57</v>
      </c>
      <c r="G29" s="19"/>
      <c r="H29" s="19"/>
      <c r="M29" s="29" t="s">
        <v>56</v>
      </c>
      <c r="N29" s="19" t="s">
        <v>57</v>
      </c>
      <c r="Y29" s="3"/>
    </row>
    <row r="30" spans="1:27" s="2" customFormat="1" ht="15" x14ac:dyDescent="0.25">
      <c r="A30" s="19"/>
      <c r="B30" s="19"/>
      <c r="C30" s="19"/>
      <c r="D30" s="19"/>
      <c r="E30" s="43">
        <f>E13*E15</f>
        <v>18480</v>
      </c>
      <c r="F30" s="43">
        <f>G18-E30</f>
        <v>25427.54983571027</v>
      </c>
      <c r="G30" s="19"/>
      <c r="H30" s="19"/>
      <c r="J30" s="25"/>
      <c r="K30" s="25"/>
      <c r="M30" s="43">
        <f>M13*M15</f>
        <v>26400</v>
      </c>
      <c r="N30" s="43">
        <f>O18-M30</f>
        <v>36325.071193871809</v>
      </c>
      <c r="V30" s="3"/>
    </row>
    <row r="31" spans="1:27" s="2" customFormat="1" ht="15" x14ac:dyDescent="0.25">
      <c r="A31" s="19"/>
      <c r="B31" s="19"/>
      <c r="C31" s="19"/>
      <c r="D31" s="19"/>
      <c r="E31" s="19"/>
      <c r="F31" s="19"/>
      <c r="G31" s="19"/>
      <c r="H31" s="19"/>
      <c r="U31" s="97"/>
      <c r="X31" s="3"/>
    </row>
    <row r="32" spans="1:27" s="2" customFormat="1" ht="15" x14ac:dyDescent="0.25">
      <c r="H32" s="19"/>
      <c r="X32" s="3"/>
    </row>
    <row r="33" spans="1:27" s="2" customFormat="1" ht="15" x14ac:dyDescent="0.25">
      <c r="H33" s="19"/>
      <c r="AA33" s="3"/>
    </row>
    <row r="34" spans="1:27" s="2" customFormat="1" ht="13.8" x14ac:dyDescent="0.25">
      <c r="H34" s="19"/>
    </row>
    <row r="35" spans="1:27" s="2" customFormat="1" x14ac:dyDescent="0.25"/>
    <row r="36" spans="1:27" s="2" customFormat="1" x14ac:dyDescent="0.25"/>
    <row r="37" spans="1:27" s="2" customFormat="1" x14ac:dyDescent="0.25"/>
    <row r="38" spans="1:27" s="2" customFormat="1" x14ac:dyDescent="0.25"/>
    <row r="39" spans="1:27" s="2" customFormat="1" ht="15" x14ac:dyDescent="0.25">
      <c r="A39" s="3"/>
      <c r="C39" s="3"/>
      <c r="D39" s="3"/>
      <c r="E39" s="3"/>
      <c r="F39" s="3"/>
      <c r="G39" s="3"/>
      <c r="V39" s="97"/>
    </row>
    <row r="40" spans="1:27" s="2" customFormat="1" ht="15" x14ac:dyDescent="0.25">
      <c r="A40" s="3"/>
      <c r="C40" s="3"/>
      <c r="D40" s="3"/>
      <c r="E40" s="3"/>
      <c r="F40" s="3"/>
      <c r="G40" s="3"/>
      <c r="S40" s="3"/>
    </row>
    <row r="41" spans="1:27" s="2" customFormat="1" ht="15" x14ac:dyDescent="0.25">
      <c r="A41" s="3"/>
      <c r="C41" s="3"/>
      <c r="D41" s="3"/>
      <c r="E41" s="3"/>
      <c r="F41" s="3"/>
      <c r="G41" s="3"/>
      <c r="S41" s="3"/>
    </row>
    <row r="42" spans="1:27" s="2" customFormat="1" ht="15" x14ac:dyDescent="0.25">
      <c r="A42" s="3"/>
      <c r="C42" s="3"/>
      <c r="D42" s="3"/>
      <c r="E42" s="3"/>
      <c r="F42" s="3"/>
      <c r="G42" s="3"/>
      <c r="S42" s="8"/>
    </row>
    <row r="43" spans="1:27" s="2" customFormat="1" ht="15" x14ac:dyDescent="0.25">
      <c r="A43" s="3"/>
      <c r="C43" s="3"/>
      <c r="D43" s="3"/>
      <c r="E43" s="3"/>
      <c r="F43" s="3"/>
      <c r="G43" s="3"/>
      <c r="S43" s="9"/>
    </row>
    <row r="44" spans="1:27" s="2" customFormat="1" ht="15" x14ac:dyDescent="0.25">
      <c r="A44" s="3"/>
      <c r="C44" s="3"/>
      <c r="D44" s="3"/>
      <c r="E44" s="3"/>
      <c r="F44" s="3"/>
      <c r="G44" s="3"/>
      <c r="S44" s="9"/>
    </row>
    <row r="45" spans="1:27" s="2" customFormat="1" ht="15" x14ac:dyDescent="0.25">
      <c r="A45" s="3"/>
      <c r="C45" s="3"/>
      <c r="D45" s="3"/>
      <c r="E45" s="3"/>
      <c r="F45" s="3"/>
      <c r="G45" s="3"/>
      <c r="S45" s="9"/>
    </row>
    <row r="46" spans="1:27" s="2" customFormat="1" ht="15" x14ac:dyDescent="0.25">
      <c r="A46" s="3"/>
      <c r="C46" s="3"/>
      <c r="D46" s="3"/>
      <c r="E46" s="3"/>
      <c r="F46" s="3"/>
      <c r="G46" s="3"/>
      <c r="S46" s="9"/>
    </row>
    <row r="47" spans="1:27" s="2" customFormat="1" ht="15" x14ac:dyDescent="0.25">
      <c r="A47" s="3"/>
      <c r="C47" s="3"/>
      <c r="D47" s="3"/>
      <c r="E47" s="3"/>
      <c r="F47" s="3"/>
      <c r="G47" s="3"/>
      <c r="S47" s="9"/>
    </row>
    <row r="48" spans="1:27" s="2" customFormat="1" ht="15" x14ac:dyDescent="0.25">
      <c r="A48" s="3"/>
      <c r="B48" s="3"/>
      <c r="C48" s="3"/>
      <c r="D48" s="3"/>
      <c r="E48" s="3"/>
      <c r="F48" s="3"/>
      <c r="G48" s="3"/>
      <c r="S48" s="9"/>
    </row>
    <row r="49" spans="1:19" s="2" customFormat="1" ht="15" x14ac:dyDescent="0.25">
      <c r="A49" s="3"/>
      <c r="B49" s="10"/>
      <c r="C49" s="10"/>
      <c r="D49" s="10"/>
      <c r="E49" s="10"/>
      <c r="F49" s="10"/>
      <c r="G49" s="10"/>
      <c r="S49" s="3"/>
    </row>
    <row r="50" spans="1:19" s="2" customFormat="1" ht="15.6" x14ac:dyDescent="0.3">
      <c r="A50" s="4"/>
      <c r="B50" s="4"/>
      <c r="C50" s="4"/>
      <c r="D50" s="4"/>
      <c r="E50" s="4"/>
      <c r="F50" s="4"/>
      <c r="G50" s="4"/>
      <c r="S50" s="7"/>
    </row>
    <row r="51" spans="1:19" s="2" customFormat="1" ht="15" x14ac:dyDescent="0.25">
      <c r="S51" s="3"/>
    </row>
    <row r="52" spans="1:19" s="2" customFormat="1" ht="15" x14ac:dyDescent="0.25">
      <c r="S52" s="3"/>
    </row>
    <row r="53" spans="1:19" s="2" customFormat="1" ht="15" x14ac:dyDescent="0.25">
      <c r="S53" s="3"/>
    </row>
    <row r="54" spans="1:19" s="2" customFormat="1" x14ac:dyDescent="0.25"/>
    <row r="55" spans="1:19" s="2" customFormat="1" x14ac:dyDescent="0.25"/>
    <row r="56" spans="1:19" s="2" customFormat="1" x14ac:dyDescent="0.25"/>
    <row r="57" spans="1:19" s="2" customFormat="1" x14ac:dyDescent="0.25"/>
    <row r="58" spans="1:19" s="2" customFormat="1" x14ac:dyDescent="0.25"/>
    <row r="59" spans="1:19" s="2" customFormat="1" x14ac:dyDescent="0.25"/>
    <row r="60" spans="1:19" s="2" customFormat="1" x14ac:dyDescent="0.25"/>
    <row r="61" spans="1:19" s="2" customFormat="1" x14ac:dyDescent="0.25"/>
    <row r="62" spans="1:19" s="2" customFormat="1" x14ac:dyDescent="0.25"/>
    <row r="63" spans="1:19" s="2" customFormat="1" x14ac:dyDescent="0.25"/>
    <row r="64" spans="1:19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pans="1:15" s="2" customFormat="1" x14ac:dyDescent="0.25"/>
    <row r="2834" spans="1:15" s="2" customFormat="1" x14ac:dyDescent="0.25"/>
    <row r="2835" spans="1:15" s="2" customFormat="1" x14ac:dyDescent="0.25"/>
    <row r="2836" spans="1:15" s="2" customFormat="1" x14ac:dyDescent="0.25"/>
    <row r="2837" spans="1:15" s="2" customFormat="1" x14ac:dyDescent="0.25"/>
    <row r="2838" spans="1:15" s="2" customFormat="1" x14ac:dyDescent="0.25"/>
    <row r="2839" spans="1:15" s="2" customFormat="1" x14ac:dyDescent="0.25">
      <c r="I2839"/>
      <c r="J2839"/>
      <c r="K2839"/>
    </row>
    <row r="2840" spans="1:15" s="2" customFormat="1" x14ac:dyDescent="0.25">
      <c r="I2840"/>
      <c r="J2840"/>
      <c r="K2840"/>
    </row>
    <row r="2841" spans="1:15" s="2" customFormat="1" x14ac:dyDescent="0.25">
      <c r="A2841"/>
      <c r="B2841"/>
      <c r="C2841"/>
      <c r="D2841"/>
      <c r="E2841"/>
      <c r="F2841"/>
      <c r="G2841"/>
      <c r="I2841"/>
      <c r="J2841"/>
      <c r="K2841"/>
    </row>
    <row r="2842" spans="1:15" s="2" customFormat="1" x14ac:dyDescent="0.25">
      <c r="A2842"/>
      <c r="B2842"/>
      <c r="C2842"/>
      <c r="D2842"/>
      <c r="E2842"/>
      <c r="F2842"/>
      <c r="G2842"/>
      <c r="I2842"/>
      <c r="J2842"/>
      <c r="K2842"/>
    </row>
    <row r="2843" spans="1:15" s="2" customFormat="1" x14ac:dyDescent="0.25">
      <c r="A2843"/>
      <c r="B2843"/>
      <c r="C2843"/>
      <c r="D2843"/>
      <c r="E2843"/>
      <c r="F2843"/>
      <c r="G2843"/>
      <c r="I2843"/>
      <c r="J2843"/>
      <c r="K2843"/>
    </row>
    <row r="2844" spans="1:15" s="2" customFormat="1" x14ac:dyDescent="0.25">
      <c r="A2844"/>
      <c r="B2844"/>
      <c r="C2844"/>
      <c r="D2844"/>
      <c r="E2844"/>
      <c r="F2844"/>
      <c r="G2844"/>
      <c r="H2844"/>
      <c r="I2844"/>
      <c r="J2844"/>
      <c r="K2844"/>
    </row>
    <row r="2845" spans="1:15" s="2" customFormat="1" x14ac:dyDescent="0.2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</row>
    <row r="2846" spans="1:15" s="2" customFormat="1" x14ac:dyDescent="0.2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</row>
    <row r="2847" spans="1:15" s="2" customFormat="1" x14ac:dyDescent="0.2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</row>
    <row r="2848" spans="1:15" s="2" customFormat="1" x14ac:dyDescent="0.2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</row>
    <row r="2849" spans="1:16" s="2" customFormat="1" x14ac:dyDescent="0.2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</row>
    <row r="2850" spans="1:16" s="2" customFormat="1" x14ac:dyDescent="0.2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</row>
    <row r="2851" spans="1:16" x14ac:dyDescent="0.25">
      <c r="P2851" s="2"/>
    </row>
  </sheetData>
  <mergeCells count="14">
    <mergeCell ref="A1:G1"/>
    <mergeCell ref="A2:G2"/>
    <mergeCell ref="A3:G3"/>
    <mergeCell ref="E28:F28"/>
    <mergeCell ref="A12:D12"/>
    <mergeCell ref="B13:D13"/>
    <mergeCell ref="B18:D18"/>
    <mergeCell ref="I2:O2"/>
    <mergeCell ref="I3:O3"/>
    <mergeCell ref="I1:O1"/>
    <mergeCell ref="M28:N28"/>
    <mergeCell ref="I12:L12"/>
    <mergeCell ref="J13:L13"/>
    <mergeCell ref="J18:L18"/>
  </mergeCells>
  <phoneticPr fontId="0" type="noConversion"/>
  <pageMargins left="1.25" right="0.75" top="1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773"/>
  <sheetViews>
    <sheetView zoomScaleNormal="100" workbookViewId="0">
      <selection sqref="A1:G1"/>
    </sheetView>
  </sheetViews>
  <sheetFormatPr defaultColWidth="9.109375" defaultRowHeight="15.6" x14ac:dyDescent="0.3"/>
  <cols>
    <col min="1" max="3" width="3.6640625" style="1" customWidth="1"/>
    <col min="4" max="4" width="37.44140625" style="1" customWidth="1"/>
    <col min="5" max="5" width="11.6640625" style="1" customWidth="1"/>
    <col min="6" max="6" width="14" style="1" bestFit="1" customWidth="1"/>
    <col min="7" max="7" width="13.33203125" style="1" customWidth="1"/>
    <col min="8" max="8" width="9.109375" style="1"/>
    <col min="9" max="11" width="3.6640625" style="1" customWidth="1"/>
    <col min="12" max="12" width="37.44140625" style="1" customWidth="1"/>
    <col min="13" max="13" width="11.6640625" style="1" customWidth="1"/>
    <col min="14" max="14" width="14" style="1" customWidth="1"/>
    <col min="15" max="15" width="13.33203125" style="1" customWidth="1"/>
    <col min="16" max="16384" width="9.109375" style="1"/>
  </cols>
  <sheetData>
    <row r="1" spans="1:15" ht="17.399999999999999" x14ac:dyDescent="0.3">
      <c r="A1" s="204" t="str">
        <f>'2019 Operating Budget'!A1</f>
        <v>EAST CASEY COUNTY WATER DISTRICT</v>
      </c>
      <c r="B1" s="204"/>
      <c r="C1" s="204"/>
      <c r="D1" s="204"/>
      <c r="E1" s="204"/>
      <c r="F1" s="204"/>
      <c r="G1" s="204"/>
      <c r="I1" s="204" t="str">
        <f>'2019 Operating Budget'!A1</f>
        <v>EAST CASEY COUNTY WATER DISTRICT</v>
      </c>
      <c r="J1" s="204"/>
      <c r="K1" s="204"/>
      <c r="L1" s="204"/>
      <c r="M1" s="204"/>
      <c r="N1" s="204"/>
      <c r="O1" s="204"/>
    </row>
    <row r="2" spans="1:15" s="3" customFormat="1" ht="17.399999999999999" x14ac:dyDescent="0.3">
      <c r="A2" s="204" t="s">
        <v>58</v>
      </c>
      <c r="B2" s="204"/>
      <c r="C2" s="204"/>
      <c r="D2" s="204"/>
      <c r="E2" s="204"/>
      <c r="F2" s="204"/>
      <c r="G2" s="204"/>
      <c r="I2" s="204" t="s">
        <v>58</v>
      </c>
      <c r="J2" s="204"/>
      <c r="K2" s="204"/>
      <c r="L2" s="204"/>
      <c r="M2" s="204"/>
      <c r="N2" s="204"/>
      <c r="O2" s="204"/>
    </row>
    <row r="3" spans="1:15" s="3" customFormat="1" ht="17.399999999999999" x14ac:dyDescent="0.3">
      <c r="A3" s="204" t="s">
        <v>59</v>
      </c>
      <c r="B3" s="204"/>
      <c r="C3" s="204"/>
      <c r="D3" s="204"/>
      <c r="E3" s="204"/>
      <c r="F3" s="204"/>
      <c r="G3" s="204"/>
      <c r="I3" s="204" t="s">
        <v>60</v>
      </c>
      <c r="J3" s="204"/>
      <c r="K3" s="204"/>
      <c r="L3" s="204"/>
      <c r="M3" s="204"/>
      <c r="N3" s="204"/>
      <c r="O3" s="204"/>
    </row>
    <row r="4" spans="1:15" s="3" customFormat="1" x14ac:dyDescent="0.3">
      <c r="B4" s="13"/>
      <c r="C4" s="13"/>
      <c r="D4" s="13"/>
      <c r="E4" s="14"/>
      <c r="F4" s="14"/>
      <c r="J4" s="13"/>
      <c r="K4" s="13"/>
      <c r="L4" s="13"/>
      <c r="M4" s="14"/>
      <c r="N4" s="14"/>
    </row>
    <row r="5" spans="1:15" s="3" customFormat="1" x14ac:dyDescent="0.3">
      <c r="B5" s="13"/>
      <c r="C5" s="13"/>
      <c r="D5" s="13"/>
      <c r="E5" s="14"/>
      <c r="F5" s="14"/>
      <c r="J5" s="13"/>
      <c r="K5" s="13"/>
      <c r="L5" s="13"/>
      <c r="M5" s="14"/>
      <c r="N5" s="14"/>
    </row>
    <row r="6" spans="1:15" s="3" customFormat="1" ht="15.75" customHeight="1" x14ac:dyDescent="0.25">
      <c r="A6" s="205" t="s">
        <v>4</v>
      </c>
      <c r="B6" s="205"/>
      <c r="C6" s="205"/>
      <c r="D6" s="205"/>
      <c r="E6" s="21"/>
      <c r="F6" s="21"/>
      <c r="I6" s="205" t="s">
        <v>4</v>
      </c>
      <c r="J6" s="205"/>
      <c r="K6" s="205"/>
      <c r="L6" s="205"/>
      <c r="M6" s="21"/>
      <c r="N6" s="21"/>
    </row>
    <row r="7" spans="1:15" s="3" customFormat="1" ht="15" x14ac:dyDescent="0.25">
      <c r="A7" s="19"/>
      <c r="B7" s="206" t="s">
        <v>61</v>
      </c>
      <c r="C7" s="206"/>
      <c r="D7" s="206"/>
      <c r="E7" s="30"/>
      <c r="F7" s="30">
        <f>'2019 Operating Budget'!G21</f>
        <v>1822753</v>
      </c>
      <c r="G7" s="15"/>
      <c r="I7" s="19"/>
      <c r="J7" s="206" t="s">
        <v>61</v>
      </c>
      <c r="K7" s="206"/>
      <c r="L7" s="206"/>
      <c r="M7" s="30"/>
      <c r="N7" s="30">
        <f>F7</f>
        <v>1822753</v>
      </c>
      <c r="O7" s="15"/>
    </row>
    <row r="8" spans="1:15" s="3" customFormat="1" ht="15" x14ac:dyDescent="0.25">
      <c r="A8" s="19"/>
      <c r="B8" s="206" t="s">
        <v>62</v>
      </c>
      <c r="C8" s="206"/>
      <c r="D8" s="206"/>
      <c r="E8" s="30"/>
      <c r="F8" s="27">
        <f>'Cash Flow Analysis'!M13-'Percent Rate Increase'!F7</f>
        <v>245456</v>
      </c>
      <c r="G8" s="15"/>
      <c r="I8" s="19"/>
      <c r="J8" s="206" t="str">
        <f>B8</f>
        <v>Proposed Increase (Beginning 2022)</v>
      </c>
      <c r="K8" s="206"/>
      <c r="L8" s="206"/>
      <c r="M8" s="30"/>
      <c r="N8" s="30">
        <f>F8</f>
        <v>245456</v>
      </c>
      <c r="O8" s="15"/>
    </row>
    <row r="9" spans="1:15" s="3" customFormat="1" ht="15" x14ac:dyDescent="0.25">
      <c r="A9" s="19"/>
      <c r="B9" s="21"/>
      <c r="C9" s="21"/>
      <c r="D9" s="21"/>
      <c r="E9" s="30"/>
      <c r="F9" s="30"/>
      <c r="G9" s="30">
        <f>SUM(F7:F8)</f>
        <v>2068209</v>
      </c>
      <c r="I9" s="19"/>
      <c r="J9" s="21"/>
      <c r="K9" s="21"/>
      <c r="L9" s="21"/>
      <c r="M9" s="30"/>
      <c r="N9" s="30"/>
      <c r="O9" s="30">
        <f>SUM(N7:N8)</f>
        <v>2068209</v>
      </c>
    </row>
    <row r="10" spans="1:15" s="3" customFormat="1" ht="15" x14ac:dyDescent="0.25">
      <c r="A10" s="19"/>
      <c r="B10" s="21"/>
      <c r="C10" s="21"/>
      <c r="D10" s="21"/>
      <c r="E10" s="30"/>
      <c r="F10" s="30"/>
      <c r="G10" s="15"/>
      <c r="I10" s="19"/>
      <c r="J10" s="21"/>
      <c r="K10" s="21"/>
      <c r="L10" s="21"/>
      <c r="M10" s="30"/>
      <c r="N10" s="30"/>
      <c r="O10" s="15"/>
    </row>
    <row r="11" spans="1:15" s="3" customFormat="1" ht="15.75" customHeight="1" x14ac:dyDescent="0.25">
      <c r="A11" s="205" t="s">
        <v>63</v>
      </c>
      <c r="B11" s="205"/>
      <c r="C11" s="205"/>
      <c r="D11" s="205"/>
      <c r="E11" s="21"/>
      <c r="F11" s="21"/>
      <c r="I11" s="205" t="s">
        <v>63</v>
      </c>
      <c r="J11" s="205"/>
      <c r="K11" s="205"/>
      <c r="L11" s="205"/>
      <c r="M11" s="21"/>
      <c r="N11" s="21"/>
    </row>
    <row r="12" spans="1:15" s="3" customFormat="1" ht="15" x14ac:dyDescent="0.25">
      <c r="A12" s="19"/>
      <c r="B12" s="206" t="s">
        <v>61</v>
      </c>
      <c r="C12" s="206"/>
      <c r="D12" s="206"/>
      <c r="E12" s="30"/>
      <c r="F12" s="30">
        <f>'2019 Operating Budget'!F23</f>
        <v>253816</v>
      </c>
      <c r="G12" s="15"/>
      <c r="I12" s="19"/>
      <c r="J12" s="206" t="s">
        <v>61</v>
      </c>
      <c r="K12" s="206"/>
      <c r="L12" s="206"/>
      <c r="M12" s="30"/>
      <c r="N12" s="30">
        <f>F12</f>
        <v>253816</v>
      </c>
      <c r="O12" s="15"/>
    </row>
    <row r="13" spans="1:15" s="3" customFormat="1" ht="15" x14ac:dyDescent="0.25">
      <c r="A13" s="19"/>
      <c r="B13" s="206" t="s">
        <v>62</v>
      </c>
      <c r="C13" s="206"/>
      <c r="D13" s="206"/>
      <c r="E13" s="30"/>
      <c r="F13" s="27">
        <f>'Project Revenue Requirements'!G18+(SUM('Cash Flow Analysis'!M31:M32)-F12)</f>
        <v>47663.54983571027</v>
      </c>
      <c r="G13" s="15"/>
      <c r="I13" s="19"/>
      <c r="J13" s="206" t="str">
        <f>B13</f>
        <v>Proposed Increase (Beginning 2022)</v>
      </c>
      <c r="K13" s="206"/>
      <c r="L13" s="206"/>
      <c r="M13" s="30"/>
      <c r="N13" s="188">
        <f>'Project Revenue Requirements'!O18+(SUM('Cash Flow Analysis'!M31:M32)-N12)</f>
        <v>66481.071193871816</v>
      </c>
      <c r="O13" s="15"/>
    </row>
    <row r="14" spans="1:15" s="3" customFormat="1" ht="15" x14ac:dyDescent="0.25">
      <c r="A14" s="19"/>
      <c r="B14" s="21"/>
      <c r="C14" s="21"/>
      <c r="D14" s="21"/>
      <c r="E14" s="30"/>
      <c r="F14" s="30"/>
      <c r="G14" s="30">
        <f>SUM(F12:F13)</f>
        <v>301479.54983571026</v>
      </c>
      <c r="I14" s="19"/>
      <c r="J14" s="21"/>
      <c r="K14" s="21"/>
      <c r="L14" s="21"/>
      <c r="M14" s="30"/>
      <c r="N14" s="30"/>
      <c r="O14" s="30">
        <f>SUM(N12:N13)</f>
        <v>320297.07119387179</v>
      </c>
    </row>
    <row r="15" spans="1:15" s="3" customFormat="1" ht="15" x14ac:dyDescent="0.25">
      <c r="A15" s="19"/>
      <c r="B15" s="21"/>
      <c r="C15" s="21"/>
      <c r="D15" s="21"/>
      <c r="E15" s="30"/>
      <c r="F15" s="30"/>
      <c r="G15" s="15"/>
      <c r="I15" s="19"/>
      <c r="J15" s="21"/>
      <c r="K15" s="21"/>
      <c r="L15" s="21"/>
      <c r="M15" s="30"/>
      <c r="N15" s="30"/>
      <c r="O15" s="15"/>
    </row>
    <row r="16" spans="1:15" s="3" customFormat="1" ht="15.75" customHeight="1" x14ac:dyDescent="0.25">
      <c r="A16" s="205" t="s">
        <v>9</v>
      </c>
      <c r="B16" s="205"/>
      <c r="C16" s="205"/>
      <c r="D16" s="205"/>
      <c r="E16" s="21"/>
      <c r="F16" s="21"/>
      <c r="I16" s="205" t="s">
        <v>9</v>
      </c>
      <c r="J16" s="205"/>
      <c r="K16" s="205"/>
      <c r="L16" s="205"/>
      <c r="M16" s="21"/>
      <c r="N16" s="21"/>
    </row>
    <row r="17" spans="1:15" s="3" customFormat="1" ht="15" x14ac:dyDescent="0.25">
      <c r="A17" s="19"/>
      <c r="B17" s="206" t="s">
        <v>61</v>
      </c>
      <c r="C17" s="206"/>
      <c r="D17" s="206"/>
      <c r="E17" s="30"/>
      <c r="F17" s="30">
        <f>'2019 Operating Budget'!F26</f>
        <v>8898</v>
      </c>
      <c r="G17" s="15"/>
      <c r="I17" s="19"/>
      <c r="J17" s="206" t="s">
        <v>61</v>
      </c>
      <c r="K17" s="206"/>
      <c r="L17" s="206"/>
      <c r="M17" s="30"/>
      <c r="N17" s="30">
        <f>F17</f>
        <v>8898</v>
      </c>
      <c r="O17" s="15"/>
    </row>
    <row r="18" spans="1:15" s="3" customFormat="1" ht="15" x14ac:dyDescent="0.25">
      <c r="A18" s="19"/>
      <c r="B18" s="206" t="s">
        <v>62</v>
      </c>
      <c r="C18" s="206"/>
      <c r="D18" s="206"/>
      <c r="E18" s="30"/>
      <c r="F18" s="27">
        <f>'Project Revenue Requirements'!G22+('Cash Flow Analysis'!M33)-F17</f>
        <v>3123.754983571027</v>
      </c>
      <c r="G18" s="15"/>
      <c r="I18" s="19"/>
      <c r="J18" s="206" t="str">
        <f>B18</f>
        <v>Proposed Increase (Beginning 2022)</v>
      </c>
      <c r="K18" s="206"/>
      <c r="L18" s="206"/>
      <c r="M18" s="30"/>
      <c r="N18" s="27">
        <f>'Project Revenue Requirements'!O22+('Cash Flow Analysis'!M33-N17)</f>
        <v>5005.5071193871809</v>
      </c>
      <c r="O18" s="15"/>
    </row>
    <row r="19" spans="1:15" s="3" customFormat="1" ht="15" x14ac:dyDescent="0.25">
      <c r="A19" s="19"/>
      <c r="B19" s="206"/>
      <c r="C19" s="206"/>
      <c r="D19" s="206"/>
      <c r="E19" s="30"/>
      <c r="F19" s="30"/>
      <c r="G19" s="30">
        <f>SUM(F17:F18)</f>
        <v>12021.754983571027</v>
      </c>
      <c r="I19" s="19"/>
      <c r="J19" s="206"/>
      <c r="K19" s="206"/>
      <c r="L19" s="206"/>
      <c r="M19" s="30"/>
      <c r="N19" s="30"/>
      <c r="O19" s="30">
        <f>SUM(N17:N18)</f>
        <v>13903.507119387181</v>
      </c>
    </row>
    <row r="20" spans="1:15" s="3" customFormat="1" ht="15" x14ac:dyDescent="0.25">
      <c r="A20" s="19"/>
      <c r="B20" s="21"/>
      <c r="C20" s="21"/>
      <c r="D20" s="21"/>
      <c r="E20" s="30"/>
      <c r="F20" s="30"/>
      <c r="G20" s="15"/>
      <c r="I20" s="19"/>
      <c r="J20" s="21"/>
      <c r="K20" s="21"/>
      <c r="L20" s="21"/>
      <c r="M20" s="30"/>
      <c r="N20" s="30"/>
      <c r="O20" s="15"/>
    </row>
    <row r="21" spans="1:15" s="3" customFormat="1" ht="15.75" customHeight="1" x14ac:dyDescent="0.25">
      <c r="A21" s="206" t="s">
        <v>64</v>
      </c>
      <c r="B21" s="206"/>
      <c r="C21" s="206"/>
      <c r="D21" s="206"/>
      <c r="E21" s="21"/>
      <c r="F21" s="21"/>
      <c r="I21" s="206" t="s">
        <v>64</v>
      </c>
      <c r="J21" s="206"/>
      <c r="K21" s="206"/>
      <c r="L21" s="206"/>
      <c r="M21" s="21"/>
      <c r="N21" s="21"/>
    </row>
    <row r="22" spans="1:15" s="3" customFormat="1" ht="15" x14ac:dyDescent="0.25">
      <c r="A22" s="19"/>
      <c r="B22" s="206" t="s">
        <v>61</v>
      </c>
      <c r="C22" s="206"/>
      <c r="D22" s="206"/>
      <c r="E22" s="30"/>
      <c r="F22" s="30">
        <f>'2019 Operating Budget'!F29</f>
        <v>0</v>
      </c>
      <c r="G22" s="15"/>
      <c r="I22" s="19"/>
      <c r="J22" s="206" t="s">
        <v>61</v>
      </c>
      <c r="K22" s="206"/>
      <c r="L22" s="206"/>
      <c r="M22" s="30"/>
      <c r="N22" s="30">
        <f>'2019 Operating Budget'!N29</f>
        <v>0</v>
      </c>
      <c r="O22" s="15"/>
    </row>
    <row r="23" spans="1:15" s="3" customFormat="1" ht="15" x14ac:dyDescent="0.25">
      <c r="A23" s="19"/>
      <c r="B23" s="206" t="s">
        <v>62</v>
      </c>
      <c r="C23" s="206"/>
      <c r="D23" s="206"/>
      <c r="E23" s="30"/>
      <c r="F23" s="27">
        <v>0</v>
      </c>
      <c r="G23" s="15"/>
      <c r="I23" s="19"/>
      <c r="J23" s="206" t="str">
        <f>B23</f>
        <v>Proposed Increase (Beginning 2022)</v>
      </c>
      <c r="K23" s="206"/>
      <c r="L23" s="206"/>
      <c r="M23" s="30"/>
      <c r="N23" s="27">
        <f>F23</f>
        <v>0</v>
      </c>
      <c r="O23" s="15"/>
    </row>
    <row r="24" spans="1:15" s="3" customFormat="1" ht="15" x14ac:dyDescent="0.25">
      <c r="A24" s="19"/>
      <c r="B24" s="21"/>
      <c r="C24" s="21"/>
      <c r="D24" s="21"/>
      <c r="E24" s="30"/>
      <c r="F24" s="30"/>
      <c r="G24" s="30">
        <f>SUM(F22:F23)</f>
        <v>0</v>
      </c>
      <c r="I24" s="19"/>
      <c r="J24" s="21"/>
      <c r="K24" s="21"/>
      <c r="L24" s="21"/>
      <c r="M24" s="30"/>
      <c r="N24" s="30"/>
      <c r="O24" s="30">
        <f>SUM(N22:N23)</f>
        <v>0</v>
      </c>
    </row>
    <row r="25" spans="1:15" s="3" customFormat="1" thickBot="1" x14ac:dyDescent="0.3">
      <c r="A25" s="19"/>
      <c r="B25" s="21"/>
      <c r="C25" s="21"/>
      <c r="D25" s="21"/>
      <c r="E25" s="30"/>
      <c r="F25" s="30"/>
      <c r="G25" s="15"/>
      <c r="I25" s="19"/>
      <c r="J25" s="21"/>
      <c r="K25" s="21"/>
      <c r="L25" s="21"/>
      <c r="M25" s="30"/>
      <c r="N25" s="30"/>
      <c r="O25" s="15"/>
    </row>
    <row r="26" spans="1:15" s="3" customFormat="1" ht="15" x14ac:dyDescent="0.25">
      <c r="A26" s="19"/>
      <c r="B26" s="21"/>
      <c r="C26" s="22" t="s">
        <v>65</v>
      </c>
      <c r="D26" s="19"/>
      <c r="E26" s="19"/>
      <c r="F26" s="19"/>
      <c r="G26" s="42">
        <f>SUM(G9:G24)</f>
        <v>2381710.3048192812</v>
      </c>
      <c r="I26" s="19"/>
      <c r="J26" s="21"/>
      <c r="K26" s="22" t="s">
        <v>65</v>
      </c>
      <c r="L26" s="19"/>
      <c r="M26" s="19"/>
      <c r="N26" s="19"/>
      <c r="O26" s="42">
        <f>SUM(O9:O24)</f>
        <v>2402409.5783132594</v>
      </c>
    </row>
    <row r="27" spans="1:15" s="3" customFormat="1" x14ac:dyDescent="0.3">
      <c r="A27" s="19"/>
      <c r="B27" s="21"/>
      <c r="C27" s="13"/>
      <c r="G27" s="41"/>
      <c r="I27" s="19"/>
      <c r="J27" s="21"/>
      <c r="K27" s="13"/>
      <c r="O27" s="41"/>
    </row>
    <row r="28" spans="1:15" s="3" customFormat="1" ht="15" x14ac:dyDescent="0.25">
      <c r="A28" s="19"/>
      <c r="B28" s="21"/>
      <c r="C28" s="21"/>
      <c r="D28" s="21"/>
      <c r="E28" s="30"/>
      <c r="F28" s="30"/>
      <c r="G28" s="15"/>
      <c r="I28" s="19"/>
      <c r="J28" s="21"/>
      <c r="K28" s="21"/>
      <c r="L28" s="21"/>
      <c r="M28" s="30"/>
      <c r="N28" s="30"/>
      <c r="O28" s="15"/>
    </row>
    <row r="29" spans="1:15" s="3" customFormat="1" ht="15" x14ac:dyDescent="0.25">
      <c r="A29" s="19"/>
      <c r="B29" s="21"/>
      <c r="C29" s="21"/>
      <c r="D29" s="19" t="s">
        <v>66</v>
      </c>
      <c r="E29" s="19"/>
      <c r="F29" s="19"/>
      <c r="G29" s="15"/>
      <c r="I29" s="19"/>
      <c r="J29" s="21"/>
      <c r="K29" s="21"/>
      <c r="L29" s="19" t="s">
        <v>66</v>
      </c>
      <c r="M29" s="19"/>
      <c r="N29" s="19"/>
      <c r="O29" s="15"/>
    </row>
    <row r="30" spans="1:15" s="3" customFormat="1" ht="15" x14ac:dyDescent="0.25">
      <c r="A30" s="19"/>
      <c r="B30" s="21"/>
      <c r="C30" s="21"/>
      <c r="D30" s="19" t="s">
        <v>67</v>
      </c>
      <c r="F30" s="187">
        <f>'Cash Flow Analysis'!M7+'Cash Flow Analysis'!M8+'Cash Flow Analysis'!M21</f>
        <v>117018</v>
      </c>
      <c r="G30" s="15"/>
      <c r="I30" s="19"/>
      <c r="J30" s="21"/>
      <c r="K30" s="21"/>
      <c r="L30" s="19" t="s">
        <v>67</v>
      </c>
      <c r="N30" s="187">
        <f>F30</f>
        <v>117018</v>
      </c>
      <c r="O30" s="15"/>
    </row>
    <row r="31" spans="1:15" s="3" customFormat="1" ht="15" x14ac:dyDescent="0.25">
      <c r="A31" s="19"/>
      <c r="B31" s="21"/>
      <c r="C31" s="21"/>
      <c r="D31" s="19"/>
      <c r="F31" s="23"/>
      <c r="G31" s="15"/>
      <c r="I31" s="19"/>
      <c r="J31" s="21"/>
      <c r="K31" s="21"/>
      <c r="L31" s="19"/>
      <c r="N31" s="23"/>
      <c r="O31" s="15"/>
    </row>
    <row r="32" spans="1:15" s="3" customFormat="1" thickBot="1" x14ac:dyDescent="0.3">
      <c r="A32" s="19"/>
      <c r="B32" s="21"/>
      <c r="C32" s="21"/>
      <c r="D32" s="21"/>
      <c r="E32" s="30"/>
      <c r="F32" s="30"/>
      <c r="G32" s="15"/>
      <c r="I32" s="19"/>
      <c r="J32" s="21"/>
      <c r="K32" s="21"/>
      <c r="L32" s="21"/>
      <c r="M32" s="30"/>
      <c r="N32" s="30"/>
      <c r="O32" s="15"/>
    </row>
    <row r="33" spans="1:15" s="3" customFormat="1" ht="15.75" customHeight="1" x14ac:dyDescent="0.25">
      <c r="A33" s="20"/>
      <c r="B33" s="20"/>
      <c r="C33" s="22" t="s">
        <v>68</v>
      </c>
      <c r="D33" s="22"/>
      <c r="E33" s="21"/>
      <c r="F33" s="23"/>
      <c r="G33" s="42">
        <f>G26-F30</f>
        <v>2264692.3048192812</v>
      </c>
      <c r="I33" s="20"/>
      <c r="J33" s="20"/>
      <c r="K33" s="22" t="s">
        <v>68</v>
      </c>
      <c r="L33" s="22"/>
      <c r="M33" s="21"/>
      <c r="N33" s="23"/>
      <c r="O33" s="42">
        <f>O26-N30</f>
        <v>2285391.5783132594</v>
      </c>
    </row>
    <row r="34" spans="1:15" s="3" customFormat="1" ht="12.75" customHeight="1" x14ac:dyDescent="0.25">
      <c r="A34" s="20"/>
      <c r="B34" s="20"/>
      <c r="C34" s="22"/>
      <c r="D34" s="22"/>
      <c r="E34" s="21"/>
      <c r="F34" s="23"/>
      <c r="G34" s="24"/>
      <c r="I34" s="20"/>
      <c r="J34" s="20"/>
      <c r="K34" s="22"/>
      <c r="L34" s="22"/>
      <c r="M34" s="21"/>
      <c r="N34" s="23"/>
      <c r="O34" s="24"/>
    </row>
    <row r="35" spans="1:15" s="3" customFormat="1" ht="12.75" customHeight="1" x14ac:dyDescent="0.25">
      <c r="A35" s="20"/>
      <c r="B35" s="21"/>
      <c r="C35" s="22"/>
      <c r="D35" s="22"/>
      <c r="E35" s="21"/>
      <c r="F35" s="23"/>
      <c r="I35" s="20"/>
      <c r="J35" s="21"/>
      <c r="K35" s="22"/>
      <c r="L35" s="22"/>
      <c r="M35" s="21"/>
      <c r="N35" s="23"/>
    </row>
    <row r="36" spans="1:15" s="3" customFormat="1" ht="12.75" customHeight="1" x14ac:dyDescent="0.25">
      <c r="A36" s="209" t="s">
        <v>18</v>
      </c>
      <c r="B36" s="209"/>
      <c r="C36" s="209"/>
      <c r="D36" s="209"/>
      <c r="E36" s="209"/>
      <c r="F36" s="23"/>
      <c r="I36" s="209" t="s">
        <v>18</v>
      </c>
      <c r="J36" s="209"/>
      <c r="K36" s="209"/>
      <c r="L36" s="209"/>
      <c r="M36" s="209"/>
      <c r="N36" s="23"/>
    </row>
    <row r="37" spans="1:15" s="3" customFormat="1" ht="12.75" customHeight="1" x14ac:dyDescent="0.25">
      <c r="A37" s="20"/>
      <c r="B37" s="210" t="s">
        <v>19</v>
      </c>
      <c r="C37" s="210"/>
      <c r="D37" s="210"/>
      <c r="E37" s="211" t="s">
        <v>20</v>
      </c>
      <c r="F37" s="212">
        <f>(G33/'Cash Flow Analysis'!K6)-1</f>
        <v>0.31977383335331111</v>
      </c>
      <c r="I37" s="20"/>
      <c r="J37" s="210" t="s">
        <v>19</v>
      </c>
      <c r="K37" s="210"/>
      <c r="L37" s="210"/>
      <c r="M37" s="211" t="s">
        <v>20</v>
      </c>
      <c r="N37" s="212">
        <f>(O33/'Cash Flow Analysis'!L6)-1</f>
        <v>0.3318365579312339</v>
      </c>
    </row>
    <row r="38" spans="1:15" s="3" customFormat="1" ht="12.75" customHeight="1" x14ac:dyDescent="0.25">
      <c r="A38" s="20"/>
      <c r="B38" s="213" t="s">
        <v>21</v>
      </c>
      <c r="C38" s="213"/>
      <c r="D38" s="213"/>
      <c r="E38" s="211"/>
      <c r="F38" s="212"/>
      <c r="I38" s="20"/>
      <c r="J38" s="213" t="s">
        <v>21</v>
      </c>
      <c r="K38" s="213"/>
      <c r="L38" s="213"/>
      <c r="M38" s="211"/>
      <c r="N38" s="212"/>
    </row>
    <row r="39" spans="1:15" s="3" customFormat="1" ht="15" x14ac:dyDescent="0.25">
      <c r="A39" s="19"/>
      <c r="B39" s="19"/>
      <c r="C39" s="19"/>
      <c r="D39" s="19"/>
      <c r="E39" s="19"/>
      <c r="F39" s="19"/>
      <c r="I39" s="19"/>
      <c r="J39" s="19"/>
      <c r="K39" s="19"/>
      <c r="L39" s="19"/>
      <c r="M39" s="19"/>
      <c r="N39" s="19"/>
    </row>
    <row r="40" spans="1:15" s="3" customFormat="1" x14ac:dyDescent="0.25">
      <c r="A40" s="216" t="s">
        <v>69</v>
      </c>
      <c r="B40" s="216"/>
      <c r="C40" s="216"/>
      <c r="D40" s="216"/>
      <c r="I40" s="216" t="s">
        <v>69</v>
      </c>
      <c r="J40" s="216"/>
      <c r="K40" s="216"/>
      <c r="L40" s="216"/>
    </row>
    <row r="41" spans="1:15" s="3" customFormat="1" ht="15" x14ac:dyDescent="0.25">
      <c r="A41" s="19"/>
      <c r="B41" s="19" t="s">
        <v>70</v>
      </c>
      <c r="C41" s="19"/>
      <c r="D41" s="19"/>
      <c r="E41" s="43">
        <f>'Rates With Proposed Increase'!B8+(2*'Rates With Proposed Increase'!B9)</f>
        <v>32.08</v>
      </c>
      <c r="F41" s="43"/>
      <c r="I41" s="19"/>
      <c r="J41" s="19" t="s">
        <v>70</v>
      </c>
      <c r="K41" s="19"/>
      <c r="L41" s="19"/>
      <c r="M41" s="43">
        <f>'Rates With Proposed Increase'!H8+(2*'Rates With Proposed Increase'!H9)</f>
        <v>32.08</v>
      </c>
      <c r="N41" s="43"/>
    </row>
    <row r="42" spans="1:15" s="3" customFormat="1" ht="15" x14ac:dyDescent="0.25">
      <c r="A42" s="19"/>
      <c r="B42" s="19" t="s">
        <v>71</v>
      </c>
      <c r="C42" s="19"/>
      <c r="D42" s="19"/>
      <c r="E42" s="43">
        <f>'Rates With Proposed Increase'!D8+(2*'Rates With Proposed Increase'!D9)</f>
        <v>42.338344573974211</v>
      </c>
      <c r="I42" s="19"/>
      <c r="J42" s="19" t="s">
        <v>71</v>
      </c>
      <c r="K42" s="19"/>
      <c r="L42" s="19"/>
      <c r="M42" s="43">
        <f>'Rates With Proposed Increase'!J8+(2*'Rates With Proposed Increase'!J9)</f>
        <v>42.725316778433978</v>
      </c>
    </row>
    <row r="43" spans="1:15" s="3" customFormat="1" ht="15" x14ac:dyDescent="0.25"/>
    <row r="44" spans="1:15" s="3" customFormat="1" ht="15" x14ac:dyDescent="0.25"/>
    <row r="45" spans="1:15" s="3" customFormat="1" ht="15" x14ac:dyDescent="0.25">
      <c r="B45" s="68"/>
      <c r="C45" s="68"/>
      <c r="D45" s="68"/>
      <c r="E45" s="68"/>
      <c r="F45" s="68"/>
      <c r="G45" s="68"/>
    </row>
    <row r="46" spans="1:15" s="3" customFormat="1" ht="15" x14ac:dyDescent="0.25">
      <c r="B46" s="68"/>
      <c r="C46" s="68"/>
      <c r="D46" s="68"/>
      <c r="E46" s="68"/>
      <c r="F46" s="68"/>
      <c r="G46" s="68"/>
    </row>
    <row r="47" spans="1:15" s="3" customFormat="1" ht="15" x14ac:dyDescent="0.25"/>
    <row r="48" spans="1:15" s="3" customFormat="1" ht="15" x14ac:dyDescent="0.25"/>
    <row r="49" spans="2:6" s="3" customFormat="1" ht="15" x14ac:dyDescent="0.25"/>
    <row r="50" spans="2:6" s="3" customFormat="1" ht="15" x14ac:dyDescent="0.25"/>
    <row r="51" spans="2:6" s="3" customFormat="1" ht="15" x14ac:dyDescent="0.25"/>
    <row r="52" spans="2:6" s="3" customFormat="1" ht="15" x14ac:dyDescent="0.25"/>
    <row r="53" spans="2:6" s="3" customFormat="1" x14ac:dyDescent="0.3">
      <c r="B53" s="14"/>
      <c r="C53" s="14"/>
      <c r="D53" s="13"/>
      <c r="F53" s="14"/>
    </row>
    <row r="54" spans="2:6" s="3" customFormat="1" x14ac:dyDescent="0.3">
      <c r="B54" s="13"/>
      <c r="C54" s="14"/>
      <c r="D54" s="13"/>
      <c r="E54" s="15"/>
      <c r="F54" s="15"/>
    </row>
    <row r="55" spans="2:6" s="3" customFormat="1" x14ac:dyDescent="0.3">
      <c r="B55" s="13"/>
      <c r="C55" s="14"/>
      <c r="D55" s="14"/>
      <c r="E55" s="16"/>
      <c r="F55" s="16"/>
    </row>
    <row r="56" spans="2:6" s="3" customFormat="1" x14ac:dyDescent="0.3">
      <c r="B56" s="13"/>
      <c r="C56" s="14"/>
      <c r="D56" s="14"/>
      <c r="E56" s="16"/>
    </row>
    <row r="57" spans="2:6" s="3" customFormat="1" ht="15" x14ac:dyDescent="0.25">
      <c r="B57" s="14"/>
      <c r="C57" s="14"/>
      <c r="D57" s="14"/>
      <c r="E57" s="16"/>
      <c r="F57" s="16"/>
    </row>
    <row r="58" spans="2:6" s="3" customFormat="1" x14ac:dyDescent="0.3">
      <c r="B58" s="13"/>
      <c r="C58" s="14"/>
      <c r="D58" s="14"/>
      <c r="E58" s="16"/>
      <c r="F58" s="15"/>
    </row>
    <row r="59" spans="2:6" s="3" customFormat="1" x14ac:dyDescent="0.3">
      <c r="B59" s="13"/>
      <c r="C59" s="14"/>
      <c r="D59" s="14"/>
      <c r="E59" s="16"/>
      <c r="F59" s="16"/>
    </row>
    <row r="60" spans="2:6" s="3" customFormat="1" x14ac:dyDescent="0.3">
      <c r="B60" s="13"/>
      <c r="D60" s="14"/>
      <c r="E60" s="16"/>
    </row>
    <row r="61" spans="2:6" s="3" customFormat="1" x14ac:dyDescent="0.3">
      <c r="B61" s="13"/>
      <c r="D61" s="14"/>
      <c r="E61" s="16"/>
      <c r="F61" s="15"/>
    </row>
    <row r="62" spans="2:6" s="3" customFormat="1" x14ac:dyDescent="0.3">
      <c r="B62" s="13"/>
      <c r="C62" s="13"/>
      <c r="D62" s="13"/>
      <c r="E62" s="18"/>
      <c r="F62" s="17"/>
    </row>
    <row r="63" spans="2:6" s="3" customFormat="1" x14ac:dyDescent="0.3">
      <c r="B63" s="13"/>
      <c r="C63" s="13"/>
      <c r="D63" s="13"/>
      <c r="E63" s="18"/>
      <c r="F63" s="17"/>
    </row>
    <row r="64" spans="2:6" s="3" customFormat="1" x14ac:dyDescent="0.3">
      <c r="B64" s="13"/>
      <c r="C64" s="14"/>
      <c r="D64" s="14"/>
      <c r="E64" s="16"/>
      <c r="F64" s="16"/>
    </row>
    <row r="65" spans="2:6" s="3" customFormat="1" x14ac:dyDescent="0.3">
      <c r="B65" s="4"/>
      <c r="D65" s="14"/>
    </row>
    <row r="66" spans="2:6" s="3" customFormat="1" ht="15" x14ac:dyDescent="0.25">
      <c r="B66" s="14"/>
      <c r="C66" s="14"/>
      <c r="D66" s="14"/>
      <c r="E66" s="15"/>
      <c r="F66" s="15"/>
    </row>
    <row r="67" spans="2:6" s="3" customFormat="1" ht="15" x14ac:dyDescent="0.25">
      <c r="B67" s="14"/>
      <c r="C67" s="14"/>
      <c r="D67" s="14"/>
      <c r="E67" s="16"/>
      <c r="F67" s="16"/>
    </row>
    <row r="68" spans="2:6" s="3" customFormat="1" ht="15" x14ac:dyDescent="0.25">
      <c r="B68" s="14"/>
      <c r="C68" s="14"/>
      <c r="D68" s="14"/>
      <c r="E68" s="16"/>
      <c r="F68" s="16"/>
    </row>
    <row r="69" spans="2:6" s="3" customFormat="1" ht="15" x14ac:dyDescent="0.25">
      <c r="B69" s="14"/>
      <c r="C69" s="14"/>
      <c r="D69" s="14"/>
      <c r="E69" s="16"/>
      <c r="F69" s="16"/>
    </row>
    <row r="70" spans="2:6" s="3" customFormat="1" ht="15" x14ac:dyDescent="0.25">
      <c r="B70" s="14"/>
      <c r="C70" s="14"/>
      <c r="D70" s="14"/>
      <c r="E70" s="16"/>
      <c r="F70" s="16"/>
    </row>
    <row r="71" spans="2:6" s="3" customFormat="1" ht="15" x14ac:dyDescent="0.25">
      <c r="B71" s="14"/>
      <c r="C71" s="14"/>
      <c r="D71" s="14"/>
      <c r="E71" s="16"/>
      <c r="F71" s="16"/>
    </row>
    <row r="72" spans="2:6" s="3" customFormat="1" ht="15" x14ac:dyDescent="0.25">
      <c r="B72" s="14"/>
      <c r="C72" s="14"/>
      <c r="D72" s="14"/>
      <c r="E72" s="16"/>
      <c r="F72" s="16"/>
    </row>
    <row r="73" spans="2:6" s="3" customFormat="1" ht="15" x14ac:dyDescent="0.25">
      <c r="B73" s="14"/>
      <c r="C73" s="14"/>
      <c r="D73" s="14"/>
      <c r="E73" s="16"/>
    </row>
    <row r="74" spans="2:6" s="3" customFormat="1" ht="15" x14ac:dyDescent="0.25">
      <c r="B74" s="14"/>
      <c r="C74" s="14"/>
      <c r="D74" s="14"/>
      <c r="E74" s="16"/>
      <c r="F74" s="16"/>
    </row>
    <row r="75" spans="2:6" s="3" customFormat="1" ht="15" x14ac:dyDescent="0.25">
      <c r="B75" s="14"/>
      <c r="C75" s="14"/>
      <c r="D75" s="14"/>
      <c r="E75" s="16"/>
      <c r="F75" s="15"/>
    </row>
    <row r="76" spans="2:6" s="3" customFormat="1" ht="15" x14ac:dyDescent="0.25">
      <c r="B76" s="14"/>
      <c r="C76" s="14"/>
      <c r="D76" s="14"/>
      <c r="E76" s="16"/>
      <c r="F76" s="16"/>
    </row>
    <row r="77" spans="2:6" s="3" customFormat="1" ht="15" x14ac:dyDescent="0.25">
      <c r="B77" s="14"/>
      <c r="C77" s="14"/>
      <c r="D77" s="14"/>
      <c r="E77" s="16"/>
      <c r="F77" s="16"/>
    </row>
    <row r="78" spans="2:6" s="3" customFormat="1" ht="15" x14ac:dyDescent="0.25"/>
    <row r="79" spans="2:6" s="3" customFormat="1" ht="15" x14ac:dyDescent="0.25">
      <c r="B79" s="14"/>
      <c r="D79" s="6"/>
    </row>
    <row r="80" spans="2:6" s="3" customFormat="1" ht="15" x14ac:dyDescent="0.25">
      <c r="B80" s="14"/>
      <c r="D80" s="6"/>
    </row>
    <row r="81" spans="2:4" s="3" customFormat="1" ht="15" x14ac:dyDescent="0.25">
      <c r="B81" s="14"/>
      <c r="D81" s="6"/>
    </row>
    <row r="82" spans="2:4" s="3" customFormat="1" x14ac:dyDescent="0.3">
      <c r="B82" s="14"/>
      <c r="C82" s="13"/>
    </row>
    <row r="83" spans="2:4" s="3" customFormat="1" x14ac:dyDescent="0.3">
      <c r="B83" s="14"/>
      <c r="C83" s="13"/>
    </row>
    <row r="84" spans="2:4" s="3" customFormat="1" ht="15" x14ac:dyDescent="0.25"/>
    <row r="85" spans="2:4" s="3" customFormat="1" ht="15" x14ac:dyDescent="0.25"/>
    <row r="86" spans="2:4" s="3" customFormat="1" ht="15" x14ac:dyDescent="0.25"/>
    <row r="87" spans="2:4" s="3" customFormat="1" ht="15" x14ac:dyDescent="0.25"/>
    <row r="88" spans="2:4" s="3" customFormat="1" ht="15" x14ac:dyDescent="0.25"/>
    <row r="89" spans="2:4" s="3" customFormat="1" ht="15" x14ac:dyDescent="0.25"/>
    <row r="90" spans="2:4" s="3" customFormat="1" ht="15" x14ac:dyDescent="0.25"/>
    <row r="91" spans="2:4" s="3" customFormat="1" ht="15" x14ac:dyDescent="0.25"/>
    <row r="92" spans="2:4" s="3" customFormat="1" ht="15" x14ac:dyDescent="0.25"/>
    <row r="93" spans="2:4" s="3" customFormat="1" ht="15" x14ac:dyDescent="0.25"/>
    <row r="94" spans="2:4" s="3" customFormat="1" ht="15" x14ac:dyDescent="0.25"/>
    <row r="95" spans="2:4" s="3" customFormat="1" ht="15" x14ac:dyDescent="0.25"/>
    <row r="96" spans="2:4" s="3" customFormat="1" ht="15" x14ac:dyDescent="0.25"/>
    <row r="97" s="3" customFormat="1" ht="15" x14ac:dyDescent="0.25"/>
    <row r="98" s="3" customFormat="1" ht="15" x14ac:dyDescent="0.25"/>
    <row r="99" s="3" customFormat="1" ht="15" x14ac:dyDescent="0.25"/>
    <row r="100" s="3" customFormat="1" ht="15" x14ac:dyDescent="0.25"/>
    <row r="101" s="3" customFormat="1" ht="15" x14ac:dyDescent="0.25"/>
    <row r="102" s="3" customFormat="1" ht="15" x14ac:dyDescent="0.25"/>
    <row r="103" s="3" customFormat="1" ht="15" x14ac:dyDescent="0.25"/>
    <row r="104" s="3" customFormat="1" ht="15" x14ac:dyDescent="0.25"/>
    <row r="105" s="3" customFormat="1" ht="15" x14ac:dyDescent="0.25"/>
    <row r="106" s="3" customFormat="1" ht="15" x14ac:dyDescent="0.25"/>
    <row r="107" s="3" customFormat="1" ht="15" x14ac:dyDescent="0.25"/>
    <row r="108" s="3" customFormat="1" ht="15" x14ac:dyDescent="0.25"/>
    <row r="109" s="3" customFormat="1" ht="15" x14ac:dyDescent="0.25"/>
    <row r="110" s="3" customFormat="1" ht="15" x14ac:dyDescent="0.25"/>
    <row r="111" s="3" customFormat="1" ht="15" x14ac:dyDescent="0.25"/>
    <row r="112" s="3" customFormat="1" ht="15" x14ac:dyDescent="0.25"/>
    <row r="113" s="3" customFormat="1" ht="15" x14ac:dyDescent="0.25"/>
    <row r="114" s="3" customFormat="1" ht="15" x14ac:dyDescent="0.25"/>
    <row r="115" s="3" customFormat="1" ht="15" x14ac:dyDescent="0.25"/>
    <row r="116" s="3" customFormat="1" ht="15" x14ac:dyDescent="0.25"/>
    <row r="117" s="3" customFormat="1" ht="15" x14ac:dyDescent="0.25"/>
    <row r="118" s="3" customFormat="1" ht="15" x14ac:dyDescent="0.25"/>
    <row r="119" s="3" customFormat="1" ht="15" x14ac:dyDescent="0.25"/>
    <row r="120" s="3" customFormat="1" ht="15" x14ac:dyDescent="0.25"/>
    <row r="121" s="3" customFormat="1" ht="15" x14ac:dyDescent="0.25"/>
    <row r="122" s="3" customFormat="1" ht="15" x14ac:dyDescent="0.25"/>
    <row r="123" s="3" customFormat="1" ht="15" x14ac:dyDescent="0.25"/>
    <row r="124" s="3" customFormat="1" ht="15" x14ac:dyDescent="0.25"/>
    <row r="125" s="3" customFormat="1" ht="15" x14ac:dyDescent="0.25"/>
    <row r="126" s="3" customFormat="1" ht="15" x14ac:dyDescent="0.25"/>
    <row r="127" s="3" customFormat="1" ht="15" x14ac:dyDescent="0.25"/>
    <row r="128" s="3" customFormat="1" ht="15" x14ac:dyDescent="0.25"/>
    <row r="129" s="3" customFormat="1" ht="15" x14ac:dyDescent="0.25"/>
    <row r="130" s="3" customFormat="1" ht="15" x14ac:dyDescent="0.25"/>
    <row r="131" s="3" customFormat="1" ht="15" x14ac:dyDescent="0.25"/>
    <row r="132" s="3" customFormat="1" ht="15" x14ac:dyDescent="0.25"/>
    <row r="133" s="3" customFormat="1" ht="15" x14ac:dyDescent="0.25"/>
    <row r="134" s="3" customFormat="1" ht="15" x14ac:dyDescent="0.25"/>
    <row r="135" s="3" customFormat="1" ht="15" x14ac:dyDescent="0.25"/>
    <row r="136" s="3" customFormat="1" ht="15" x14ac:dyDescent="0.25"/>
    <row r="137" s="3" customFormat="1" ht="15" x14ac:dyDescent="0.25"/>
    <row r="138" s="3" customFormat="1" ht="15" x14ac:dyDescent="0.25"/>
    <row r="139" s="3" customFormat="1" ht="15" x14ac:dyDescent="0.25"/>
    <row r="140" s="3" customFormat="1" ht="15" x14ac:dyDescent="0.25"/>
    <row r="141" s="3" customFormat="1" ht="15" x14ac:dyDescent="0.25"/>
    <row r="142" s="3" customFormat="1" ht="15" x14ac:dyDescent="0.25"/>
    <row r="143" s="3" customFormat="1" ht="15" x14ac:dyDescent="0.25"/>
    <row r="144" s="3" customFormat="1" ht="15" x14ac:dyDescent="0.25"/>
    <row r="145" s="3" customFormat="1" ht="15" x14ac:dyDescent="0.25"/>
    <row r="146" s="3" customFormat="1" ht="15" x14ac:dyDescent="0.25"/>
    <row r="147" s="3" customFormat="1" ht="15" x14ac:dyDescent="0.25"/>
    <row r="148" s="3" customFormat="1" ht="15" x14ac:dyDescent="0.25"/>
    <row r="149" s="3" customFormat="1" ht="15" x14ac:dyDescent="0.25"/>
    <row r="150" s="3" customFormat="1" ht="15" x14ac:dyDescent="0.25"/>
    <row r="151" s="3" customFormat="1" ht="15" x14ac:dyDescent="0.25"/>
    <row r="152" s="3" customFormat="1" ht="15" x14ac:dyDescent="0.25"/>
    <row r="153" s="3" customFormat="1" ht="15" x14ac:dyDescent="0.25"/>
    <row r="154" s="3" customFormat="1" ht="15" x14ac:dyDescent="0.25"/>
    <row r="155" s="3" customFormat="1" ht="15" x14ac:dyDescent="0.25"/>
    <row r="156" s="3" customFormat="1" ht="15" x14ac:dyDescent="0.25"/>
    <row r="157" s="3" customFormat="1" ht="15" x14ac:dyDescent="0.25"/>
    <row r="158" s="3" customFormat="1" ht="15" x14ac:dyDescent="0.25"/>
    <row r="159" s="3" customFormat="1" ht="15" x14ac:dyDescent="0.25"/>
    <row r="160" s="3" customFormat="1" ht="15" x14ac:dyDescent="0.25"/>
    <row r="161" s="3" customFormat="1" ht="15" x14ac:dyDescent="0.25"/>
    <row r="162" s="3" customFormat="1" ht="15" x14ac:dyDescent="0.25"/>
    <row r="163" s="3" customFormat="1" ht="15" x14ac:dyDescent="0.25"/>
    <row r="164" s="3" customFormat="1" ht="15" x14ac:dyDescent="0.25"/>
    <row r="165" s="3" customFormat="1" ht="15" x14ac:dyDescent="0.25"/>
    <row r="166" s="3" customFormat="1" ht="15" x14ac:dyDescent="0.25"/>
    <row r="167" s="3" customFormat="1" ht="15" x14ac:dyDescent="0.25"/>
    <row r="168" s="3" customFormat="1" ht="15" x14ac:dyDescent="0.25"/>
    <row r="169" s="3" customFormat="1" ht="15" x14ac:dyDescent="0.25"/>
    <row r="170" s="3" customFormat="1" ht="15" x14ac:dyDescent="0.25"/>
    <row r="171" s="3" customFormat="1" ht="15" x14ac:dyDescent="0.25"/>
    <row r="172" s="3" customFormat="1" ht="15" x14ac:dyDescent="0.25"/>
    <row r="173" s="3" customFormat="1" ht="15" x14ac:dyDescent="0.25"/>
    <row r="174" s="3" customFormat="1" ht="15" x14ac:dyDescent="0.25"/>
    <row r="175" s="3" customFormat="1" ht="15" x14ac:dyDescent="0.25"/>
    <row r="176" s="3" customFormat="1" ht="15" x14ac:dyDescent="0.25"/>
    <row r="177" s="3" customFormat="1" ht="15" x14ac:dyDescent="0.25"/>
    <row r="178" s="3" customFormat="1" ht="15" x14ac:dyDescent="0.25"/>
    <row r="179" s="3" customFormat="1" ht="15" x14ac:dyDescent="0.25"/>
    <row r="180" s="3" customFormat="1" ht="15" x14ac:dyDescent="0.25"/>
    <row r="181" s="3" customFormat="1" ht="15" x14ac:dyDescent="0.25"/>
    <row r="182" s="3" customFormat="1" ht="15" x14ac:dyDescent="0.25"/>
    <row r="183" s="3" customFormat="1" ht="15" x14ac:dyDescent="0.25"/>
    <row r="184" s="3" customFormat="1" ht="15" x14ac:dyDescent="0.25"/>
    <row r="185" s="3" customFormat="1" ht="15" x14ac:dyDescent="0.25"/>
    <row r="186" s="3" customFormat="1" ht="15" x14ac:dyDescent="0.25"/>
    <row r="187" s="3" customFormat="1" ht="15" x14ac:dyDescent="0.25"/>
    <row r="188" s="3" customFormat="1" ht="15" x14ac:dyDescent="0.25"/>
    <row r="189" s="3" customFormat="1" ht="15" x14ac:dyDescent="0.25"/>
    <row r="190" s="3" customFormat="1" ht="15" x14ac:dyDescent="0.25"/>
    <row r="191" s="3" customFormat="1" ht="15" x14ac:dyDescent="0.25"/>
    <row r="192" s="3" customFormat="1" ht="15" x14ac:dyDescent="0.25"/>
    <row r="193" s="3" customFormat="1" ht="15" x14ac:dyDescent="0.25"/>
    <row r="194" s="3" customFormat="1" ht="15" x14ac:dyDescent="0.25"/>
    <row r="195" s="3" customFormat="1" ht="15" x14ac:dyDescent="0.25"/>
    <row r="196" s="3" customFormat="1" ht="15" x14ac:dyDescent="0.25"/>
    <row r="197" s="3" customFormat="1" ht="15" x14ac:dyDescent="0.25"/>
    <row r="198" s="3" customFormat="1" ht="15" x14ac:dyDescent="0.25"/>
    <row r="199" s="3" customFormat="1" ht="15" x14ac:dyDescent="0.25"/>
    <row r="200" s="3" customFormat="1" ht="15" x14ac:dyDescent="0.25"/>
    <row r="201" s="3" customFormat="1" ht="15" x14ac:dyDescent="0.25"/>
    <row r="202" s="3" customFormat="1" ht="15" x14ac:dyDescent="0.25"/>
    <row r="203" s="3" customFormat="1" ht="15" x14ac:dyDescent="0.25"/>
    <row r="204" s="3" customFormat="1" ht="15" x14ac:dyDescent="0.25"/>
    <row r="205" s="3" customFormat="1" ht="15" x14ac:dyDescent="0.25"/>
    <row r="206" s="3" customFormat="1" ht="15" x14ac:dyDescent="0.25"/>
    <row r="207" s="3" customFormat="1" ht="15" x14ac:dyDescent="0.25"/>
    <row r="208" s="3" customFormat="1" ht="15" x14ac:dyDescent="0.25"/>
    <row r="209" s="3" customFormat="1" ht="15" x14ac:dyDescent="0.25"/>
    <row r="210" s="3" customFormat="1" ht="15" x14ac:dyDescent="0.25"/>
    <row r="211" s="3" customFormat="1" ht="15" x14ac:dyDescent="0.25"/>
    <row r="212" s="3" customFormat="1" ht="15" x14ac:dyDescent="0.25"/>
    <row r="213" s="3" customFormat="1" ht="15" x14ac:dyDescent="0.25"/>
    <row r="214" s="3" customFormat="1" ht="15" x14ac:dyDescent="0.25"/>
    <row r="215" s="3" customFormat="1" ht="15" x14ac:dyDescent="0.25"/>
    <row r="216" s="3" customFormat="1" ht="15" x14ac:dyDescent="0.25"/>
    <row r="217" s="3" customFormat="1" ht="15" x14ac:dyDescent="0.25"/>
    <row r="218" s="3" customFormat="1" ht="15" x14ac:dyDescent="0.25"/>
    <row r="219" s="3" customFormat="1" ht="15" x14ac:dyDescent="0.25"/>
    <row r="220" s="3" customFormat="1" ht="15" x14ac:dyDescent="0.25"/>
    <row r="221" s="3" customFormat="1" ht="15" x14ac:dyDescent="0.25"/>
    <row r="222" s="3" customFormat="1" ht="15" x14ac:dyDescent="0.25"/>
    <row r="223" s="3" customFormat="1" ht="15" x14ac:dyDescent="0.25"/>
    <row r="224" s="3" customFormat="1" ht="15" x14ac:dyDescent="0.25"/>
    <row r="225" s="3" customFormat="1" ht="15" x14ac:dyDescent="0.25"/>
    <row r="226" s="3" customFormat="1" ht="15" x14ac:dyDescent="0.25"/>
    <row r="227" s="3" customFormat="1" ht="15" x14ac:dyDescent="0.25"/>
    <row r="228" s="3" customFormat="1" ht="15" x14ac:dyDescent="0.25"/>
    <row r="229" s="3" customFormat="1" ht="15" x14ac:dyDescent="0.25"/>
    <row r="230" s="3" customFormat="1" ht="15" x14ac:dyDescent="0.25"/>
    <row r="231" s="3" customFormat="1" ht="15" x14ac:dyDescent="0.25"/>
    <row r="232" s="3" customFormat="1" ht="15" x14ac:dyDescent="0.25"/>
    <row r="233" s="3" customFormat="1" ht="15" x14ac:dyDescent="0.25"/>
    <row r="234" s="3" customFormat="1" ht="15" x14ac:dyDescent="0.25"/>
    <row r="235" s="3" customFormat="1" ht="15" x14ac:dyDescent="0.25"/>
    <row r="236" s="3" customFormat="1" ht="15" x14ac:dyDescent="0.25"/>
    <row r="237" s="3" customFormat="1" ht="15" x14ac:dyDescent="0.25"/>
    <row r="238" s="3" customFormat="1" ht="15" x14ac:dyDescent="0.25"/>
    <row r="239" s="3" customFormat="1" ht="15" x14ac:dyDescent="0.25"/>
    <row r="240" s="3" customFormat="1" ht="15" x14ac:dyDescent="0.25"/>
    <row r="241" s="3" customFormat="1" ht="15" x14ac:dyDescent="0.25"/>
    <row r="242" s="3" customFormat="1" ht="15" x14ac:dyDescent="0.25"/>
    <row r="243" s="3" customFormat="1" ht="15" x14ac:dyDescent="0.25"/>
    <row r="244" s="3" customFormat="1" ht="15" x14ac:dyDescent="0.25"/>
    <row r="245" s="3" customFormat="1" ht="15" x14ac:dyDescent="0.25"/>
    <row r="246" s="3" customFormat="1" ht="15" x14ac:dyDescent="0.25"/>
    <row r="247" s="3" customFormat="1" ht="15" x14ac:dyDescent="0.25"/>
    <row r="248" s="3" customFormat="1" ht="15" x14ac:dyDescent="0.25"/>
    <row r="249" s="3" customFormat="1" ht="15" x14ac:dyDescent="0.25"/>
    <row r="250" s="3" customFormat="1" ht="15" x14ac:dyDescent="0.25"/>
    <row r="251" s="3" customFormat="1" ht="15" x14ac:dyDescent="0.25"/>
    <row r="252" s="3" customFormat="1" ht="15" x14ac:dyDescent="0.25"/>
    <row r="253" s="3" customFormat="1" ht="15" x14ac:dyDescent="0.25"/>
    <row r="254" s="3" customFormat="1" ht="15" x14ac:dyDescent="0.25"/>
    <row r="255" s="3" customFormat="1" ht="15" x14ac:dyDescent="0.25"/>
    <row r="256" s="3" customFormat="1" ht="15" x14ac:dyDescent="0.25"/>
    <row r="257" s="3" customFormat="1" ht="15" x14ac:dyDescent="0.25"/>
    <row r="258" s="3" customFormat="1" ht="15" x14ac:dyDescent="0.25"/>
    <row r="259" s="3" customFormat="1" ht="15" x14ac:dyDescent="0.25"/>
    <row r="260" s="3" customFormat="1" ht="15" x14ac:dyDescent="0.25"/>
    <row r="261" s="3" customFormat="1" ht="15" x14ac:dyDescent="0.25"/>
    <row r="262" s="3" customFormat="1" ht="15" x14ac:dyDescent="0.25"/>
    <row r="263" s="3" customFormat="1" ht="15" x14ac:dyDescent="0.25"/>
    <row r="264" s="3" customFormat="1" ht="15" x14ac:dyDescent="0.25"/>
    <row r="265" s="3" customFormat="1" ht="15" x14ac:dyDescent="0.25"/>
    <row r="266" s="3" customFormat="1" ht="15" x14ac:dyDescent="0.25"/>
    <row r="267" s="3" customFormat="1" ht="15" x14ac:dyDescent="0.25"/>
    <row r="268" s="3" customFormat="1" ht="15" x14ac:dyDescent="0.25"/>
    <row r="269" s="3" customFormat="1" ht="15" x14ac:dyDescent="0.25"/>
    <row r="270" s="3" customFormat="1" ht="15" x14ac:dyDescent="0.25"/>
    <row r="271" s="3" customFormat="1" ht="15" x14ac:dyDescent="0.25"/>
    <row r="272" s="3" customFormat="1" ht="15" x14ac:dyDescent="0.25"/>
    <row r="273" s="3" customFormat="1" ht="15" x14ac:dyDescent="0.25"/>
    <row r="274" s="3" customFormat="1" ht="15" x14ac:dyDescent="0.25"/>
    <row r="275" s="3" customFormat="1" ht="15" x14ac:dyDescent="0.25"/>
    <row r="276" s="3" customFormat="1" ht="15" x14ac:dyDescent="0.25"/>
    <row r="277" s="3" customFormat="1" ht="15" x14ac:dyDescent="0.25"/>
    <row r="278" s="3" customFormat="1" ht="15" x14ac:dyDescent="0.25"/>
    <row r="279" s="3" customFormat="1" ht="15" x14ac:dyDescent="0.25"/>
    <row r="280" s="3" customFormat="1" ht="15" x14ac:dyDescent="0.25"/>
    <row r="281" s="3" customFormat="1" ht="15" x14ac:dyDescent="0.25"/>
    <row r="282" s="3" customFormat="1" ht="15" x14ac:dyDescent="0.25"/>
    <row r="283" s="3" customFormat="1" ht="15" x14ac:dyDescent="0.25"/>
    <row r="284" s="3" customFormat="1" ht="15" x14ac:dyDescent="0.25"/>
    <row r="285" s="3" customFormat="1" ht="15" x14ac:dyDescent="0.25"/>
    <row r="286" s="3" customFormat="1" ht="15" x14ac:dyDescent="0.25"/>
    <row r="287" s="3" customFormat="1" ht="15" x14ac:dyDescent="0.25"/>
    <row r="288" s="3" customFormat="1" ht="15" x14ac:dyDescent="0.25"/>
    <row r="289" s="3" customFormat="1" ht="15" x14ac:dyDescent="0.25"/>
    <row r="290" s="3" customFormat="1" ht="15" x14ac:dyDescent="0.25"/>
    <row r="291" s="3" customFormat="1" ht="15" x14ac:dyDescent="0.25"/>
    <row r="292" s="3" customFormat="1" ht="15" x14ac:dyDescent="0.25"/>
    <row r="293" s="3" customFormat="1" ht="15" x14ac:dyDescent="0.25"/>
    <row r="294" s="3" customFormat="1" ht="15" x14ac:dyDescent="0.25"/>
    <row r="295" s="3" customFormat="1" ht="15" x14ac:dyDescent="0.25"/>
    <row r="296" s="3" customFormat="1" ht="15" x14ac:dyDescent="0.25"/>
    <row r="297" s="3" customFormat="1" ht="15" x14ac:dyDescent="0.25"/>
    <row r="298" s="3" customFormat="1" ht="15" x14ac:dyDescent="0.25"/>
    <row r="299" s="3" customFormat="1" ht="15" x14ac:dyDescent="0.25"/>
    <row r="300" s="3" customFormat="1" ht="15" x14ac:dyDescent="0.25"/>
    <row r="301" s="3" customFormat="1" ht="15" x14ac:dyDescent="0.25"/>
    <row r="302" s="3" customFormat="1" ht="15" x14ac:dyDescent="0.25"/>
    <row r="303" s="3" customFormat="1" ht="15" x14ac:dyDescent="0.25"/>
    <row r="304" s="3" customFormat="1" ht="15" x14ac:dyDescent="0.25"/>
    <row r="305" s="3" customFormat="1" ht="15" x14ac:dyDescent="0.25"/>
    <row r="306" s="3" customFormat="1" ht="15" x14ac:dyDescent="0.25"/>
    <row r="307" s="3" customFormat="1" ht="15" x14ac:dyDescent="0.25"/>
    <row r="308" s="3" customFormat="1" ht="15" x14ac:dyDescent="0.25"/>
    <row r="309" s="3" customFormat="1" ht="15" x14ac:dyDescent="0.25"/>
    <row r="310" s="3" customFormat="1" ht="15" x14ac:dyDescent="0.25"/>
    <row r="311" s="3" customFormat="1" ht="15" x14ac:dyDescent="0.25"/>
    <row r="312" s="3" customFormat="1" ht="15" x14ac:dyDescent="0.25"/>
    <row r="313" s="3" customFormat="1" ht="15" x14ac:dyDescent="0.25"/>
    <row r="314" s="3" customFormat="1" ht="15" x14ac:dyDescent="0.25"/>
    <row r="315" s="3" customFormat="1" ht="15" x14ac:dyDescent="0.25"/>
    <row r="316" s="3" customFormat="1" ht="15" x14ac:dyDescent="0.25"/>
    <row r="317" s="3" customFormat="1" ht="15" x14ac:dyDescent="0.25"/>
    <row r="318" s="3" customFormat="1" ht="15" x14ac:dyDescent="0.25"/>
    <row r="319" s="3" customFormat="1" ht="15" x14ac:dyDescent="0.25"/>
    <row r="320" s="3" customFormat="1" ht="15" x14ac:dyDescent="0.25"/>
    <row r="321" s="3" customFormat="1" ht="15" x14ac:dyDescent="0.25"/>
    <row r="322" s="3" customFormat="1" ht="15" x14ac:dyDescent="0.25"/>
    <row r="323" s="3" customFormat="1" ht="15" x14ac:dyDescent="0.25"/>
    <row r="324" s="3" customFormat="1" ht="15" x14ac:dyDescent="0.25"/>
    <row r="325" s="3" customFormat="1" ht="15" x14ac:dyDescent="0.25"/>
    <row r="326" s="3" customFormat="1" ht="15" x14ac:dyDescent="0.25"/>
    <row r="327" s="3" customFormat="1" ht="15" x14ac:dyDescent="0.25"/>
    <row r="328" s="3" customFormat="1" ht="15" x14ac:dyDescent="0.25"/>
    <row r="329" s="3" customFormat="1" ht="15" x14ac:dyDescent="0.25"/>
    <row r="330" s="3" customFormat="1" ht="15" x14ac:dyDescent="0.25"/>
    <row r="331" s="3" customFormat="1" ht="15" x14ac:dyDescent="0.25"/>
    <row r="332" s="3" customFormat="1" ht="15" x14ac:dyDescent="0.25"/>
    <row r="333" s="3" customFormat="1" ht="15" x14ac:dyDescent="0.25"/>
    <row r="334" s="3" customFormat="1" ht="15" x14ac:dyDescent="0.25"/>
    <row r="335" s="3" customFormat="1" ht="15" x14ac:dyDescent="0.25"/>
    <row r="336" s="3" customFormat="1" ht="15" x14ac:dyDescent="0.25"/>
    <row r="337" s="3" customFormat="1" ht="15" x14ac:dyDescent="0.25"/>
    <row r="338" s="3" customFormat="1" ht="15" x14ac:dyDescent="0.25"/>
    <row r="339" s="3" customFormat="1" ht="15" x14ac:dyDescent="0.25"/>
    <row r="340" s="3" customFormat="1" ht="15" x14ac:dyDescent="0.25"/>
    <row r="341" s="3" customFormat="1" ht="15" x14ac:dyDescent="0.25"/>
    <row r="342" s="3" customFormat="1" ht="15" x14ac:dyDescent="0.25"/>
    <row r="343" s="3" customFormat="1" ht="15" x14ac:dyDescent="0.25"/>
    <row r="344" s="3" customFormat="1" ht="15" x14ac:dyDescent="0.25"/>
    <row r="345" s="3" customFormat="1" ht="15" x14ac:dyDescent="0.25"/>
    <row r="346" s="3" customFormat="1" ht="15" x14ac:dyDescent="0.25"/>
    <row r="347" s="3" customFormat="1" ht="15" x14ac:dyDescent="0.25"/>
    <row r="348" s="3" customFormat="1" ht="15" x14ac:dyDescent="0.25"/>
    <row r="349" s="3" customFormat="1" ht="15" x14ac:dyDescent="0.25"/>
    <row r="350" s="3" customFormat="1" ht="15" x14ac:dyDescent="0.25"/>
    <row r="351" s="3" customFormat="1" ht="15" x14ac:dyDescent="0.25"/>
    <row r="352" s="3" customFormat="1" ht="15" x14ac:dyDescent="0.25"/>
    <row r="353" s="3" customFormat="1" ht="15" x14ac:dyDescent="0.25"/>
    <row r="354" s="3" customFormat="1" ht="15" x14ac:dyDescent="0.25"/>
    <row r="355" s="3" customFormat="1" ht="15" x14ac:dyDescent="0.25"/>
    <row r="356" s="3" customFormat="1" ht="15" x14ac:dyDescent="0.25"/>
    <row r="357" s="3" customFormat="1" ht="15" x14ac:dyDescent="0.25"/>
    <row r="358" s="3" customFormat="1" ht="15" x14ac:dyDescent="0.25"/>
    <row r="359" s="3" customFormat="1" ht="15" x14ac:dyDescent="0.25"/>
    <row r="360" s="3" customFormat="1" ht="15" x14ac:dyDescent="0.25"/>
    <row r="361" s="3" customFormat="1" ht="15" x14ac:dyDescent="0.25"/>
    <row r="362" s="3" customFormat="1" ht="15" x14ac:dyDescent="0.25"/>
    <row r="363" s="3" customFormat="1" ht="15" x14ac:dyDescent="0.25"/>
    <row r="364" s="3" customFormat="1" ht="15" x14ac:dyDescent="0.25"/>
    <row r="365" s="3" customFormat="1" ht="15" x14ac:dyDescent="0.25"/>
    <row r="366" s="3" customFormat="1" ht="15" x14ac:dyDescent="0.25"/>
    <row r="367" s="3" customFormat="1" ht="15" x14ac:dyDescent="0.25"/>
    <row r="368" s="3" customFormat="1" ht="15" x14ac:dyDescent="0.25"/>
    <row r="369" s="3" customFormat="1" ht="15" x14ac:dyDescent="0.25"/>
    <row r="370" s="3" customFormat="1" ht="15" x14ac:dyDescent="0.25"/>
    <row r="371" s="3" customFormat="1" ht="15" x14ac:dyDescent="0.25"/>
    <row r="372" s="3" customFormat="1" ht="15" x14ac:dyDescent="0.25"/>
    <row r="373" s="3" customFormat="1" ht="15" x14ac:dyDescent="0.25"/>
    <row r="374" s="3" customFormat="1" ht="15" x14ac:dyDescent="0.25"/>
    <row r="375" s="3" customFormat="1" ht="15" x14ac:dyDescent="0.25"/>
    <row r="376" s="3" customFormat="1" ht="15" x14ac:dyDescent="0.25"/>
    <row r="377" s="3" customFormat="1" ht="15" x14ac:dyDescent="0.25"/>
    <row r="378" s="3" customFormat="1" ht="15" x14ac:dyDescent="0.25"/>
    <row r="379" s="3" customFormat="1" ht="15" x14ac:dyDescent="0.25"/>
    <row r="380" s="3" customFormat="1" ht="15" x14ac:dyDescent="0.25"/>
    <row r="381" s="3" customFormat="1" ht="15" x14ac:dyDescent="0.25"/>
    <row r="382" s="3" customFormat="1" ht="15" x14ac:dyDescent="0.25"/>
    <row r="383" s="3" customFormat="1" ht="15" x14ac:dyDescent="0.25"/>
    <row r="384" s="3" customFormat="1" ht="15" x14ac:dyDescent="0.25"/>
    <row r="385" s="3" customFormat="1" ht="15" x14ac:dyDescent="0.25"/>
    <row r="386" s="3" customFormat="1" ht="15" x14ac:dyDescent="0.25"/>
    <row r="387" s="3" customFormat="1" ht="15" x14ac:dyDescent="0.25"/>
    <row r="388" s="3" customFormat="1" ht="15" x14ac:dyDescent="0.25"/>
    <row r="389" s="3" customFormat="1" ht="15" x14ac:dyDescent="0.25"/>
    <row r="390" s="3" customFormat="1" ht="15" x14ac:dyDescent="0.25"/>
    <row r="391" s="3" customFormat="1" ht="15" x14ac:dyDescent="0.25"/>
    <row r="392" s="3" customFormat="1" ht="15" x14ac:dyDescent="0.25"/>
    <row r="393" s="3" customFormat="1" ht="15" x14ac:dyDescent="0.25"/>
    <row r="394" s="3" customFormat="1" ht="15" x14ac:dyDescent="0.25"/>
    <row r="395" s="3" customFormat="1" ht="15" x14ac:dyDescent="0.25"/>
    <row r="396" s="3" customFormat="1" ht="15" x14ac:dyDescent="0.25"/>
    <row r="397" s="3" customFormat="1" ht="15" x14ac:dyDescent="0.25"/>
    <row r="398" s="3" customFormat="1" ht="15" x14ac:dyDescent="0.25"/>
    <row r="399" s="3" customFormat="1" ht="15" x14ac:dyDescent="0.25"/>
    <row r="400" s="3" customFormat="1" ht="15" x14ac:dyDescent="0.25"/>
    <row r="401" s="3" customFormat="1" ht="15" x14ac:dyDescent="0.25"/>
    <row r="402" s="3" customFormat="1" ht="15" x14ac:dyDescent="0.25"/>
    <row r="403" s="3" customFormat="1" ht="15" x14ac:dyDescent="0.25"/>
    <row r="404" s="3" customFormat="1" ht="15" x14ac:dyDescent="0.25"/>
    <row r="405" s="3" customFormat="1" ht="15" x14ac:dyDescent="0.25"/>
    <row r="406" s="3" customFormat="1" ht="15" x14ac:dyDescent="0.25"/>
    <row r="407" s="3" customFormat="1" ht="15" x14ac:dyDescent="0.25"/>
    <row r="408" s="3" customFormat="1" ht="15" x14ac:dyDescent="0.25"/>
    <row r="409" s="3" customFormat="1" ht="15" x14ac:dyDescent="0.25"/>
    <row r="410" s="3" customFormat="1" ht="15" x14ac:dyDescent="0.25"/>
    <row r="411" s="3" customFormat="1" ht="15" x14ac:dyDescent="0.25"/>
    <row r="412" s="3" customFormat="1" ht="15" x14ac:dyDescent="0.25"/>
    <row r="413" s="3" customFormat="1" ht="15" x14ac:dyDescent="0.25"/>
    <row r="414" s="3" customFormat="1" ht="15" x14ac:dyDescent="0.25"/>
    <row r="415" s="3" customFormat="1" ht="15" x14ac:dyDescent="0.25"/>
    <row r="416" s="3" customFormat="1" ht="15" x14ac:dyDescent="0.25"/>
    <row r="417" s="3" customFormat="1" ht="15" x14ac:dyDescent="0.25"/>
    <row r="418" s="3" customFormat="1" ht="15" x14ac:dyDescent="0.25"/>
    <row r="419" s="3" customFormat="1" ht="15" x14ac:dyDescent="0.25"/>
    <row r="420" s="3" customFormat="1" ht="15" x14ac:dyDescent="0.25"/>
    <row r="421" s="3" customFormat="1" ht="15" x14ac:dyDescent="0.25"/>
    <row r="422" s="3" customFormat="1" ht="15" x14ac:dyDescent="0.25"/>
    <row r="423" s="3" customFormat="1" ht="15" x14ac:dyDescent="0.25"/>
    <row r="424" s="3" customFormat="1" ht="15" x14ac:dyDescent="0.25"/>
    <row r="425" s="3" customFormat="1" ht="15" x14ac:dyDescent="0.25"/>
    <row r="426" s="3" customFormat="1" ht="15" x14ac:dyDescent="0.25"/>
    <row r="427" s="3" customFormat="1" ht="15" x14ac:dyDescent="0.25"/>
    <row r="428" s="3" customFormat="1" ht="15" x14ac:dyDescent="0.25"/>
    <row r="429" s="3" customFormat="1" ht="15" x14ac:dyDescent="0.25"/>
    <row r="430" s="3" customFormat="1" ht="15" x14ac:dyDescent="0.25"/>
    <row r="431" s="3" customFormat="1" ht="15" x14ac:dyDescent="0.25"/>
    <row r="432" s="3" customFormat="1" ht="15" x14ac:dyDescent="0.25"/>
    <row r="433" s="3" customFormat="1" ht="15" x14ac:dyDescent="0.25"/>
    <row r="434" s="3" customFormat="1" ht="15" x14ac:dyDescent="0.25"/>
    <row r="435" s="3" customFormat="1" ht="15" x14ac:dyDescent="0.25"/>
    <row r="436" s="3" customFormat="1" ht="15" x14ac:dyDescent="0.25"/>
    <row r="437" s="3" customFormat="1" ht="15" x14ac:dyDescent="0.25"/>
    <row r="438" s="3" customFormat="1" ht="15" x14ac:dyDescent="0.25"/>
    <row r="439" s="3" customFormat="1" ht="15" x14ac:dyDescent="0.25"/>
    <row r="440" s="3" customFormat="1" ht="15" x14ac:dyDescent="0.25"/>
    <row r="441" s="3" customFormat="1" ht="15" x14ac:dyDescent="0.25"/>
    <row r="442" s="3" customFormat="1" ht="15" x14ac:dyDescent="0.25"/>
    <row r="443" s="3" customFormat="1" ht="15" x14ac:dyDescent="0.25"/>
    <row r="444" s="3" customFormat="1" ht="15" x14ac:dyDescent="0.25"/>
    <row r="445" s="3" customFormat="1" ht="15" x14ac:dyDescent="0.25"/>
    <row r="446" s="3" customFormat="1" ht="15" x14ac:dyDescent="0.25"/>
    <row r="447" s="3" customFormat="1" ht="15" x14ac:dyDescent="0.25"/>
    <row r="448" s="3" customFormat="1" ht="15" x14ac:dyDescent="0.25"/>
    <row r="449" s="3" customFormat="1" ht="15" x14ac:dyDescent="0.25"/>
    <row r="450" s="3" customFormat="1" ht="15" x14ac:dyDescent="0.25"/>
    <row r="451" s="3" customFormat="1" ht="15" x14ac:dyDescent="0.25"/>
    <row r="452" s="3" customFormat="1" ht="15" x14ac:dyDescent="0.25"/>
    <row r="453" s="3" customFormat="1" ht="15" x14ac:dyDescent="0.25"/>
    <row r="454" s="3" customFormat="1" ht="15" x14ac:dyDescent="0.25"/>
    <row r="455" s="3" customFormat="1" ht="15" x14ac:dyDescent="0.25"/>
    <row r="456" s="3" customFormat="1" ht="15" x14ac:dyDescent="0.25"/>
    <row r="457" s="3" customFormat="1" ht="15" x14ac:dyDescent="0.25"/>
    <row r="458" s="3" customFormat="1" ht="15" x14ac:dyDescent="0.25"/>
    <row r="459" s="3" customFormat="1" ht="15" x14ac:dyDescent="0.25"/>
    <row r="460" s="3" customFormat="1" ht="15" x14ac:dyDescent="0.25"/>
    <row r="461" s="3" customFormat="1" ht="15" x14ac:dyDescent="0.25"/>
    <row r="462" s="3" customFormat="1" ht="15" x14ac:dyDescent="0.25"/>
    <row r="463" s="3" customFormat="1" ht="15" x14ac:dyDescent="0.25"/>
    <row r="464" s="3" customFormat="1" ht="15" x14ac:dyDescent="0.25"/>
    <row r="465" s="3" customFormat="1" ht="15" x14ac:dyDescent="0.25"/>
    <row r="466" s="3" customFormat="1" ht="15" x14ac:dyDescent="0.25"/>
    <row r="467" s="3" customFormat="1" ht="15" x14ac:dyDescent="0.25"/>
    <row r="468" s="3" customFormat="1" ht="15" x14ac:dyDescent="0.25"/>
    <row r="469" s="3" customFormat="1" ht="15" x14ac:dyDescent="0.25"/>
    <row r="470" s="3" customFormat="1" ht="15" x14ac:dyDescent="0.25"/>
    <row r="471" s="3" customFormat="1" ht="15" x14ac:dyDescent="0.25"/>
    <row r="472" s="3" customFormat="1" ht="15" x14ac:dyDescent="0.25"/>
    <row r="473" s="3" customFormat="1" ht="15" x14ac:dyDescent="0.25"/>
    <row r="474" s="3" customFormat="1" ht="15" x14ac:dyDescent="0.25"/>
    <row r="475" s="3" customFormat="1" ht="15" x14ac:dyDescent="0.25"/>
    <row r="476" s="3" customFormat="1" ht="15" x14ac:dyDescent="0.25"/>
    <row r="477" s="3" customFormat="1" ht="15" x14ac:dyDescent="0.25"/>
    <row r="478" s="3" customFormat="1" ht="15" x14ac:dyDescent="0.25"/>
    <row r="479" s="3" customFormat="1" ht="15" x14ac:dyDescent="0.25"/>
    <row r="480" s="3" customFormat="1" ht="15" x14ac:dyDescent="0.25"/>
    <row r="481" s="3" customFormat="1" ht="15" x14ac:dyDescent="0.25"/>
    <row r="482" s="3" customFormat="1" ht="15" x14ac:dyDescent="0.25"/>
    <row r="483" s="3" customFormat="1" ht="15" x14ac:dyDescent="0.25"/>
    <row r="484" s="3" customFormat="1" ht="15" x14ac:dyDescent="0.25"/>
    <row r="485" s="3" customFormat="1" ht="15" x14ac:dyDescent="0.25"/>
    <row r="486" s="3" customFormat="1" ht="15" x14ac:dyDescent="0.25"/>
    <row r="487" s="3" customFormat="1" ht="15" x14ac:dyDescent="0.25"/>
    <row r="488" s="3" customFormat="1" ht="15" x14ac:dyDescent="0.25"/>
    <row r="489" s="3" customFormat="1" ht="15" x14ac:dyDescent="0.25"/>
    <row r="490" s="3" customFormat="1" ht="15" x14ac:dyDescent="0.25"/>
    <row r="491" s="3" customFormat="1" ht="15" x14ac:dyDescent="0.25"/>
    <row r="492" s="3" customFormat="1" ht="15" x14ac:dyDescent="0.25"/>
    <row r="493" s="3" customFormat="1" ht="15" x14ac:dyDescent="0.25"/>
    <row r="494" s="3" customFormat="1" ht="15" x14ac:dyDescent="0.25"/>
    <row r="495" s="3" customFormat="1" ht="15" x14ac:dyDescent="0.25"/>
    <row r="496" s="3" customFormat="1" ht="15" x14ac:dyDescent="0.25"/>
    <row r="497" s="3" customFormat="1" ht="15" x14ac:dyDescent="0.25"/>
    <row r="498" s="3" customFormat="1" ht="15" x14ac:dyDescent="0.25"/>
    <row r="499" s="3" customFormat="1" ht="15" x14ac:dyDescent="0.25"/>
    <row r="500" s="3" customFormat="1" ht="15" x14ac:dyDescent="0.25"/>
    <row r="501" s="3" customFormat="1" ht="15" x14ac:dyDescent="0.25"/>
    <row r="502" s="3" customFormat="1" ht="15" x14ac:dyDescent="0.25"/>
    <row r="503" s="3" customFormat="1" ht="15" x14ac:dyDescent="0.25"/>
    <row r="504" s="3" customFormat="1" ht="15" x14ac:dyDescent="0.25"/>
    <row r="505" s="3" customFormat="1" ht="15" x14ac:dyDescent="0.25"/>
    <row r="506" s="3" customFormat="1" ht="15" x14ac:dyDescent="0.25"/>
    <row r="507" s="3" customFormat="1" ht="15" x14ac:dyDescent="0.25"/>
    <row r="508" s="3" customFormat="1" ht="15" x14ac:dyDescent="0.25"/>
    <row r="509" s="3" customFormat="1" ht="15" x14ac:dyDescent="0.25"/>
    <row r="510" s="3" customFormat="1" ht="15" x14ac:dyDescent="0.25"/>
    <row r="511" s="3" customFormat="1" ht="15" x14ac:dyDescent="0.25"/>
    <row r="512" s="3" customFormat="1" ht="15" x14ac:dyDescent="0.25"/>
    <row r="513" s="3" customFormat="1" ht="15" x14ac:dyDescent="0.25"/>
    <row r="514" s="3" customFormat="1" ht="15" x14ac:dyDescent="0.25"/>
    <row r="515" s="3" customFormat="1" ht="15" x14ac:dyDescent="0.25"/>
    <row r="516" s="3" customFormat="1" ht="15" x14ac:dyDescent="0.25"/>
    <row r="517" s="3" customFormat="1" ht="15" x14ac:dyDescent="0.25"/>
    <row r="518" s="3" customFormat="1" ht="15" x14ac:dyDescent="0.25"/>
    <row r="519" s="3" customFormat="1" ht="15" x14ac:dyDescent="0.25"/>
    <row r="520" s="3" customFormat="1" ht="15" x14ac:dyDescent="0.25"/>
    <row r="521" s="3" customFormat="1" ht="15" x14ac:dyDescent="0.25"/>
    <row r="522" s="3" customFormat="1" ht="15" x14ac:dyDescent="0.25"/>
    <row r="523" s="3" customFormat="1" ht="15" x14ac:dyDescent="0.25"/>
    <row r="524" s="3" customFormat="1" ht="15" x14ac:dyDescent="0.25"/>
    <row r="525" s="3" customFormat="1" ht="15" x14ac:dyDescent="0.25"/>
    <row r="526" s="3" customFormat="1" ht="15" x14ac:dyDescent="0.25"/>
    <row r="527" s="3" customFormat="1" ht="15" x14ac:dyDescent="0.25"/>
    <row r="528" s="3" customFormat="1" ht="15" x14ac:dyDescent="0.25"/>
    <row r="529" s="3" customFormat="1" ht="15" x14ac:dyDescent="0.25"/>
    <row r="530" s="3" customFormat="1" ht="15" x14ac:dyDescent="0.25"/>
    <row r="531" s="3" customFormat="1" ht="15" x14ac:dyDescent="0.25"/>
    <row r="532" s="3" customFormat="1" ht="15" x14ac:dyDescent="0.25"/>
    <row r="533" s="3" customFormat="1" ht="15" x14ac:dyDescent="0.25"/>
    <row r="534" s="3" customFormat="1" ht="15" x14ac:dyDescent="0.25"/>
    <row r="535" s="3" customFormat="1" ht="15" x14ac:dyDescent="0.25"/>
    <row r="536" s="3" customFormat="1" ht="15" x14ac:dyDescent="0.25"/>
    <row r="537" s="3" customFormat="1" ht="15" x14ac:dyDescent="0.25"/>
    <row r="538" s="3" customFormat="1" ht="15" x14ac:dyDescent="0.25"/>
    <row r="539" s="3" customFormat="1" ht="15" x14ac:dyDescent="0.25"/>
    <row r="540" s="3" customFormat="1" ht="15" x14ac:dyDescent="0.25"/>
    <row r="541" s="3" customFormat="1" ht="15" x14ac:dyDescent="0.25"/>
    <row r="542" s="3" customFormat="1" ht="15" x14ac:dyDescent="0.25"/>
    <row r="543" s="3" customFormat="1" ht="15" x14ac:dyDescent="0.25"/>
    <row r="544" s="3" customFormat="1" ht="15" x14ac:dyDescent="0.25"/>
    <row r="545" s="3" customFormat="1" ht="15" x14ac:dyDescent="0.25"/>
    <row r="546" s="3" customFormat="1" ht="15" x14ac:dyDescent="0.25"/>
    <row r="547" s="3" customFormat="1" ht="15" x14ac:dyDescent="0.25"/>
    <row r="548" s="3" customFormat="1" ht="15" x14ac:dyDescent="0.25"/>
    <row r="549" s="3" customFormat="1" ht="15" x14ac:dyDescent="0.25"/>
    <row r="550" s="3" customFormat="1" ht="15" x14ac:dyDescent="0.25"/>
    <row r="551" s="3" customFormat="1" ht="15" x14ac:dyDescent="0.25"/>
    <row r="552" s="3" customFormat="1" ht="15" x14ac:dyDescent="0.25"/>
    <row r="553" s="3" customFormat="1" ht="15" x14ac:dyDescent="0.25"/>
    <row r="554" s="3" customFormat="1" ht="15" x14ac:dyDescent="0.25"/>
    <row r="555" s="3" customFormat="1" ht="15" x14ac:dyDescent="0.25"/>
    <row r="556" s="3" customFormat="1" ht="15" x14ac:dyDescent="0.25"/>
    <row r="557" s="3" customFormat="1" ht="15" x14ac:dyDescent="0.25"/>
    <row r="558" s="3" customFormat="1" ht="15" x14ac:dyDescent="0.25"/>
    <row r="559" s="3" customFormat="1" ht="15" x14ac:dyDescent="0.25"/>
    <row r="560" s="3" customFormat="1" ht="15" x14ac:dyDescent="0.25"/>
    <row r="561" s="3" customFormat="1" ht="15" x14ac:dyDescent="0.25"/>
    <row r="562" s="3" customFormat="1" ht="15" x14ac:dyDescent="0.25"/>
    <row r="563" s="3" customFormat="1" ht="15" x14ac:dyDescent="0.25"/>
    <row r="564" s="3" customFormat="1" ht="15" x14ac:dyDescent="0.25"/>
    <row r="565" s="3" customFormat="1" ht="15" x14ac:dyDescent="0.25"/>
    <row r="566" s="3" customFormat="1" ht="15" x14ac:dyDescent="0.25"/>
    <row r="567" s="3" customFormat="1" ht="15" x14ac:dyDescent="0.25"/>
    <row r="568" s="3" customFormat="1" ht="15" x14ac:dyDescent="0.25"/>
    <row r="569" s="3" customFormat="1" ht="15" x14ac:dyDescent="0.25"/>
    <row r="570" s="3" customFormat="1" ht="15" x14ac:dyDescent="0.25"/>
    <row r="571" s="3" customFormat="1" ht="15" x14ac:dyDescent="0.25"/>
    <row r="572" s="3" customFormat="1" ht="15" x14ac:dyDescent="0.25"/>
    <row r="573" s="3" customFormat="1" ht="15" x14ac:dyDescent="0.25"/>
    <row r="574" s="3" customFormat="1" ht="15" x14ac:dyDescent="0.25"/>
    <row r="575" s="3" customFormat="1" ht="15" x14ac:dyDescent="0.25"/>
    <row r="576" s="3" customFormat="1" ht="15" x14ac:dyDescent="0.25"/>
    <row r="577" s="3" customFormat="1" ht="15" x14ac:dyDescent="0.25"/>
    <row r="578" s="3" customFormat="1" ht="15" x14ac:dyDescent="0.25"/>
    <row r="579" s="3" customFormat="1" ht="15" x14ac:dyDescent="0.25"/>
    <row r="580" s="3" customFormat="1" ht="15" x14ac:dyDescent="0.25"/>
    <row r="581" s="3" customFormat="1" ht="15" x14ac:dyDescent="0.25"/>
    <row r="582" s="3" customFormat="1" ht="15" x14ac:dyDescent="0.25"/>
    <row r="583" s="3" customFormat="1" ht="15" x14ac:dyDescent="0.25"/>
    <row r="584" s="3" customFormat="1" ht="15" x14ac:dyDescent="0.25"/>
    <row r="585" s="3" customFormat="1" ht="15" x14ac:dyDescent="0.25"/>
    <row r="586" s="3" customFormat="1" ht="15" x14ac:dyDescent="0.25"/>
    <row r="587" s="3" customFormat="1" ht="15" x14ac:dyDescent="0.25"/>
    <row r="588" s="3" customFormat="1" ht="15" x14ac:dyDescent="0.25"/>
    <row r="589" s="3" customFormat="1" ht="15" x14ac:dyDescent="0.25"/>
    <row r="590" s="3" customFormat="1" ht="15" x14ac:dyDescent="0.25"/>
    <row r="591" s="3" customFormat="1" ht="15" x14ac:dyDescent="0.25"/>
    <row r="592" s="3" customFormat="1" ht="15" x14ac:dyDescent="0.25"/>
    <row r="593" s="3" customFormat="1" ht="15" x14ac:dyDescent="0.25"/>
    <row r="594" s="3" customFormat="1" ht="15" x14ac:dyDescent="0.25"/>
    <row r="595" s="3" customFormat="1" ht="15" x14ac:dyDescent="0.25"/>
    <row r="596" s="3" customFormat="1" ht="15" x14ac:dyDescent="0.25"/>
    <row r="597" s="3" customFormat="1" ht="15" x14ac:dyDescent="0.25"/>
    <row r="598" s="3" customFormat="1" ht="15" x14ac:dyDescent="0.25"/>
    <row r="599" s="3" customFormat="1" ht="15" x14ac:dyDescent="0.25"/>
    <row r="600" s="3" customFormat="1" ht="15" x14ac:dyDescent="0.25"/>
    <row r="601" s="3" customFormat="1" ht="15" x14ac:dyDescent="0.25"/>
    <row r="602" s="3" customFormat="1" ht="15" x14ac:dyDescent="0.25"/>
    <row r="603" s="3" customFormat="1" ht="15" x14ac:dyDescent="0.25"/>
    <row r="604" s="3" customFormat="1" ht="15" x14ac:dyDescent="0.25"/>
    <row r="605" s="3" customFormat="1" ht="15" x14ac:dyDescent="0.25"/>
    <row r="606" s="3" customFormat="1" ht="15" x14ac:dyDescent="0.25"/>
    <row r="607" s="3" customFormat="1" ht="15" x14ac:dyDescent="0.25"/>
    <row r="608" s="3" customFormat="1" ht="15" x14ac:dyDescent="0.25"/>
    <row r="609" s="3" customFormat="1" ht="15" x14ac:dyDescent="0.25"/>
    <row r="610" s="3" customFormat="1" ht="15" x14ac:dyDescent="0.25"/>
    <row r="611" s="3" customFormat="1" ht="15" x14ac:dyDescent="0.25"/>
    <row r="612" s="3" customFormat="1" ht="15" x14ac:dyDescent="0.25"/>
    <row r="613" s="3" customFormat="1" ht="15" x14ac:dyDescent="0.25"/>
    <row r="614" s="3" customFormat="1" ht="15" x14ac:dyDescent="0.25"/>
    <row r="615" s="3" customFormat="1" ht="15" x14ac:dyDescent="0.25"/>
    <row r="616" s="3" customFormat="1" ht="15" x14ac:dyDescent="0.25"/>
    <row r="617" s="3" customFormat="1" ht="15" x14ac:dyDescent="0.25"/>
    <row r="618" s="3" customFormat="1" ht="15" x14ac:dyDescent="0.25"/>
    <row r="619" s="3" customFormat="1" ht="15" x14ac:dyDescent="0.25"/>
    <row r="620" s="3" customFormat="1" ht="15" x14ac:dyDescent="0.25"/>
    <row r="621" s="3" customFormat="1" ht="15" x14ac:dyDescent="0.25"/>
    <row r="622" s="3" customFormat="1" ht="15" x14ac:dyDescent="0.25"/>
    <row r="623" s="3" customFormat="1" ht="15" x14ac:dyDescent="0.25"/>
    <row r="624" s="3" customFormat="1" ht="15" x14ac:dyDescent="0.25"/>
    <row r="625" s="3" customFormat="1" ht="15" x14ac:dyDescent="0.25"/>
    <row r="626" s="3" customFormat="1" ht="15" x14ac:dyDescent="0.25"/>
    <row r="627" s="3" customFormat="1" ht="15" x14ac:dyDescent="0.25"/>
    <row r="628" s="3" customFormat="1" ht="15" x14ac:dyDescent="0.25"/>
    <row r="629" s="3" customFormat="1" ht="15" x14ac:dyDescent="0.25"/>
    <row r="630" s="3" customFormat="1" ht="15" x14ac:dyDescent="0.25"/>
    <row r="631" s="3" customFormat="1" ht="15" x14ac:dyDescent="0.25"/>
    <row r="632" s="3" customFormat="1" ht="15" x14ac:dyDescent="0.25"/>
    <row r="633" s="3" customFormat="1" ht="15" x14ac:dyDescent="0.25"/>
    <row r="634" s="3" customFormat="1" ht="15" x14ac:dyDescent="0.25"/>
    <row r="635" s="3" customFormat="1" ht="15" x14ac:dyDescent="0.25"/>
    <row r="636" s="3" customFormat="1" ht="15" x14ac:dyDescent="0.25"/>
    <row r="637" s="3" customFormat="1" ht="15" x14ac:dyDescent="0.25"/>
    <row r="638" s="3" customFormat="1" ht="15" x14ac:dyDescent="0.25"/>
    <row r="639" s="3" customFormat="1" ht="15" x14ac:dyDescent="0.25"/>
    <row r="640" s="3" customFormat="1" ht="15" x14ac:dyDescent="0.25"/>
    <row r="641" s="3" customFormat="1" ht="15" x14ac:dyDescent="0.25"/>
    <row r="642" s="3" customFormat="1" ht="15" x14ac:dyDescent="0.25"/>
    <row r="643" s="3" customFormat="1" ht="15" x14ac:dyDescent="0.25"/>
    <row r="644" s="3" customFormat="1" ht="15" x14ac:dyDescent="0.25"/>
    <row r="645" s="3" customFormat="1" ht="15" x14ac:dyDescent="0.25"/>
    <row r="646" s="3" customFormat="1" ht="15" x14ac:dyDescent="0.25"/>
    <row r="647" s="3" customFormat="1" ht="15" x14ac:dyDescent="0.25"/>
    <row r="648" s="3" customFormat="1" ht="15" x14ac:dyDescent="0.25"/>
    <row r="649" s="3" customFormat="1" ht="15" x14ac:dyDescent="0.25"/>
    <row r="650" s="3" customFormat="1" ht="15" x14ac:dyDescent="0.25"/>
    <row r="651" s="3" customFormat="1" ht="15" x14ac:dyDescent="0.25"/>
    <row r="652" s="3" customFormat="1" ht="15" x14ac:dyDescent="0.25"/>
    <row r="653" s="3" customFormat="1" ht="15" x14ac:dyDescent="0.25"/>
    <row r="654" s="3" customFormat="1" ht="15" x14ac:dyDescent="0.25"/>
    <row r="655" s="3" customFormat="1" ht="15" x14ac:dyDescent="0.25"/>
    <row r="656" s="3" customFormat="1" ht="15" x14ac:dyDescent="0.25"/>
    <row r="657" s="3" customFormat="1" ht="15" x14ac:dyDescent="0.25"/>
    <row r="658" s="3" customFormat="1" ht="15" x14ac:dyDescent="0.25"/>
    <row r="659" s="3" customFormat="1" ht="15" x14ac:dyDescent="0.25"/>
    <row r="660" s="3" customFormat="1" ht="15" x14ac:dyDescent="0.25"/>
    <row r="661" s="3" customFormat="1" ht="15" x14ac:dyDescent="0.25"/>
    <row r="662" s="3" customFormat="1" ht="15" x14ac:dyDescent="0.25"/>
    <row r="663" s="3" customFormat="1" ht="15" x14ac:dyDescent="0.25"/>
    <row r="664" s="3" customFormat="1" ht="15" x14ac:dyDescent="0.25"/>
    <row r="665" s="3" customFormat="1" ht="15" x14ac:dyDescent="0.25"/>
    <row r="666" s="3" customFormat="1" ht="15" x14ac:dyDescent="0.25"/>
    <row r="667" s="3" customFormat="1" ht="15" x14ac:dyDescent="0.25"/>
    <row r="668" s="3" customFormat="1" ht="15" x14ac:dyDescent="0.25"/>
    <row r="669" s="3" customFormat="1" ht="15" x14ac:dyDescent="0.25"/>
    <row r="670" s="3" customFormat="1" ht="15" x14ac:dyDescent="0.25"/>
    <row r="671" s="3" customFormat="1" ht="15" x14ac:dyDescent="0.25"/>
    <row r="672" s="3" customFormat="1" ht="15" x14ac:dyDescent="0.25"/>
    <row r="673" s="3" customFormat="1" ht="15" x14ac:dyDescent="0.25"/>
    <row r="674" s="3" customFormat="1" ht="15" x14ac:dyDescent="0.25"/>
    <row r="675" s="3" customFormat="1" ht="15" x14ac:dyDescent="0.25"/>
    <row r="676" s="3" customFormat="1" ht="15" x14ac:dyDescent="0.25"/>
    <row r="677" s="3" customFormat="1" ht="15" x14ac:dyDescent="0.25"/>
    <row r="678" s="3" customFormat="1" ht="15" x14ac:dyDescent="0.25"/>
    <row r="679" s="3" customFormat="1" ht="15" x14ac:dyDescent="0.25"/>
    <row r="680" s="3" customFormat="1" ht="15" x14ac:dyDescent="0.25"/>
    <row r="681" s="3" customFormat="1" ht="15" x14ac:dyDescent="0.25"/>
    <row r="682" s="3" customFormat="1" ht="15" x14ac:dyDescent="0.25"/>
    <row r="683" s="3" customFormat="1" ht="15" x14ac:dyDescent="0.25"/>
    <row r="684" s="3" customFormat="1" ht="15" x14ac:dyDescent="0.25"/>
    <row r="685" s="3" customFormat="1" ht="15" x14ac:dyDescent="0.25"/>
    <row r="686" s="3" customFormat="1" ht="15" x14ac:dyDescent="0.25"/>
    <row r="687" s="3" customFormat="1" ht="15" x14ac:dyDescent="0.25"/>
    <row r="688" s="3" customFormat="1" ht="15" x14ac:dyDescent="0.25"/>
    <row r="689" s="3" customFormat="1" ht="15" x14ac:dyDescent="0.25"/>
    <row r="690" s="3" customFormat="1" ht="15" x14ac:dyDescent="0.25"/>
    <row r="691" s="3" customFormat="1" ht="15" x14ac:dyDescent="0.25"/>
    <row r="692" s="3" customFormat="1" ht="15" x14ac:dyDescent="0.25"/>
    <row r="693" s="3" customFormat="1" ht="15" x14ac:dyDescent="0.25"/>
    <row r="694" s="3" customFormat="1" ht="15" x14ac:dyDescent="0.25"/>
    <row r="695" s="3" customFormat="1" ht="15" x14ac:dyDescent="0.25"/>
    <row r="696" s="3" customFormat="1" ht="15" x14ac:dyDescent="0.25"/>
    <row r="697" s="3" customFormat="1" ht="15" x14ac:dyDescent="0.25"/>
    <row r="698" s="3" customFormat="1" ht="15" x14ac:dyDescent="0.25"/>
    <row r="699" s="3" customFormat="1" ht="15" x14ac:dyDescent="0.25"/>
    <row r="700" s="3" customFormat="1" ht="15" x14ac:dyDescent="0.25"/>
    <row r="701" s="3" customFormat="1" ht="15" x14ac:dyDescent="0.25"/>
    <row r="702" s="3" customFormat="1" ht="15" x14ac:dyDescent="0.25"/>
    <row r="703" s="3" customFormat="1" ht="15" x14ac:dyDescent="0.25"/>
    <row r="704" s="3" customFormat="1" ht="15" x14ac:dyDescent="0.25"/>
    <row r="705" s="3" customFormat="1" ht="15" x14ac:dyDescent="0.25"/>
    <row r="706" s="3" customFormat="1" ht="15" x14ac:dyDescent="0.25"/>
    <row r="707" s="3" customFormat="1" ht="15" x14ac:dyDescent="0.25"/>
    <row r="708" s="3" customFormat="1" ht="15" x14ac:dyDescent="0.25"/>
    <row r="709" s="3" customFormat="1" ht="15" x14ac:dyDescent="0.25"/>
    <row r="710" s="3" customFormat="1" ht="15" x14ac:dyDescent="0.25"/>
    <row r="711" s="3" customFormat="1" ht="15" x14ac:dyDescent="0.25"/>
    <row r="712" s="3" customFormat="1" ht="15" x14ac:dyDescent="0.25"/>
    <row r="713" s="3" customFormat="1" ht="15" x14ac:dyDescent="0.25"/>
    <row r="714" s="3" customFormat="1" ht="15" x14ac:dyDescent="0.25"/>
    <row r="715" s="3" customFormat="1" ht="15" x14ac:dyDescent="0.25"/>
    <row r="716" s="3" customFormat="1" ht="15" x14ac:dyDescent="0.25"/>
    <row r="717" s="3" customFormat="1" ht="15" x14ac:dyDescent="0.25"/>
    <row r="718" s="3" customFormat="1" ht="15" x14ac:dyDescent="0.25"/>
    <row r="719" s="3" customFormat="1" ht="15" x14ac:dyDescent="0.25"/>
    <row r="720" s="3" customFormat="1" ht="15" x14ac:dyDescent="0.25"/>
    <row r="721" s="3" customFormat="1" ht="15" x14ac:dyDescent="0.25"/>
    <row r="722" s="3" customFormat="1" ht="15" x14ac:dyDescent="0.25"/>
    <row r="723" s="3" customFormat="1" ht="15" x14ac:dyDescent="0.25"/>
    <row r="724" s="3" customFormat="1" ht="15" x14ac:dyDescent="0.25"/>
    <row r="725" s="3" customFormat="1" ht="15" x14ac:dyDescent="0.25"/>
    <row r="726" s="3" customFormat="1" ht="15" x14ac:dyDescent="0.25"/>
    <row r="727" s="3" customFormat="1" ht="15" x14ac:dyDescent="0.25"/>
    <row r="728" s="3" customFormat="1" ht="15" x14ac:dyDescent="0.25"/>
    <row r="729" s="3" customFormat="1" ht="15" x14ac:dyDescent="0.25"/>
    <row r="730" s="3" customFormat="1" ht="15" x14ac:dyDescent="0.25"/>
    <row r="731" s="3" customFormat="1" ht="15" x14ac:dyDescent="0.25"/>
    <row r="732" s="3" customFormat="1" ht="15" x14ac:dyDescent="0.25"/>
    <row r="733" s="3" customFormat="1" ht="15" x14ac:dyDescent="0.25"/>
    <row r="734" s="3" customFormat="1" ht="15" x14ac:dyDescent="0.25"/>
    <row r="735" s="3" customFormat="1" ht="15" x14ac:dyDescent="0.25"/>
    <row r="736" s="3" customFormat="1" ht="15" x14ac:dyDescent="0.25"/>
    <row r="737" s="3" customFormat="1" ht="15" x14ac:dyDescent="0.25"/>
    <row r="738" s="3" customFormat="1" ht="15" x14ac:dyDescent="0.25"/>
    <row r="739" s="3" customFormat="1" ht="15" x14ac:dyDescent="0.25"/>
    <row r="740" s="3" customFormat="1" ht="15" x14ac:dyDescent="0.25"/>
    <row r="741" s="3" customFormat="1" ht="15" x14ac:dyDescent="0.25"/>
    <row r="742" s="3" customFormat="1" ht="15" x14ac:dyDescent="0.25"/>
    <row r="743" s="3" customFormat="1" ht="15" x14ac:dyDescent="0.25"/>
    <row r="744" s="3" customFormat="1" ht="15" x14ac:dyDescent="0.25"/>
    <row r="745" s="3" customFormat="1" ht="15" x14ac:dyDescent="0.25"/>
    <row r="746" s="3" customFormat="1" ht="15" x14ac:dyDescent="0.25"/>
    <row r="747" s="3" customFormat="1" ht="15" x14ac:dyDescent="0.25"/>
    <row r="748" s="3" customFormat="1" ht="15" x14ac:dyDescent="0.25"/>
    <row r="749" s="3" customFormat="1" ht="15" x14ac:dyDescent="0.25"/>
    <row r="750" s="3" customFormat="1" ht="15" x14ac:dyDescent="0.25"/>
    <row r="751" s="3" customFormat="1" ht="15" x14ac:dyDescent="0.25"/>
    <row r="752" s="3" customFormat="1" ht="15" x14ac:dyDescent="0.25"/>
    <row r="753" s="3" customFormat="1" ht="15" x14ac:dyDescent="0.25"/>
    <row r="754" s="3" customFormat="1" ht="15" x14ac:dyDescent="0.25"/>
    <row r="755" s="3" customFormat="1" ht="15" x14ac:dyDescent="0.25"/>
    <row r="756" s="3" customFormat="1" ht="15" x14ac:dyDescent="0.25"/>
    <row r="757" s="3" customFormat="1" ht="15" x14ac:dyDescent="0.25"/>
    <row r="758" s="3" customFormat="1" ht="15" x14ac:dyDescent="0.25"/>
    <row r="759" s="3" customFormat="1" ht="15" x14ac:dyDescent="0.25"/>
    <row r="760" s="3" customFormat="1" ht="15" x14ac:dyDescent="0.25"/>
    <row r="761" s="3" customFormat="1" ht="15" x14ac:dyDescent="0.25"/>
    <row r="762" s="3" customFormat="1" ht="15" x14ac:dyDescent="0.25"/>
    <row r="763" s="3" customFormat="1" ht="15" x14ac:dyDescent="0.25"/>
    <row r="764" s="3" customFormat="1" ht="15" x14ac:dyDescent="0.25"/>
    <row r="765" s="3" customFormat="1" ht="15" x14ac:dyDescent="0.25"/>
    <row r="766" s="3" customFormat="1" ht="15" x14ac:dyDescent="0.25"/>
    <row r="767" s="3" customFormat="1" ht="15" x14ac:dyDescent="0.25"/>
    <row r="768" s="3" customFormat="1" ht="15" x14ac:dyDescent="0.25"/>
    <row r="769" s="3" customFormat="1" ht="15" x14ac:dyDescent="0.25"/>
    <row r="770" s="3" customFormat="1" ht="15" x14ac:dyDescent="0.25"/>
    <row r="771" s="3" customFormat="1" ht="15" x14ac:dyDescent="0.25"/>
    <row r="772" s="3" customFormat="1" ht="15" x14ac:dyDescent="0.25"/>
    <row r="773" s="3" customFormat="1" ht="15" x14ac:dyDescent="0.25"/>
    <row r="774" s="3" customFormat="1" ht="15" x14ac:dyDescent="0.25"/>
    <row r="775" s="3" customFormat="1" ht="15" x14ac:dyDescent="0.25"/>
    <row r="776" s="3" customFormat="1" ht="15" x14ac:dyDescent="0.25"/>
    <row r="777" s="3" customFormat="1" ht="15" x14ac:dyDescent="0.25"/>
    <row r="778" s="3" customFormat="1" ht="15" x14ac:dyDescent="0.25"/>
    <row r="779" s="3" customFormat="1" ht="15" x14ac:dyDescent="0.25"/>
    <row r="780" s="3" customFormat="1" ht="15" x14ac:dyDescent="0.25"/>
    <row r="781" s="3" customFormat="1" ht="15" x14ac:dyDescent="0.25"/>
    <row r="782" s="3" customFormat="1" ht="15" x14ac:dyDescent="0.25"/>
    <row r="783" s="3" customFormat="1" ht="15" x14ac:dyDescent="0.25"/>
    <row r="784" s="3" customFormat="1" ht="15" x14ac:dyDescent="0.25"/>
    <row r="785" s="3" customFormat="1" ht="15" x14ac:dyDescent="0.25"/>
    <row r="786" s="3" customFormat="1" ht="15" x14ac:dyDescent="0.25"/>
    <row r="787" s="3" customFormat="1" ht="15" x14ac:dyDescent="0.25"/>
    <row r="788" s="3" customFormat="1" ht="15" x14ac:dyDescent="0.25"/>
    <row r="789" s="3" customFormat="1" ht="15" x14ac:dyDescent="0.25"/>
    <row r="790" s="3" customFormat="1" ht="15" x14ac:dyDescent="0.25"/>
    <row r="791" s="3" customFormat="1" ht="15" x14ac:dyDescent="0.25"/>
    <row r="792" s="3" customFormat="1" ht="15" x14ac:dyDescent="0.25"/>
    <row r="793" s="3" customFormat="1" ht="15" x14ac:dyDescent="0.25"/>
    <row r="794" s="3" customFormat="1" ht="15" x14ac:dyDescent="0.25"/>
    <row r="795" s="3" customFormat="1" ht="15" x14ac:dyDescent="0.25"/>
    <row r="796" s="3" customFormat="1" ht="15" x14ac:dyDescent="0.25"/>
    <row r="797" s="3" customFormat="1" ht="15" x14ac:dyDescent="0.25"/>
    <row r="798" s="3" customFormat="1" ht="15" x14ac:dyDescent="0.25"/>
    <row r="799" s="3" customFormat="1" ht="15" x14ac:dyDescent="0.25"/>
    <row r="800" s="3" customFormat="1" ht="15" x14ac:dyDescent="0.25"/>
    <row r="801" s="3" customFormat="1" ht="15" x14ac:dyDescent="0.25"/>
    <row r="802" s="3" customFormat="1" ht="15" x14ac:dyDescent="0.25"/>
    <row r="803" s="3" customFormat="1" ht="15" x14ac:dyDescent="0.25"/>
    <row r="804" s="3" customFormat="1" ht="15" x14ac:dyDescent="0.25"/>
    <row r="805" s="3" customFormat="1" ht="15" x14ac:dyDescent="0.25"/>
    <row r="806" s="3" customFormat="1" ht="15" x14ac:dyDescent="0.25"/>
    <row r="807" s="3" customFormat="1" ht="15" x14ac:dyDescent="0.25"/>
    <row r="808" s="3" customFormat="1" ht="15" x14ac:dyDescent="0.25"/>
    <row r="809" s="3" customFormat="1" ht="15" x14ac:dyDescent="0.25"/>
    <row r="810" s="3" customFormat="1" ht="15" x14ac:dyDescent="0.25"/>
    <row r="811" s="3" customFormat="1" ht="15" x14ac:dyDescent="0.25"/>
    <row r="812" s="3" customFormat="1" ht="15" x14ac:dyDescent="0.25"/>
    <row r="813" s="3" customFormat="1" ht="15" x14ac:dyDescent="0.25"/>
    <row r="814" s="3" customFormat="1" ht="15" x14ac:dyDescent="0.25"/>
    <row r="815" s="3" customFormat="1" ht="15" x14ac:dyDescent="0.25"/>
    <row r="816" s="3" customFormat="1" ht="15" x14ac:dyDescent="0.25"/>
    <row r="817" s="3" customFormat="1" ht="15" x14ac:dyDescent="0.25"/>
    <row r="818" s="3" customFormat="1" ht="15" x14ac:dyDescent="0.25"/>
    <row r="819" s="3" customFormat="1" ht="15" x14ac:dyDescent="0.25"/>
    <row r="820" s="3" customFormat="1" ht="15" x14ac:dyDescent="0.25"/>
    <row r="821" s="3" customFormat="1" ht="15" x14ac:dyDescent="0.25"/>
    <row r="822" s="3" customFormat="1" ht="15" x14ac:dyDescent="0.25"/>
    <row r="823" s="3" customFormat="1" ht="15" x14ac:dyDescent="0.25"/>
    <row r="824" s="3" customFormat="1" ht="15" x14ac:dyDescent="0.25"/>
    <row r="825" s="3" customFormat="1" ht="15" x14ac:dyDescent="0.25"/>
    <row r="826" s="3" customFormat="1" ht="15" x14ac:dyDescent="0.25"/>
    <row r="827" s="3" customFormat="1" ht="15" x14ac:dyDescent="0.25"/>
    <row r="828" s="3" customFormat="1" ht="15" x14ac:dyDescent="0.25"/>
    <row r="829" s="3" customFormat="1" ht="15" x14ac:dyDescent="0.25"/>
    <row r="830" s="3" customFormat="1" ht="15" x14ac:dyDescent="0.25"/>
    <row r="831" s="3" customFormat="1" ht="15" x14ac:dyDescent="0.25"/>
    <row r="832" s="3" customFormat="1" ht="15" x14ac:dyDescent="0.25"/>
    <row r="833" s="3" customFormat="1" ht="15" x14ac:dyDescent="0.25"/>
    <row r="834" s="3" customFormat="1" ht="15" x14ac:dyDescent="0.25"/>
    <row r="835" s="3" customFormat="1" ht="15" x14ac:dyDescent="0.25"/>
    <row r="836" s="3" customFormat="1" ht="15" x14ac:dyDescent="0.25"/>
    <row r="837" s="3" customFormat="1" ht="15" x14ac:dyDescent="0.25"/>
    <row r="838" s="3" customFormat="1" ht="15" x14ac:dyDescent="0.25"/>
    <row r="839" s="3" customFormat="1" ht="15" x14ac:dyDescent="0.25"/>
    <row r="840" s="3" customFormat="1" ht="15" x14ac:dyDescent="0.25"/>
    <row r="841" s="3" customFormat="1" ht="15" x14ac:dyDescent="0.25"/>
    <row r="842" s="3" customFormat="1" ht="15" x14ac:dyDescent="0.25"/>
    <row r="843" s="3" customFormat="1" ht="15" x14ac:dyDescent="0.25"/>
    <row r="844" s="3" customFormat="1" ht="15" x14ac:dyDescent="0.25"/>
    <row r="845" s="3" customFormat="1" ht="15" x14ac:dyDescent="0.25"/>
    <row r="846" s="3" customFormat="1" ht="15" x14ac:dyDescent="0.25"/>
    <row r="847" s="3" customFormat="1" ht="15" x14ac:dyDescent="0.25"/>
    <row r="848" s="3" customFormat="1" ht="15" x14ac:dyDescent="0.25"/>
    <row r="849" s="3" customFormat="1" ht="15" x14ac:dyDescent="0.25"/>
    <row r="850" s="3" customFormat="1" ht="15" x14ac:dyDescent="0.25"/>
    <row r="851" s="3" customFormat="1" ht="15" x14ac:dyDescent="0.25"/>
    <row r="852" s="3" customFormat="1" ht="15" x14ac:dyDescent="0.25"/>
    <row r="853" s="3" customFormat="1" ht="15" x14ac:dyDescent="0.25"/>
    <row r="854" s="3" customFormat="1" ht="15" x14ac:dyDescent="0.25"/>
    <row r="855" s="3" customFormat="1" ht="15" x14ac:dyDescent="0.25"/>
    <row r="856" s="3" customFormat="1" ht="15" x14ac:dyDescent="0.25"/>
    <row r="857" s="3" customFormat="1" ht="15" x14ac:dyDescent="0.25"/>
    <row r="858" s="3" customFormat="1" ht="15" x14ac:dyDescent="0.25"/>
    <row r="859" s="3" customFormat="1" ht="15" x14ac:dyDescent="0.25"/>
    <row r="860" s="3" customFormat="1" ht="15" x14ac:dyDescent="0.25"/>
    <row r="861" s="3" customFormat="1" ht="15" x14ac:dyDescent="0.25"/>
    <row r="862" s="3" customFormat="1" ht="15" x14ac:dyDescent="0.25"/>
    <row r="863" s="3" customFormat="1" ht="15" x14ac:dyDescent="0.25"/>
    <row r="864" s="3" customFormat="1" ht="15" x14ac:dyDescent="0.25"/>
    <row r="865" s="3" customFormat="1" ht="15" x14ac:dyDescent="0.25"/>
    <row r="866" s="3" customFormat="1" ht="15" x14ac:dyDescent="0.25"/>
    <row r="867" s="3" customFormat="1" ht="15" x14ac:dyDescent="0.25"/>
    <row r="868" s="3" customFormat="1" ht="15" x14ac:dyDescent="0.25"/>
    <row r="869" s="3" customFormat="1" ht="15" x14ac:dyDescent="0.25"/>
    <row r="870" s="3" customFormat="1" ht="15" x14ac:dyDescent="0.25"/>
    <row r="871" s="3" customFormat="1" ht="15" x14ac:dyDescent="0.25"/>
    <row r="872" s="3" customFormat="1" ht="15" x14ac:dyDescent="0.25"/>
    <row r="873" s="3" customFormat="1" ht="15" x14ac:dyDescent="0.25"/>
    <row r="874" s="3" customFormat="1" ht="15" x14ac:dyDescent="0.25"/>
    <row r="875" s="3" customFormat="1" ht="15" x14ac:dyDescent="0.25"/>
    <row r="876" s="3" customFormat="1" ht="15" x14ac:dyDescent="0.25"/>
    <row r="877" s="3" customFormat="1" ht="15" x14ac:dyDescent="0.25"/>
    <row r="878" s="3" customFormat="1" ht="15" x14ac:dyDescent="0.25"/>
    <row r="879" s="3" customFormat="1" ht="15" x14ac:dyDescent="0.25"/>
    <row r="880" s="3" customFormat="1" ht="15" x14ac:dyDescent="0.25"/>
    <row r="881" s="3" customFormat="1" ht="15" x14ac:dyDescent="0.25"/>
    <row r="882" s="3" customFormat="1" ht="15" x14ac:dyDescent="0.25"/>
    <row r="883" s="3" customFormat="1" ht="15" x14ac:dyDescent="0.25"/>
    <row r="884" s="3" customFormat="1" ht="15" x14ac:dyDescent="0.25"/>
    <row r="885" s="3" customFormat="1" ht="15" x14ac:dyDescent="0.25"/>
    <row r="886" s="3" customFormat="1" ht="15" x14ac:dyDescent="0.25"/>
    <row r="887" s="3" customFormat="1" ht="15" x14ac:dyDescent="0.25"/>
    <row r="888" s="3" customFormat="1" ht="15" x14ac:dyDescent="0.25"/>
    <row r="889" s="3" customFormat="1" ht="15" x14ac:dyDescent="0.25"/>
    <row r="890" s="3" customFormat="1" ht="15" x14ac:dyDescent="0.25"/>
    <row r="891" s="3" customFormat="1" ht="15" x14ac:dyDescent="0.25"/>
    <row r="892" s="3" customFormat="1" ht="15" x14ac:dyDescent="0.25"/>
    <row r="893" s="3" customFormat="1" ht="15" x14ac:dyDescent="0.25"/>
    <row r="894" s="3" customFormat="1" ht="15" x14ac:dyDescent="0.25"/>
    <row r="895" s="3" customFormat="1" ht="15" x14ac:dyDescent="0.25"/>
    <row r="896" s="3" customFormat="1" ht="15" x14ac:dyDescent="0.25"/>
    <row r="897" s="3" customFormat="1" ht="15" x14ac:dyDescent="0.25"/>
    <row r="898" s="3" customFormat="1" ht="15" x14ac:dyDescent="0.25"/>
    <row r="899" s="3" customFormat="1" ht="15" x14ac:dyDescent="0.25"/>
    <row r="900" s="3" customFormat="1" ht="15" x14ac:dyDescent="0.25"/>
    <row r="901" s="3" customFormat="1" ht="15" x14ac:dyDescent="0.25"/>
    <row r="902" s="3" customFormat="1" ht="15" x14ac:dyDescent="0.25"/>
    <row r="903" s="3" customFormat="1" ht="15" x14ac:dyDescent="0.25"/>
    <row r="904" s="3" customFormat="1" ht="15" x14ac:dyDescent="0.25"/>
    <row r="905" s="3" customFormat="1" ht="15" x14ac:dyDescent="0.25"/>
    <row r="906" s="3" customFormat="1" ht="15" x14ac:dyDescent="0.25"/>
    <row r="907" s="3" customFormat="1" ht="15" x14ac:dyDescent="0.25"/>
    <row r="908" s="3" customFormat="1" ht="15" x14ac:dyDescent="0.25"/>
    <row r="909" s="3" customFormat="1" ht="15" x14ac:dyDescent="0.25"/>
    <row r="910" s="3" customFormat="1" ht="15" x14ac:dyDescent="0.25"/>
    <row r="911" s="3" customFormat="1" ht="15" x14ac:dyDescent="0.25"/>
    <row r="912" s="3" customFormat="1" ht="15" x14ac:dyDescent="0.25"/>
    <row r="913" s="3" customFormat="1" ht="15" x14ac:dyDescent="0.25"/>
    <row r="914" s="3" customFormat="1" ht="15" x14ac:dyDescent="0.25"/>
    <row r="915" s="3" customFormat="1" ht="15" x14ac:dyDescent="0.25"/>
    <row r="916" s="3" customFormat="1" ht="15" x14ac:dyDescent="0.25"/>
    <row r="917" s="3" customFormat="1" ht="15" x14ac:dyDescent="0.25"/>
    <row r="918" s="3" customFormat="1" ht="15" x14ac:dyDescent="0.25"/>
    <row r="919" s="3" customFormat="1" ht="15" x14ac:dyDescent="0.25"/>
    <row r="920" s="3" customFormat="1" ht="15" x14ac:dyDescent="0.25"/>
    <row r="921" s="3" customFormat="1" ht="15" x14ac:dyDescent="0.25"/>
    <row r="922" s="3" customFormat="1" ht="15" x14ac:dyDescent="0.25"/>
    <row r="923" s="3" customFormat="1" ht="15" x14ac:dyDescent="0.25"/>
    <row r="924" s="3" customFormat="1" ht="15" x14ac:dyDescent="0.25"/>
    <row r="925" s="3" customFormat="1" ht="15" x14ac:dyDescent="0.25"/>
    <row r="926" s="3" customFormat="1" ht="15" x14ac:dyDescent="0.25"/>
    <row r="927" s="3" customFormat="1" ht="15" x14ac:dyDescent="0.25"/>
    <row r="928" s="3" customFormat="1" ht="15" x14ac:dyDescent="0.25"/>
    <row r="929" s="3" customFormat="1" ht="15" x14ac:dyDescent="0.25"/>
    <row r="930" s="3" customFormat="1" ht="15" x14ac:dyDescent="0.25"/>
    <row r="931" s="3" customFormat="1" ht="15" x14ac:dyDescent="0.25"/>
    <row r="932" s="3" customFormat="1" ht="15" x14ac:dyDescent="0.25"/>
    <row r="933" s="3" customFormat="1" ht="15" x14ac:dyDescent="0.25"/>
    <row r="934" s="3" customFormat="1" ht="15" x14ac:dyDescent="0.25"/>
    <row r="935" s="3" customFormat="1" ht="15" x14ac:dyDescent="0.25"/>
    <row r="936" s="3" customFormat="1" ht="15" x14ac:dyDescent="0.25"/>
    <row r="937" s="3" customFormat="1" ht="15" x14ac:dyDescent="0.25"/>
    <row r="938" s="3" customFormat="1" ht="15" x14ac:dyDescent="0.25"/>
    <row r="939" s="3" customFormat="1" ht="15" x14ac:dyDescent="0.25"/>
    <row r="940" s="3" customFormat="1" ht="15" x14ac:dyDescent="0.25"/>
    <row r="941" s="3" customFormat="1" ht="15" x14ac:dyDescent="0.25"/>
    <row r="942" s="3" customFormat="1" ht="15" x14ac:dyDescent="0.25"/>
    <row r="943" s="3" customFormat="1" ht="15" x14ac:dyDescent="0.25"/>
    <row r="944" s="3" customFormat="1" ht="15" x14ac:dyDescent="0.25"/>
    <row r="945" s="3" customFormat="1" ht="15" x14ac:dyDescent="0.25"/>
    <row r="946" s="3" customFormat="1" ht="15" x14ac:dyDescent="0.25"/>
    <row r="947" s="3" customFormat="1" ht="15" x14ac:dyDescent="0.25"/>
    <row r="948" s="3" customFormat="1" ht="15" x14ac:dyDescent="0.25"/>
    <row r="949" s="3" customFormat="1" ht="15" x14ac:dyDescent="0.25"/>
    <row r="950" s="3" customFormat="1" ht="15" x14ac:dyDescent="0.25"/>
    <row r="951" s="3" customFormat="1" ht="15" x14ac:dyDescent="0.25"/>
    <row r="952" s="3" customFormat="1" ht="15" x14ac:dyDescent="0.25"/>
    <row r="953" s="3" customFormat="1" ht="15" x14ac:dyDescent="0.25"/>
    <row r="954" s="3" customFormat="1" ht="15" x14ac:dyDescent="0.25"/>
    <row r="955" s="3" customFormat="1" ht="15" x14ac:dyDescent="0.25"/>
    <row r="956" s="3" customFormat="1" ht="15" x14ac:dyDescent="0.25"/>
    <row r="957" s="3" customFormat="1" ht="15" x14ac:dyDescent="0.25"/>
    <row r="958" s="3" customFormat="1" ht="15" x14ac:dyDescent="0.25"/>
    <row r="959" s="3" customFormat="1" ht="15" x14ac:dyDescent="0.25"/>
    <row r="960" s="3" customFormat="1" ht="15" x14ac:dyDescent="0.25"/>
    <row r="961" s="3" customFormat="1" ht="15" x14ac:dyDescent="0.25"/>
    <row r="962" s="3" customFormat="1" ht="15" x14ac:dyDescent="0.25"/>
    <row r="963" s="3" customFormat="1" ht="15" x14ac:dyDescent="0.25"/>
    <row r="964" s="3" customFormat="1" ht="15" x14ac:dyDescent="0.25"/>
    <row r="965" s="3" customFormat="1" ht="15" x14ac:dyDescent="0.25"/>
    <row r="966" s="3" customFormat="1" ht="15" x14ac:dyDescent="0.25"/>
    <row r="967" s="3" customFormat="1" ht="15" x14ac:dyDescent="0.25"/>
    <row r="968" s="3" customFormat="1" ht="15" x14ac:dyDescent="0.25"/>
    <row r="969" s="3" customFormat="1" ht="15" x14ac:dyDescent="0.25"/>
    <row r="970" s="3" customFormat="1" ht="15" x14ac:dyDescent="0.25"/>
    <row r="971" s="3" customFormat="1" ht="15" x14ac:dyDescent="0.25"/>
    <row r="972" s="3" customFormat="1" ht="15" x14ac:dyDescent="0.25"/>
    <row r="973" s="3" customFormat="1" ht="15" x14ac:dyDescent="0.25"/>
    <row r="974" s="3" customFormat="1" ht="15" x14ac:dyDescent="0.25"/>
    <row r="975" s="3" customFormat="1" ht="15" x14ac:dyDescent="0.25"/>
    <row r="976" s="3" customFormat="1" ht="15" x14ac:dyDescent="0.25"/>
    <row r="977" s="3" customFormat="1" ht="15" x14ac:dyDescent="0.25"/>
    <row r="978" s="3" customFormat="1" ht="15" x14ac:dyDescent="0.25"/>
    <row r="979" s="3" customFormat="1" ht="15" x14ac:dyDescent="0.25"/>
    <row r="980" s="3" customFormat="1" ht="15" x14ac:dyDescent="0.25"/>
    <row r="981" s="3" customFormat="1" ht="15" x14ac:dyDescent="0.25"/>
    <row r="982" s="3" customFormat="1" ht="15" x14ac:dyDescent="0.25"/>
    <row r="983" s="3" customFormat="1" ht="15" x14ac:dyDescent="0.25"/>
    <row r="984" s="3" customFormat="1" ht="15" x14ac:dyDescent="0.25"/>
    <row r="985" s="3" customFormat="1" ht="15" x14ac:dyDescent="0.25"/>
    <row r="986" s="3" customFormat="1" ht="15" x14ac:dyDescent="0.25"/>
    <row r="987" s="3" customFormat="1" ht="15" x14ac:dyDescent="0.25"/>
    <row r="988" s="3" customFormat="1" ht="15" x14ac:dyDescent="0.25"/>
    <row r="989" s="3" customFormat="1" ht="15" x14ac:dyDescent="0.25"/>
    <row r="990" s="3" customFormat="1" ht="15" x14ac:dyDescent="0.25"/>
    <row r="991" s="3" customFormat="1" ht="15" x14ac:dyDescent="0.25"/>
    <row r="992" s="3" customFormat="1" ht="15" x14ac:dyDescent="0.25"/>
    <row r="993" s="3" customFormat="1" ht="15" x14ac:dyDescent="0.25"/>
    <row r="994" s="3" customFormat="1" ht="15" x14ac:dyDescent="0.25"/>
    <row r="995" s="3" customFormat="1" ht="15" x14ac:dyDescent="0.25"/>
    <row r="996" s="3" customFormat="1" ht="15" x14ac:dyDescent="0.25"/>
    <row r="997" s="3" customFormat="1" ht="15" x14ac:dyDescent="0.25"/>
    <row r="998" s="3" customFormat="1" ht="15" x14ac:dyDescent="0.25"/>
    <row r="999" s="3" customFormat="1" ht="15" x14ac:dyDescent="0.25"/>
    <row r="1000" s="3" customFormat="1" ht="15" x14ac:dyDescent="0.25"/>
    <row r="1001" s="3" customFormat="1" ht="15" x14ac:dyDescent="0.25"/>
    <row r="1002" s="3" customFormat="1" ht="15" x14ac:dyDescent="0.25"/>
    <row r="1003" s="3" customFormat="1" ht="15" x14ac:dyDescent="0.25"/>
    <row r="1004" s="3" customFormat="1" ht="15" x14ac:dyDescent="0.25"/>
    <row r="1005" s="3" customFormat="1" ht="15" x14ac:dyDescent="0.25"/>
    <row r="1006" s="3" customFormat="1" ht="15" x14ac:dyDescent="0.25"/>
    <row r="1007" s="3" customFormat="1" ht="15" x14ac:dyDescent="0.25"/>
    <row r="1008" s="3" customFormat="1" ht="15" x14ac:dyDescent="0.25"/>
    <row r="1009" s="3" customFormat="1" ht="15" x14ac:dyDescent="0.25"/>
    <row r="1010" s="3" customFormat="1" ht="15" x14ac:dyDescent="0.25"/>
    <row r="1011" s="3" customFormat="1" ht="15" x14ac:dyDescent="0.25"/>
    <row r="1012" s="3" customFormat="1" ht="15" x14ac:dyDescent="0.25"/>
    <row r="1013" s="3" customFormat="1" ht="15" x14ac:dyDescent="0.25"/>
    <row r="1014" s="3" customFormat="1" ht="15" x14ac:dyDescent="0.25"/>
    <row r="1015" s="3" customFormat="1" ht="15" x14ac:dyDescent="0.25"/>
    <row r="1016" s="3" customFormat="1" ht="15" x14ac:dyDescent="0.25"/>
    <row r="1017" s="3" customFormat="1" ht="15" x14ac:dyDescent="0.25"/>
    <row r="1018" s="3" customFormat="1" ht="15" x14ac:dyDescent="0.25"/>
    <row r="1019" s="3" customFormat="1" ht="15" x14ac:dyDescent="0.25"/>
    <row r="1020" s="3" customFormat="1" ht="15" x14ac:dyDescent="0.25"/>
    <row r="1021" s="3" customFormat="1" ht="15" x14ac:dyDescent="0.25"/>
    <row r="1022" s="3" customFormat="1" ht="15" x14ac:dyDescent="0.25"/>
    <row r="1023" s="3" customFormat="1" ht="15" x14ac:dyDescent="0.25"/>
    <row r="1024" s="3" customFormat="1" ht="15" x14ac:dyDescent="0.25"/>
    <row r="1025" s="3" customFormat="1" ht="15" x14ac:dyDescent="0.25"/>
    <row r="1026" s="3" customFormat="1" ht="15" x14ac:dyDescent="0.25"/>
    <row r="1027" s="3" customFormat="1" ht="15" x14ac:dyDescent="0.25"/>
    <row r="1028" s="3" customFormat="1" ht="15" x14ac:dyDescent="0.25"/>
    <row r="1029" s="3" customFormat="1" ht="15" x14ac:dyDescent="0.25"/>
    <row r="1030" s="3" customFormat="1" ht="15" x14ac:dyDescent="0.25"/>
    <row r="1031" s="3" customFormat="1" ht="15" x14ac:dyDescent="0.25"/>
    <row r="1032" s="3" customFormat="1" ht="15" x14ac:dyDescent="0.25"/>
    <row r="1033" s="3" customFormat="1" ht="15" x14ac:dyDescent="0.25"/>
    <row r="1034" s="3" customFormat="1" ht="15" x14ac:dyDescent="0.25"/>
    <row r="1035" s="3" customFormat="1" ht="15" x14ac:dyDescent="0.25"/>
    <row r="1036" s="3" customFormat="1" ht="15" x14ac:dyDescent="0.25"/>
    <row r="1037" s="3" customFormat="1" ht="15" x14ac:dyDescent="0.25"/>
    <row r="1038" s="3" customFormat="1" ht="15" x14ac:dyDescent="0.25"/>
    <row r="1039" s="3" customFormat="1" ht="15" x14ac:dyDescent="0.25"/>
    <row r="1040" s="3" customFormat="1" ht="15" x14ac:dyDescent="0.25"/>
    <row r="1041" s="3" customFormat="1" ht="15" x14ac:dyDescent="0.25"/>
    <row r="1042" s="3" customFormat="1" ht="15" x14ac:dyDescent="0.25"/>
    <row r="1043" s="3" customFormat="1" ht="15" x14ac:dyDescent="0.25"/>
    <row r="1044" s="3" customFormat="1" ht="15" x14ac:dyDescent="0.25"/>
    <row r="1045" s="3" customFormat="1" ht="15" x14ac:dyDescent="0.25"/>
    <row r="1046" s="3" customFormat="1" ht="15" x14ac:dyDescent="0.25"/>
    <row r="1047" s="3" customFormat="1" ht="15" x14ac:dyDescent="0.25"/>
    <row r="1048" s="3" customFormat="1" ht="15" x14ac:dyDescent="0.25"/>
    <row r="1049" s="3" customFormat="1" ht="15" x14ac:dyDescent="0.25"/>
    <row r="1050" s="3" customFormat="1" ht="15" x14ac:dyDescent="0.25"/>
    <row r="1051" s="3" customFormat="1" ht="15" x14ac:dyDescent="0.25"/>
    <row r="1052" s="3" customFormat="1" ht="15" x14ac:dyDescent="0.25"/>
    <row r="1053" s="3" customFormat="1" ht="15" x14ac:dyDescent="0.25"/>
    <row r="1054" s="3" customFormat="1" ht="15" x14ac:dyDescent="0.25"/>
    <row r="1055" s="3" customFormat="1" ht="15" x14ac:dyDescent="0.25"/>
    <row r="1056" s="3" customFormat="1" ht="15" x14ac:dyDescent="0.25"/>
    <row r="1057" s="3" customFormat="1" ht="15" x14ac:dyDescent="0.25"/>
    <row r="1058" s="3" customFormat="1" ht="15" x14ac:dyDescent="0.25"/>
    <row r="1059" s="3" customFormat="1" ht="15" x14ac:dyDescent="0.25"/>
    <row r="1060" s="3" customFormat="1" ht="15" x14ac:dyDescent="0.25"/>
    <row r="1061" s="3" customFormat="1" ht="15" x14ac:dyDescent="0.25"/>
    <row r="1062" s="3" customFormat="1" ht="15" x14ac:dyDescent="0.25"/>
    <row r="1063" s="3" customFormat="1" ht="15" x14ac:dyDescent="0.25"/>
    <row r="1064" s="3" customFormat="1" ht="15" x14ac:dyDescent="0.25"/>
    <row r="1065" s="3" customFormat="1" ht="15" x14ac:dyDescent="0.25"/>
    <row r="1066" s="3" customFormat="1" ht="15" x14ac:dyDescent="0.25"/>
    <row r="1067" s="3" customFormat="1" ht="15" x14ac:dyDescent="0.25"/>
    <row r="1068" s="3" customFormat="1" ht="15" x14ac:dyDescent="0.25"/>
    <row r="1069" s="3" customFormat="1" ht="15" x14ac:dyDescent="0.25"/>
    <row r="1070" s="3" customFormat="1" ht="15" x14ac:dyDescent="0.25"/>
    <row r="1071" s="3" customFormat="1" ht="15" x14ac:dyDescent="0.25"/>
    <row r="1072" s="3" customFormat="1" ht="15" x14ac:dyDescent="0.25"/>
    <row r="1073" s="3" customFormat="1" ht="15" x14ac:dyDescent="0.25"/>
    <row r="1074" s="3" customFormat="1" ht="15" x14ac:dyDescent="0.25"/>
    <row r="1075" s="3" customFormat="1" ht="15" x14ac:dyDescent="0.25"/>
    <row r="1076" s="3" customFormat="1" ht="15" x14ac:dyDescent="0.25"/>
    <row r="1077" s="3" customFormat="1" ht="15" x14ac:dyDescent="0.25"/>
    <row r="1078" s="3" customFormat="1" ht="15" x14ac:dyDescent="0.25"/>
    <row r="1079" s="3" customFormat="1" ht="15" x14ac:dyDescent="0.25"/>
    <row r="1080" s="3" customFormat="1" ht="15" x14ac:dyDescent="0.25"/>
    <row r="1081" s="3" customFormat="1" ht="15" x14ac:dyDescent="0.25"/>
    <row r="1082" s="3" customFormat="1" ht="15" x14ac:dyDescent="0.25"/>
    <row r="1083" s="3" customFormat="1" ht="15" x14ac:dyDescent="0.25"/>
    <row r="1084" s="3" customFormat="1" ht="15" x14ac:dyDescent="0.25"/>
    <row r="1085" s="3" customFormat="1" ht="15" x14ac:dyDescent="0.25"/>
    <row r="1086" s="3" customFormat="1" ht="15" x14ac:dyDescent="0.25"/>
    <row r="1087" s="3" customFormat="1" ht="15" x14ac:dyDescent="0.25"/>
    <row r="1088" s="3" customFormat="1" ht="15" x14ac:dyDescent="0.25"/>
    <row r="1089" s="3" customFormat="1" ht="15" x14ac:dyDescent="0.25"/>
    <row r="1090" s="3" customFormat="1" ht="15" x14ac:dyDescent="0.25"/>
    <row r="1091" s="3" customFormat="1" ht="15" x14ac:dyDescent="0.25"/>
    <row r="1092" s="3" customFormat="1" ht="15" x14ac:dyDescent="0.25"/>
    <row r="1093" s="3" customFormat="1" ht="15" x14ac:dyDescent="0.25"/>
    <row r="1094" s="3" customFormat="1" ht="15" x14ac:dyDescent="0.25"/>
    <row r="1095" s="3" customFormat="1" ht="15" x14ac:dyDescent="0.25"/>
    <row r="1096" s="3" customFormat="1" ht="15" x14ac:dyDescent="0.25"/>
    <row r="1097" s="3" customFormat="1" ht="15" x14ac:dyDescent="0.25"/>
    <row r="1098" s="3" customFormat="1" ht="15" x14ac:dyDescent="0.25"/>
    <row r="1099" s="3" customFormat="1" ht="15" x14ac:dyDescent="0.25"/>
    <row r="1100" s="3" customFormat="1" ht="15" x14ac:dyDescent="0.25"/>
    <row r="1101" s="3" customFormat="1" ht="15" x14ac:dyDescent="0.25"/>
    <row r="1102" s="3" customFormat="1" ht="15" x14ac:dyDescent="0.25"/>
    <row r="1103" s="3" customFormat="1" ht="15" x14ac:dyDescent="0.25"/>
    <row r="1104" s="3" customFormat="1" ht="15" x14ac:dyDescent="0.25"/>
    <row r="1105" s="3" customFormat="1" ht="15" x14ac:dyDescent="0.25"/>
    <row r="1106" s="3" customFormat="1" ht="15" x14ac:dyDescent="0.25"/>
    <row r="1107" s="3" customFormat="1" ht="15" x14ac:dyDescent="0.25"/>
    <row r="1108" s="3" customFormat="1" ht="15" x14ac:dyDescent="0.25"/>
    <row r="1109" s="3" customFormat="1" ht="15" x14ac:dyDescent="0.25"/>
    <row r="1110" s="3" customFormat="1" ht="15" x14ac:dyDescent="0.25"/>
    <row r="1111" s="3" customFormat="1" ht="15" x14ac:dyDescent="0.25"/>
    <row r="1112" s="3" customFormat="1" ht="15" x14ac:dyDescent="0.25"/>
    <row r="1113" s="3" customFormat="1" ht="15" x14ac:dyDescent="0.25"/>
    <row r="1114" s="3" customFormat="1" ht="15" x14ac:dyDescent="0.25"/>
    <row r="1115" s="3" customFormat="1" ht="15" x14ac:dyDescent="0.25"/>
    <row r="1116" s="3" customFormat="1" ht="15" x14ac:dyDescent="0.25"/>
    <row r="1117" s="3" customFormat="1" ht="15" x14ac:dyDescent="0.25"/>
    <row r="1118" s="3" customFormat="1" ht="15" x14ac:dyDescent="0.25"/>
    <row r="1119" s="3" customFormat="1" ht="15" x14ac:dyDescent="0.25"/>
    <row r="1120" s="3" customFormat="1" ht="15" x14ac:dyDescent="0.25"/>
    <row r="1121" s="3" customFormat="1" ht="15" x14ac:dyDescent="0.25"/>
    <row r="1122" s="3" customFormat="1" ht="15" x14ac:dyDescent="0.25"/>
    <row r="1123" s="3" customFormat="1" ht="15" x14ac:dyDescent="0.25"/>
    <row r="1124" s="3" customFormat="1" ht="15" x14ac:dyDescent="0.25"/>
    <row r="1125" s="3" customFormat="1" ht="15" x14ac:dyDescent="0.25"/>
    <row r="1126" s="3" customFormat="1" ht="15" x14ac:dyDescent="0.25"/>
    <row r="1127" s="3" customFormat="1" ht="15" x14ac:dyDescent="0.25"/>
    <row r="1128" s="3" customFormat="1" ht="15" x14ac:dyDescent="0.25"/>
    <row r="1129" s="3" customFormat="1" ht="15" x14ac:dyDescent="0.25"/>
    <row r="1130" s="3" customFormat="1" ht="15" x14ac:dyDescent="0.25"/>
    <row r="1131" s="3" customFormat="1" ht="15" x14ac:dyDescent="0.25"/>
    <row r="1132" s="3" customFormat="1" ht="15" x14ac:dyDescent="0.25"/>
    <row r="1133" s="3" customFormat="1" ht="15" x14ac:dyDescent="0.25"/>
    <row r="1134" s="3" customFormat="1" ht="15" x14ac:dyDescent="0.25"/>
    <row r="1135" s="3" customFormat="1" ht="15" x14ac:dyDescent="0.25"/>
    <row r="1136" s="3" customFormat="1" ht="15" x14ac:dyDescent="0.25"/>
    <row r="1137" s="3" customFormat="1" ht="15" x14ac:dyDescent="0.25"/>
    <row r="1138" s="3" customFormat="1" ht="15" x14ac:dyDescent="0.25"/>
    <row r="1139" s="3" customFormat="1" ht="15" x14ac:dyDescent="0.25"/>
    <row r="1140" s="3" customFormat="1" ht="15" x14ac:dyDescent="0.25"/>
    <row r="1141" s="3" customFormat="1" ht="15" x14ac:dyDescent="0.25"/>
    <row r="1142" s="3" customFormat="1" ht="15" x14ac:dyDescent="0.25"/>
    <row r="1143" s="3" customFormat="1" ht="15" x14ac:dyDescent="0.25"/>
    <row r="1144" s="3" customFormat="1" ht="15" x14ac:dyDescent="0.25"/>
    <row r="1145" s="3" customFormat="1" ht="15" x14ac:dyDescent="0.25"/>
    <row r="1146" s="3" customFormat="1" ht="15" x14ac:dyDescent="0.25"/>
    <row r="1147" s="3" customFormat="1" ht="15" x14ac:dyDescent="0.25"/>
    <row r="1148" s="3" customFormat="1" ht="15" x14ac:dyDescent="0.25"/>
    <row r="1149" s="3" customFormat="1" ht="15" x14ac:dyDescent="0.25"/>
    <row r="1150" s="3" customFormat="1" ht="15" x14ac:dyDescent="0.25"/>
    <row r="1151" s="3" customFormat="1" ht="15" x14ac:dyDescent="0.25"/>
    <row r="1152" s="3" customFormat="1" ht="15" x14ac:dyDescent="0.25"/>
    <row r="1153" s="3" customFormat="1" ht="15" x14ac:dyDescent="0.25"/>
    <row r="1154" s="3" customFormat="1" ht="15" x14ac:dyDescent="0.25"/>
    <row r="1155" s="3" customFormat="1" ht="15" x14ac:dyDescent="0.25"/>
    <row r="1156" s="3" customFormat="1" ht="15" x14ac:dyDescent="0.25"/>
    <row r="1157" s="3" customFormat="1" ht="15" x14ac:dyDescent="0.25"/>
    <row r="1158" s="3" customFormat="1" ht="15" x14ac:dyDescent="0.25"/>
    <row r="1159" s="3" customFormat="1" ht="15" x14ac:dyDescent="0.25"/>
    <row r="1160" s="3" customFormat="1" ht="15" x14ac:dyDescent="0.25"/>
    <row r="1161" s="3" customFormat="1" ht="15" x14ac:dyDescent="0.25"/>
    <row r="1162" s="3" customFormat="1" ht="15" x14ac:dyDescent="0.25"/>
    <row r="1163" s="3" customFormat="1" ht="15" x14ac:dyDescent="0.25"/>
    <row r="1164" s="3" customFormat="1" ht="15" x14ac:dyDescent="0.25"/>
    <row r="1165" s="3" customFormat="1" ht="15" x14ac:dyDescent="0.25"/>
    <row r="1166" s="3" customFormat="1" ht="15" x14ac:dyDescent="0.25"/>
    <row r="1167" s="3" customFormat="1" ht="15" x14ac:dyDescent="0.25"/>
    <row r="1168" s="3" customFormat="1" ht="15" x14ac:dyDescent="0.25"/>
    <row r="1169" s="3" customFormat="1" ht="15" x14ac:dyDescent="0.25"/>
    <row r="1170" s="3" customFormat="1" ht="15" x14ac:dyDescent="0.25"/>
    <row r="1171" s="3" customFormat="1" ht="15" x14ac:dyDescent="0.25"/>
    <row r="1172" s="3" customFormat="1" ht="15" x14ac:dyDescent="0.25"/>
    <row r="1173" s="3" customFormat="1" ht="15" x14ac:dyDescent="0.25"/>
    <row r="1174" s="3" customFormat="1" ht="15" x14ac:dyDescent="0.25"/>
    <row r="1175" s="3" customFormat="1" ht="15" x14ac:dyDescent="0.25"/>
    <row r="1176" s="3" customFormat="1" ht="15" x14ac:dyDescent="0.25"/>
    <row r="1177" s="3" customFormat="1" ht="15" x14ac:dyDescent="0.25"/>
    <row r="1178" s="3" customFormat="1" ht="15" x14ac:dyDescent="0.25"/>
    <row r="1179" s="3" customFormat="1" ht="15" x14ac:dyDescent="0.25"/>
    <row r="1180" s="3" customFormat="1" ht="15" x14ac:dyDescent="0.25"/>
    <row r="1181" s="3" customFormat="1" ht="15" x14ac:dyDescent="0.25"/>
    <row r="1182" s="3" customFormat="1" ht="15" x14ac:dyDescent="0.25"/>
    <row r="1183" s="3" customFormat="1" ht="15" x14ac:dyDescent="0.25"/>
    <row r="1184" s="3" customFormat="1" ht="15" x14ac:dyDescent="0.25"/>
    <row r="1185" s="3" customFormat="1" ht="15" x14ac:dyDescent="0.25"/>
    <row r="1186" s="3" customFormat="1" ht="15" x14ac:dyDescent="0.25"/>
    <row r="1187" s="3" customFormat="1" ht="15" x14ac:dyDescent="0.25"/>
    <row r="1188" s="3" customFormat="1" ht="15" x14ac:dyDescent="0.25"/>
    <row r="1189" s="3" customFormat="1" ht="15" x14ac:dyDescent="0.25"/>
    <row r="1190" s="3" customFormat="1" ht="15" x14ac:dyDescent="0.25"/>
    <row r="1191" s="3" customFormat="1" ht="15" x14ac:dyDescent="0.25"/>
    <row r="1192" s="3" customFormat="1" ht="15" x14ac:dyDescent="0.25"/>
    <row r="1193" s="3" customFormat="1" ht="15" x14ac:dyDescent="0.25"/>
    <row r="1194" s="3" customFormat="1" ht="15" x14ac:dyDescent="0.25"/>
    <row r="1195" s="3" customFormat="1" ht="15" x14ac:dyDescent="0.25"/>
    <row r="1196" s="3" customFormat="1" ht="15" x14ac:dyDescent="0.25"/>
    <row r="1197" s="3" customFormat="1" ht="15" x14ac:dyDescent="0.25"/>
    <row r="1198" s="3" customFormat="1" ht="15" x14ac:dyDescent="0.25"/>
    <row r="1199" s="3" customFormat="1" ht="15" x14ac:dyDescent="0.25"/>
    <row r="1200" s="3" customFormat="1" ht="15" x14ac:dyDescent="0.25"/>
    <row r="1201" s="3" customFormat="1" ht="15" x14ac:dyDescent="0.25"/>
    <row r="1202" s="3" customFormat="1" ht="15" x14ac:dyDescent="0.25"/>
    <row r="1203" s="3" customFormat="1" ht="15" x14ac:dyDescent="0.25"/>
    <row r="1204" s="3" customFormat="1" ht="15" x14ac:dyDescent="0.25"/>
    <row r="1205" s="3" customFormat="1" ht="15" x14ac:dyDescent="0.25"/>
    <row r="1206" s="3" customFormat="1" ht="15" x14ac:dyDescent="0.25"/>
    <row r="1207" s="3" customFormat="1" ht="15" x14ac:dyDescent="0.25"/>
    <row r="1208" s="3" customFormat="1" ht="15" x14ac:dyDescent="0.25"/>
    <row r="1209" s="3" customFormat="1" ht="15" x14ac:dyDescent="0.25"/>
    <row r="1210" s="3" customFormat="1" ht="15" x14ac:dyDescent="0.25"/>
    <row r="1211" s="3" customFormat="1" ht="15" x14ac:dyDescent="0.25"/>
    <row r="1212" s="3" customFormat="1" ht="15" x14ac:dyDescent="0.25"/>
    <row r="1213" s="3" customFormat="1" ht="15" x14ac:dyDescent="0.25"/>
    <row r="1214" s="3" customFormat="1" ht="15" x14ac:dyDescent="0.25"/>
    <row r="1215" s="3" customFormat="1" ht="15" x14ac:dyDescent="0.25"/>
    <row r="1216" s="3" customFormat="1" ht="15" x14ac:dyDescent="0.25"/>
    <row r="1217" s="3" customFormat="1" ht="15" x14ac:dyDescent="0.25"/>
    <row r="1218" s="3" customFormat="1" ht="15" x14ac:dyDescent="0.25"/>
    <row r="1219" s="3" customFormat="1" ht="15" x14ac:dyDescent="0.25"/>
    <row r="1220" s="3" customFormat="1" ht="15" x14ac:dyDescent="0.25"/>
    <row r="1221" s="3" customFormat="1" ht="15" x14ac:dyDescent="0.25"/>
    <row r="1222" s="3" customFormat="1" ht="15" x14ac:dyDescent="0.25"/>
    <row r="1223" s="3" customFormat="1" ht="15" x14ac:dyDescent="0.25"/>
    <row r="1224" s="3" customFormat="1" ht="15" x14ac:dyDescent="0.25"/>
    <row r="1225" s="3" customFormat="1" ht="15" x14ac:dyDescent="0.25"/>
    <row r="1226" s="3" customFormat="1" ht="15" x14ac:dyDescent="0.25"/>
    <row r="1227" s="3" customFormat="1" ht="15" x14ac:dyDescent="0.25"/>
    <row r="1228" s="3" customFormat="1" ht="15" x14ac:dyDescent="0.25"/>
    <row r="1229" s="3" customFormat="1" ht="15" x14ac:dyDescent="0.25"/>
    <row r="1230" s="3" customFormat="1" ht="15" x14ac:dyDescent="0.25"/>
    <row r="1231" s="3" customFormat="1" ht="15" x14ac:dyDescent="0.25"/>
    <row r="1232" s="3" customFormat="1" ht="15" x14ac:dyDescent="0.25"/>
    <row r="1233" s="3" customFormat="1" ht="15" x14ac:dyDescent="0.25"/>
    <row r="1234" s="3" customFormat="1" ht="15" x14ac:dyDescent="0.25"/>
    <row r="1235" s="3" customFormat="1" ht="15" x14ac:dyDescent="0.25"/>
    <row r="1236" s="3" customFormat="1" ht="15" x14ac:dyDescent="0.25"/>
    <row r="1237" s="3" customFormat="1" ht="15" x14ac:dyDescent="0.25"/>
    <row r="1238" s="3" customFormat="1" ht="15" x14ac:dyDescent="0.25"/>
    <row r="1239" s="3" customFormat="1" ht="15" x14ac:dyDescent="0.25"/>
    <row r="1240" s="3" customFormat="1" ht="15" x14ac:dyDescent="0.25"/>
    <row r="1241" s="3" customFormat="1" ht="15" x14ac:dyDescent="0.25"/>
    <row r="1242" s="3" customFormat="1" ht="15" x14ac:dyDescent="0.25"/>
    <row r="1243" s="3" customFormat="1" ht="15" x14ac:dyDescent="0.25"/>
    <row r="1244" s="3" customFormat="1" ht="15" x14ac:dyDescent="0.25"/>
    <row r="1245" s="3" customFormat="1" ht="15" x14ac:dyDescent="0.25"/>
    <row r="1246" s="3" customFormat="1" ht="15" x14ac:dyDescent="0.25"/>
    <row r="1247" s="3" customFormat="1" ht="15" x14ac:dyDescent="0.25"/>
    <row r="1248" s="3" customFormat="1" ht="15" x14ac:dyDescent="0.25"/>
    <row r="1249" s="3" customFormat="1" ht="15" x14ac:dyDescent="0.25"/>
    <row r="1250" s="3" customFormat="1" ht="15" x14ac:dyDescent="0.25"/>
    <row r="1251" s="3" customFormat="1" ht="15" x14ac:dyDescent="0.25"/>
    <row r="1252" s="3" customFormat="1" ht="15" x14ac:dyDescent="0.25"/>
    <row r="1253" s="3" customFormat="1" ht="15" x14ac:dyDescent="0.25"/>
    <row r="1254" s="3" customFormat="1" ht="15" x14ac:dyDescent="0.25"/>
    <row r="1255" s="3" customFormat="1" ht="15" x14ac:dyDescent="0.25"/>
    <row r="1256" s="3" customFormat="1" ht="15" x14ac:dyDescent="0.25"/>
    <row r="1257" s="3" customFormat="1" ht="15" x14ac:dyDescent="0.25"/>
    <row r="1258" s="3" customFormat="1" ht="15" x14ac:dyDescent="0.25"/>
    <row r="1259" s="3" customFormat="1" ht="15" x14ac:dyDescent="0.25"/>
    <row r="1260" s="3" customFormat="1" ht="15" x14ac:dyDescent="0.25"/>
    <row r="1261" s="3" customFormat="1" ht="15" x14ac:dyDescent="0.25"/>
    <row r="1262" s="3" customFormat="1" ht="15" x14ac:dyDescent="0.25"/>
    <row r="1263" s="3" customFormat="1" ht="15" x14ac:dyDescent="0.25"/>
    <row r="1264" s="3" customFormat="1" ht="15" x14ac:dyDescent="0.25"/>
    <row r="1265" s="3" customFormat="1" ht="15" x14ac:dyDescent="0.25"/>
    <row r="1266" s="3" customFormat="1" ht="15" x14ac:dyDescent="0.25"/>
    <row r="1267" s="3" customFormat="1" ht="15" x14ac:dyDescent="0.25"/>
    <row r="1268" s="3" customFormat="1" ht="15" x14ac:dyDescent="0.25"/>
    <row r="1269" s="3" customFormat="1" ht="15" x14ac:dyDescent="0.25"/>
    <row r="1270" s="3" customFormat="1" ht="15" x14ac:dyDescent="0.25"/>
    <row r="1271" s="3" customFormat="1" ht="15" x14ac:dyDescent="0.25"/>
    <row r="1272" s="3" customFormat="1" ht="15" x14ac:dyDescent="0.25"/>
    <row r="1273" s="3" customFormat="1" ht="15" x14ac:dyDescent="0.25"/>
    <row r="1274" s="3" customFormat="1" ht="15" x14ac:dyDescent="0.25"/>
    <row r="1275" s="3" customFormat="1" ht="15" x14ac:dyDescent="0.25"/>
    <row r="1276" s="3" customFormat="1" ht="15" x14ac:dyDescent="0.25"/>
    <row r="1277" s="3" customFormat="1" ht="15" x14ac:dyDescent="0.25"/>
    <row r="1278" s="3" customFormat="1" ht="15" x14ac:dyDescent="0.25"/>
    <row r="1279" s="3" customFormat="1" ht="15" x14ac:dyDescent="0.25"/>
    <row r="1280" s="3" customFormat="1" ht="15" x14ac:dyDescent="0.25"/>
    <row r="1281" s="3" customFormat="1" ht="15" x14ac:dyDescent="0.25"/>
    <row r="1282" s="3" customFormat="1" ht="15" x14ac:dyDescent="0.25"/>
    <row r="1283" s="3" customFormat="1" ht="15" x14ac:dyDescent="0.25"/>
    <row r="1284" s="3" customFormat="1" ht="15" x14ac:dyDescent="0.25"/>
    <row r="1285" s="3" customFormat="1" ht="15" x14ac:dyDescent="0.25"/>
    <row r="1286" s="3" customFormat="1" ht="15" x14ac:dyDescent="0.25"/>
    <row r="1287" s="3" customFormat="1" ht="15" x14ac:dyDescent="0.25"/>
    <row r="1288" s="3" customFormat="1" ht="15" x14ac:dyDescent="0.25"/>
    <row r="1289" s="3" customFormat="1" ht="15" x14ac:dyDescent="0.25"/>
    <row r="1290" s="3" customFormat="1" ht="15" x14ac:dyDescent="0.25"/>
    <row r="1291" s="3" customFormat="1" ht="15" x14ac:dyDescent="0.25"/>
    <row r="1292" s="3" customFormat="1" ht="15" x14ac:dyDescent="0.25"/>
    <row r="1293" s="3" customFormat="1" ht="15" x14ac:dyDescent="0.25"/>
    <row r="1294" s="3" customFormat="1" ht="15" x14ac:dyDescent="0.25"/>
    <row r="1295" s="3" customFormat="1" ht="15" x14ac:dyDescent="0.25"/>
    <row r="1296" s="3" customFormat="1" ht="15" x14ac:dyDescent="0.25"/>
    <row r="1297" s="3" customFormat="1" ht="15" x14ac:dyDescent="0.25"/>
    <row r="1298" s="3" customFormat="1" ht="15" x14ac:dyDescent="0.25"/>
    <row r="1299" s="3" customFormat="1" ht="15" x14ac:dyDescent="0.25"/>
    <row r="1300" s="3" customFormat="1" ht="15" x14ac:dyDescent="0.25"/>
    <row r="1301" s="3" customFormat="1" ht="15" x14ac:dyDescent="0.25"/>
    <row r="1302" s="3" customFormat="1" ht="15" x14ac:dyDescent="0.25"/>
    <row r="1303" s="3" customFormat="1" ht="15" x14ac:dyDescent="0.25"/>
    <row r="1304" s="3" customFormat="1" ht="15" x14ac:dyDescent="0.25"/>
    <row r="1305" s="3" customFormat="1" ht="15" x14ac:dyDescent="0.25"/>
    <row r="1306" s="3" customFormat="1" ht="15" x14ac:dyDescent="0.25"/>
    <row r="1307" s="3" customFormat="1" ht="15" x14ac:dyDescent="0.25"/>
    <row r="1308" s="3" customFormat="1" ht="15" x14ac:dyDescent="0.25"/>
    <row r="1309" s="3" customFormat="1" ht="15" x14ac:dyDescent="0.25"/>
    <row r="1310" s="3" customFormat="1" ht="15" x14ac:dyDescent="0.25"/>
    <row r="1311" s="3" customFormat="1" ht="15" x14ac:dyDescent="0.25"/>
    <row r="1312" s="3" customFormat="1" ht="15" x14ac:dyDescent="0.25"/>
    <row r="1313" s="3" customFormat="1" ht="15" x14ac:dyDescent="0.25"/>
    <row r="1314" s="3" customFormat="1" ht="15" x14ac:dyDescent="0.25"/>
    <row r="1315" s="3" customFormat="1" ht="15" x14ac:dyDescent="0.25"/>
    <row r="1316" s="3" customFormat="1" ht="15" x14ac:dyDescent="0.25"/>
    <row r="1317" s="3" customFormat="1" ht="15" x14ac:dyDescent="0.25"/>
    <row r="1318" s="3" customFormat="1" ht="15" x14ac:dyDescent="0.25"/>
    <row r="1319" s="3" customFormat="1" ht="15" x14ac:dyDescent="0.25"/>
    <row r="1320" s="3" customFormat="1" ht="15" x14ac:dyDescent="0.25"/>
    <row r="1321" s="3" customFormat="1" ht="15" x14ac:dyDescent="0.25"/>
    <row r="1322" s="3" customFormat="1" ht="15" x14ac:dyDescent="0.25"/>
    <row r="1323" s="3" customFormat="1" ht="15" x14ac:dyDescent="0.25"/>
    <row r="1324" s="3" customFormat="1" ht="15" x14ac:dyDescent="0.25"/>
    <row r="1325" s="3" customFormat="1" ht="15" x14ac:dyDescent="0.25"/>
    <row r="1326" s="3" customFormat="1" ht="15" x14ac:dyDescent="0.25"/>
    <row r="1327" s="3" customFormat="1" ht="15" x14ac:dyDescent="0.25"/>
    <row r="1328" s="3" customFormat="1" ht="15" x14ac:dyDescent="0.25"/>
    <row r="1329" s="3" customFormat="1" ht="15" x14ac:dyDescent="0.25"/>
    <row r="1330" s="3" customFormat="1" ht="15" x14ac:dyDescent="0.25"/>
    <row r="1331" s="3" customFormat="1" ht="15" x14ac:dyDescent="0.25"/>
    <row r="1332" s="3" customFormat="1" ht="15" x14ac:dyDescent="0.25"/>
    <row r="1333" s="3" customFormat="1" ht="15" x14ac:dyDescent="0.25"/>
    <row r="1334" s="3" customFormat="1" ht="15" x14ac:dyDescent="0.25"/>
    <row r="1335" s="3" customFormat="1" ht="15" x14ac:dyDescent="0.25"/>
    <row r="1336" s="3" customFormat="1" ht="15" x14ac:dyDescent="0.25"/>
    <row r="1337" s="3" customFormat="1" ht="15" x14ac:dyDescent="0.25"/>
    <row r="1338" s="3" customFormat="1" ht="15" x14ac:dyDescent="0.25"/>
    <row r="1339" s="3" customFormat="1" ht="15" x14ac:dyDescent="0.25"/>
    <row r="1340" s="3" customFormat="1" ht="15" x14ac:dyDescent="0.25"/>
    <row r="1341" s="3" customFormat="1" ht="15" x14ac:dyDescent="0.25"/>
    <row r="1342" s="3" customFormat="1" ht="15" x14ac:dyDescent="0.25"/>
    <row r="1343" s="3" customFormat="1" ht="15" x14ac:dyDescent="0.25"/>
    <row r="1344" s="3" customFormat="1" ht="15" x14ac:dyDescent="0.25"/>
    <row r="1345" s="3" customFormat="1" ht="15" x14ac:dyDescent="0.25"/>
    <row r="1346" s="3" customFormat="1" ht="15" x14ac:dyDescent="0.25"/>
    <row r="1347" s="3" customFormat="1" ht="15" x14ac:dyDescent="0.25"/>
    <row r="1348" s="3" customFormat="1" ht="15" x14ac:dyDescent="0.25"/>
    <row r="1349" s="3" customFormat="1" ht="15" x14ac:dyDescent="0.25"/>
    <row r="1350" s="3" customFormat="1" ht="15" x14ac:dyDescent="0.25"/>
    <row r="1351" s="3" customFormat="1" ht="15" x14ac:dyDescent="0.25"/>
    <row r="1352" s="3" customFormat="1" ht="15" x14ac:dyDescent="0.25"/>
    <row r="1353" s="3" customFormat="1" ht="15" x14ac:dyDescent="0.25"/>
    <row r="1354" s="3" customFormat="1" ht="15" x14ac:dyDescent="0.25"/>
    <row r="1355" s="3" customFormat="1" ht="15" x14ac:dyDescent="0.25"/>
    <row r="1356" s="3" customFormat="1" ht="15" x14ac:dyDescent="0.25"/>
    <row r="1357" s="3" customFormat="1" ht="15" x14ac:dyDescent="0.25"/>
    <row r="1358" s="3" customFormat="1" ht="15" x14ac:dyDescent="0.25"/>
    <row r="1359" s="3" customFormat="1" ht="15" x14ac:dyDescent="0.25"/>
    <row r="1360" s="3" customFormat="1" ht="15" x14ac:dyDescent="0.25"/>
    <row r="1361" s="3" customFormat="1" ht="15" x14ac:dyDescent="0.25"/>
    <row r="1362" s="3" customFormat="1" ht="15" x14ac:dyDescent="0.25"/>
    <row r="1363" s="3" customFormat="1" ht="15" x14ac:dyDescent="0.25"/>
    <row r="1364" s="3" customFormat="1" ht="15" x14ac:dyDescent="0.25"/>
    <row r="1365" s="3" customFormat="1" ht="15" x14ac:dyDescent="0.25"/>
    <row r="1366" s="3" customFormat="1" ht="15" x14ac:dyDescent="0.25"/>
    <row r="1367" s="3" customFormat="1" ht="15" x14ac:dyDescent="0.25"/>
    <row r="1368" s="3" customFormat="1" ht="15" x14ac:dyDescent="0.25"/>
    <row r="1369" s="3" customFormat="1" ht="15" x14ac:dyDescent="0.25"/>
    <row r="1370" s="3" customFormat="1" ht="15" x14ac:dyDescent="0.25"/>
    <row r="1371" s="3" customFormat="1" ht="15" x14ac:dyDescent="0.25"/>
    <row r="1372" s="3" customFormat="1" ht="15" x14ac:dyDescent="0.25"/>
    <row r="1373" s="3" customFormat="1" ht="15" x14ac:dyDescent="0.25"/>
    <row r="1374" s="3" customFormat="1" ht="15" x14ac:dyDescent="0.25"/>
    <row r="1375" s="3" customFormat="1" ht="15" x14ac:dyDescent="0.25"/>
    <row r="1376" s="3" customFormat="1" ht="15" x14ac:dyDescent="0.25"/>
    <row r="1377" s="3" customFormat="1" ht="15" x14ac:dyDescent="0.25"/>
    <row r="1378" s="3" customFormat="1" ht="15" x14ac:dyDescent="0.25"/>
    <row r="1379" s="3" customFormat="1" ht="15" x14ac:dyDescent="0.25"/>
    <row r="1380" s="3" customFormat="1" ht="15" x14ac:dyDescent="0.25"/>
    <row r="1381" s="3" customFormat="1" ht="15" x14ac:dyDescent="0.25"/>
    <row r="1382" s="3" customFormat="1" ht="15" x14ac:dyDescent="0.25"/>
    <row r="1383" s="3" customFormat="1" ht="15" x14ac:dyDescent="0.25"/>
    <row r="1384" s="3" customFormat="1" ht="15" x14ac:dyDescent="0.25"/>
    <row r="1385" s="3" customFormat="1" ht="15" x14ac:dyDescent="0.25"/>
    <row r="1386" s="3" customFormat="1" ht="15" x14ac:dyDescent="0.25"/>
    <row r="1387" s="3" customFormat="1" ht="15" x14ac:dyDescent="0.25"/>
    <row r="1388" s="3" customFormat="1" ht="15" x14ac:dyDescent="0.25"/>
    <row r="1389" s="3" customFormat="1" ht="15" x14ac:dyDescent="0.25"/>
    <row r="1390" s="3" customFormat="1" ht="15" x14ac:dyDescent="0.25"/>
    <row r="1391" s="3" customFormat="1" ht="15" x14ac:dyDescent="0.25"/>
    <row r="1392" s="3" customFormat="1" ht="15" x14ac:dyDescent="0.25"/>
    <row r="1393" s="3" customFormat="1" ht="15" x14ac:dyDescent="0.25"/>
    <row r="1394" s="3" customFormat="1" ht="15" x14ac:dyDescent="0.25"/>
    <row r="1395" s="3" customFormat="1" ht="15" x14ac:dyDescent="0.25"/>
    <row r="1396" s="3" customFormat="1" ht="15" x14ac:dyDescent="0.25"/>
    <row r="1397" s="3" customFormat="1" ht="15" x14ac:dyDescent="0.25"/>
    <row r="1398" s="3" customFormat="1" ht="15" x14ac:dyDescent="0.25"/>
    <row r="1399" s="3" customFormat="1" ht="15" x14ac:dyDescent="0.25"/>
    <row r="1400" s="3" customFormat="1" ht="15" x14ac:dyDescent="0.25"/>
    <row r="1401" s="3" customFormat="1" ht="15" x14ac:dyDescent="0.25"/>
    <row r="1402" s="3" customFormat="1" ht="15" x14ac:dyDescent="0.25"/>
    <row r="1403" s="3" customFormat="1" ht="15" x14ac:dyDescent="0.25"/>
    <row r="1404" s="3" customFormat="1" ht="15" x14ac:dyDescent="0.25"/>
    <row r="1405" s="3" customFormat="1" ht="15" x14ac:dyDescent="0.25"/>
    <row r="1406" s="3" customFormat="1" ht="15" x14ac:dyDescent="0.25"/>
    <row r="1407" s="3" customFormat="1" ht="15" x14ac:dyDescent="0.25"/>
    <row r="1408" s="3" customFormat="1" ht="15" x14ac:dyDescent="0.25"/>
    <row r="1409" s="3" customFormat="1" ht="15" x14ac:dyDescent="0.25"/>
    <row r="1410" s="3" customFormat="1" ht="15" x14ac:dyDescent="0.25"/>
    <row r="1411" s="3" customFormat="1" ht="15" x14ac:dyDescent="0.25"/>
    <row r="1412" s="3" customFormat="1" ht="15" x14ac:dyDescent="0.25"/>
    <row r="1413" s="3" customFormat="1" ht="15" x14ac:dyDescent="0.25"/>
    <row r="1414" s="3" customFormat="1" ht="15" x14ac:dyDescent="0.25"/>
    <row r="1415" s="3" customFormat="1" ht="15" x14ac:dyDescent="0.25"/>
    <row r="1416" s="3" customFormat="1" ht="15" x14ac:dyDescent="0.25"/>
    <row r="1417" s="3" customFormat="1" ht="15" x14ac:dyDescent="0.25"/>
    <row r="1418" s="3" customFormat="1" ht="15" x14ac:dyDescent="0.25"/>
    <row r="1419" s="3" customFormat="1" ht="15" x14ac:dyDescent="0.25"/>
    <row r="1420" s="3" customFormat="1" ht="15" x14ac:dyDescent="0.25"/>
    <row r="1421" s="3" customFormat="1" ht="15" x14ac:dyDescent="0.25"/>
    <row r="1422" s="3" customFormat="1" ht="15" x14ac:dyDescent="0.25"/>
    <row r="1423" s="3" customFormat="1" ht="15" x14ac:dyDescent="0.25"/>
    <row r="1424" s="3" customFormat="1" ht="15" x14ac:dyDescent="0.25"/>
    <row r="1425" s="3" customFormat="1" ht="15" x14ac:dyDescent="0.25"/>
    <row r="1426" s="3" customFormat="1" ht="15" x14ac:dyDescent="0.25"/>
    <row r="1427" s="3" customFormat="1" ht="15" x14ac:dyDescent="0.25"/>
    <row r="1428" s="3" customFormat="1" ht="15" x14ac:dyDescent="0.25"/>
    <row r="1429" s="3" customFormat="1" ht="15" x14ac:dyDescent="0.25"/>
    <row r="1430" s="3" customFormat="1" ht="15" x14ac:dyDescent="0.25"/>
    <row r="1431" s="3" customFormat="1" ht="15" x14ac:dyDescent="0.25"/>
    <row r="1432" s="3" customFormat="1" ht="15" x14ac:dyDescent="0.25"/>
    <row r="1433" s="3" customFormat="1" ht="15" x14ac:dyDescent="0.25"/>
    <row r="1434" s="3" customFormat="1" ht="15" x14ac:dyDescent="0.25"/>
    <row r="1435" s="3" customFormat="1" ht="15" x14ac:dyDescent="0.25"/>
    <row r="1436" s="3" customFormat="1" ht="15" x14ac:dyDescent="0.25"/>
    <row r="1437" s="3" customFormat="1" ht="15" x14ac:dyDescent="0.25"/>
    <row r="1438" s="3" customFormat="1" ht="15" x14ac:dyDescent="0.25"/>
    <row r="1439" s="3" customFormat="1" ht="15" x14ac:dyDescent="0.25"/>
    <row r="1440" s="3" customFormat="1" ht="15" x14ac:dyDescent="0.25"/>
    <row r="1441" s="3" customFormat="1" ht="15" x14ac:dyDescent="0.25"/>
    <row r="1442" s="3" customFormat="1" ht="15" x14ac:dyDescent="0.25"/>
    <row r="1443" s="3" customFormat="1" ht="15" x14ac:dyDescent="0.25"/>
    <row r="1444" s="3" customFormat="1" ht="15" x14ac:dyDescent="0.25"/>
    <row r="1445" s="3" customFormat="1" ht="15" x14ac:dyDescent="0.25"/>
    <row r="1446" s="3" customFormat="1" ht="15" x14ac:dyDescent="0.25"/>
    <row r="1447" s="3" customFormat="1" ht="15" x14ac:dyDescent="0.25"/>
    <row r="1448" s="3" customFormat="1" ht="15" x14ac:dyDescent="0.25"/>
    <row r="1449" s="3" customFormat="1" ht="15" x14ac:dyDescent="0.25"/>
    <row r="1450" s="3" customFormat="1" ht="15" x14ac:dyDescent="0.25"/>
    <row r="1451" s="3" customFormat="1" ht="15" x14ac:dyDescent="0.25"/>
    <row r="1452" s="3" customFormat="1" ht="15" x14ac:dyDescent="0.25"/>
    <row r="1453" s="3" customFormat="1" ht="15" x14ac:dyDescent="0.25"/>
    <row r="1454" s="3" customFormat="1" ht="15" x14ac:dyDescent="0.25"/>
    <row r="1455" s="3" customFormat="1" ht="15" x14ac:dyDescent="0.25"/>
    <row r="1456" s="3" customFormat="1" ht="15" x14ac:dyDescent="0.25"/>
    <row r="1457" s="3" customFormat="1" ht="15" x14ac:dyDescent="0.25"/>
    <row r="1458" s="3" customFormat="1" ht="15" x14ac:dyDescent="0.25"/>
    <row r="1459" s="3" customFormat="1" ht="15" x14ac:dyDescent="0.25"/>
    <row r="1460" s="3" customFormat="1" ht="15" x14ac:dyDescent="0.25"/>
    <row r="1461" s="3" customFormat="1" ht="15" x14ac:dyDescent="0.25"/>
    <row r="1462" s="3" customFormat="1" ht="15" x14ac:dyDescent="0.25"/>
    <row r="1463" s="3" customFormat="1" ht="15" x14ac:dyDescent="0.25"/>
    <row r="1464" s="3" customFormat="1" ht="15" x14ac:dyDescent="0.25"/>
    <row r="1465" s="3" customFormat="1" ht="15" x14ac:dyDescent="0.25"/>
    <row r="1466" s="3" customFormat="1" ht="15" x14ac:dyDescent="0.25"/>
    <row r="1467" s="3" customFormat="1" ht="15" x14ac:dyDescent="0.25"/>
    <row r="1468" s="3" customFormat="1" ht="15" x14ac:dyDescent="0.25"/>
    <row r="1469" s="3" customFormat="1" ht="15" x14ac:dyDescent="0.25"/>
    <row r="1470" s="3" customFormat="1" ht="15" x14ac:dyDescent="0.25"/>
    <row r="1471" s="3" customFormat="1" ht="15" x14ac:dyDescent="0.25"/>
    <row r="1472" s="3" customFormat="1" ht="15" x14ac:dyDescent="0.25"/>
    <row r="1473" s="3" customFormat="1" ht="15" x14ac:dyDescent="0.25"/>
    <row r="1474" s="3" customFormat="1" ht="15" x14ac:dyDescent="0.25"/>
    <row r="1475" s="3" customFormat="1" ht="15" x14ac:dyDescent="0.25"/>
    <row r="1476" s="3" customFormat="1" ht="15" x14ac:dyDescent="0.25"/>
    <row r="1477" s="3" customFormat="1" ht="15" x14ac:dyDescent="0.25"/>
    <row r="1478" s="3" customFormat="1" ht="15" x14ac:dyDescent="0.25"/>
    <row r="1479" s="3" customFormat="1" ht="15" x14ac:dyDescent="0.25"/>
    <row r="1480" s="3" customFormat="1" ht="15" x14ac:dyDescent="0.25"/>
    <row r="1481" s="3" customFormat="1" ht="15" x14ac:dyDescent="0.25"/>
    <row r="1482" s="3" customFormat="1" ht="15" x14ac:dyDescent="0.25"/>
    <row r="1483" s="3" customFormat="1" ht="15" x14ac:dyDescent="0.25"/>
    <row r="1484" s="3" customFormat="1" ht="15" x14ac:dyDescent="0.25"/>
    <row r="1485" s="3" customFormat="1" ht="15" x14ac:dyDescent="0.25"/>
    <row r="1486" s="3" customFormat="1" ht="15" x14ac:dyDescent="0.25"/>
    <row r="1487" s="3" customFormat="1" ht="15" x14ac:dyDescent="0.25"/>
    <row r="1488" s="3" customFormat="1" ht="15" x14ac:dyDescent="0.25"/>
    <row r="1489" s="3" customFormat="1" ht="15" x14ac:dyDescent="0.25"/>
    <row r="1490" s="3" customFormat="1" ht="15" x14ac:dyDescent="0.25"/>
    <row r="1491" s="3" customFormat="1" ht="15" x14ac:dyDescent="0.25"/>
    <row r="1492" s="3" customFormat="1" ht="15" x14ac:dyDescent="0.25"/>
    <row r="1493" s="3" customFormat="1" ht="15" x14ac:dyDescent="0.25"/>
    <row r="1494" s="3" customFormat="1" ht="15" x14ac:dyDescent="0.25"/>
    <row r="1495" s="3" customFormat="1" ht="15" x14ac:dyDescent="0.25"/>
    <row r="1496" s="3" customFormat="1" ht="15" x14ac:dyDescent="0.25"/>
    <row r="1497" s="3" customFormat="1" ht="15" x14ac:dyDescent="0.25"/>
    <row r="1498" s="3" customFormat="1" ht="15" x14ac:dyDescent="0.25"/>
    <row r="1499" s="3" customFormat="1" ht="15" x14ac:dyDescent="0.25"/>
    <row r="1500" s="3" customFormat="1" ht="15" x14ac:dyDescent="0.25"/>
    <row r="1501" s="3" customFormat="1" ht="15" x14ac:dyDescent="0.25"/>
    <row r="1502" s="3" customFormat="1" ht="15" x14ac:dyDescent="0.25"/>
    <row r="1503" s="3" customFormat="1" ht="15" x14ac:dyDescent="0.25"/>
    <row r="1504" s="3" customFormat="1" ht="15" x14ac:dyDescent="0.25"/>
    <row r="1505" s="3" customFormat="1" ht="15" x14ac:dyDescent="0.25"/>
    <row r="1506" s="3" customFormat="1" ht="15" x14ac:dyDescent="0.25"/>
    <row r="1507" s="3" customFormat="1" ht="15" x14ac:dyDescent="0.25"/>
    <row r="1508" s="3" customFormat="1" ht="15" x14ac:dyDescent="0.25"/>
    <row r="1509" s="3" customFormat="1" ht="15" x14ac:dyDescent="0.25"/>
    <row r="1510" s="3" customFormat="1" ht="15" x14ac:dyDescent="0.25"/>
    <row r="1511" s="3" customFormat="1" ht="15" x14ac:dyDescent="0.25"/>
    <row r="1512" s="3" customFormat="1" ht="15" x14ac:dyDescent="0.25"/>
    <row r="1513" s="3" customFormat="1" ht="15" x14ac:dyDescent="0.25"/>
    <row r="1514" s="3" customFormat="1" ht="15" x14ac:dyDescent="0.25"/>
    <row r="1515" s="3" customFormat="1" ht="15" x14ac:dyDescent="0.25"/>
    <row r="1516" s="3" customFormat="1" ht="15" x14ac:dyDescent="0.25"/>
    <row r="1517" s="3" customFormat="1" ht="15" x14ac:dyDescent="0.25"/>
    <row r="1518" s="3" customFormat="1" ht="15" x14ac:dyDescent="0.25"/>
    <row r="1519" s="3" customFormat="1" ht="15" x14ac:dyDescent="0.25"/>
    <row r="1520" s="3" customFormat="1" ht="15" x14ac:dyDescent="0.25"/>
    <row r="1521" s="3" customFormat="1" ht="15" x14ac:dyDescent="0.25"/>
    <row r="1522" s="3" customFormat="1" ht="15" x14ac:dyDescent="0.25"/>
    <row r="1523" s="3" customFormat="1" ht="15" x14ac:dyDescent="0.25"/>
    <row r="1524" s="3" customFormat="1" ht="15" x14ac:dyDescent="0.25"/>
    <row r="1525" s="3" customFormat="1" ht="15" x14ac:dyDescent="0.25"/>
    <row r="1526" s="3" customFormat="1" ht="15" x14ac:dyDescent="0.25"/>
    <row r="1527" s="3" customFormat="1" ht="15" x14ac:dyDescent="0.25"/>
    <row r="1528" s="3" customFormat="1" ht="15" x14ac:dyDescent="0.25"/>
    <row r="1529" s="3" customFormat="1" ht="15" x14ac:dyDescent="0.25"/>
    <row r="1530" s="3" customFormat="1" ht="15" x14ac:dyDescent="0.25"/>
    <row r="1531" s="3" customFormat="1" ht="15" x14ac:dyDescent="0.25"/>
    <row r="1532" s="3" customFormat="1" ht="15" x14ac:dyDescent="0.25"/>
    <row r="1533" s="3" customFormat="1" ht="15" x14ac:dyDescent="0.25"/>
    <row r="1534" s="3" customFormat="1" ht="15" x14ac:dyDescent="0.25"/>
    <row r="1535" s="3" customFormat="1" ht="15" x14ac:dyDescent="0.25"/>
    <row r="1536" s="3" customFormat="1" ht="15" x14ac:dyDescent="0.25"/>
    <row r="1537" s="3" customFormat="1" ht="15" x14ac:dyDescent="0.25"/>
    <row r="1538" s="3" customFormat="1" ht="15" x14ac:dyDescent="0.25"/>
    <row r="1539" s="3" customFormat="1" ht="15" x14ac:dyDescent="0.25"/>
    <row r="1540" s="3" customFormat="1" ht="15" x14ac:dyDescent="0.25"/>
    <row r="1541" s="3" customFormat="1" ht="15" x14ac:dyDescent="0.25"/>
    <row r="1542" s="3" customFormat="1" ht="15" x14ac:dyDescent="0.25"/>
    <row r="1543" s="3" customFormat="1" ht="15" x14ac:dyDescent="0.25"/>
    <row r="1544" s="3" customFormat="1" ht="15" x14ac:dyDescent="0.25"/>
    <row r="1545" s="3" customFormat="1" ht="15" x14ac:dyDescent="0.25"/>
    <row r="1546" s="3" customFormat="1" ht="15" x14ac:dyDescent="0.25"/>
    <row r="1547" s="3" customFormat="1" ht="15" x14ac:dyDescent="0.25"/>
    <row r="1548" s="3" customFormat="1" ht="15" x14ac:dyDescent="0.25"/>
    <row r="1549" s="3" customFormat="1" ht="15" x14ac:dyDescent="0.25"/>
    <row r="1550" s="3" customFormat="1" ht="15" x14ac:dyDescent="0.25"/>
    <row r="1551" s="3" customFormat="1" ht="15" x14ac:dyDescent="0.25"/>
    <row r="1552" s="3" customFormat="1" ht="15" x14ac:dyDescent="0.25"/>
    <row r="1553" s="3" customFormat="1" ht="15" x14ac:dyDescent="0.25"/>
    <row r="1554" s="3" customFormat="1" ht="15" x14ac:dyDescent="0.25"/>
    <row r="1555" s="3" customFormat="1" ht="15" x14ac:dyDescent="0.25"/>
    <row r="1556" s="3" customFormat="1" ht="15" x14ac:dyDescent="0.25"/>
    <row r="1557" s="3" customFormat="1" ht="15" x14ac:dyDescent="0.25"/>
    <row r="1558" s="3" customFormat="1" ht="15" x14ac:dyDescent="0.25"/>
    <row r="1559" s="3" customFormat="1" ht="15" x14ac:dyDescent="0.25"/>
    <row r="1560" s="3" customFormat="1" ht="15" x14ac:dyDescent="0.25"/>
    <row r="1561" s="3" customFormat="1" ht="15" x14ac:dyDescent="0.25"/>
    <row r="1562" s="3" customFormat="1" ht="15" x14ac:dyDescent="0.25"/>
    <row r="1563" s="3" customFormat="1" ht="15" x14ac:dyDescent="0.25"/>
    <row r="1564" s="3" customFormat="1" ht="15" x14ac:dyDescent="0.25"/>
    <row r="1565" s="3" customFormat="1" ht="15" x14ac:dyDescent="0.25"/>
    <row r="1566" s="3" customFormat="1" ht="15" x14ac:dyDescent="0.25"/>
    <row r="1567" s="3" customFormat="1" ht="15" x14ac:dyDescent="0.25"/>
    <row r="1568" s="3" customFormat="1" ht="15" x14ac:dyDescent="0.25"/>
    <row r="1569" s="3" customFormat="1" ht="15" x14ac:dyDescent="0.25"/>
    <row r="1570" s="3" customFormat="1" ht="15" x14ac:dyDescent="0.25"/>
    <row r="1571" s="3" customFormat="1" ht="15" x14ac:dyDescent="0.25"/>
    <row r="1572" s="3" customFormat="1" ht="15" x14ac:dyDescent="0.25"/>
    <row r="1573" s="3" customFormat="1" ht="15" x14ac:dyDescent="0.25"/>
    <row r="1574" s="3" customFormat="1" ht="15" x14ac:dyDescent="0.25"/>
    <row r="1575" s="3" customFormat="1" ht="15" x14ac:dyDescent="0.25"/>
    <row r="1576" s="3" customFormat="1" ht="15" x14ac:dyDescent="0.25"/>
    <row r="1577" s="3" customFormat="1" ht="15" x14ac:dyDescent="0.25"/>
    <row r="1578" s="3" customFormat="1" ht="15" x14ac:dyDescent="0.25"/>
    <row r="1579" s="3" customFormat="1" ht="15" x14ac:dyDescent="0.25"/>
    <row r="1580" s="3" customFormat="1" ht="15" x14ac:dyDescent="0.25"/>
    <row r="1581" s="3" customFormat="1" ht="15" x14ac:dyDescent="0.25"/>
    <row r="1582" s="3" customFormat="1" ht="15" x14ac:dyDescent="0.25"/>
    <row r="1583" s="3" customFormat="1" ht="15" x14ac:dyDescent="0.25"/>
    <row r="1584" s="3" customFormat="1" ht="15" x14ac:dyDescent="0.25"/>
    <row r="1585" s="3" customFormat="1" ht="15" x14ac:dyDescent="0.25"/>
    <row r="1586" s="3" customFormat="1" ht="15" x14ac:dyDescent="0.25"/>
    <row r="1587" s="3" customFormat="1" ht="15" x14ac:dyDescent="0.25"/>
    <row r="1588" s="3" customFormat="1" ht="15" x14ac:dyDescent="0.25"/>
    <row r="1589" s="3" customFormat="1" ht="15" x14ac:dyDescent="0.25"/>
    <row r="1590" s="3" customFormat="1" ht="15" x14ac:dyDescent="0.25"/>
    <row r="1591" s="3" customFormat="1" ht="15" x14ac:dyDescent="0.25"/>
    <row r="1592" s="3" customFormat="1" ht="15" x14ac:dyDescent="0.25"/>
    <row r="1593" s="3" customFormat="1" ht="15" x14ac:dyDescent="0.25"/>
    <row r="1594" s="3" customFormat="1" ht="15" x14ac:dyDescent="0.25"/>
    <row r="1595" s="3" customFormat="1" ht="15" x14ac:dyDescent="0.25"/>
    <row r="1596" s="3" customFormat="1" ht="15" x14ac:dyDescent="0.25"/>
    <row r="1597" s="3" customFormat="1" ht="15" x14ac:dyDescent="0.25"/>
    <row r="1598" s="3" customFormat="1" ht="15" x14ac:dyDescent="0.25"/>
    <row r="1599" s="3" customFormat="1" ht="15" x14ac:dyDescent="0.25"/>
    <row r="1600" s="3" customFormat="1" ht="15" x14ac:dyDescent="0.25"/>
    <row r="1601" s="3" customFormat="1" ht="15" x14ac:dyDescent="0.25"/>
    <row r="1602" s="3" customFormat="1" ht="15" x14ac:dyDescent="0.25"/>
    <row r="1603" s="3" customFormat="1" ht="15" x14ac:dyDescent="0.25"/>
    <row r="1604" s="3" customFormat="1" ht="15" x14ac:dyDescent="0.25"/>
    <row r="1605" s="3" customFormat="1" ht="15" x14ac:dyDescent="0.25"/>
    <row r="1606" s="3" customFormat="1" ht="15" x14ac:dyDescent="0.25"/>
    <row r="1607" s="3" customFormat="1" ht="15" x14ac:dyDescent="0.25"/>
    <row r="1608" s="3" customFormat="1" ht="15" x14ac:dyDescent="0.25"/>
    <row r="1609" s="3" customFormat="1" ht="15" x14ac:dyDescent="0.25"/>
    <row r="1610" s="3" customFormat="1" ht="15" x14ac:dyDescent="0.25"/>
    <row r="1611" s="3" customFormat="1" ht="15" x14ac:dyDescent="0.25"/>
    <row r="1612" s="3" customFormat="1" ht="15" x14ac:dyDescent="0.25"/>
    <row r="1613" s="3" customFormat="1" ht="15" x14ac:dyDescent="0.25"/>
    <row r="1614" s="3" customFormat="1" ht="15" x14ac:dyDescent="0.25"/>
    <row r="1615" s="3" customFormat="1" ht="15" x14ac:dyDescent="0.25"/>
    <row r="1616" s="3" customFormat="1" ht="15" x14ac:dyDescent="0.25"/>
    <row r="1617" s="3" customFormat="1" ht="15" x14ac:dyDescent="0.25"/>
    <row r="1618" s="3" customFormat="1" ht="15" x14ac:dyDescent="0.25"/>
    <row r="1619" s="3" customFormat="1" ht="15" x14ac:dyDescent="0.25"/>
    <row r="1620" s="3" customFormat="1" ht="15" x14ac:dyDescent="0.25"/>
    <row r="1621" s="3" customFormat="1" ht="15" x14ac:dyDescent="0.25"/>
    <row r="1622" s="3" customFormat="1" ht="15" x14ac:dyDescent="0.25"/>
    <row r="1623" s="3" customFormat="1" ht="15" x14ac:dyDescent="0.25"/>
    <row r="1624" s="3" customFormat="1" ht="15" x14ac:dyDescent="0.25"/>
    <row r="1625" s="3" customFormat="1" ht="15" x14ac:dyDescent="0.25"/>
    <row r="1626" s="3" customFormat="1" ht="15" x14ac:dyDescent="0.25"/>
    <row r="1627" s="3" customFormat="1" ht="15" x14ac:dyDescent="0.25"/>
    <row r="1628" s="3" customFormat="1" ht="15" x14ac:dyDescent="0.25"/>
    <row r="1629" s="3" customFormat="1" ht="15" x14ac:dyDescent="0.25"/>
    <row r="1630" s="3" customFormat="1" ht="15" x14ac:dyDescent="0.25"/>
    <row r="1631" s="3" customFormat="1" ht="15" x14ac:dyDescent="0.25"/>
    <row r="1632" s="3" customFormat="1" ht="15" x14ac:dyDescent="0.25"/>
    <row r="1633" s="3" customFormat="1" ht="15" x14ac:dyDescent="0.25"/>
    <row r="1634" s="3" customFormat="1" ht="15" x14ac:dyDescent="0.25"/>
    <row r="1635" s="3" customFormat="1" ht="15" x14ac:dyDescent="0.25"/>
    <row r="1636" s="3" customFormat="1" ht="15" x14ac:dyDescent="0.25"/>
    <row r="1637" s="3" customFormat="1" ht="15" x14ac:dyDescent="0.25"/>
    <row r="1638" s="3" customFormat="1" ht="15" x14ac:dyDescent="0.25"/>
    <row r="1639" s="3" customFormat="1" ht="15" x14ac:dyDescent="0.25"/>
    <row r="1640" s="3" customFormat="1" ht="15" x14ac:dyDescent="0.25"/>
    <row r="1641" s="3" customFormat="1" ht="15" x14ac:dyDescent="0.25"/>
    <row r="1642" s="3" customFormat="1" ht="15" x14ac:dyDescent="0.25"/>
    <row r="1643" s="3" customFormat="1" ht="15" x14ac:dyDescent="0.25"/>
    <row r="1644" s="3" customFormat="1" ht="15" x14ac:dyDescent="0.25"/>
    <row r="1645" s="3" customFormat="1" ht="15" x14ac:dyDescent="0.25"/>
    <row r="1646" s="3" customFormat="1" ht="15" x14ac:dyDescent="0.25"/>
    <row r="1647" s="3" customFormat="1" ht="15" x14ac:dyDescent="0.25"/>
    <row r="1648" s="3" customFormat="1" ht="15" x14ac:dyDescent="0.25"/>
    <row r="1649" s="3" customFormat="1" ht="15" x14ac:dyDescent="0.25"/>
    <row r="1650" s="3" customFormat="1" ht="15" x14ac:dyDescent="0.25"/>
    <row r="1651" s="3" customFormat="1" ht="15" x14ac:dyDescent="0.25"/>
    <row r="1652" s="3" customFormat="1" ht="15" x14ac:dyDescent="0.25"/>
    <row r="1653" s="3" customFormat="1" ht="15" x14ac:dyDescent="0.25"/>
    <row r="1654" s="3" customFormat="1" ht="15" x14ac:dyDescent="0.25"/>
    <row r="1655" s="3" customFormat="1" ht="15" x14ac:dyDescent="0.25"/>
    <row r="1656" s="3" customFormat="1" ht="15" x14ac:dyDescent="0.25"/>
    <row r="1657" s="3" customFormat="1" ht="15" x14ac:dyDescent="0.25"/>
    <row r="1658" s="3" customFormat="1" ht="15" x14ac:dyDescent="0.25"/>
    <row r="1659" s="3" customFormat="1" ht="15" x14ac:dyDescent="0.25"/>
    <row r="1660" s="3" customFormat="1" ht="15" x14ac:dyDescent="0.25"/>
    <row r="1661" s="3" customFormat="1" ht="15" x14ac:dyDescent="0.25"/>
    <row r="1662" s="3" customFormat="1" ht="15" x14ac:dyDescent="0.25"/>
    <row r="1663" s="3" customFormat="1" ht="15" x14ac:dyDescent="0.25"/>
    <row r="1664" s="3" customFormat="1" ht="15" x14ac:dyDescent="0.25"/>
    <row r="1665" s="3" customFormat="1" ht="15" x14ac:dyDescent="0.25"/>
    <row r="1666" s="3" customFormat="1" ht="15" x14ac:dyDescent="0.25"/>
    <row r="1667" s="3" customFormat="1" ht="15" x14ac:dyDescent="0.25"/>
    <row r="1668" s="3" customFormat="1" ht="15" x14ac:dyDescent="0.25"/>
    <row r="1669" s="3" customFormat="1" ht="15" x14ac:dyDescent="0.25"/>
    <row r="1670" s="3" customFormat="1" ht="15" x14ac:dyDescent="0.25"/>
    <row r="1671" s="3" customFormat="1" ht="15" x14ac:dyDescent="0.25"/>
    <row r="1672" s="3" customFormat="1" ht="15" x14ac:dyDescent="0.25"/>
    <row r="1673" s="3" customFormat="1" ht="15" x14ac:dyDescent="0.25"/>
    <row r="1674" s="3" customFormat="1" ht="15" x14ac:dyDescent="0.25"/>
    <row r="1675" s="3" customFormat="1" ht="15" x14ac:dyDescent="0.25"/>
    <row r="1676" s="3" customFormat="1" ht="15" x14ac:dyDescent="0.25"/>
    <row r="1677" s="3" customFormat="1" ht="15" x14ac:dyDescent="0.25"/>
    <row r="1678" s="3" customFormat="1" ht="15" x14ac:dyDescent="0.25"/>
    <row r="1679" s="3" customFormat="1" ht="15" x14ac:dyDescent="0.25"/>
    <row r="1680" s="3" customFormat="1" ht="15" x14ac:dyDescent="0.25"/>
    <row r="1681" s="3" customFormat="1" ht="15" x14ac:dyDescent="0.25"/>
    <row r="1682" s="3" customFormat="1" ht="15" x14ac:dyDescent="0.25"/>
    <row r="1683" s="3" customFormat="1" ht="15" x14ac:dyDescent="0.25"/>
    <row r="1684" s="3" customFormat="1" ht="15" x14ac:dyDescent="0.25"/>
    <row r="1685" s="3" customFormat="1" ht="15" x14ac:dyDescent="0.25"/>
    <row r="1686" s="3" customFormat="1" ht="15" x14ac:dyDescent="0.25"/>
    <row r="1687" s="3" customFormat="1" ht="15" x14ac:dyDescent="0.25"/>
    <row r="1688" s="3" customFormat="1" ht="15" x14ac:dyDescent="0.25"/>
    <row r="1689" s="3" customFormat="1" ht="15" x14ac:dyDescent="0.25"/>
    <row r="1690" s="3" customFormat="1" ht="15" x14ac:dyDescent="0.25"/>
    <row r="1691" s="3" customFormat="1" ht="15" x14ac:dyDescent="0.25"/>
    <row r="1692" s="3" customFormat="1" ht="15" x14ac:dyDescent="0.25"/>
    <row r="1693" s="3" customFormat="1" ht="15" x14ac:dyDescent="0.25"/>
    <row r="1694" s="3" customFormat="1" ht="15" x14ac:dyDescent="0.25"/>
    <row r="1695" s="3" customFormat="1" ht="15" x14ac:dyDescent="0.25"/>
    <row r="1696" s="3" customFormat="1" ht="15" x14ac:dyDescent="0.25"/>
    <row r="1697" s="3" customFormat="1" ht="15" x14ac:dyDescent="0.25"/>
    <row r="1698" s="3" customFormat="1" ht="15" x14ac:dyDescent="0.25"/>
    <row r="1699" s="3" customFormat="1" ht="15" x14ac:dyDescent="0.25"/>
    <row r="1700" s="3" customFormat="1" ht="15" x14ac:dyDescent="0.25"/>
    <row r="1701" s="3" customFormat="1" ht="15" x14ac:dyDescent="0.25"/>
    <row r="1702" s="3" customFormat="1" ht="15" x14ac:dyDescent="0.25"/>
    <row r="1703" s="3" customFormat="1" ht="15" x14ac:dyDescent="0.25"/>
    <row r="1704" s="3" customFormat="1" ht="15" x14ac:dyDescent="0.25"/>
    <row r="1705" s="3" customFormat="1" ht="15" x14ac:dyDescent="0.25"/>
    <row r="1706" s="3" customFormat="1" ht="15" x14ac:dyDescent="0.25"/>
    <row r="1707" s="3" customFormat="1" ht="15" x14ac:dyDescent="0.25"/>
    <row r="1708" s="3" customFormat="1" ht="15" x14ac:dyDescent="0.25"/>
    <row r="1709" s="3" customFormat="1" ht="15" x14ac:dyDescent="0.25"/>
    <row r="1710" s="3" customFormat="1" ht="15" x14ac:dyDescent="0.25"/>
    <row r="1711" s="3" customFormat="1" ht="15" x14ac:dyDescent="0.25"/>
    <row r="1712" s="3" customFormat="1" ht="15" x14ac:dyDescent="0.25"/>
    <row r="1713" s="3" customFormat="1" ht="15" x14ac:dyDescent="0.25"/>
    <row r="1714" s="3" customFormat="1" ht="15" x14ac:dyDescent="0.25"/>
    <row r="1715" s="3" customFormat="1" ht="15" x14ac:dyDescent="0.25"/>
    <row r="1716" s="3" customFormat="1" ht="15" x14ac:dyDescent="0.25"/>
    <row r="1717" s="3" customFormat="1" ht="15" x14ac:dyDescent="0.25"/>
    <row r="1718" s="3" customFormat="1" ht="15" x14ac:dyDescent="0.25"/>
    <row r="1719" s="3" customFormat="1" ht="15" x14ac:dyDescent="0.25"/>
    <row r="1720" s="3" customFormat="1" ht="15" x14ac:dyDescent="0.25"/>
    <row r="1721" s="3" customFormat="1" ht="15" x14ac:dyDescent="0.25"/>
    <row r="1722" s="3" customFormat="1" ht="15" x14ac:dyDescent="0.25"/>
    <row r="1723" s="3" customFormat="1" ht="15" x14ac:dyDescent="0.25"/>
    <row r="1724" s="3" customFormat="1" ht="15" x14ac:dyDescent="0.25"/>
    <row r="1725" s="3" customFormat="1" ht="15" x14ac:dyDescent="0.25"/>
    <row r="1726" s="3" customFormat="1" ht="15" x14ac:dyDescent="0.25"/>
    <row r="1727" s="3" customFormat="1" ht="15" x14ac:dyDescent="0.25"/>
    <row r="1728" s="3" customFormat="1" ht="15" x14ac:dyDescent="0.25"/>
    <row r="1729" s="3" customFormat="1" ht="15" x14ac:dyDescent="0.25"/>
    <row r="1730" s="3" customFormat="1" ht="15" x14ac:dyDescent="0.25"/>
    <row r="1731" s="3" customFormat="1" ht="15" x14ac:dyDescent="0.25"/>
    <row r="1732" s="3" customFormat="1" ht="15" x14ac:dyDescent="0.25"/>
    <row r="1733" s="3" customFormat="1" ht="15" x14ac:dyDescent="0.25"/>
    <row r="1734" s="3" customFormat="1" ht="15" x14ac:dyDescent="0.25"/>
    <row r="1735" s="3" customFormat="1" ht="15" x14ac:dyDescent="0.25"/>
    <row r="1736" s="3" customFormat="1" ht="15" x14ac:dyDescent="0.25"/>
    <row r="1737" s="3" customFormat="1" ht="15" x14ac:dyDescent="0.25"/>
    <row r="1738" s="3" customFormat="1" ht="15" x14ac:dyDescent="0.25"/>
    <row r="1739" s="3" customFormat="1" ht="15" x14ac:dyDescent="0.25"/>
    <row r="1740" s="3" customFormat="1" ht="15" x14ac:dyDescent="0.25"/>
    <row r="1741" s="3" customFormat="1" ht="15" x14ac:dyDescent="0.25"/>
    <row r="1742" s="3" customFormat="1" ht="15" x14ac:dyDescent="0.25"/>
    <row r="1743" s="3" customFormat="1" ht="15" x14ac:dyDescent="0.25"/>
    <row r="1744" s="3" customFormat="1" ht="15" x14ac:dyDescent="0.25"/>
    <row r="1745" s="3" customFormat="1" ht="15" x14ac:dyDescent="0.25"/>
    <row r="1746" s="3" customFormat="1" ht="15" x14ac:dyDescent="0.25"/>
    <row r="1747" s="3" customFormat="1" ht="15" x14ac:dyDescent="0.25"/>
    <row r="1748" s="3" customFormat="1" ht="15" x14ac:dyDescent="0.25"/>
    <row r="1749" s="3" customFormat="1" ht="15" x14ac:dyDescent="0.25"/>
    <row r="1750" s="3" customFormat="1" ht="15" x14ac:dyDescent="0.25"/>
    <row r="1751" s="3" customFormat="1" ht="15" x14ac:dyDescent="0.25"/>
    <row r="1752" s="3" customFormat="1" ht="15" x14ac:dyDescent="0.25"/>
    <row r="1753" s="3" customFormat="1" ht="15" x14ac:dyDescent="0.25"/>
    <row r="1754" s="3" customFormat="1" ht="15" x14ac:dyDescent="0.25"/>
    <row r="1755" s="3" customFormat="1" ht="15" x14ac:dyDescent="0.25"/>
    <row r="1756" s="3" customFormat="1" ht="15" x14ac:dyDescent="0.25"/>
    <row r="1757" s="3" customFormat="1" ht="15" x14ac:dyDescent="0.25"/>
    <row r="1758" s="3" customFormat="1" ht="15" x14ac:dyDescent="0.25"/>
    <row r="1759" s="3" customFormat="1" ht="15" x14ac:dyDescent="0.25"/>
    <row r="1760" s="3" customFormat="1" ht="15" x14ac:dyDescent="0.25"/>
    <row r="1761" s="3" customFormat="1" ht="15" x14ac:dyDescent="0.25"/>
    <row r="1762" s="3" customFormat="1" ht="15" x14ac:dyDescent="0.25"/>
    <row r="1763" s="3" customFormat="1" ht="15" x14ac:dyDescent="0.25"/>
    <row r="1764" s="3" customFormat="1" ht="15" x14ac:dyDescent="0.25"/>
    <row r="1765" s="3" customFormat="1" ht="15" x14ac:dyDescent="0.25"/>
    <row r="1766" s="3" customFormat="1" ht="15" x14ac:dyDescent="0.25"/>
    <row r="1767" s="3" customFormat="1" ht="15" x14ac:dyDescent="0.25"/>
    <row r="1768" s="3" customFormat="1" ht="15" x14ac:dyDescent="0.25"/>
    <row r="1769" s="3" customFormat="1" ht="15" x14ac:dyDescent="0.25"/>
    <row r="1770" s="3" customFormat="1" ht="15" x14ac:dyDescent="0.25"/>
    <row r="1771" s="3" customFormat="1" ht="15" x14ac:dyDescent="0.25"/>
    <row r="1772" s="3" customFormat="1" ht="15" x14ac:dyDescent="0.25"/>
    <row r="1773" s="3" customFormat="1" ht="15" x14ac:dyDescent="0.25"/>
    <row r="1774" s="3" customFormat="1" ht="15" x14ac:dyDescent="0.25"/>
    <row r="1775" s="3" customFormat="1" ht="15" x14ac:dyDescent="0.25"/>
    <row r="1776" s="3" customFormat="1" ht="15" x14ac:dyDescent="0.25"/>
    <row r="1777" s="3" customFormat="1" ht="15" x14ac:dyDescent="0.25"/>
    <row r="1778" s="3" customFormat="1" ht="15" x14ac:dyDescent="0.25"/>
    <row r="1779" s="3" customFormat="1" ht="15" x14ac:dyDescent="0.25"/>
    <row r="1780" s="3" customFormat="1" ht="15" x14ac:dyDescent="0.25"/>
    <row r="1781" s="3" customFormat="1" ht="15" x14ac:dyDescent="0.25"/>
    <row r="1782" s="3" customFormat="1" ht="15" x14ac:dyDescent="0.25"/>
    <row r="1783" s="3" customFormat="1" ht="15" x14ac:dyDescent="0.25"/>
    <row r="1784" s="3" customFormat="1" ht="15" x14ac:dyDescent="0.25"/>
    <row r="1785" s="3" customFormat="1" ht="15" x14ac:dyDescent="0.25"/>
    <row r="1786" s="3" customFormat="1" ht="15" x14ac:dyDescent="0.25"/>
    <row r="1787" s="3" customFormat="1" ht="15" x14ac:dyDescent="0.25"/>
    <row r="1788" s="3" customFormat="1" ht="15" x14ac:dyDescent="0.25"/>
    <row r="1789" s="3" customFormat="1" ht="15" x14ac:dyDescent="0.25"/>
    <row r="1790" s="3" customFormat="1" ht="15" x14ac:dyDescent="0.25"/>
    <row r="1791" s="3" customFormat="1" ht="15" x14ac:dyDescent="0.25"/>
    <row r="1792" s="3" customFormat="1" ht="15" x14ac:dyDescent="0.25"/>
    <row r="1793" s="3" customFormat="1" ht="15" x14ac:dyDescent="0.25"/>
    <row r="1794" s="3" customFormat="1" ht="15" x14ac:dyDescent="0.25"/>
    <row r="1795" s="3" customFormat="1" ht="15" x14ac:dyDescent="0.25"/>
    <row r="1796" s="3" customFormat="1" ht="15" x14ac:dyDescent="0.25"/>
    <row r="1797" s="3" customFormat="1" ht="15" x14ac:dyDescent="0.25"/>
    <row r="1798" s="3" customFormat="1" ht="15" x14ac:dyDescent="0.25"/>
    <row r="1799" s="3" customFormat="1" ht="15" x14ac:dyDescent="0.25"/>
    <row r="1800" s="3" customFormat="1" ht="15" x14ac:dyDescent="0.25"/>
    <row r="1801" s="3" customFormat="1" ht="15" x14ac:dyDescent="0.25"/>
    <row r="1802" s="3" customFormat="1" ht="15" x14ac:dyDescent="0.25"/>
    <row r="1803" s="3" customFormat="1" ht="15" x14ac:dyDescent="0.25"/>
    <row r="1804" s="3" customFormat="1" ht="15" x14ac:dyDescent="0.25"/>
    <row r="1805" s="3" customFormat="1" ht="15" x14ac:dyDescent="0.25"/>
    <row r="1806" s="3" customFormat="1" ht="15" x14ac:dyDescent="0.25"/>
    <row r="1807" s="3" customFormat="1" ht="15" x14ac:dyDescent="0.25"/>
    <row r="1808" s="3" customFormat="1" ht="15" x14ac:dyDescent="0.25"/>
    <row r="1809" s="3" customFormat="1" ht="15" x14ac:dyDescent="0.25"/>
    <row r="1810" s="3" customFormat="1" ht="15" x14ac:dyDescent="0.25"/>
    <row r="1811" s="3" customFormat="1" ht="15" x14ac:dyDescent="0.25"/>
    <row r="1812" s="3" customFormat="1" ht="15" x14ac:dyDescent="0.25"/>
    <row r="1813" s="3" customFormat="1" ht="15" x14ac:dyDescent="0.25"/>
    <row r="1814" s="3" customFormat="1" ht="15" x14ac:dyDescent="0.25"/>
    <row r="1815" s="3" customFormat="1" ht="15" x14ac:dyDescent="0.25"/>
    <row r="1816" s="3" customFormat="1" ht="15" x14ac:dyDescent="0.25"/>
    <row r="1817" s="3" customFormat="1" ht="15" x14ac:dyDescent="0.25"/>
    <row r="1818" s="3" customFormat="1" ht="15" x14ac:dyDescent="0.25"/>
    <row r="1819" s="3" customFormat="1" ht="15" x14ac:dyDescent="0.25"/>
    <row r="1820" s="3" customFormat="1" ht="15" x14ac:dyDescent="0.25"/>
    <row r="1821" s="3" customFormat="1" ht="15" x14ac:dyDescent="0.25"/>
    <row r="1822" s="3" customFormat="1" ht="15" x14ac:dyDescent="0.25"/>
    <row r="1823" s="3" customFormat="1" ht="15" x14ac:dyDescent="0.25"/>
    <row r="1824" s="3" customFormat="1" ht="15" x14ac:dyDescent="0.25"/>
    <row r="1825" s="3" customFormat="1" ht="15" x14ac:dyDescent="0.25"/>
    <row r="1826" s="3" customFormat="1" ht="15" x14ac:dyDescent="0.25"/>
    <row r="1827" s="3" customFormat="1" ht="15" x14ac:dyDescent="0.25"/>
    <row r="1828" s="3" customFormat="1" ht="15" x14ac:dyDescent="0.25"/>
    <row r="1829" s="3" customFormat="1" ht="15" x14ac:dyDescent="0.25"/>
    <row r="1830" s="3" customFormat="1" ht="15" x14ac:dyDescent="0.25"/>
    <row r="1831" s="3" customFormat="1" ht="15" x14ac:dyDescent="0.25"/>
    <row r="1832" s="3" customFormat="1" ht="15" x14ac:dyDescent="0.25"/>
    <row r="1833" s="3" customFormat="1" ht="15" x14ac:dyDescent="0.25"/>
    <row r="1834" s="3" customFormat="1" ht="15" x14ac:dyDescent="0.25"/>
    <row r="1835" s="3" customFormat="1" ht="15" x14ac:dyDescent="0.25"/>
    <row r="1836" s="3" customFormat="1" ht="15" x14ac:dyDescent="0.25"/>
    <row r="1837" s="3" customFormat="1" ht="15" x14ac:dyDescent="0.25"/>
    <row r="1838" s="3" customFormat="1" ht="15" x14ac:dyDescent="0.25"/>
    <row r="1839" s="3" customFormat="1" ht="15" x14ac:dyDescent="0.25"/>
    <row r="1840" s="3" customFormat="1" ht="15" x14ac:dyDescent="0.25"/>
    <row r="1841" s="3" customFormat="1" ht="15" x14ac:dyDescent="0.25"/>
    <row r="1842" s="3" customFormat="1" ht="15" x14ac:dyDescent="0.25"/>
    <row r="1843" s="3" customFormat="1" ht="15" x14ac:dyDescent="0.25"/>
    <row r="1844" s="3" customFormat="1" ht="15" x14ac:dyDescent="0.25"/>
    <row r="1845" s="3" customFormat="1" ht="15" x14ac:dyDescent="0.25"/>
    <row r="1846" s="3" customFormat="1" ht="15" x14ac:dyDescent="0.25"/>
    <row r="1847" s="3" customFormat="1" ht="15" x14ac:dyDescent="0.25"/>
    <row r="1848" s="3" customFormat="1" ht="15" x14ac:dyDescent="0.25"/>
    <row r="1849" s="3" customFormat="1" ht="15" x14ac:dyDescent="0.25"/>
    <row r="1850" s="3" customFormat="1" ht="15" x14ac:dyDescent="0.25"/>
    <row r="1851" s="3" customFormat="1" ht="15" x14ac:dyDescent="0.25"/>
    <row r="1852" s="3" customFormat="1" ht="15" x14ac:dyDescent="0.25"/>
    <row r="1853" s="3" customFormat="1" ht="15" x14ac:dyDescent="0.25"/>
    <row r="1854" s="3" customFormat="1" ht="15" x14ac:dyDescent="0.25"/>
    <row r="1855" s="3" customFormat="1" ht="15" x14ac:dyDescent="0.25"/>
    <row r="1856" s="3" customFormat="1" ht="15" x14ac:dyDescent="0.25"/>
    <row r="1857" s="3" customFormat="1" ht="15" x14ac:dyDescent="0.25"/>
    <row r="1858" s="3" customFormat="1" ht="15" x14ac:dyDescent="0.25"/>
    <row r="1859" s="3" customFormat="1" ht="15" x14ac:dyDescent="0.25"/>
    <row r="1860" s="3" customFormat="1" ht="15" x14ac:dyDescent="0.25"/>
    <row r="1861" s="3" customFormat="1" ht="15" x14ac:dyDescent="0.25"/>
    <row r="1862" s="3" customFormat="1" ht="15" x14ac:dyDescent="0.25"/>
    <row r="1863" s="3" customFormat="1" ht="15" x14ac:dyDescent="0.25"/>
    <row r="1864" s="3" customFormat="1" ht="15" x14ac:dyDescent="0.25"/>
    <row r="1865" s="3" customFormat="1" ht="15" x14ac:dyDescent="0.25"/>
    <row r="1866" s="3" customFormat="1" ht="15" x14ac:dyDescent="0.25"/>
    <row r="1867" s="3" customFormat="1" ht="15" x14ac:dyDescent="0.25"/>
    <row r="1868" s="3" customFormat="1" ht="15" x14ac:dyDescent="0.25"/>
    <row r="1869" s="3" customFormat="1" ht="15" x14ac:dyDescent="0.25"/>
    <row r="1870" s="3" customFormat="1" ht="15" x14ac:dyDescent="0.25"/>
    <row r="1871" s="3" customFormat="1" ht="15" x14ac:dyDescent="0.25"/>
    <row r="1872" s="3" customFormat="1" ht="15" x14ac:dyDescent="0.25"/>
    <row r="1873" s="3" customFormat="1" ht="15" x14ac:dyDescent="0.25"/>
    <row r="1874" s="3" customFormat="1" ht="15" x14ac:dyDescent="0.25"/>
    <row r="1875" s="3" customFormat="1" ht="15" x14ac:dyDescent="0.25"/>
    <row r="1876" s="3" customFormat="1" ht="15" x14ac:dyDescent="0.25"/>
    <row r="1877" s="3" customFormat="1" ht="15" x14ac:dyDescent="0.25"/>
    <row r="1878" s="3" customFormat="1" ht="15" x14ac:dyDescent="0.25"/>
    <row r="1879" s="3" customFormat="1" ht="15" x14ac:dyDescent="0.25"/>
    <row r="1880" s="3" customFormat="1" ht="15" x14ac:dyDescent="0.25"/>
    <row r="1881" s="3" customFormat="1" ht="15" x14ac:dyDescent="0.25"/>
    <row r="1882" s="3" customFormat="1" ht="15" x14ac:dyDescent="0.25"/>
    <row r="1883" s="3" customFormat="1" ht="15" x14ac:dyDescent="0.25"/>
    <row r="1884" s="3" customFormat="1" ht="15" x14ac:dyDescent="0.25"/>
    <row r="1885" s="3" customFormat="1" ht="15" x14ac:dyDescent="0.25"/>
    <row r="1886" s="3" customFormat="1" ht="15" x14ac:dyDescent="0.25"/>
    <row r="1887" s="3" customFormat="1" ht="15" x14ac:dyDescent="0.25"/>
    <row r="1888" s="3" customFormat="1" ht="15" x14ac:dyDescent="0.25"/>
    <row r="1889" s="3" customFormat="1" ht="15" x14ac:dyDescent="0.25"/>
    <row r="1890" s="3" customFormat="1" ht="15" x14ac:dyDescent="0.25"/>
    <row r="1891" s="3" customFormat="1" ht="15" x14ac:dyDescent="0.25"/>
    <row r="1892" s="3" customFormat="1" ht="15" x14ac:dyDescent="0.25"/>
    <row r="1893" s="3" customFormat="1" ht="15" x14ac:dyDescent="0.25"/>
    <row r="1894" s="3" customFormat="1" ht="15" x14ac:dyDescent="0.25"/>
    <row r="1895" s="3" customFormat="1" ht="15" x14ac:dyDescent="0.25"/>
    <row r="1896" s="3" customFormat="1" ht="15" x14ac:dyDescent="0.25"/>
    <row r="1897" s="3" customFormat="1" ht="15" x14ac:dyDescent="0.25"/>
    <row r="1898" s="3" customFormat="1" ht="15" x14ac:dyDescent="0.25"/>
    <row r="1899" s="3" customFormat="1" ht="15" x14ac:dyDescent="0.25"/>
    <row r="1900" s="3" customFormat="1" ht="15" x14ac:dyDescent="0.25"/>
    <row r="1901" s="3" customFormat="1" ht="15" x14ac:dyDescent="0.25"/>
    <row r="1902" s="3" customFormat="1" ht="15" x14ac:dyDescent="0.25"/>
    <row r="1903" s="3" customFormat="1" ht="15" x14ac:dyDescent="0.25"/>
    <row r="1904" s="3" customFormat="1" ht="15" x14ac:dyDescent="0.25"/>
    <row r="1905" s="3" customFormat="1" ht="15" x14ac:dyDescent="0.25"/>
    <row r="1906" s="3" customFormat="1" ht="15" x14ac:dyDescent="0.25"/>
    <row r="1907" s="3" customFormat="1" ht="15" x14ac:dyDescent="0.25"/>
    <row r="1908" s="3" customFormat="1" ht="15" x14ac:dyDescent="0.25"/>
    <row r="1909" s="3" customFormat="1" ht="15" x14ac:dyDescent="0.25"/>
    <row r="1910" s="3" customFormat="1" ht="15" x14ac:dyDescent="0.25"/>
    <row r="1911" s="3" customFormat="1" ht="15" x14ac:dyDescent="0.25"/>
    <row r="1912" s="3" customFormat="1" ht="15" x14ac:dyDescent="0.25"/>
    <row r="1913" s="3" customFormat="1" ht="15" x14ac:dyDescent="0.25"/>
    <row r="1914" s="3" customFormat="1" ht="15" x14ac:dyDescent="0.25"/>
    <row r="1915" s="3" customFormat="1" ht="15" x14ac:dyDescent="0.25"/>
    <row r="1916" s="3" customFormat="1" ht="15" x14ac:dyDescent="0.25"/>
    <row r="1917" s="3" customFormat="1" ht="15" x14ac:dyDescent="0.25"/>
    <row r="1918" s="3" customFormat="1" ht="15" x14ac:dyDescent="0.25"/>
    <row r="1919" s="3" customFormat="1" ht="15" x14ac:dyDescent="0.25"/>
    <row r="1920" s="3" customFormat="1" ht="15" x14ac:dyDescent="0.25"/>
    <row r="1921" s="3" customFormat="1" ht="15" x14ac:dyDescent="0.25"/>
    <row r="1922" s="3" customFormat="1" ht="15" x14ac:dyDescent="0.25"/>
    <row r="1923" s="3" customFormat="1" ht="15" x14ac:dyDescent="0.25"/>
    <row r="1924" s="3" customFormat="1" ht="15" x14ac:dyDescent="0.25"/>
    <row r="1925" s="3" customFormat="1" ht="15" x14ac:dyDescent="0.25"/>
    <row r="1926" s="3" customFormat="1" ht="15" x14ac:dyDescent="0.25"/>
    <row r="1927" s="3" customFormat="1" ht="15" x14ac:dyDescent="0.25"/>
    <row r="1928" s="3" customFormat="1" ht="15" x14ac:dyDescent="0.25"/>
    <row r="1929" s="3" customFormat="1" ht="15" x14ac:dyDescent="0.25"/>
    <row r="1930" s="3" customFormat="1" ht="15" x14ac:dyDescent="0.25"/>
    <row r="1931" s="3" customFormat="1" ht="15" x14ac:dyDescent="0.25"/>
    <row r="1932" s="3" customFormat="1" ht="15" x14ac:dyDescent="0.25"/>
    <row r="1933" s="3" customFormat="1" ht="15" x14ac:dyDescent="0.25"/>
    <row r="1934" s="3" customFormat="1" ht="15" x14ac:dyDescent="0.25"/>
    <row r="1935" s="3" customFormat="1" ht="15" x14ac:dyDescent="0.25"/>
    <row r="1936" s="3" customFormat="1" ht="15" x14ac:dyDescent="0.25"/>
    <row r="1937" s="3" customFormat="1" ht="15" x14ac:dyDescent="0.25"/>
    <row r="1938" s="3" customFormat="1" ht="15" x14ac:dyDescent="0.25"/>
    <row r="1939" s="3" customFormat="1" ht="15" x14ac:dyDescent="0.25"/>
    <row r="1940" s="3" customFormat="1" ht="15" x14ac:dyDescent="0.25"/>
    <row r="1941" s="3" customFormat="1" ht="15" x14ac:dyDescent="0.25"/>
    <row r="1942" s="3" customFormat="1" ht="15" x14ac:dyDescent="0.25"/>
    <row r="1943" s="3" customFormat="1" ht="15" x14ac:dyDescent="0.25"/>
    <row r="1944" s="3" customFormat="1" ht="15" x14ac:dyDescent="0.25"/>
    <row r="1945" s="3" customFormat="1" ht="15" x14ac:dyDescent="0.25"/>
    <row r="1946" s="3" customFormat="1" ht="15" x14ac:dyDescent="0.25"/>
    <row r="1947" s="3" customFormat="1" ht="15" x14ac:dyDescent="0.25"/>
    <row r="1948" s="3" customFormat="1" ht="15" x14ac:dyDescent="0.25"/>
    <row r="1949" s="3" customFormat="1" ht="15" x14ac:dyDescent="0.25"/>
    <row r="1950" s="3" customFormat="1" ht="15" x14ac:dyDescent="0.25"/>
    <row r="1951" s="3" customFormat="1" ht="15" x14ac:dyDescent="0.25"/>
    <row r="1952" s="3" customFormat="1" ht="15" x14ac:dyDescent="0.25"/>
    <row r="1953" s="3" customFormat="1" ht="15" x14ac:dyDescent="0.25"/>
    <row r="1954" s="3" customFormat="1" ht="15" x14ac:dyDescent="0.25"/>
    <row r="1955" s="3" customFormat="1" ht="15" x14ac:dyDescent="0.25"/>
    <row r="1956" s="3" customFormat="1" ht="15" x14ac:dyDescent="0.25"/>
    <row r="1957" s="3" customFormat="1" ht="15" x14ac:dyDescent="0.25"/>
    <row r="1958" s="3" customFormat="1" ht="15" x14ac:dyDescent="0.25"/>
    <row r="1959" s="3" customFormat="1" ht="15" x14ac:dyDescent="0.25"/>
    <row r="1960" s="3" customFormat="1" ht="15" x14ac:dyDescent="0.25"/>
    <row r="1961" s="3" customFormat="1" ht="15" x14ac:dyDescent="0.25"/>
    <row r="1962" s="3" customFormat="1" ht="15" x14ac:dyDescent="0.25"/>
    <row r="1963" s="3" customFormat="1" ht="15" x14ac:dyDescent="0.25"/>
    <row r="1964" s="3" customFormat="1" ht="15" x14ac:dyDescent="0.25"/>
    <row r="1965" s="3" customFormat="1" ht="15" x14ac:dyDescent="0.25"/>
    <row r="1966" s="3" customFormat="1" ht="15" x14ac:dyDescent="0.25"/>
    <row r="1967" s="3" customFormat="1" ht="15" x14ac:dyDescent="0.25"/>
    <row r="1968" s="3" customFormat="1" ht="15" x14ac:dyDescent="0.25"/>
    <row r="1969" s="3" customFormat="1" ht="15" x14ac:dyDescent="0.25"/>
    <row r="1970" s="3" customFormat="1" ht="15" x14ac:dyDescent="0.25"/>
    <row r="1971" s="3" customFormat="1" ht="15" x14ac:dyDescent="0.25"/>
    <row r="1972" s="3" customFormat="1" ht="15" x14ac:dyDescent="0.25"/>
    <row r="1973" s="3" customFormat="1" ht="15" x14ac:dyDescent="0.25"/>
    <row r="1974" s="3" customFormat="1" ht="15" x14ac:dyDescent="0.25"/>
    <row r="1975" s="3" customFormat="1" ht="15" x14ac:dyDescent="0.25"/>
    <row r="1976" s="3" customFormat="1" ht="15" x14ac:dyDescent="0.25"/>
    <row r="1977" s="3" customFormat="1" ht="15" x14ac:dyDescent="0.25"/>
    <row r="1978" s="3" customFormat="1" ht="15" x14ac:dyDescent="0.25"/>
    <row r="1979" s="3" customFormat="1" ht="15" x14ac:dyDescent="0.25"/>
    <row r="1980" s="3" customFormat="1" ht="15" x14ac:dyDescent="0.25"/>
    <row r="1981" s="3" customFormat="1" ht="15" x14ac:dyDescent="0.25"/>
    <row r="1982" s="3" customFormat="1" ht="15" x14ac:dyDescent="0.25"/>
    <row r="1983" s="3" customFormat="1" ht="15" x14ac:dyDescent="0.25"/>
    <row r="1984" s="3" customFormat="1" ht="15" x14ac:dyDescent="0.25"/>
    <row r="1985" s="3" customFormat="1" ht="15" x14ac:dyDescent="0.25"/>
    <row r="1986" s="3" customFormat="1" ht="15" x14ac:dyDescent="0.25"/>
    <row r="1987" s="3" customFormat="1" ht="15" x14ac:dyDescent="0.25"/>
    <row r="1988" s="3" customFormat="1" ht="15" x14ac:dyDescent="0.25"/>
    <row r="1989" s="3" customFormat="1" ht="15" x14ac:dyDescent="0.25"/>
    <row r="1990" s="3" customFormat="1" ht="15" x14ac:dyDescent="0.25"/>
    <row r="1991" s="3" customFormat="1" ht="15" x14ac:dyDescent="0.25"/>
    <row r="1992" s="3" customFormat="1" ht="15" x14ac:dyDescent="0.25"/>
    <row r="1993" s="3" customFormat="1" ht="15" x14ac:dyDescent="0.25"/>
    <row r="1994" s="3" customFormat="1" ht="15" x14ac:dyDescent="0.25"/>
    <row r="1995" s="3" customFormat="1" ht="15" x14ac:dyDescent="0.25"/>
    <row r="1996" s="3" customFormat="1" ht="15" x14ac:dyDescent="0.25"/>
    <row r="1997" s="3" customFormat="1" ht="15" x14ac:dyDescent="0.25"/>
    <row r="1998" s="3" customFormat="1" ht="15" x14ac:dyDescent="0.25"/>
    <row r="1999" s="3" customFormat="1" ht="15" x14ac:dyDescent="0.25"/>
    <row r="2000" s="3" customFormat="1" ht="15" x14ac:dyDescent="0.25"/>
    <row r="2001" s="3" customFormat="1" ht="15" x14ac:dyDescent="0.25"/>
    <row r="2002" s="3" customFormat="1" ht="15" x14ac:dyDescent="0.25"/>
    <row r="2003" s="3" customFormat="1" ht="15" x14ac:dyDescent="0.25"/>
    <row r="2004" s="3" customFormat="1" ht="15" x14ac:dyDescent="0.25"/>
    <row r="2005" s="3" customFormat="1" ht="15" x14ac:dyDescent="0.25"/>
    <row r="2006" s="3" customFormat="1" ht="15" x14ac:dyDescent="0.25"/>
    <row r="2007" s="3" customFormat="1" ht="15" x14ac:dyDescent="0.25"/>
    <row r="2008" s="3" customFormat="1" ht="15" x14ac:dyDescent="0.25"/>
    <row r="2009" s="3" customFormat="1" ht="15" x14ac:dyDescent="0.25"/>
    <row r="2010" s="3" customFormat="1" ht="15" x14ac:dyDescent="0.25"/>
    <row r="2011" s="3" customFormat="1" ht="15" x14ac:dyDescent="0.25"/>
    <row r="2012" s="3" customFormat="1" ht="15" x14ac:dyDescent="0.25"/>
    <row r="2013" s="3" customFormat="1" ht="15" x14ac:dyDescent="0.25"/>
    <row r="2014" s="3" customFormat="1" ht="15" x14ac:dyDescent="0.25"/>
    <row r="2015" s="3" customFormat="1" ht="15" x14ac:dyDescent="0.25"/>
    <row r="2016" s="3" customFormat="1" ht="15" x14ac:dyDescent="0.25"/>
    <row r="2017" s="3" customFormat="1" ht="15" x14ac:dyDescent="0.25"/>
    <row r="2018" s="3" customFormat="1" ht="15" x14ac:dyDescent="0.25"/>
    <row r="2019" s="3" customFormat="1" ht="15" x14ac:dyDescent="0.25"/>
    <row r="2020" s="3" customFormat="1" ht="15" x14ac:dyDescent="0.25"/>
    <row r="2021" s="3" customFormat="1" ht="15" x14ac:dyDescent="0.25"/>
    <row r="2022" s="3" customFormat="1" ht="15" x14ac:dyDescent="0.25"/>
    <row r="2023" s="3" customFormat="1" ht="15" x14ac:dyDescent="0.25"/>
    <row r="2024" s="3" customFormat="1" ht="15" x14ac:dyDescent="0.25"/>
    <row r="2025" s="3" customFormat="1" ht="15" x14ac:dyDescent="0.25"/>
    <row r="2026" s="3" customFormat="1" ht="15" x14ac:dyDescent="0.25"/>
    <row r="2027" s="3" customFormat="1" ht="15" x14ac:dyDescent="0.25"/>
    <row r="2028" s="3" customFormat="1" ht="15" x14ac:dyDescent="0.25"/>
    <row r="2029" s="3" customFormat="1" ht="15" x14ac:dyDescent="0.25"/>
    <row r="2030" s="3" customFormat="1" ht="15" x14ac:dyDescent="0.25"/>
    <row r="2031" s="3" customFormat="1" ht="15" x14ac:dyDescent="0.25"/>
    <row r="2032" s="3" customFormat="1" ht="15" x14ac:dyDescent="0.25"/>
    <row r="2033" s="3" customFormat="1" ht="15" x14ac:dyDescent="0.25"/>
    <row r="2034" s="3" customFormat="1" ht="15" x14ac:dyDescent="0.25"/>
    <row r="2035" s="3" customFormat="1" ht="15" x14ac:dyDescent="0.25"/>
    <row r="2036" s="3" customFormat="1" ht="15" x14ac:dyDescent="0.25"/>
    <row r="2037" s="3" customFormat="1" ht="15" x14ac:dyDescent="0.25"/>
    <row r="2038" s="3" customFormat="1" ht="15" x14ac:dyDescent="0.25"/>
    <row r="2039" s="3" customFormat="1" ht="15" x14ac:dyDescent="0.25"/>
    <row r="2040" s="3" customFormat="1" ht="15" x14ac:dyDescent="0.25"/>
    <row r="2041" s="3" customFormat="1" ht="15" x14ac:dyDescent="0.25"/>
    <row r="2042" s="3" customFormat="1" ht="15" x14ac:dyDescent="0.25"/>
    <row r="2043" s="3" customFormat="1" ht="15" x14ac:dyDescent="0.25"/>
    <row r="2044" s="3" customFormat="1" ht="15" x14ac:dyDescent="0.25"/>
    <row r="2045" s="3" customFormat="1" ht="15" x14ac:dyDescent="0.25"/>
    <row r="2046" s="3" customFormat="1" ht="15" x14ac:dyDescent="0.25"/>
    <row r="2047" s="3" customFormat="1" ht="15" x14ac:dyDescent="0.25"/>
    <row r="2048" s="3" customFormat="1" ht="15" x14ac:dyDescent="0.25"/>
    <row r="2049" s="3" customFormat="1" ht="15" x14ac:dyDescent="0.25"/>
    <row r="2050" s="3" customFormat="1" ht="15" x14ac:dyDescent="0.25"/>
    <row r="2051" s="3" customFormat="1" ht="15" x14ac:dyDescent="0.25"/>
    <row r="2052" s="3" customFormat="1" ht="15" x14ac:dyDescent="0.25"/>
    <row r="2053" s="3" customFormat="1" ht="15" x14ac:dyDescent="0.25"/>
    <row r="2054" s="3" customFormat="1" ht="15" x14ac:dyDescent="0.25"/>
    <row r="2055" s="3" customFormat="1" ht="15" x14ac:dyDescent="0.25"/>
    <row r="2056" s="3" customFormat="1" ht="15" x14ac:dyDescent="0.25"/>
    <row r="2057" s="3" customFormat="1" ht="15" x14ac:dyDescent="0.25"/>
    <row r="2058" s="3" customFormat="1" ht="15" x14ac:dyDescent="0.25"/>
    <row r="2059" s="3" customFormat="1" ht="15" x14ac:dyDescent="0.25"/>
    <row r="2060" s="3" customFormat="1" ht="15" x14ac:dyDescent="0.25"/>
    <row r="2061" s="3" customFormat="1" ht="15" x14ac:dyDescent="0.25"/>
    <row r="2062" s="3" customFormat="1" ht="15" x14ac:dyDescent="0.25"/>
    <row r="2063" s="3" customFormat="1" ht="15" x14ac:dyDescent="0.25"/>
    <row r="2064" s="3" customFormat="1" ht="15" x14ac:dyDescent="0.25"/>
    <row r="2065" s="3" customFormat="1" ht="15" x14ac:dyDescent="0.25"/>
    <row r="2066" s="3" customFormat="1" ht="15" x14ac:dyDescent="0.25"/>
    <row r="2067" s="3" customFormat="1" ht="15" x14ac:dyDescent="0.25"/>
    <row r="2068" s="3" customFormat="1" ht="15" x14ac:dyDescent="0.25"/>
    <row r="2069" s="3" customFormat="1" ht="15" x14ac:dyDescent="0.25"/>
    <row r="2070" s="3" customFormat="1" ht="15" x14ac:dyDescent="0.25"/>
    <row r="2071" s="3" customFormat="1" ht="15" x14ac:dyDescent="0.25"/>
    <row r="2072" s="3" customFormat="1" ht="15" x14ac:dyDescent="0.25"/>
    <row r="2073" s="3" customFormat="1" ht="15" x14ac:dyDescent="0.25"/>
    <row r="2074" s="3" customFormat="1" ht="15" x14ac:dyDescent="0.25"/>
    <row r="2075" s="3" customFormat="1" ht="15" x14ac:dyDescent="0.25"/>
    <row r="2076" s="3" customFormat="1" ht="15" x14ac:dyDescent="0.25"/>
    <row r="2077" s="3" customFormat="1" ht="15" x14ac:dyDescent="0.25"/>
    <row r="2078" s="3" customFormat="1" ht="15" x14ac:dyDescent="0.25"/>
    <row r="2079" s="3" customFormat="1" ht="15" x14ac:dyDescent="0.25"/>
    <row r="2080" s="3" customFormat="1" ht="15" x14ac:dyDescent="0.25"/>
    <row r="2081" s="3" customFormat="1" ht="15" x14ac:dyDescent="0.25"/>
    <row r="2082" s="3" customFormat="1" ht="15" x14ac:dyDescent="0.25"/>
    <row r="2083" s="3" customFormat="1" ht="15" x14ac:dyDescent="0.25"/>
    <row r="2084" s="3" customFormat="1" ht="15" x14ac:dyDescent="0.25"/>
    <row r="2085" s="3" customFormat="1" ht="15" x14ac:dyDescent="0.25"/>
    <row r="2086" s="3" customFormat="1" ht="15" x14ac:dyDescent="0.25"/>
    <row r="2087" s="3" customFormat="1" ht="15" x14ac:dyDescent="0.25"/>
    <row r="2088" s="3" customFormat="1" ht="15" x14ac:dyDescent="0.25"/>
    <row r="2089" s="3" customFormat="1" ht="15" x14ac:dyDescent="0.25"/>
    <row r="2090" s="3" customFormat="1" ht="15" x14ac:dyDescent="0.25"/>
    <row r="2091" s="3" customFormat="1" ht="15" x14ac:dyDescent="0.25"/>
    <row r="2092" s="3" customFormat="1" ht="15" x14ac:dyDescent="0.25"/>
    <row r="2093" s="3" customFormat="1" ht="15" x14ac:dyDescent="0.25"/>
    <row r="2094" s="3" customFormat="1" ht="15" x14ac:dyDescent="0.25"/>
    <row r="2095" s="3" customFormat="1" ht="15" x14ac:dyDescent="0.25"/>
    <row r="2096" s="3" customFormat="1" ht="15" x14ac:dyDescent="0.25"/>
    <row r="2097" s="3" customFormat="1" ht="15" x14ac:dyDescent="0.25"/>
    <row r="2098" s="3" customFormat="1" ht="15" x14ac:dyDescent="0.25"/>
    <row r="2099" s="3" customFormat="1" ht="15" x14ac:dyDescent="0.25"/>
    <row r="2100" s="3" customFormat="1" ht="15" x14ac:dyDescent="0.25"/>
    <row r="2101" s="3" customFormat="1" ht="15" x14ac:dyDescent="0.25"/>
    <row r="2102" s="3" customFormat="1" ht="15" x14ac:dyDescent="0.25"/>
    <row r="2103" s="3" customFormat="1" ht="15" x14ac:dyDescent="0.25"/>
    <row r="2104" s="3" customFormat="1" ht="15" x14ac:dyDescent="0.25"/>
    <row r="2105" s="3" customFormat="1" ht="15" x14ac:dyDescent="0.25"/>
    <row r="2106" s="3" customFormat="1" ht="15" x14ac:dyDescent="0.25"/>
    <row r="2107" s="3" customFormat="1" ht="15" x14ac:dyDescent="0.25"/>
    <row r="2108" s="3" customFormat="1" ht="15" x14ac:dyDescent="0.25"/>
    <row r="2109" s="3" customFormat="1" ht="15" x14ac:dyDescent="0.25"/>
    <row r="2110" s="3" customFormat="1" ht="15" x14ac:dyDescent="0.25"/>
    <row r="2111" s="3" customFormat="1" ht="15" x14ac:dyDescent="0.25"/>
    <row r="2112" s="3" customFormat="1" ht="15" x14ac:dyDescent="0.25"/>
    <row r="2113" s="3" customFormat="1" ht="15" x14ac:dyDescent="0.25"/>
    <row r="2114" s="3" customFormat="1" ht="15" x14ac:dyDescent="0.25"/>
    <row r="2115" s="3" customFormat="1" ht="15" x14ac:dyDescent="0.25"/>
    <row r="2116" s="3" customFormat="1" ht="15" x14ac:dyDescent="0.25"/>
    <row r="2117" s="3" customFormat="1" ht="15" x14ac:dyDescent="0.25"/>
    <row r="2118" s="3" customFormat="1" ht="15" x14ac:dyDescent="0.25"/>
    <row r="2119" s="3" customFormat="1" ht="15" x14ac:dyDescent="0.25"/>
    <row r="2120" s="3" customFormat="1" ht="15" x14ac:dyDescent="0.25"/>
    <row r="2121" s="3" customFormat="1" ht="15" x14ac:dyDescent="0.25"/>
    <row r="2122" s="3" customFormat="1" ht="15" x14ac:dyDescent="0.25"/>
    <row r="2123" s="3" customFormat="1" ht="15" x14ac:dyDescent="0.25"/>
    <row r="2124" s="3" customFormat="1" ht="15" x14ac:dyDescent="0.25"/>
    <row r="2125" s="3" customFormat="1" ht="15" x14ac:dyDescent="0.25"/>
    <row r="2126" s="3" customFormat="1" ht="15" x14ac:dyDescent="0.25"/>
    <row r="2127" s="3" customFormat="1" ht="15" x14ac:dyDescent="0.25"/>
    <row r="2128" s="3" customFormat="1" ht="15" x14ac:dyDescent="0.25"/>
    <row r="2129" s="3" customFormat="1" ht="15" x14ac:dyDescent="0.25"/>
    <row r="2130" s="3" customFormat="1" ht="15" x14ac:dyDescent="0.25"/>
    <row r="2131" s="3" customFormat="1" ht="15" x14ac:dyDescent="0.25"/>
    <row r="2132" s="3" customFormat="1" ht="15" x14ac:dyDescent="0.25"/>
    <row r="2133" s="3" customFormat="1" ht="15" x14ac:dyDescent="0.25"/>
    <row r="2134" s="3" customFormat="1" ht="15" x14ac:dyDescent="0.25"/>
    <row r="2135" s="3" customFormat="1" ht="15" x14ac:dyDescent="0.25"/>
    <row r="2136" s="3" customFormat="1" ht="15" x14ac:dyDescent="0.25"/>
    <row r="2137" s="3" customFormat="1" ht="15" x14ac:dyDescent="0.25"/>
    <row r="2138" s="3" customFormat="1" ht="15" x14ac:dyDescent="0.25"/>
    <row r="2139" s="3" customFormat="1" ht="15" x14ac:dyDescent="0.25"/>
    <row r="2140" s="3" customFormat="1" ht="15" x14ac:dyDescent="0.25"/>
    <row r="2141" s="3" customFormat="1" ht="15" x14ac:dyDescent="0.25"/>
    <row r="2142" s="3" customFormat="1" ht="15" x14ac:dyDescent="0.25"/>
    <row r="2143" s="3" customFormat="1" ht="15" x14ac:dyDescent="0.25"/>
    <row r="2144" s="3" customFormat="1" ht="15" x14ac:dyDescent="0.25"/>
    <row r="2145" s="3" customFormat="1" ht="15" x14ac:dyDescent="0.25"/>
    <row r="2146" s="3" customFormat="1" ht="15" x14ac:dyDescent="0.25"/>
    <row r="2147" s="3" customFormat="1" ht="15" x14ac:dyDescent="0.25"/>
    <row r="2148" s="3" customFormat="1" ht="15" x14ac:dyDescent="0.25"/>
    <row r="2149" s="3" customFormat="1" ht="15" x14ac:dyDescent="0.25"/>
    <row r="2150" s="3" customFormat="1" ht="15" x14ac:dyDescent="0.25"/>
    <row r="2151" s="3" customFormat="1" ht="15" x14ac:dyDescent="0.25"/>
    <row r="2152" s="3" customFormat="1" ht="15" x14ac:dyDescent="0.25"/>
    <row r="2153" s="3" customFormat="1" ht="15" x14ac:dyDescent="0.25"/>
    <row r="2154" s="3" customFormat="1" ht="15" x14ac:dyDescent="0.25"/>
    <row r="2155" s="3" customFormat="1" ht="15" x14ac:dyDescent="0.25"/>
    <row r="2156" s="3" customFormat="1" ht="15" x14ac:dyDescent="0.25"/>
    <row r="2157" s="3" customFormat="1" ht="15" x14ac:dyDescent="0.25"/>
    <row r="2158" s="3" customFormat="1" ht="15" x14ac:dyDescent="0.25"/>
    <row r="2159" s="3" customFormat="1" ht="15" x14ac:dyDescent="0.25"/>
    <row r="2160" s="3" customFormat="1" ht="15" x14ac:dyDescent="0.25"/>
    <row r="2161" s="3" customFormat="1" ht="15" x14ac:dyDescent="0.25"/>
    <row r="2162" s="3" customFormat="1" ht="15" x14ac:dyDescent="0.25"/>
    <row r="2163" s="3" customFormat="1" ht="15" x14ac:dyDescent="0.25"/>
    <row r="2164" s="3" customFormat="1" ht="15" x14ac:dyDescent="0.25"/>
    <row r="2165" s="3" customFormat="1" ht="15" x14ac:dyDescent="0.25"/>
    <row r="2166" s="3" customFormat="1" ht="15" x14ac:dyDescent="0.25"/>
    <row r="2167" s="3" customFormat="1" ht="15" x14ac:dyDescent="0.25"/>
    <row r="2168" s="3" customFormat="1" ht="15" x14ac:dyDescent="0.25"/>
    <row r="2169" s="3" customFormat="1" ht="15" x14ac:dyDescent="0.25"/>
    <row r="2170" s="3" customFormat="1" ht="15" x14ac:dyDescent="0.25"/>
    <row r="2171" s="3" customFormat="1" ht="15" x14ac:dyDescent="0.25"/>
    <row r="2172" s="3" customFormat="1" ht="15" x14ac:dyDescent="0.25"/>
    <row r="2173" s="3" customFormat="1" ht="15" x14ac:dyDescent="0.25"/>
    <row r="2174" s="3" customFormat="1" ht="15" x14ac:dyDescent="0.25"/>
    <row r="2175" s="3" customFormat="1" ht="15" x14ac:dyDescent="0.25"/>
    <row r="2176" s="3" customFormat="1" ht="15" x14ac:dyDescent="0.25"/>
    <row r="2177" s="3" customFormat="1" ht="15" x14ac:dyDescent="0.25"/>
    <row r="2178" s="3" customFormat="1" ht="15" x14ac:dyDescent="0.25"/>
    <row r="2179" s="3" customFormat="1" ht="15" x14ac:dyDescent="0.25"/>
    <row r="2180" s="3" customFormat="1" ht="15" x14ac:dyDescent="0.25"/>
    <row r="2181" s="3" customFormat="1" ht="15" x14ac:dyDescent="0.25"/>
    <row r="2182" s="3" customFormat="1" ht="15" x14ac:dyDescent="0.25"/>
    <row r="2183" s="3" customFormat="1" ht="15" x14ac:dyDescent="0.25"/>
    <row r="2184" s="3" customFormat="1" ht="15" x14ac:dyDescent="0.25"/>
    <row r="2185" s="3" customFormat="1" ht="15" x14ac:dyDescent="0.25"/>
    <row r="2186" s="3" customFormat="1" ht="15" x14ac:dyDescent="0.25"/>
    <row r="2187" s="3" customFormat="1" ht="15" x14ac:dyDescent="0.25"/>
    <row r="2188" s="3" customFormat="1" ht="15" x14ac:dyDescent="0.25"/>
    <row r="2189" s="3" customFormat="1" ht="15" x14ac:dyDescent="0.25"/>
    <row r="2190" s="3" customFormat="1" ht="15" x14ac:dyDescent="0.25"/>
    <row r="2191" s="3" customFormat="1" ht="15" x14ac:dyDescent="0.25"/>
    <row r="2192" s="3" customFormat="1" ht="15" x14ac:dyDescent="0.25"/>
    <row r="2193" s="3" customFormat="1" ht="15" x14ac:dyDescent="0.25"/>
    <row r="2194" s="3" customFormat="1" ht="15" x14ac:dyDescent="0.25"/>
    <row r="2195" s="3" customFormat="1" ht="15" x14ac:dyDescent="0.25"/>
    <row r="2196" s="3" customFormat="1" ht="15" x14ac:dyDescent="0.25"/>
    <row r="2197" s="3" customFormat="1" ht="15" x14ac:dyDescent="0.25"/>
    <row r="2198" s="3" customFormat="1" ht="15" x14ac:dyDescent="0.25"/>
    <row r="2199" s="3" customFormat="1" ht="15" x14ac:dyDescent="0.25"/>
    <row r="2200" s="3" customFormat="1" ht="15" x14ac:dyDescent="0.25"/>
    <row r="2201" s="3" customFormat="1" ht="15" x14ac:dyDescent="0.25"/>
    <row r="2202" s="3" customFormat="1" ht="15" x14ac:dyDescent="0.25"/>
    <row r="2203" s="3" customFormat="1" ht="15" x14ac:dyDescent="0.25"/>
    <row r="2204" s="3" customFormat="1" ht="15" x14ac:dyDescent="0.25"/>
    <row r="2205" s="3" customFormat="1" ht="15" x14ac:dyDescent="0.25"/>
    <row r="2206" s="3" customFormat="1" ht="15" x14ac:dyDescent="0.25"/>
    <row r="2207" s="3" customFormat="1" ht="15" x14ac:dyDescent="0.25"/>
    <row r="2208" s="3" customFormat="1" ht="15" x14ac:dyDescent="0.25"/>
    <row r="2209" s="3" customFormat="1" ht="15" x14ac:dyDescent="0.25"/>
    <row r="2210" s="3" customFormat="1" ht="15" x14ac:dyDescent="0.25"/>
    <row r="2211" s="3" customFormat="1" ht="15" x14ac:dyDescent="0.25"/>
    <row r="2212" s="3" customFormat="1" ht="15" x14ac:dyDescent="0.25"/>
    <row r="2213" s="3" customFormat="1" ht="15" x14ac:dyDescent="0.25"/>
    <row r="2214" s="3" customFormat="1" ht="15" x14ac:dyDescent="0.25"/>
    <row r="2215" s="3" customFormat="1" ht="15" x14ac:dyDescent="0.25"/>
    <row r="2216" s="3" customFormat="1" ht="15" x14ac:dyDescent="0.25"/>
    <row r="2217" s="3" customFormat="1" ht="15" x14ac:dyDescent="0.25"/>
    <row r="2218" s="3" customFormat="1" ht="15" x14ac:dyDescent="0.25"/>
    <row r="2219" s="3" customFormat="1" ht="15" x14ac:dyDescent="0.25"/>
    <row r="2220" s="3" customFormat="1" ht="15" x14ac:dyDescent="0.25"/>
    <row r="2221" s="3" customFormat="1" ht="15" x14ac:dyDescent="0.25"/>
    <row r="2222" s="3" customFormat="1" ht="15" x14ac:dyDescent="0.25"/>
    <row r="2223" s="3" customFormat="1" ht="15" x14ac:dyDescent="0.25"/>
    <row r="2224" s="3" customFormat="1" ht="15" x14ac:dyDescent="0.25"/>
    <row r="2225" s="3" customFormat="1" ht="15" x14ac:dyDescent="0.25"/>
    <row r="2226" s="3" customFormat="1" ht="15" x14ac:dyDescent="0.25"/>
    <row r="2227" s="3" customFormat="1" ht="15" x14ac:dyDescent="0.25"/>
    <row r="2228" s="3" customFormat="1" ht="15" x14ac:dyDescent="0.25"/>
    <row r="2229" s="3" customFormat="1" ht="15" x14ac:dyDescent="0.25"/>
    <row r="2230" s="3" customFormat="1" ht="15" x14ac:dyDescent="0.25"/>
    <row r="2231" s="3" customFormat="1" ht="15" x14ac:dyDescent="0.25"/>
    <row r="2232" s="3" customFormat="1" ht="15" x14ac:dyDescent="0.25"/>
    <row r="2233" s="3" customFormat="1" ht="15" x14ac:dyDescent="0.25"/>
    <row r="2234" s="3" customFormat="1" ht="15" x14ac:dyDescent="0.25"/>
    <row r="2235" s="3" customFormat="1" ht="15" x14ac:dyDescent="0.25"/>
    <row r="2236" s="3" customFormat="1" ht="15" x14ac:dyDescent="0.25"/>
    <row r="2237" s="3" customFormat="1" ht="15" x14ac:dyDescent="0.25"/>
    <row r="2238" s="3" customFormat="1" ht="15" x14ac:dyDescent="0.25"/>
    <row r="2239" s="3" customFormat="1" ht="15" x14ac:dyDescent="0.25"/>
    <row r="2240" s="3" customFormat="1" ht="15" x14ac:dyDescent="0.25"/>
    <row r="2241" s="3" customFormat="1" ht="15" x14ac:dyDescent="0.25"/>
    <row r="2242" s="3" customFormat="1" ht="15" x14ac:dyDescent="0.25"/>
    <row r="2243" s="3" customFormat="1" ht="15" x14ac:dyDescent="0.25"/>
    <row r="2244" s="3" customFormat="1" ht="15" x14ac:dyDescent="0.25"/>
    <row r="2245" s="3" customFormat="1" ht="15" x14ac:dyDescent="0.25"/>
    <row r="2246" s="3" customFormat="1" ht="15" x14ac:dyDescent="0.25"/>
    <row r="2247" s="3" customFormat="1" ht="15" x14ac:dyDescent="0.25"/>
    <row r="2248" s="3" customFormat="1" ht="15" x14ac:dyDescent="0.25"/>
    <row r="2249" s="3" customFormat="1" ht="15" x14ac:dyDescent="0.25"/>
    <row r="2250" s="3" customFormat="1" ht="15" x14ac:dyDescent="0.25"/>
    <row r="2251" s="3" customFormat="1" ht="15" x14ac:dyDescent="0.25"/>
    <row r="2252" s="3" customFormat="1" ht="15" x14ac:dyDescent="0.25"/>
    <row r="2253" s="3" customFormat="1" ht="15" x14ac:dyDescent="0.25"/>
    <row r="2254" s="3" customFormat="1" ht="15" x14ac:dyDescent="0.25"/>
    <row r="2255" s="3" customFormat="1" ht="15" x14ac:dyDescent="0.25"/>
    <row r="2256" s="3" customFormat="1" ht="15" x14ac:dyDescent="0.25"/>
    <row r="2257" s="3" customFormat="1" ht="15" x14ac:dyDescent="0.25"/>
    <row r="2258" s="3" customFormat="1" ht="15" x14ac:dyDescent="0.25"/>
    <row r="2259" s="3" customFormat="1" ht="15" x14ac:dyDescent="0.25"/>
    <row r="2260" s="3" customFormat="1" ht="15" x14ac:dyDescent="0.25"/>
    <row r="2261" s="3" customFormat="1" ht="15" x14ac:dyDescent="0.25"/>
    <row r="2262" s="3" customFormat="1" ht="15" x14ac:dyDescent="0.25"/>
    <row r="2263" s="3" customFormat="1" ht="15" x14ac:dyDescent="0.25"/>
    <row r="2264" s="3" customFormat="1" ht="15" x14ac:dyDescent="0.25"/>
    <row r="2265" s="3" customFormat="1" ht="15" x14ac:dyDescent="0.25"/>
    <row r="2266" s="3" customFormat="1" ht="15" x14ac:dyDescent="0.25"/>
    <row r="2267" s="3" customFormat="1" ht="15" x14ac:dyDescent="0.25"/>
    <row r="2268" s="3" customFormat="1" ht="15" x14ac:dyDescent="0.25"/>
    <row r="2269" s="3" customFormat="1" ht="15" x14ac:dyDescent="0.25"/>
    <row r="2270" s="3" customFormat="1" ht="15" x14ac:dyDescent="0.25"/>
    <row r="2271" s="3" customFormat="1" ht="15" x14ac:dyDescent="0.25"/>
    <row r="2272" s="3" customFormat="1" ht="15" x14ac:dyDescent="0.25"/>
    <row r="2273" s="3" customFormat="1" ht="15" x14ac:dyDescent="0.25"/>
    <row r="2274" s="3" customFormat="1" ht="15" x14ac:dyDescent="0.25"/>
    <row r="2275" s="3" customFormat="1" ht="15" x14ac:dyDescent="0.25"/>
    <row r="2276" s="3" customFormat="1" ht="15" x14ac:dyDescent="0.25"/>
    <row r="2277" s="3" customFormat="1" ht="15" x14ac:dyDescent="0.25"/>
    <row r="2278" s="3" customFormat="1" ht="15" x14ac:dyDescent="0.25"/>
    <row r="2279" s="3" customFormat="1" ht="15" x14ac:dyDescent="0.25"/>
    <row r="2280" s="3" customFormat="1" ht="15" x14ac:dyDescent="0.25"/>
    <row r="2281" s="3" customFormat="1" ht="15" x14ac:dyDescent="0.25"/>
    <row r="2282" s="3" customFormat="1" ht="15" x14ac:dyDescent="0.25"/>
    <row r="2283" s="3" customFormat="1" ht="15" x14ac:dyDescent="0.25"/>
    <row r="2284" s="3" customFormat="1" ht="15" x14ac:dyDescent="0.25"/>
    <row r="2285" s="3" customFormat="1" ht="15" x14ac:dyDescent="0.25"/>
    <row r="2286" s="3" customFormat="1" ht="15" x14ac:dyDescent="0.25"/>
    <row r="2287" s="3" customFormat="1" ht="15" x14ac:dyDescent="0.25"/>
    <row r="2288" s="3" customFormat="1" ht="15" x14ac:dyDescent="0.25"/>
    <row r="2289" s="3" customFormat="1" ht="15" x14ac:dyDescent="0.25"/>
    <row r="2290" s="3" customFormat="1" ht="15" x14ac:dyDescent="0.25"/>
    <row r="2291" s="3" customFormat="1" ht="15" x14ac:dyDescent="0.25"/>
    <row r="2292" s="3" customFormat="1" ht="15" x14ac:dyDescent="0.25"/>
    <row r="2293" s="3" customFormat="1" ht="15" x14ac:dyDescent="0.25"/>
    <row r="2294" s="3" customFormat="1" ht="15" x14ac:dyDescent="0.25"/>
    <row r="2295" s="3" customFormat="1" ht="15" x14ac:dyDescent="0.25"/>
    <row r="2296" s="3" customFormat="1" ht="15" x14ac:dyDescent="0.25"/>
    <row r="2297" s="3" customFormat="1" ht="15" x14ac:dyDescent="0.25"/>
    <row r="2298" s="3" customFormat="1" ht="15" x14ac:dyDescent="0.25"/>
    <row r="2299" s="3" customFormat="1" ht="15" x14ac:dyDescent="0.25"/>
    <row r="2300" s="3" customFormat="1" ht="15" x14ac:dyDescent="0.25"/>
    <row r="2301" s="3" customFormat="1" ht="15" x14ac:dyDescent="0.25"/>
    <row r="2302" s="3" customFormat="1" ht="15" x14ac:dyDescent="0.25"/>
    <row r="2303" s="3" customFormat="1" ht="15" x14ac:dyDescent="0.25"/>
    <row r="2304" s="3" customFormat="1" ht="15" x14ac:dyDescent="0.25"/>
    <row r="2305" s="3" customFormat="1" ht="15" x14ac:dyDescent="0.25"/>
    <row r="2306" s="3" customFormat="1" ht="15" x14ac:dyDescent="0.25"/>
    <row r="2307" s="3" customFormat="1" ht="15" x14ac:dyDescent="0.25"/>
    <row r="2308" s="3" customFormat="1" ht="15" x14ac:dyDescent="0.25"/>
    <row r="2309" s="3" customFormat="1" ht="15" x14ac:dyDescent="0.25"/>
    <row r="2310" s="3" customFormat="1" ht="15" x14ac:dyDescent="0.25"/>
    <row r="2311" s="3" customFormat="1" ht="15" x14ac:dyDescent="0.25"/>
    <row r="2312" s="3" customFormat="1" ht="15" x14ac:dyDescent="0.25"/>
    <row r="2313" s="3" customFormat="1" ht="15" x14ac:dyDescent="0.25"/>
    <row r="2314" s="3" customFormat="1" ht="15" x14ac:dyDescent="0.25"/>
    <row r="2315" s="3" customFormat="1" ht="15" x14ac:dyDescent="0.25"/>
    <row r="2316" s="3" customFormat="1" ht="15" x14ac:dyDescent="0.25"/>
    <row r="2317" s="3" customFormat="1" ht="15" x14ac:dyDescent="0.25"/>
    <row r="2318" s="3" customFormat="1" ht="15" x14ac:dyDescent="0.25"/>
    <row r="2319" s="3" customFormat="1" ht="15" x14ac:dyDescent="0.25"/>
    <row r="2320" s="3" customFormat="1" ht="15" x14ac:dyDescent="0.25"/>
    <row r="2321" s="3" customFormat="1" ht="15" x14ac:dyDescent="0.25"/>
    <row r="2322" s="3" customFormat="1" ht="15" x14ac:dyDescent="0.25"/>
    <row r="2323" s="3" customFormat="1" ht="15" x14ac:dyDescent="0.25"/>
    <row r="2324" s="3" customFormat="1" ht="15" x14ac:dyDescent="0.25"/>
    <row r="2325" s="3" customFormat="1" ht="15" x14ac:dyDescent="0.25"/>
    <row r="2326" s="3" customFormat="1" ht="15" x14ac:dyDescent="0.25"/>
    <row r="2327" s="3" customFormat="1" ht="15" x14ac:dyDescent="0.25"/>
    <row r="2328" s="3" customFormat="1" ht="15" x14ac:dyDescent="0.25"/>
    <row r="2329" s="3" customFormat="1" ht="15" x14ac:dyDescent="0.25"/>
    <row r="2330" s="3" customFormat="1" ht="15" x14ac:dyDescent="0.25"/>
    <row r="2331" s="3" customFormat="1" ht="15" x14ac:dyDescent="0.25"/>
    <row r="2332" s="3" customFormat="1" ht="15" x14ac:dyDescent="0.25"/>
    <row r="2333" s="3" customFormat="1" ht="15" x14ac:dyDescent="0.25"/>
    <row r="2334" s="3" customFormat="1" ht="15" x14ac:dyDescent="0.25"/>
    <row r="2335" s="3" customFormat="1" ht="15" x14ac:dyDescent="0.25"/>
    <row r="2336" s="3" customFormat="1" ht="15" x14ac:dyDescent="0.25"/>
    <row r="2337" s="3" customFormat="1" ht="15" x14ac:dyDescent="0.25"/>
    <row r="2338" s="3" customFormat="1" ht="15" x14ac:dyDescent="0.25"/>
    <row r="2339" s="3" customFormat="1" ht="15" x14ac:dyDescent="0.25"/>
    <row r="2340" s="3" customFormat="1" ht="15" x14ac:dyDescent="0.25"/>
    <row r="2341" s="3" customFormat="1" ht="15" x14ac:dyDescent="0.25"/>
    <row r="2342" s="3" customFormat="1" ht="15" x14ac:dyDescent="0.25"/>
    <row r="2343" s="3" customFormat="1" ht="15" x14ac:dyDescent="0.25"/>
    <row r="2344" s="3" customFormat="1" ht="15" x14ac:dyDescent="0.25"/>
    <row r="2345" s="3" customFormat="1" ht="15" x14ac:dyDescent="0.25"/>
    <row r="2346" s="3" customFormat="1" ht="15" x14ac:dyDescent="0.25"/>
    <row r="2347" s="3" customFormat="1" ht="15" x14ac:dyDescent="0.25"/>
    <row r="2348" s="3" customFormat="1" ht="15" x14ac:dyDescent="0.25"/>
    <row r="2349" s="3" customFormat="1" ht="15" x14ac:dyDescent="0.25"/>
    <row r="2350" s="3" customFormat="1" ht="15" x14ac:dyDescent="0.25"/>
    <row r="2351" s="3" customFormat="1" ht="15" x14ac:dyDescent="0.25"/>
    <row r="2352" s="3" customFormat="1" ht="15" x14ac:dyDescent="0.25"/>
    <row r="2353" s="3" customFormat="1" ht="15" x14ac:dyDescent="0.25"/>
    <row r="2354" s="3" customFormat="1" ht="15" x14ac:dyDescent="0.25"/>
    <row r="2355" s="3" customFormat="1" ht="15" x14ac:dyDescent="0.25"/>
    <row r="2356" s="3" customFormat="1" ht="15" x14ac:dyDescent="0.25"/>
    <row r="2357" s="3" customFormat="1" ht="15" x14ac:dyDescent="0.25"/>
    <row r="2358" s="3" customFormat="1" ht="15" x14ac:dyDescent="0.25"/>
    <row r="2359" s="3" customFormat="1" ht="15" x14ac:dyDescent="0.25"/>
    <row r="2360" s="3" customFormat="1" ht="15" x14ac:dyDescent="0.25"/>
    <row r="2361" s="3" customFormat="1" ht="15" x14ac:dyDescent="0.25"/>
    <row r="2362" s="3" customFormat="1" ht="15" x14ac:dyDescent="0.25"/>
    <row r="2363" s="3" customFormat="1" ht="15" x14ac:dyDescent="0.25"/>
    <row r="2364" s="3" customFormat="1" ht="15" x14ac:dyDescent="0.25"/>
    <row r="2365" s="3" customFormat="1" ht="15" x14ac:dyDescent="0.25"/>
    <row r="2366" s="3" customFormat="1" ht="15" x14ac:dyDescent="0.25"/>
    <row r="2367" s="3" customFormat="1" ht="15" x14ac:dyDescent="0.25"/>
    <row r="2368" s="3" customFormat="1" ht="15" x14ac:dyDescent="0.25"/>
    <row r="2369" s="3" customFormat="1" ht="15" x14ac:dyDescent="0.25"/>
    <row r="2370" s="3" customFormat="1" ht="15" x14ac:dyDescent="0.25"/>
    <row r="2371" s="3" customFormat="1" ht="15" x14ac:dyDescent="0.25"/>
    <row r="2372" s="3" customFormat="1" ht="15" x14ac:dyDescent="0.25"/>
    <row r="2373" s="3" customFormat="1" ht="15" x14ac:dyDescent="0.25"/>
    <row r="2374" s="3" customFormat="1" ht="15" x14ac:dyDescent="0.25"/>
    <row r="2375" s="3" customFormat="1" ht="15" x14ac:dyDescent="0.25"/>
    <row r="2376" s="3" customFormat="1" ht="15" x14ac:dyDescent="0.25"/>
    <row r="2377" s="3" customFormat="1" ht="15" x14ac:dyDescent="0.25"/>
    <row r="2378" s="3" customFormat="1" ht="15" x14ac:dyDescent="0.25"/>
    <row r="2379" s="3" customFormat="1" ht="15" x14ac:dyDescent="0.25"/>
    <row r="2380" s="3" customFormat="1" ht="15" x14ac:dyDescent="0.25"/>
    <row r="2381" s="3" customFormat="1" ht="15" x14ac:dyDescent="0.25"/>
    <row r="2382" s="3" customFormat="1" ht="15" x14ac:dyDescent="0.25"/>
    <row r="2383" s="3" customFormat="1" ht="15" x14ac:dyDescent="0.25"/>
    <row r="2384" s="3" customFormat="1" ht="15" x14ac:dyDescent="0.25"/>
    <row r="2385" s="3" customFormat="1" ht="15" x14ac:dyDescent="0.25"/>
    <row r="2386" s="3" customFormat="1" ht="15" x14ac:dyDescent="0.25"/>
    <row r="2387" s="3" customFormat="1" ht="15" x14ac:dyDescent="0.25"/>
    <row r="2388" s="3" customFormat="1" ht="15" x14ac:dyDescent="0.25"/>
    <row r="2389" s="3" customFormat="1" ht="15" x14ac:dyDescent="0.25"/>
    <row r="2390" s="3" customFormat="1" ht="15" x14ac:dyDescent="0.25"/>
    <row r="2391" s="3" customFormat="1" ht="15" x14ac:dyDescent="0.25"/>
    <row r="2392" s="3" customFormat="1" ht="15" x14ac:dyDescent="0.25"/>
    <row r="2393" s="3" customFormat="1" ht="15" x14ac:dyDescent="0.25"/>
    <row r="2394" s="3" customFormat="1" ht="15" x14ac:dyDescent="0.25"/>
    <row r="2395" s="3" customFormat="1" ht="15" x14ac:dyDescent="0.25"/>
    <row r="2396" s="3" customFormat="1" ht="15" x14ac:dyDescent="0.25"/>
    <row r="2397" s="3" customFormat="1" ht="15" x14ac:dyDescent="0.25"/>
    <row r="2398" s="3" customFormat="1" ht="15" x14ac:dyDescent="0.25"/>
    <row r="2399" s="3" customFormat="1" ht="15" x14ac:dyDescent="0.25"/>
    <row r="2400" s="3" customFormat="1" ht="15" x14ac:dyDescent="0.25"/>
    <row r="2401" s="3" customFormat="1" ht="15" x14ac:dyDescent="0.25"/>
    <row r="2402" s="3" customFormat="1" ht="15" x14ac:dyDescent="0.25"/>
    <row r="2403" s="3" customFormat="1" ht="15" x14ac:dyDescent="0.25"/>
    <row r="2404" s="3" customFormat="1" ht="15" x14ac:dyDescent="0.25"/>
    <row r="2405" s="3" customFormat="1" ht="15" x14ac:dyDescent="0.25"/>
    <row r="2406" s="3" customFormat="1" ht="15" x14ac:dyDescent="0.25"/>
    <row r="2407" s="3" customFormat="1" ht="15" x14ac:dyDescent="0.25"/>
    <row r="2408" s="3" customFormat="1" ht="15" x14ac:dyDescent="0.25"/>
    <row r="2409" s="3" customFormat="1" ht="15" x14ac:dyDescent="0.25"/>
    <row r="2410" s="3" customFormat="1" ht="15" x14ac:dyDescent="0.25"/>
    <row r="2411" s="3" customFormat="1" ht="15" x14ac:dyDescent="0.25"/>
    <row r="2412" s="3" customFormat="1" ht="15" x14ac:dyDescent="0.25"/>
    <row r="2413" s="3" customFormat="1" ht="15" x14ac:dyDescent="0.25"/>
    <row r="2414" s="3" customFormat="1" ht="15" x14ac:dyDescent="0.25"/>
    <row r="2415" s="3" customFormat="1" ht="15" x14ac:dyDescent="0.25"/>
    <row r="2416" s="3" customFormat="1" ht="15" x14ac:dyDescent="0.25"/>
    <row r="2417" s="3" customFormat="1" ht="15" x14ac:dyDescent="0.25"/>
    <row r="2418" s="3" customFormat="1" ht="15" x14ac:dyDescent="0.25"/>
    <row r="2419" s="3" customFormat="1" ht="15" x14ac:dyDescent="0.25"/>
    <row r="2420" s="3" customFormat="1" ht="15" x14ac:dyDescent="0.25"/>
    <row r="2421" s="3" customFormat="1" ht="15" x14ac:dyDescent="0.25"/>
    <row r="2422" s="3" customFormat="1" ht="15" x14ac:dyDescent="0.25"/>
    <row r="2423" s="3" customFormat="1" ht="15" x14ac:dyDescent="0.25"/>
    <row r="2424" s="3" customFormat="1" ht="15" x14ac:dyDescent="0.25"/>
    <row r="2425" s="3" customFormat="1" ht="15" x14ac:dyDescent="0.25"/>
    <row r="2426" s="3" customFormat="1" ht="15" x14ac:dyDescent="0.25"/>
    <row r="2427" s="3" customFormat="1" ht="15" x14ac:dyDescent="0.25"/>
    <row r="2428" s="3" customFormat="1" ht="15" x14ac:dyDescent="0.25"/>
    <row r="2429" s="3" customFormat="1" ht="15" x14ac:dyDescent="0.25"/>
    <row r="2430" s="3" customFormat="1" ht="15" x14ac:dyDescent="0.25"/>
    <row r="2431" s="3" customFormat="1" ht="15" x14ac:dyDescent="0.25"/>
    <row r="2432" s="3" customFormat="1" ht="15" x14ac:dyDescent="0.25"/>
    <row r="2433" s="3" customFormat="1" ht="15" x14ac:dyDescent="0.25"/>
    <row r="2434" s="3" customFormat="1" ht="15" x14ac:dyDescent="0.25"/>
    <row r="2435" s="3" customFormat="1" ht="15" x14ac:dyDescent="0.25"/>
    <row r="2436" s="3" customFormat="1" ht="15" x14ac:dyDescent="0.25"/>
    <row r="2437" s="3" customFormat="1" ht="15" x14ac:dyDescent="0.25"/>
    <row r="2438" s="3" customFormat="1" ht="15" x14ac:dyDescent="0.25"/>
    <row r="2439" s="3" customFormat="1" ht="15" x14ac:dyDescent="0.25"/>
    <row r="2440" s="3" customFormat="1" ht="15" x14ac:dyDescent="0.25"/>
    <row r="2441" s="3" customFormat="1" ht="15" x14ac:dyDescent="0.25"/>
    <row r="2442" s="3" customFormat="1" ht="15" x14ac:dyDescent="0.25"/>
    <row r="2443" s="3" customFormat="1" ht="15" x14ac:dyDescent="0.25"/>
    <row r="2444" s="3" customFormat="1" ht="15" x14ac:dyDescent="0.25"/>
    <row r="2445" s="3" customFormat="1" ht="15" x14ac:dyDescent="0.25"/>
    <row r="2446" s="3" customFormat="1" ht="15" x14ac:dyDescent="0.25"/>
    <row r="2447" s="3" customFormat="1" ht="15" x14ac:dyDescent="0.25"/>
    <row r="2448" s="3" customFormat="1" ht="15" x14ac:dyDescent="0.25"/>
    <row r="2449" s="3" customFormat="1" ht="15" x14ac:dyDescent="0.25"/>
    <row r="2450" s="3" customFormat="1" ht="15" x14ac:dyDescent="0.25"/>
    <row r="2451" s="3" customFormat="1" ht="15" x14ac:dyDescent="0.25"/>
    <row r="2452" s="3" customFormat="1" ht="15" x14ac:dyDescent="0.25"/>
    <row r="2453" s="3" customFormat="1" ht="15" x14ac:dyDescent="0.25"/>
    <row r="2454" s="3" customFormat="1" ht="15" x14ac:dyDescent="0.25"/>
    <row r="2455" s="3" customFormat="1" ht="15" x14ac:dyDescent="0.25"/>
    <row r="2456" s="3" customFormat="1" ht="15" x14ac:dyDescent="0.25"/>
    <row r="2457" s="3" customFormat="1" ht="15" x14ac:dyDescent="0.25"/>
    <row r="2458" s="3" customFormat="1" ht="15" x14ac:dyDescent="0.25"/>
    <row r="2459" s="3" customFormat="1" ht="15" x14ac:dyDescent="0.25"/>
    <row r="2460" s="3" customFormat="1" ht="15" x14ac:dyDescent="0.25"/>
    <row r="2461" s="3" customFormat="1" ht="15" x14ac:dyDescent="0.25"/>
    <row r="2462" s="3" customFormat="1" ht="15" x14ac:dyDescent="0.25"/>
    <row r="2463" s="3" customFormat="1" ht="15" x14ac:dyDescent="0.25"/>
    <row r="2464" s="3" customFormat="1" ht="15" x14ac:dyDescent="0.25"/>
    <row r="2465" s="3" customFormat="1" ht="15" x14ac:dyDescent="0.25"/>
    <row r="2466" s="3" customFormat="1" ht="15" x14ac:dyDescent="0.25"/>
    <row r="2467" s="3" customFormat="1" ht="15" x14ac:dyDescent="0.25"/>
    <row r="2468" s="3" customFormat="1" ht="15" x14ac:dyDescent="0.25"/>
    <row r="2469" s="3" customFormat="1" ht="15" x14ac:dyDescent="0.25"/>
    <row r="2470" s="3" customFormat="1" ht="15" x14ac:dyDescent="0.25"/>
    <row r="2471" s="3" customFormat="1" ht="15" x14ac:dyDescent="0.25"/>
    <row r="2472" s="3" customFormat="1" ht="15" x14ac:dyDescent="0.25"/>
    <row r="2473" s="3" customFormat="1" ht="15" x14ac:dyDescent="0.25"/>
    <row r="2474" s="3" customFormat="1" ht="15" x14ac:dyDescent="0.25"/>
    <row r="2475" s="3" customFormat="1" ht="15" x14ac:dyDescent="0.25"/>
    <row r="2476" s="3" customFormat="1" ht="15" x14ac:dyDescent="0.25"/>
    <row r="2477" s="3" customFormat="1" ht="15" x14ac:dyDescent="0.25"/>
    <row r="2478" s="3" customFormat="1" ht="15" x14ac:dyDescent="0.25"/>
    <row r="2479" s="3" customFormat="1" ht="15" x14ac:dyDescent="0.25"/>
    <row r="2480" s="3" customFormat="1" ht="15" x14ac:dyDescent="0.25"/>
    <row r="2481" s="3" customFormat="1" ht="15" x14ac:dyDescent="0.25"/>
    <row r="2482" s="3" customFormat="1" ht="15" x14ac:dyDescent="0.25"/>
    <row r="2483" s="3" customFormat="1" ht="15" x14ac:dyDescent="0.25"/>
    <row r="2484" s="3" customFormat="1" ht="15" x14ac:dyDescent="0.25"/>
    <row r="2485" s="3" customFormat="1" ht="15" x14ac:dyDescent="0.25"/>
    <row r="2486" s="3" customFormat="1" ht="15" x14ac:dyDescent="0.25"/>
    <row r="2487" s="3" customFormat="1" ht="15" x14ac:dyDescent="0.25"/>
    <row r="2488" s="3" customFormat="1" ht="15" x14ac:dyDescent="0.25"/>
    <row r="2489" s="3" customFormat="1" ht="15" x14ac:dyDescent="0.25"/>
    <row r="2490" s="3" customFormat="1" ht="15" x14ac:dyDescent="0.25"/>
    <row r="2491" s="3" customFormat="1" ht="15" x14ac:dyDescent="0.25"/>
    <row r="2492" s="3" customFormat="1" ht="15" x14ac:dyDescent="0.25"/>
    <row r="2493" s="3" customFormat="1" ht="15" x14ac:dyDescent="0.25"/>
    <row r="2494" s="3" customFormat="1" ht="15" x14ac:dyDescent="0.25"/>
    <row r="2495" s="3" customFormat="1" ht="15" x14ac:dyDescent="0.25"/>
    <row r="2496" s="3" customFormat="1" ht="15" x14ac:dyDescent="0.25"/>
    <row r="2497" s="3" customFormat="1" ht="15" x14ac:dyDescent="0.25"/>
    <row r="2498" s="3" customFormat="1" ht="15" x14ac:dyDescent="0.25"/>
    <row r="2499" s="3" customFormat="1" ht="15" x14ac:dyDescent="0.25"/>
    <row r="2500" s="3" customFormat="1" ht="15" x14ac:dyDescent="0.25"/>
    <row r="2501" s="3" customFormat="1" ht="15" x14ac:dyDescent="0.25"/>
    <row r="2502" s="3" customFormat="1" ht="15" x14ac:dyDescent="0.25"/>
    <row r="2503" s="3" customFormat="1" ht="15" x14ac:dyDescent="0.25"/>
    <row r="2504" s="3" customFormat="1" ht="15" x14ac:dyDescent="0.25"/>
    <row r="2505" s="3" customFormat="1" ht="15" x14ac:dyDescent="0.25"/>
    <row r="2506" s="3" customFormat="1" ht="15" x14ac:dyDescent="0.25"/>
    <row r="2507" s="3" customFormat="1" ht="15" x14ac:dyDescent="0.25"/>
    <row r="2508" s="3" customFormat="1" ht="15" x14ac:dyDescent="0.25"/>
    <row r="2509" s="3" customFormat="1" ht="15" x14ac:dyDescent="0.25"/>
    <row r="2510" s="3" customFormat="1" ht="15" x14ac:dyDescent="0.25"/>
    <row r="2511" s="3" customFormat="1" ht="15" x14ac:dyDescent="0.25"/>
    <row r="2512" s="3" customFormat="1" ht="15" x14ac:dyDescent="0.25"/>
    <row r="2513" s="3" customFormat="1" ht="15" x14ac:dyDescent="0.25"/>
    <row r="2514" s="3" customFormat="1" ht="15" x14ac:dyDescent="0.25"/>
    <row r="2515" s="3" customFormat="1" ht="15" x14ac:dyDescent="0.25"/>
    <row r="2516" s="3" customFormat="1" ht="15" x14ac:dyDescent="0.25"/>
    <row r="2517" s="3" customFormat="1" ht="15" x14ac:dyDescent="0.25"/>
    <row r="2518" s="3" customFormat="1" ht="15" x14ac:dyDescent="0.25"/>
    <row r="2519" s="3" customFormat="1" ht="15" x14ac:dyDescent="0.25"/>
    <row r="2520" s="3" customFormat="1" ht="15" x14ac:dyDescent="0.25"/>
    <row r="2521" s="3" customFormat="1" ht="15" x14ac:dyDescent="0.25"/>
    <row r="2522" s="3" customFormat="1" ht="15" x14ac:dyDescent="0.25"/>
    <row r="2523" s="3" customFormat="1" ht="15" x14ac:dyDescent="0.25"/>
    <row r="2524" s="3" customFormat="1" ht="15" x14ac:dyDescent="0.25"/>
    <row r="2525" s="3" customFormat="1" ht="15" x14ac:dyDescent="0.25"/>
    <row r="2526" s="3" customFormat="1" ht="15" x14ac:dyDescent="0.25"/>
    <row r="2527" s="3" customFormat="1" ht="15" x14ac:dyDescent="0.25"/>
    <row r="2528" s="3" customFormat="1" ht="15" x14ac:dyDescent="0.25"/>
    <row r="2529" s="3" customFormat="1" ht="15" x14ac:dyDescent="0.25"/>
    <row r="2530" s="3" customFormat="1" ht="15" x14ac:dyDescent="0.25"/>
    <row r="2531" s="3" customFormat="1" ht="15" x14ac:dyDescent="0.25"/>
    <row r="2532" s="3" customFormat="1" ht="15" x14ac:dyDescent="0.25"/>
    <row r="2533" s="3" customFormat="1" ht="15" x14ac:dyDescent="0.25"/>
    <row r="2534" s="3" customFormat="1" ht="15" x14ac:dyDescent="0.25"/>
    <row r="2535" s="3" customFormat="1" ht="15" x14ac:dyDescent="0.25"/>
    <row r="2536" s="3" customFormat="1" ht="15" x14ac:dyDescent="0.25"/>
    <row r="2537" s="3" customFormat="1" ht="15" x14ac:dyDescent="0.25"/>
    <row r="2538" s="3" customFormat="1" ht="15" x14ac:dyDescent="0.25"/>
    <row r="2539" s="3" customFormat="1" ht="15" x14ac:dyDescent="0.25"/>
    <row r="2540" s="3" customFormat="1" ht="15" x14ac:dyDescent="0.25"/>
    <row r="2541" s="3" customFormat="1" ht="15" x14ac:dyDescent="0.25"/>
    <row r="2542" s="3" customFormat="1" ht="15" x14ac:dyDescent="0.25"/>
    <row r="2543" s="3" customFormat="1" ht="15" x14ac:dyDescent="0.25"/>
    <row r="2544" s="3" customFormat="1" ht="15" x14ac:dyDescent="0.25"/>
    <row r="2545" s="3" customFormat="1" ht="15" x14ac:dyDescent="0.25"/>
    <row r="2546" s="3" customFormat="1" ht="15" x14ac:dyDescent="0.25"/>
    <row r="2547" s="3" customFormat="1" ht="15" x14ac:dyDescent="0.25"/>
    <row r="2548" s="3" customFormat="1" ht="15" x14ac:dyDescent="0.25"/>
    <row r="2549" s="3" customFormat="1" ht="15" x14ac:dyDescent="0.25"/>
    <row r="2550" s="3" customFormat="1" ht="15" x14ac:dyDescent="0.25"/>
    <row r="2551" s="3" customFormat="1" ht="15" x14ac:dyDescent="0.25"/>
    <row r="2552" s="3" customFormat="1" ht="15" x14ac:dyDescent="0.25"/>
    <row r="2553" s="3" customFormat="1" ht="15" x14ac:dyDescent="0.25"/>
    <row r="2554" s="3" customFormat="1" ht="15" x14ac:dyDescent="0.25"/>
    <row r="2555" s="3" customFormat="1" ht="15" x14ac:dyDescent="0.25"/>
    <row r="2556" s="3" customFormat="1" ht="15" x14ac:dyDescent="0.25"/>
    <row r="2557" s="3" customFormat="1" ht="15" x14ac:dyDescent="0.25"/>
    <row r="2558" s="3" customFormat="1" ht="15" x14ac:dyDescent="0.25"/>
    <row r="2559" s="3" customFormat="1" ht="15" x14ac:dyDescent="0.25"/>
    <row r="2560" s="3" customFormat="1" ht="15" x14ac:dyDescent="0.25"/>
    <row r="2561" s="3" customFormat="1" ht="15" x14ac:dyDescent="0.25"/>
    <row r="2562" s="3" customFormat="1" ht="15" x14ac:dyDescent="0.25"/>
    <row r="2563" s="3" customFormat="1" ht="15" x14ac:dyDescent="0.25"/>
    <row r="2564" s="3" customFormat="1" ht="15" x14ac:dyDescent="0.25"/>
    <row r="2565" s="3" customFormat="1" ht="15" x14ac:dyDescent="0.25"/>
    <row r="2566" s="3" customFormat="1" ht="15" x14ac:dyDescent="0.25"/>
    <row r="2567" s="3" customFormat="1" ht="15" x14ac:dyDescent="0.25"/>
    <row r="2568" s="3" customFormat="1" ht="15" x14ac:dyDescent="0.25"/>
    <row r="2569" s="3" customFormat="1" ht="15" x14ac:dyDescent="0.25"/>
    <row r="2570" s="3" customFormat="1" ht="15" x14ac:dyDescent="0.25"/>
    <row r="2571" s="3" customFormat="1" ht="15" x14ac:dyDescent="0.25"/>
    <row r="2572" s="3" customFormat="1" ht="15" x14ac:dyDescent="0.25"/>
    <row r="2573" s="3" customFormat="1" ht="15" x14ac:dyDescent="0.25"/>
    <row r="2574" s="3" customFormat="1" ht="15" x14ac:dyDescent="0.25"/>
    <row r="2575" s="3" customFormat="1" ht="15" x14ac:dyDescent="0.25"/>
    <row r="2576" s="3" customFormat="1" ht="15" x14ac:dyDescent="0.25"/>
    <row r="2577" s="3" customFormat="1" ht="15" x14ac:dyDescent="0.25"/>
    <row r="2578" s="3" customFormat="1" ht="15" x14ac:dyDescent="0.25"/>
    <row r="2579" s="3" customFormat="1" ht="15" x14ac:dyDescent="0.25"/>
    <row r="2580" s="3" customFormat="1" ht="15" x14ac:dyDescent="0.25"/>
    <row r="2581" s="3" customFormat="1" ht="15" x14ac:dyDescent="0.25"/>
    <row r="2582" s="3" customFormat="1" ht="15" x14ac:dyDescent="0.25"/>
    <row r="2583" s="3" customFormat="1" ht="15" x14ac:dyDescent="0.25"/>
    <row r="2584" s="3" customFormat="1" ht="15" x14ac:dyDescent="0.25"/>
    <row r="2585" s="3" customFormat="1" ht="15" x14ac:dyDescent="0.25"/>
    <row r="2586" s="3" customFormat="1" ht="15" x14ac:dyDescent="0.25"/>
    <row r="2587" s="3" customFormat="1" ht="15" x14ac:dyDescent="0.25"/>
    <row r="2588" s="3" customFormat="1" ht="15" x14ac:dyDescent="0.25"/>
    <row r="2589" s="3" customFormat="1" ht="15" x14ac:dyDescent="0.25"/>
    <row r="2590" s="3" customFormat="1" ht="15" x14ac:dyDescent="0.25"/>
    <row r="2591" s="3" customFormat="1" ht="15" x14ac:dyDescent="0.25"/>
    <row r="2592" s="3" customFormat="1" ht="15" x14ac:dyDescent="0.25"/>
    <row r="2593" s="3" customFormat="1" ht="15" x14ac:dyDescent="0.25"/>
    <row r="2594" s="3" customFormat="1" ht="15" x14ac:dyDescent="0.25"/>
    <row r="2595" s="3" customFormat="1" ht="15" x14ac:dyDescent="0.25"/>
    <row r="2596" s="3" customFormat="1" ht="15" x14ac:dyDescent="0.25"/>
    <row r="2597" s="3" customFormat="1" ht="15" x14ac:dyDescent="0.25"/>
    <row r="2598" s="3" customFormat="1" ht="15" x14ac:dyDescent="0.25"/>
    <row r="2599" s="3" customFormat="1" ht="15" x14ac:dyDescent="0.25"/>
    <row r="2600" s="3" customFormat="1" ht="15" x14ac:dyDescent="0.25"/>
    <row r="2601" s="3" customFormat="1" ht="15" x14ac:dyDescent="0.25"/>
    <row r="2602" s="3" customFormat="1" ht="15" x14ac:dyDescent="0.25"/>
    <row r="2603" s="3" customFormat="1" ht="15" x14ac:dyDescent="0.25"/>
    <row r="2604" s="3" customFormat="1" ht="15" x14ac:dyDescent="0.25"/>
    <row r="2605" s="3" customFormat="1" ht="15" x14ac:dyDescent="0.25"/>
    <row r="2606" s="3" customFormat="1" ht="15" x14ac:dyDescent="0.25"/>
    <row r="2607" s="3" customFormat="1" ht="15" x14ac:dyDescent="0.25"/>
    <row r="2608" s="3" customFormat="1" ht="15" x14ac:dyDescent="0.25"/>
    <row r="2609" s="3" customFormat="1" ht="15" x14ac:dyDescent="0.25"/>
    <row r="2610" s="3" customFormat="1" ht="15" x14ac:dyDescent="0.25"/>
    <row r="2611" s="3" customFormat="1" ht="15" x14ac:dyDescent="0.25"/>
    <row r="2612" s="3" customFormat="1" ht="15" x14ac:dyDescent="0.25"/>
    <row r="2613" s="3" customFormat="1" ht="15" x14ac:dyDescent="0.25"/>
    <row r="2614" s="3" customFormat="1" ht="15" x14ac:dyDescent="0.25"/>
    <row r="2615" s="3" customFormat="1" ht="15" x14ac:dyDescent="0.25"/>
    <row r="2616" s="3" customFormat="1" ht="15" x14ac:dyDescent="0.25"/>
    <row r="2617" s="3" customFormat="1" ht="15" x14ac:dyDescent="0.25"/>
    <row r="2618" s="3" customFormat="1" ht="15" x14ac:dyDescent="0.25"/>
    <row r="2619" s="3" customFormat="1" ht="15" x14ac:dyDescent="0.25"/>
    <row r="2620" s="3" customFormat="1" ht="15" x14ac:dyDescent="0.25"/>
    <row r="2621" s="3" customFormat="1" ht="15" x14ac:dyDescent="0.25"/>
    <row r="2622" s="3" customFormat="1" ht="15" x14ac:dyDescent="0.25"/>
    <row r="2623" s="3" customFormat="1" ht="15" x14ac:dyDescent="0.25"/>
    <row r="2624" s="3" customFormat="1" ht="15" x14ac:dyDescent="0.25"/>
    <row r="2625" s="3" customFormat="1" ht="15" x14ac:dyDescent="0.25"/>
    <row r="2626" s="3" customFormat="1" ht="15" x14ac:dyDescent="0.25"/>
    <row r="2627" s="3" customFormat="1" ht="15" x14ac:dyDescent="0.25"/>
    <row r="2628" s="3" customFormat="1" ht="15" x14ac:dyDescent="0.25"/>
    <row r="2629" s="3" customFormat="1" ht="15" x14ac:dyDescent="0.25"/>
    <row r="2630" s="3" customFormat="1" ht="15" x14ac:dyDescent="0.25"/>
    <row r="2631" s="3" customFormat="1" ht="15" x14ac:dyDescent="0.25"/>
    <row r="2632" s="3" customFormat="1" ht="15" x14ac:dyDescent="0.25"/>
    <row r="2633" s="3" customFormat="1" ht="15" x14ac:dyDescent="0.25"/>
    <row r="2634" s="3" customFormat="1" ht="15" x14ac:dyDescent="0.25"/>
    <row r="2635" s="3" customFormat="1" ht="15" x14ac:dyDescent="0.25"/>
    <row r="2636" s="3" customFormat="1" ht="15" x14ac:dyDescent="0.25"/>
    <row r="2637" s="3" customFormat="1" ht="15" x14ac:dyDescent="0.25"/>
    <row r="2638" s="3" customFormat="1" ht="15" x14ac:dyDescent="0.25"/>
    <row r="2639" s="3" customFormat="1" ht="15" x14ac:dyDescent="0.25"/>
    <row r="2640" s="3" customFormat="1" ht="15" x14ac:dyDescent="0.25"/>
    <row r="2641" s="3" customFormat="1" ht="15" x14ac:dyDescent="0.25"/>
    <row r="2642" s="3" customFormat="1" ht="15" x14ac:dyDescent="0.25"/>
    <row r="2643" s="3" customFormat="1" ht="15" x14ac:dyDescent="0.25"/>
    <row r="2644" s="3" customFormat="1" ht="15" x14ac:dyDescent="0.25"/>
    <row r="2645" s="3" customFormat="1" ht="15" x14ac:dyDescent="0.25"/>
    <row r="2646" s="3" customFormat="1" ht="15" x14ac:dyDescent="0.25"/>
    <row r="2647" s="3" customFormat="1" ht="15" x14ac:dyDescent="0.25"/>
    <row r="2648" s="3" customFormat="1" ht="15" x14ac:dyDescent="0.25"/>
    <row r="2649" s="3" customFormat="1" ht="15" x14ac:dyDescent="0.25"/>
    <row r="2650" s="3" customFormat="1" ht="15" x14ac:dyDescent="0.25"/>
    <row r="2651" s="3" customFormat="1" ht="15" x14ac:dyDescent="0.25"/>
    <row r="2652" s="3" customFormat="1" ht="15" x14ac:dyDescent="0.25"/>
    <row r="2653" s="3" customFormat="1" ht="15" x14ac:dyDescent="0.25"/>
    <row r="2654" s="3" customFormat="1" ht="15" x14ac:dyDescent="0.25"/>
    <row r="2655" s="3" customFormat="1" ht="15" x14ac:dyDescent="0.25"/>
    <row r="2656" s="3" customFormat="1" ht="15" x14ac:dyDescent="0.25"/>
    <row r="2657" s="3" customFormat="1" ht="15" x14ac:dyDescent="0.25"/>
    <row r="2658" s="3" customFormat="1" ht="15" x14ac:dyDescent="0.25"/>
    <row r="2659" s="3" customFormat="1" ht="15" x14ac:dyDescent="0.25"/>
    <row r="2660" s="3" customFormat="1" ht="15" x14ac:dyDescent="0.25"/>
    <row r="2661" s="3" customFormat="1" ht="15" x14ac:dyDescent="0.25"/>
    <row r="2662" s="3" customFormat="1" ht="15" x14ac:dyDescent="0.25"/>
    <row r="2663" s="3" customFormat="1" ht="15" x14ac:dyDescent="0.25"/>
    <row r="2664" s="3" customFormat="1" ht="15" x14ac:dyDescent="0.25"/>
    <row r="2665" s="3" customFormat="1" ht="15" x14ac:dyDescent="0.25"/>
    <row r="2666" s="3" customFormat="1" ht="15" x14ac:dyDescent="0.25"/>
    <row r="2667" s="3" customFormat="1" ht="15" x14ac:dyDescent="0.25"/>
    <row r="2668" s="3" customFormat="1" ht="15" x14ac:dyDescent="0.25"/>
    <row r="2669" s="3" customFormat="1" ht="15" x14ac:dyDescent="0.25"/>
    <row r="2670" s="3" customFormat="1" ht="15" x14ac:dyDescent="0.25"/>
    <row r="2671" s="3" customFormat="1" ht="15" x14ac:dyDescent="0.25"/>
    <row r="2672" s="3" customFormat="1" ht="15" x14ac:dyDescent="0.25"/>
    <row r="2673" s="3" customFormat="1" ht="15" x14ac:dyDescent="0.25"/>
    <row r="2674" s="3" customFormat="1" ht="15" x14ac:dyDescent="0.25"/>
    <row r="2675" s="3" customFormat="1" ht="15" x14ac:dyDescent="0.25"/>
    <row r="2676" s="3" customFormat="1" ht="15" x14ac:dyDescent="0.25"/>
    <row r="2677" s="3" customFormat="1" ht="15" x14ac:dyDescent="0.25"/>
    <row r="2678" s="3" customFormat="1" ht="15" x14ac:dyDescent="0.25"/>
    <row r="2679" s="3" customFormat="1" ht="15" x14ac:dyDescent="0.25"/>
    <row r="2680" s="3" customFormat="1" ht="15" x14ac:dyDescent="0.25"/>
    <row r="2681" s="3" customFormat="1" ht="15" x14ac:dyDescent="0.25"/>
    <row r="2682" s="3" customFormat="1" ht="15" x14ac:dyDescent="0.25"/>
    <row r="2683" s="3" customFormat="1" ht="15" x14ac:dyDescent="0.25"/>
    <row r="2684" s="3" customFormat="1" ht="15" x14ac:dyDescent="0.25"/>
    <row r="2685" s="3" customFormat="1" ht="15" x14ac:dyDescent="0.25"/>
    <row r="2686" s="3" customFormat="1" ht="15" x14ac:dyDescent="0.25"/>
    <row r="2687" s="3" customFormat="1" ht="15" x14ac:dyDescent="0.25"/>
    <row r="2688" s="3" customFormat="1" ht="15" x14ac:dyDescent="0.25"/>
    <row r="2689" s="3" customFormat="1" ht="15" x14ac:dyDescent="0.25"/>
    <row r="2690" s="3" customFormat="1" ht="15" x14ac:dyDescent="0.25"/>
    <row r="2691" s="3" customFormat="1" ht="15" x14ac:dyDescent="0.25"/>
    <row r="2692" s="3" customFormat="1" ht="15" x14ac:dyDescent="0.25"/>
    <row r="2693" s="3" customFormat="1" ht="15" x14ac:dyDescent="0.25"/>
    <row r="2694" s="3" customFormat="1" ht="15" x14ac:dyDescent="0.25"/>
    <row r="2695" s="3" customFormat="1" ht="15" x14ac:dyDescent="0.25"/>
    <row r="2696" s="3" customFormat="1" ht="15" x14ac:dyDescent="0.25"/>
    <row r="2697" s="3" customFormat="1" ht="15" x14ac:dyDescent="0.25"/>
    <row r="2698" s="3" customFormat="1" ht="15" x14ac:dyDescent="0.25"/>
    <row r="2699" s="3" customFormat="1" ht="15" x14ac:dyDescent="0.25"/>
    <row r="2700" s="3" customFormat="1" ht="15" x14ac:dyDescent="0.25"/>
    <row r="2701" s="3" customFormat="1" ht="15" x14ac:dyDescent="0.25"/>
    <row r="2702" s="3" customFormat="1" ht="15" x14ac:dyDescent="0.25"/>
    <row r="2703" s="3" customFormat="1" ht="15" x14ac:dyDescent="0.25"/>
    <row r="2704" s="3" customFormat="1" ht="15" x14ac:dyDescent="0.25"/>
    <row r="2705" s="3" customFormat="1" ht="15" x14ac:dyDescent="0.25"/>
    <row r="2706" s="3" customFormat="1" ht="15" x14ac:dyDescent="0.25"/>
    <row r="2707" s="3" customFormat="1" ht="15" x14ac:dyDescent="0.25"/>
    <row r="2708" s="3" customFormat="1" ht="15" x14ac:dyDescent="0.25"/>
    <row r="2709" s="3" customFormat="1" ht="15" x14ac:dyDescent="0.25"/>
    <row r="2710" s="3" customFormat="1" ht="15" x14ac:dyDescent="0.25"/>
    <row r="2711" s="3" customFormat="1" ht="15" x14ac:dyDescent="0.25"/>
    <row r="2712" s="3" customFormat="1" ht="15" x14ac:dyDescent="0.25"/>
    <row r="2713" s="3" customFormat="1" ht="15" x14ac:dyDescent="0.25"/>
    <row r="2714" s="3" customFormat="1" ht="15" x14ac:dyDescent="0.25"/>
    <row r="2715" s="3" customFormat="1" ht="15" x14ac:dyDescent="0.25"/>
    <row r="2716" s="3" customFormat="1" ht="15" x14ac:dyDescent="0.25"/>
    <row r="2717" s="3" customFormat="1" ht="15" x14ac:dyDescent="0.25"/>
    <row r="2718" s="3" customFormat="1" ht="15" x14ac:dyDescent="0.25"/>
    <row r="2719" s="3" customFormat="1" ht="15" x14ac:dyDescent="0.25"/>
    <row r="2720" s="3" customFormat="1" ht="15" x14ac:dyDescent="0.25"/>
    <row r="2721" s="3" customFormat="1" ht="15" x14ac:dyDescent="0.25"/>
    <row r="2722" s="3" customFormat="1" ht="15" x14ac:dyDescent="0.25"/>
    <row r="2723" s="3" customFormat="1" ht="15" x14ac:dyDescent="0.25"/>
    <row r="2724" s="3" customFormat="1" ht="15" x14ac:dyDescent="0.25"/>
    <row r="2725" s="3" customFormat="1" ht="15" x14ac:dyDescent="0.25"/>
    <row r="2726" s="3" customFormat="1" ht="15" x14ac:dyDescent="0.25"/>
    <row r="2727" s="3" customFormat="1" ht="15" x14ac:dyDescent="0.25"/>
    <row r="2728" s="3" customFormat="1" ht="15" x14ac:dyDescent="0.25"/>
    <row r="2729" s="3" customFormat="1" ht="15" x14ac:dyDescent="0.25"/>
    <row r="2730" s="3" customFormat="1" ht="15" x14ac:dyDescent="0.25"/>
    <row r="2731" s="3" customFormat="1" ht="15" x14ac:dyDescent="0.25"/>
    <row r="2732" s="3" customFormat="1" ht="15" x14ac:dyDescent="0.25"/>
    <row r="2733" s="3" customFormat="1" ht="15" x14ac:dyDescent="0.25"/>
    <row r="2734" s="3" customFormat="1" ht="15" x14ac:dyDescent="0.25"/>
    <row r="2735" s="3" customFormat="1" ht="15" x14ac:dyDescent="0.25"/>
    <row r="2736" s="3" customFormat="1" ht="15" x14ac:dyDescent="0.25"/>
    <row r="2737" s="3" customFormat="1" ht="15" x14ac:dyDescent="0.25"/>
    <row r="2738" s="3" customFormat="1" ht="15" x14ac:dyDescent="0.25"/>
    <row r="2739" s="3" customFormat="1" ht="15" x14ac:dyDescent="0.25"/>
    <row r="2740" s="3" customFormat="1" ht="15" x14ac:dyDescent="0.25"/>
    <row r="2741" s="3" customFormat="1" ht="15" x14ac:dyDescent="0.25"/>
    <row r="2742" s="3" customFormat="1" ht="15" x14ac:dyDescent="0.25"/>
    <row r="2743" s="3" customFormat="1" ht="15" x14ac:dyDescent="0.25"/>
    <row r="2744" s="3" customFormat="1" ht="15" x14ac:dyDescent="0.25"/>
    <row r="2745" s="3" customFormat="1" ht="15" x14ac:dyDescent="0.25"/>
    <row r="2746" s="3" customFormat="1" ht="15" x14ac:dyDescent="0.25"/>
    <row r="2747" s="3" customFormat="1" ht="15" x14ac:dyDescent="0.25"/>
    <row r="2748" s="3" customFormat="1" ht="15" x14ac:dyDescent="0.25"/>
    <row r="2749" s="3" customFormat="1" ht="15" x14ac:dyDescent="0.25"/>
    <row r="2750" s="3" customFormat="1" ht="15" x14ac:dyDescent="0.25"/>
    <row r="2751" s="3" customFormat="1" ht="15" x14ac:dyDescent="0.25"/>
    <row r="2752" s="3" customFormat="1" ht="15" x14ac:dyDescent="0.25"/>
    <row r="2753" s="3" customFormat="1" ht="15" x14ac:dyDescent="0.25"/>
    <row r="2754" s="3" customFormat="1" ht="15" x14ac:dyDescent="0.25"/>
    <row r="2755" s="3" customFormat="1" ht="15" x14ac:dyDescent="0.25"/>
    <row r="2756" s="3" customFormat="1" ht="15" x14ac:dyDescent="0.25"/>
    <row r="2757" s="3" customFormat="1" ht="15" x14ac:dyDescent="0.25"/>
    <row r="2758" s="3" customFormat="1" ht="15" x14ac:dyDescent="0.25"/>
    <row r="2759" s="3" customFormat="1" ht="15" x14ac:dyDescent="0.25"/>
    <row r="2760" s="3" customFormat="1" ht="15" x14ac:dyDescent="0.25"/>
    <row r="2761" s="3" customFormat="1" ht="15" x14ac:dyDescent="0.25"/>
    <row r="2762" s="3" customFormat="1" ht="15" x14ac:dyDescent="0.25"/>
    <row r="2763" s="3" customFormat="1" ht="15" x14ac:dyDescent="0.25"/>
    <row r="2764" s="3" customFormat="1" ht="15" x14ac:dyDescent="0.25"/>
    <row r="2765" s="3" customFormat="1" ht="15" x14ac:dyDescent="0.25"/>
    <row r="2766" s="3" customFormat="1" ht="15" x14ac:dyDescent="0.25"/>
    <row r="2767" s="3" customFormat="1" ht="15" x14ac:dyDescent="0.25"/>
    <row r="2768" s="3" customFormat="1" ht="15" x14ac:dyDescent="0.25"/>
    <row r="2769" s="3" customFormat="1" ht="15" x14ac:dyDescent="0.25"/>
    <row r="2770" s="3" customFormat="1" ht="15" x14ac:dyDescent="0.25"/>
    <row r="2771" s="3" customFormat="1" ht="15" x14ac:dyDescent="0.25"/>
    <row r="2772" s="3" customFormat="1" ht="15" x14ac:dyDescent="0.25"/>
    <row r="2773" s="3" customFormat="1" ht="15" x14ac:dyDescent="0.25"/>
    <row r="2774" s="3" customFormat="1" ht="15" x14ac:dyDescent="0.25"/>
    <row r="2775" s="3" customFormat="1" ht="15" x14ac:dyDescent="0.25"/>
    <row r="2776" s="3" customFormat="1" ht="15" x14ac:dyDescent="0.25"/>
    <row r="2777" s="3" customFormat="1" ht="15" x14ac:dyDescent="0.25"/>
    <row r="2778" s="3" customFormat="1" ht="15" x14ac:dyDescent="0.25"/>
    <row r="2779" s="3" customFormat="1" ht="15" x14ac:dyDescent="0.25"/>
    <row r="2780" s="3" customFormat="1" ht="15" x14ac:dyDescent="0.25"/>
    <row r="2781" s="3" customFormat="1" ht="15" x14ac:dyDescent="0.25"/>
    <row r="2782" s="3" customFormat="1" ht="15" x14ac:dyDescent="0.25"/>
    <row r="2783" s="3" customFormat="1" ht="15" x14ac:dyDescent="0.25"/>
    <row r="2784" s="3" customFormat="1" ht="15" x14ac:dyDescent="0.25"/>
    <row r="2785" s="3" customFormat="1" ht="15" x14ac:dyDescent="0.25"/>
    <row r="2786" s="3" customFormat="1" ht="15" x14ac:dyDescent="0.25"/>
    <row r="2787" s="3" customFormat="1" ht="15" x14ac:dyDescent="0.25"/>
    <row r="2788" s="3" customFormat="1" ht="15" x14ac:dyDescent="0.25"/>
    <row r="2789" s="3" customFormat="1" ht="15" x14ac:dyDescent="0.25"/>
    <row r="2790" s="3" customFormat="1" ht="15" x14ac:dyDescent="0.25"/>
    <row r="2791" s="3" customFormat="1" ht="15" x14ac:dyDescent="0.25"/>
    <row r="2792" s="3" customFormat="1" ht="15" x14ac:dyDescent="0.25"/>
    <row r="2793" s="3" customFormat="1" ht="15" x14ac:dyDescent="0.25"/>
    <row r="2794" s="3" customFormat="1" ht="15" x14ac:dyDescent="0.25"/>
    <row r="2795" s="3" customFormat="1" ht="15" x14ac:dyDescent="0.25"/>
    <row r="2796" s="3" customFormat="1" ht="15" x14ac:dyDescent="0.25"/>
    <row r="2797" s="3" customFormat="1" ht="15" x14ac:dyDescent="0.25"/>
    <row r="2798" s="3" customFormat="1" ht="15" x14ac:dyDescent="0.25"/>
    <row r="2799" s="3" customFormat="1" ht="15" x14ac:dyDescent="0.25"/>
    <row r="2800" s="3" customFormat="1" ht="15" x14ac:dyDescent="0.25"/>
    <row r="2801" s="3" customFormat="1" ht="15" x14ac:dyDescent="0.25"/>
    <row r="2802" s="3" customFormat="1" ht="15" x14ac:dyDescent="0.25"/>
    <row r="2803" s="3" customFormat="1" ht="15" x14ac:dyDescent="0.25"/>
    <row r="2804" s="3" customFormat="1" ht="15" x14ac:dyDescent="0.25"/>
    <row r="2805" s="3" customFormat="1" ht="15" x14ac:dyDescent="0.25"/>
    <row r="2806" s="3" customFormat="1" ht="15" x14ac:dyDescent="0.25"/>
    <row r="2807" s="3" customFormat="1" ht="15" x14ac:dyDescent="0.25"/>
    <row r="2808" s="3" customFormat="1" ht="15" x14ac:dyDescent="0.25"/>
    <row r="2809" s="3" customFormat="1" ht="15" x14ac:dyDescent="0.25"/>
    <row r="2810" s="3" customFormat="1" ht="15" x14ac:dyDescent="0.25"/>
    <row r="2811" s="3" customFormat="1" ht="15" x14ac:dyDescent="0.25"/>
    <row r="2812" s="3" customFormat="1" ht="15" x14ac:dyDescent="0.25"/>
    <row r="2813" s="3" customFormat="1" ht="15" x14ac:dyDescent="0.25"/>
    <row r="2814" s="3" customFormat="1" ht="15" x14ac:dyDescent="0.25"/>
    <row r="2815" s="3" customFormat="1" ht="15" x14ac:dyDescent="0.25"/>
    <row r="2816" s="3" customFormat="1" ht="15" x14ac:dyDescent="0.25"/>
    <row r="2817" s="3" customFormat="1" ht="15" x14ac:dyDescent="0.25"/>
    <row r="2818" s="3" customFormat="1" ht="15" x14ac:dyDescent="0.25"/>
    <row r="2819" s="3" customFormat="1" ht="15" x14ac:dyDescent="0.25"/>
    <row r="2820" s="3" customFormat="1" ht="15" x14ac:dyDescent="0.25"/>
    <row r="2821" s="3" customFormat="1" ht="15" x14ac:dyDescent="0.25"/>
    <row r="2822" s="3" customFormat="1" ht="15" x14ac:dyDescent="0.25"/>
    <row r="2823" s="3" customFormat="1" ht="15" x14ac:dyDescent="0.25"/>
    <row r="2824" s="3" customFormat="1" ht="15" x14ac:dyDescent="0.25"/>
    <row r="2825" s="3" customFormat="1" ht="15" x14ac:dyDescent="0.25"/>
    <row r="2826" s="3" customFormat="1" ht="15" x14ac:dyDescent="0.25"/>
    <row r="2827" s="3" customFormat="1" ht="15" x14ac:dyDescent="0.25"/>
    <row r="2828" s="3" customFormat="1" ht="15" x14ac:dyDescent="0.25"/>
    <row r="2829" s="3" customFormat="1" ht="15" x14ac:dyDescent="0.25"/>
    <row r="2830" s="3" customFormat="1" ht="15" x14ac:dyDescent="0.25"/>
    <row r="2831" s="3" customFormat="1" ht="15" x14ac:dyDescent="0.25"/>
    <row r="2832" s="3" customFormat="1" ht="15" x14ac:dyDescent="0.25"/>
    <row r="2833" s="3" customFormat="1" ht="15" x14ac:dyDescent="0.25"/>
    <row r="2834" s="3" customFormat="1" ht="15" x14ac:dyDescent="0.25"/>
    <row r="2835" s="3" customFormat="1" ht="15" x14ac:dyDescent="0.25"/>
    <row r="2836" s="3" customFormat="1" ht="15" x14ac:dyDescent="0.25"/>
    <row r="2837" s="3" customFormat="1" ht="15" x14ac:dyDescent="0.25"/>
    <row r="2838" s="3" customFormat="1" ht="15" x14ac:dyDescent="0.25"/>
    <row r="2839" s="3" customFormat="1" ht="15" x14ac:dyDescent="0.25"/>
    <row r="2840" s="3" customFormat="1" ht="15" x14ac:dyDescent="0.25"/>
    <row r="2841" s="3" customFormat="1" ht="15" x14ac:dyDescent="0.25"/>
    <row r="2842" s="3" customFormat="1" ht="15" x14ac:dyDescent="0.25"/>
    <row r="2843" s="3" customFormat="1" ht="15" x14ac:dyDescent="0.25"/>
    <row r="2844" s="3" customFormat="1" ht="15" x14ac:dyDescent="0.25"/>
    <row r="2845" s="3" customFormat="1" ht="15" x14ac:dyDescent="0.25"/>
    <row r="2846" s="3" customFormat="1" ht="15" x14ac:dyDescent="0.25"/>
    <row r="2847" s="3" customFormat="1" ht="15" x14ac:dyDescent="0.25"/>
    <row r="2848" s="3" customFormat="1" ht="15" x14ac:dyDescent="0.25"/>
    <row r="2849" s="3" customFormat="1" ht="15" x14ac:dyDescent="0.25"/>
    <row r="2850" s="3" customFormat="1" ht="15" x14ac:dyDescent="0.25"/>
    <row r="2851" s="3" customFormat="1" ht="15" x14ac:dyDescent="0.25"/>
    <row r="2852" s="3" customFormat="1" ht="15" x14ac:dyDescent="0.25"/>
    <row r="2853" s="3" customFormat="1" ht="15" x14ac:dyDescent="0.25"/>
    <row r="2854" s="3" customFormat="1" ht="15" x14ac:dyDescent="0.25"/>
    <row r="2855" s="3" customFormat="1" ht="15" x14ac:dyDescent="0.25"/>
    <row r="2856" s="3" customFormat="1" ht="15" x14ac:dyDescent="0.25"/>
    <row r="2857" s="3" customFormat="1" ht="15" x14ac:dyDescent="0.25"/>
    <row r="2858" s="3" customFormat="1" ht="15" x14ac:dyDescent="0.25"/>
    <row r="2859" s="3" customFormat="1" ht="15" x14ac:dyDescent="0.25"/>
    <row r="2860" s="3" customFormat="1" ht="15" x14ac:dyDescent="0.25"/>
    <row r="2861" s="3" customFormat="1" ht="15" x14ac:dyDescent="0.25"/>
    <row r="2862" s="3" customFormat="1" ht="15" x14ac:dyDescent="0.25"/>
    <row r="2863" s="3" customFormat="1" ht="15" x14ac:dyDescent="0.25"/>
    <row r="2864" s="3" customFormat="1" ht="15" x14ac:dyDescent="0.25"/>
    <row r="2865" s="3" customFormat="1" ht="15" x14ac:dyDescent="0.25"/>
    <row r="2866" s="3" customFormat="1" ht="15" x14ac:dyDescent="0.25"/>
    <row r="2867" s="3" customFormat="1" ht="15" x14ac:dyDescent="0.25"/>
    <row r="2868" s="3" customFormat="1" ht="15" x14ac:dyDescent="0.25"/>
    <row r="2869" s="3" customFormat="1" ht="15" x14ac:dyDescent="0.25"/>
    <row r="2870" s="3" customFormat="1" ht="15" x14ac:dyDescent="0.25"/>
    <row r="2871" s="3" customFormat="1" ht="15" x14ac:dyDescent="0.25"/>
    <row r="2872" s="3" customFormat="1" ht="15" x14ac:dyDescent="0.25"/>
    <row r="2873" s="3" customFormat="1" ht="15" x14ac:dyDescent="0.25"/>
    <row r="2874" s="3" customFormat="1" ht="15" x14ac:dyDescent="0.25"/>
    <row r="2875" s="3" customFormat="1" ht="15" x14ac:dyDescent="0.25"/>
    <row r="2876" s="3" customFormat="1" ht="15" x14ac:dyDescent="0.25"/>
    <row r="2877" s="3" customFormat="1" ht="15" x14ac:dyDescent="0.25"/>
    <row r="2878" s="3" customFormat="1" ht="15" x14ac:dyDescent="0.25"/>
    <row r="2879" s="3" customFormat="1" ht="15" x14ac:dyDescent="0.25"/>
    <row r="2880" s="3" customFormat="1" ht="15" x14ac:dyDescent="0.25"/>
    <row r="2881" s="3" customFormat="1" ht="15" x14ac:dyDescent="0.25"/>
    <row r="2882" s="3" customFormat="1" ht="15" x14ac:dyDescent="0.25"/>
    <row r="2883" s="3" customFormat="1" ht="15" x14ac:dyDescent="0.25"/>
    <row r="2884" s="3" customFormat="1" ht="15" x14ac:dyDescent="0.25"/>
    <row r="2885" s="3" customFormat="1" ht="15" x14ac:dyDescent="0.25"/>
    <row r="2886" s="3" customFormat="1" ht="15" x14ac:dyDescent="0.25"/>
    <row r="2887" s="3" customFormat="1" ht="15" x14ac:dyDescent="0.25"/>
    <row r="2888" s="3" customFormat="1" ht="15" x14ac:dyDescent="0.25"/>
    <row r="2889" s="3" customFormat="1" ht="15" x14ac:dyDescent="0.25"/>
    <row r="2890" s="3" customFormat="1" ht="15" x14ac:dyDescent="0.25"/>
    <row r="2891" s="3" customFormat="1" ht="15" x14ac:dyDescent="0.25"/>
    <row r="2892" s="3" customFormat="1" ht="15" x14ac:dyDescent="0.25"/>
    <row r="2893" s="3" customFormat="1" ht="15" x14ac:dyDescent="0.25"/>
    <row r="2894" s="3" customFormat="1" ht="15" x14ac:dyDescent="0.25"/>
    <row r="2895" s="3" customFormat="1" ht="15" x14ac:dyDescent="0.25"/>
    <row r="2896" s="3" customFormat="1" ht="15" x14ac:dyDescent="0.25"/>
    <row r="2897" s="3" customFormat="1" ht="15" x14ac:dyDescent="0.25"/>
    <row r="2898" s="3" customFormat="1" ht="15" x14ac:dyDescent="0.25"/>
    <row r="2899" s="3" customFormat="1" ht="15" x14ac:dyDescent="0.25"/>
    <row r="2900" s="3" customFormat="1" ht="15" x14ac:dyDescent="0.25"/>
    <row r="2901" s="3" customFormat="1" ht="15" x14ac:dyDescent="0.25"/>
    <row r="2902" s="3" customFormat="1" ht="15" x14ac:dyDescent="0.25"/>
    <row r="2903" s="3" customFormat="1" ht="15" x14ac:dyDescent="0.25"/>
    <row r="2904" s="3" customFormat="1" ht="15" x14ac:dyDescent="0.25"/>
    <row r="2905" s="3" customFormat="1" ht="15" x14ac:dyDescent="0.25"/>
    <row r="2906" s="3" customFormat="1" ht="15" x14ac:dyDescent="0.25"/>
    <row r="2907" s="3" customFormat="1" ht="15" x14ac:dyDescent="0.25"/>
    <row r="2908" s="3" customFormat="1" ht="15" x14ac:dyDescent="0.25"/>
    <row r="2909" s="3" customFormat="1" ht="15" x14ac:dyDescent="0.25"/>
    <row r="2910" s="3" customFormat="1" ht="15" x14ac:dyDescent="0.25"/>
    <row r="2911" s="3" customFormat="1" ht="15" x14ac:dyDescent="0.25"/>
    <row r="2912" s="3" customFormat="1" ht="15" x14ac:dyDescent="0.25"/>
    <row r="2913" s="3" customFormat="1" ht="15" x14ac:dyDescent="0.25"/>
    <row r="2914" s="3" customFormat="1" ht="15" x14ac:dyDescent="0.25"/>
    <row r="2915" s="3" customFormat="1" ht="15" x14ac:dyDescent="0.25"/>
    <row r="2916" s="3" customFormat="1" ht="15" x14ac:dyDescent="0.25"/>
    <row r="2917" s="3" customFormat="1" ht="15" x14ac:dyDescent="0.25"/>
    <row r="2918" s="3" customFormat="1" ht="15" x14ac:dyDescent="0.25"/>
    <row r="2919" s="3" customFormat="1" ht="15" x14ac:dyDescent="0.25"/>
    <row r="2920" s="3" customFormat="1" ht="15" x14ac:dyDescent="0.25"/>
    <row r="2921" s="3" customFormat="1" ht="15" x14ac:dyDescent="0.25"/>
    <row r="2922" s="3" customFormat="1" ht="15" x14ac:dyDescent="0.25"/>
    <row r="2923" s="3" customFormat="1" ht="15" x14ac:dyDescent="0.25"/>
    <row r="2924" s="3" customFormat="1" ht="15" x14ac:dyDescent="0.25"/>
    <row r="2925" s="3" customFormat="1" ht="15" x14ac:dyDescent="0.25"/>
    <row r="2926" s="3" customFormat="1" ht="15" x14ac:dyDescent="0.25"/>
    <row r="2927" s="3" customFormat="1" ht="15" x14ac:dyDescent="0.25"/>
    <row r="2928" s="3" customFormat="1" ht="15" x14ac:dyDescent="0.25"/>
    <row r="2929" s="3" customFormat="1" ht="15" x14ac:dyDescent="0.25"/>
    <row r="2930" s="3" customFormat="1" ht="15" x14ac:dyDescent="0.25"/>
    <row r="2931" s="3" customFormat="1" ht="15" x14ac:dyDescent="0.25"/>
    <row r="2932" s="3" customFormat="1" ht="15" x14ac:dyDescent="0.25"/>
    <row r="2933" s="3" customFormat="1" ht="15" x14ac:dyDescent="0.25"/>
    <row r="2934" s="3" customFormat="1" ht="15" x14ac:dyDescent="0.25"/>
    <row r="2935" s="3" customFormat="1" ht="15" x14ac:dyDescent="0.25"/>
    <row r="2936" s="3" customFormat="1" ht="15" x14ac:dyDescent="0.25"/>
    <row r="2937" s="3" customFormat="1" ht="15" x14ac:dyDescent="0.25"/>
    <row r="2938" s="3" customFormat="1" ht="15" x14ac:dyDescent="0.25"/>
    <row r="2939" s="3" customFormat="1" ht="15" x14ac:dyDescent="0.25"/>
    <row r="2940" s="3" customFormat="1" ht="15" x14ac:dyDescent="0.25"/>
    <row r="2941" s="3" customFormat="1" ht="15" x14ac:dyDescent="0.25"/>
    <row r="2942" s="3" customFormat="1" ht="15" x14ac:dyDescent="0.25"/>
    <row r="2943" s="3" customFormat="1" ht="15" x14ac:dyDescent="0.25"/>
    <row r="2944" s="3" customFormat="1" ht="15" x14ac:dyDescent="0.25"/>
    <row r="2945" s="3" customFormat="1" ht="15" x14ac:dyDescent="0.25"/>
    <row r="2946" s="3" customFormat="1" ht="15" x14ac:dyDescent="0.25"/>
    <row r="2947" s="3" customFormat="1" ht="15" x14ac:dyDescent="0.25"/>
    <row r="2948" s="3" customFormat="1" ht="15" x14ac:dyDescent="0.25"/>
    <row r="2949" s="3" customFormat="1" ht="15" x14ac:dyDescent="0.25"/>
    <row r="2950" s="3" customFormat="1" ht="15" x14ac:dyDescent="0.25"/>
    <row r="2951" s="3" customFormat="1" ht="15" x14ac:dyDescent="0.25"/>
    <row r="2952" s="3" customFormat="1" ht="15" x14ac:dyDescent="0.25"/>
    <row r="2953" s="3" customFormat="1" ht="15" x14ac:dyDescent="0.25"/>
    <row r="2954" s="3" customFormat="1" ht="15" x14ac:dyDescent="0.25"/>
    <row r="2955" s="3" customFormat="1" ht="15" x14ac:dyDescent="0.25"/>
    <row r="2956" s="3" customFormat="1" ht="15" x14ac:dyDescent="0.25"/>
    <row r="2957" s="3" customFormat="1" ht="15" x14ac:dyDescent="0.25"/>
    <row r="2958" s="3" customFormat="1" ht="15" x14ac:dyDescent="0.25"/>
    <row r="2959" s="3" customFormat="1" ht="15" x14ac:dyDescent="0.25"/>
    <row r="2960" s="3" customFormat="1" ht="15" x14ac:dyDescent="0.25"/>
    <row r="2961" s="3" customFormat="1" ht="15" x14ac:dyDescent="0.25"/>
    <row r="2962" s="3" customFormat="1" ht="15" x14ac:dyDescent="0.25"/>
    <row r="2963" s="3" customFormat="1" ht="15" x14ac:dyDescent="0.25"/>
    <row r="2964" s="3" customFormat="1" ht="15" x14ac:dyDescent="0.25"/>
    <row r="2965" s="3" customFormat="1" ht="15" x14ac:dyDescent="0.25"/>
    <row r="2966" s="3" customFormat="1" ht="15" x14ac:dyDescent="0.25"/>
    <row r="2967" s="3" customFormat="1" ht="15" x14ac:dyDescent="0.25"/>
    <row r="2968" s="3" customFormat="1" ht="15" x14ac:dyDescent="0.25"/>
    <row r="2969" s="3" customFormat="1" ht="15" x14ac:dyDescent="0.25"/>
    <row r="2970" s="3" customFormat="1" ht="15" x14ac:dyDescent="0.25"/>
    <row r="2971" s="3" customFormat="1" ht="15" x14ac:dyDescent="0.25"/>
    <row r="2972" s="3" customFormat="1" ht="15" x14ac:dyDescent="0.25"/>
    <row r="2973" s="3" customFormat="1" ht="15" x14ac:dyDescent="0.25"/>
    <row r="2974" s="3" customFormat="1" ht="15" x14ac:dyDescent="0.25"/>
    <row r="2975" s="3" customFormat="1" ht="15" x14ac:dyDescent="0.25"/>
    <row r="2976" s="3" customFormat="1" ht="15" x14ac:dyDescent="0.25"/>
    <row r="2977" s="3" customFormat="1" ht="15" x14ac:dyDescent="0.25"/>
    <row r="2978" s="3" customFormat="1" ht="15" x14ac:dyDescent="0.25"/>
    <row r="2979" s="3" customFormat="1" ht="15" x14ac:dyDescent="0.25"/>
    <row r="2980" s="3" customFormat="1" ht="15" x14ac:dyDescent="0.25"/>
    <row r="2981" s="3" customFormat="1" ht="15" x14ac:dyDescent="0.25"/>
    <row r="2982" s="3" customFormat="1" ht="15" x14ac:dyDescent="0.25"/>
    <row r="2983" s="3" customFormat="1" ht="15" x14ac:dyDescent="0.25"/>
    <row r="2984" s="3" customFormat="1" ht="15" x14ac:dyDescent="0.25"/>
    <row r="2985" s="3" customFormat="1" ht="15" x14ac:dyDescent="0.25"/>
    <row r="2986" s="3" customFormat="1" ht="15" x14ac:dyDescent="0.25"/>
    <row r="2987" s="3" customFormat="1" ht="15" x14ac:dyDescent="0.25"/>
    <row r="2988" s="3" customFormat="1" ht="15" x14ac:dyDescent="0.25"/>
    <row r="2989" s="3" customFormat="1" ht="15" x14ac:dyDescent="0.25"/>
    <row r="2990" s="3" customFormat="1" ht="15" x14ac:dyDescent="0.25"/>
    <row r="2991" s="3" customFormat="1" ht="15" x14ac:dyDescent="0.25"/>
    <row r="2992" s="3" customFormat="1" ht="15" x14ac:dyDescent="0.25"/>
    <row r="2993" s="3" customFormat="1" ht="15" x14ac:dyDescent="0.25"/>
    <row r="2994" s="3" customFormat="1" ht="15" x14ac:dyDescent="0.25"/>
    <row r="2995" s="3" customFormat="1" ht="15" x14ac:dyDescent="0.25"/>
    <row r="2996" s="3" customFormat="1" ht="15" x14ac:dyDescent="0.25"/>
    <row r="2997" s="3" customFormat="1" ht="15" x14ac:dyDescent="0.25"/>
    <row r="2998" s="3" customFormat="1" ht="15" x14ac:dyDescent="0.25"/>
    <row r="2999" s="3" customFormat="1" ht="15" x14ac:dyDescent="0.25"/>
    <row r="3000" s="3" customFormat="1" ht="15" x14ac:dyDescent="0.25"/>
    <row r="3001" s="3" customFormat="1" ht="15" x14ac:dyDescent="0.25"/>
    <row r="3002" s="3" customFormat="1" ht="15" x14ac:dyDescent="0.25"/>
    <row r="3003" s="3" customFormat="1" ht="15" x14ac:dyDescent="0.25"/>
    <row r="3004" s="3" customFormat="1" ht="15" x14ac:dyDescent="0.25"/>
    <row r="3005" s="3" customFormat="1" ht="15" x14ac:dyDescent="0.25"/>
    <row r="3006" s="3" customFormat="1" ht="15" x14ac:dyDescent="0.25"/>
    <row r="3007" s="3" customFormat="1" ht="15" x14ac:dyDescent="0.25"/>
    <row r="3008" s="3" customFormat="1" ht="15" x14ac:dyDescent="0.25"/>
    <row r="3009" s="3" customFormat="1" ht="15" x14ac:dyDescent="0.25"/>
    <row r="3010" s="3" customFormat="1" ht="15" x14ac:dyDescent="0.25"/>
    <row r="3011" s="3" customFormat="1" ht="15" x14ac:dyDescent="0.25"/>
    <row r="3012" s="3" customFormat="1" ht="15" x14ac:dyDescent="0.25"/>
    <row r="3013" s="3" customFormat="1" ht="15" x14ac:dyDescent="0.25"/>
    <row r="3014" s="3" customFormat="1" ht="15" x14ac:dyDescent="0.25"/>
    <row r="3015" s="3" customFormat="1" ht="15" x14ac:dyDescent="0.25"/>
    <row r="3016" s="3" customFormat="1" ht="15" x14ac:dyDescent="0.25"/>
    <row r="3017" s="3" customFormat="1" ht="15" x14ac:dyDescent="0.25"/>
    <row r="3018" s="3" customFormat="1" ht="15" x14ac:dyDescent="0.25"/>
    <row r="3019" s="3" customFormat="1" ht="15" x14ac:dyDescent="0.25"/>
    <row r="3020" s="3" customFormat="1" ht="15" x14ac:dyDescent="0.25"/>
    <row r="3021" s="3" customFormat="1" ht="15" x14ac:dyDescent="0.25"/>
    <row r="3022" s="3" customFormat="1" ht="15" x14ac:dyDescent="0.25"/>
    <row r="3023" s="3" customFormat="1" ht="15" x14ac:dyDescent="0.25"/>
    <row r="3024" s="3" customFormat="1" ht="15" x14ac:dyDescent="0.25"/>
    <row r="3025" s="3" customFormat="1" ht="15" x14ac:dyDescent="0.25"/>
    <row r="3026" s="3" customFormat="1" ht="15" x14ac:dyDescent="0.25"/>
    <row r="3027" s="3" customFormat="1" ht="15" x14ac:dyDescent="0.25"/>
    <row r="3028" s="3" customFormat="1" ht="15" x14ac:dyDescent="0.25"/>
    <row r="3029" s="3" customFormat="1" ht="15" x14ac:dyDescent="0.25"/>
    <row r="3030" s="3" customFormat="1" ht="15" x14ac:dyDescent="0.25"/>
    <row r="3031" s="3" customFormat="1" ht="15" x14ac:dyDescent="0.25"/>
    <row r="3032" s="3" customFormat="1" ht="15" x14ac:dyDescent="0.25"/>
    <row r="3033" s="3" customFormat="1" ht="15" x14ac:dyDescent="0.25"/>
    <row r="3034" s="3" customFormat="1" ht="15" x14ac:dyDescent="0.25"/>
    <row r="3035" s="3" customFormat="1" ht="15" x14ac:dyDescent="0.25"/>
    <row r="3036" s="3" customFormat="1" ht="15" x14ac:dyDescent="0.25"/>
    <row r="3037" s="3" customFormat="1" ht="15" x14ac:dyDescent="0.25"/>
    <row r="3038" s="3" customFormat="1" ht="15" x14ac:dyDescent="0.25"/>
    <row r="3039" s="3" customFormat="1" ht="15" x14ac:dyDescent="0.25"/>
    <row r="3040" s="3" customFormat="1" ht="15" x14ac:dyDescent="0.25"/>
    <row r="3041" s="3" customFormat="1" ht="15" x14ac:dyDescent="0.25"/>
    <row r="3042" s="3" customFormat="1" ht="15" x14ac:dyDescent="0.25"/>
    <row r="3043" s="3" customFormat="1" ht="15" x14ac:dyDescent="0.25"/>
    <row r="3044" s="3" customFormat="1" ht="15" x14ac:dyDescent="0.25"/>
    <row r="3045" s="3" customFormat="1" ht="15" x14ac:dyDescent="0.25"/>
    <row r="3046" s="3" customFormat="1" ht="15" x14ac:dyDescent="0.25"/>
    <row r="3047" s="3" customFormat="1" ht="15" x14ac:dyDescent="0.25"/>
    <row r="3048" s="3" customFormat="1" ht="15" x14ac:dyDescent="0.25"/>
    <row r="3049" s="3" customFormat="1" ht="15" x14ac:dyDescent="0.25"/>
    <row r="3050" s="3" customFormat="1" ht="15" x14ac:dyDescent="0.25"/>
    <row r="3051" s="3" customFormat="1" ht="15" x14ac:dyDescent="0.25"/>
    <row r="3052" s="3" customFormat="1" ht="15" x14ac:dyDescent="0.25"/>
    <row r="3053" s="3" customFormat="1" ht="15" x14ac:dyDescent="0.25"/>
    <row r="3054" s="3" customFormat="1" ht="15" x14ac:dyDescent="0.25"/>
    <row r="3055" s="3" customFormat="1" ht="15" x14ac:dyDescent="0.25"/>
    <row r="3056" s="3" customFormat="1" ht="15" x14ac:dyDescent="0.25"/>
    <row r="3057" s="3" customFormat="1" ht="15" x14ac:dyDescent="0.25"/>
    <row r="3058" s="3" customFormat="1" ht="15" x14ac:dyDescent="0.25"/>
    <row r="3059" s="3" customFormat="1" ht="15" x14ac:dyDescent="0.25"/>
    <row r="3060" s="3" customFormat="1" ht="15" x14ac:dyDescent="0.25"/>
    <row r="3061" s="3" customFormat="1" ht="15" x14ac:dyDescent="0.25"/>
    <row r="3062" s="3" customFormat="1" ht="15" x14ac:dyDescent="0.25"/>
    <row r="3063" s="3" customFormat="1" ht="15" x14ac:dyDescent="0.25"/>
    <row r="3064" s="3" customFormat="1" ht="15" x14ac:dyDescent="0.25"/>
    <row r="3065" s="3" customFormat="1" ht="15" x14ac:dyDescent="0.25"/>
    <row r="3066" s="3" customFormat="1" ht="15" x14ac:dyDescent="0.25"/>
    <row r="3067" s="3" customFormat="1" ht="15" x14ac:dyDescent="0.25"/>
    <row r="3068" s="3" customFormat="1" ht="15" x14ac:dyDescent="0.25"/>
    <row r="3069" s="3" customFormat="1" ht="15" x14ac:dyDescent="0.25"/>
    <row r="3070" s="3" customFormat="1" ht="15" x14ac:dyDescent="0.25"/>
    <row r="3071" s="3" customFormat="1" ht="15" x14ac:dyDescent="0.25"/>
    <row r="3072" s="3" customFormat="1" ht="15" x14ac:dyDescent="0.25"/>
    <row r="3073" s="3" customFormat="1" ht="15" x14ac:dyDescent="0.25"/>
    <row r="3074" s="3" customFormat="1" ht="15" x14ac:dyDescent="0.25"/>
    <row r="3075" s="3" customFormat="1" ht="15" x14ac:dyDescent="0.25"/>
    <row r="3076" s="3" customFormat="1" ht="15" x14ac:dyDescent="0.25"/>
    <row r="3077" s="3" customFormat="1" ht="15" x14ac:dyDescent="0.25"/>
    <row r="3078" s="3" customFormat="1" ht="15" x14ac:dyDescent="0.25"/>
    <row r="3079" s="3" customFormat="1" ht="15" x14ac:dyDescent="0.25"/>
    <row r="3080" s="3" customFormat="1" ht="15" x14ac:dyDescent="0.25"/>
    <row r="3081" s="3" customFormat="1" ht="15" x14ac:dyDescent="0.25"/>
    <row r="3082" s="3" customFormat="1" ht="15" x14ac:dyDescent="0.25"/>
    <row r="3083" s="3" customFormat="1" ht="15" x14ac:dyDescent="0.25"/>
    <row r="3084" s="3" customFormat="1" ht="15" x14ac:dyDescent="0.25"/>
    <row r="3085" s="3" customFormat="1" ht="15" x14ac:dyDescent="0.25"/>
    <row r="3086" s="3" customFormat="1" ht="15" x14ac:dyDescent="0.25"/>
    <row r="3087" s="3" customFormat="1" ht="15" x14ac:dyDescent="0.25"/>
    <row r="3088" s="3" customFormat="1" ht="15" x14ac:dyDescent="0.25"/>
    <row r="3089" s="3" customFormat="1" ht="15" x14ac:dyDescent="0.25"/>
    <row r="3090" s="3" customFormat="1" ht="15" x14ac:dyDescent="0.25"/>
    <row r="3091" s="3" customFormat="1" ht="15" x14ac:dyDescent="0.25"/>
    <row r="3092" s="3" customFormat="1" ht="15" x14ac:dyDescent="0.25"/>
    <row r="3093" s="3" customFormat="1" ht="15" x14ac:dyDescent="0.25"/>
    <row r="3094" s="3" customFormat="1" ht="15" x14ac:dyDescent="0.25"/>
    <row r="3095" s="3" customFormat="1" ht="15" x14ac:dyDescent="0.25"/>
    <row r="3096" s="3" customFormat="1" ht="15" x14ac:dyDescent="0.25"/>
    <row r="3097" s="3" customFormat="1" ht="15" x14ac:dyDescent="0.25"/>
    <row r="3098" s="3" customFormat="1" ht="15" x14ac:dyDescent="0.25"/>
    <row r="3099" s="3" customFormat="1" ht="15" x14ac:dyDescent="0.25"/>
    <row r="3100" s="3" customFormat="1" ht="15" x14ac:dyDescent="0.25"/>
    <row r="3101" s="3" customFormat="1" ht="15" x14ac:dyDescent="0.25"/>
    <row r="3102" s="3" customFormat="1" ht="15" x14ac:dyDescent="0.25"/>
    <row r="3103" s="3" customFormat="1" ht="15" x14ac:dyDescent="0.25"/>
    <row r="3104" s="3" customFormat="1" ht="15" x14ac:dyDescent="0.25"/>
    <row r="3105" s="3" customFormat="1" ht="15" x14ac:dyDescent="0.25"/>
    <row r="3106" s="3" customFormat="1" ht="15" x14ac:dyDescent="0.25"/>
    <row r="3107" s="3" customFormat="1" ht="15" x14ac:dyDescent="0.25"/>
    <row r="3108" s="3" customFormat="1" ht="15" x14ac:dyDescent="0.25"/>
    <row r="3109" s="3" customFormat="1" ht="15" x14ac:dyDescent="0.25"/>
    <row r="3110" s="3" customFormat="1" ht="15" x14ac:dyDescent="0.25"/>
    <row r="3111" s="3" customFormat="1" ht="15" x14ac:dyDescent="0.25"/>
    <row r="3112" s="3" customFormat="1" ht="15" x14ac:dyDescent="0.25"/>
    <row r="3113" s="3" customFormat="1" ht="15" x14ac:dyDescent="0.25"/>
    <row r="3114" s="3" customFormat="1" ht="15" x14ac:dyDescent="0.25"/>
    <row r="3115" s="3" customFormat="1" ht="15" x14ac:dyDescent="0.25"/>
    <row r="3116" s="3" customFormat="1" ht="15" x14ac:dyDescent="0.25"/>
    <row r="3117" s="3" customFormat="1" ht="15" x14ac:dyDescent="0.25"/>
    <row r="3118" s="3" customFormat="1" ht="15" x14ac:dyDescent="0.25"/>
    <row r="3119" s="3" customFormat="1" ht="15" x14ac:dyDescent="0.25"/>
    <row r="3120" s="3" customFormat="1" ht="15" x14ac:dyDescent="0.25"/>
    <row r="3121" s="3" customFormat="1" ht="15" x14ac:dyDescent="0.25"/>
    <row r="3122" s="3" customFormat="1" ht="15" x14ac:dyDescent="0.25"/>
    <row r="3123" s="3" customFormat="1" ht="15" x14ac:dyDescent="0.25"/>
    <row r="3124" s="3" customFormat="1" ht="15" x14ac:dyDescent="0.25"/>
    <row r="3125" s="3" customFormat="1" ht="15" x14ac:dyDescent="0.25"/>
    <row r="3126" s="3" customFormat="1" ht="15" x14ac:dyDescent="0.25"/>
    <row r="3127" s="3" customFormat="1" ht="15" x14ac:dyDescent="0.25"/>
    <row r="3128" s="3" customFormat="1" ht="15" x14ac:dyDescent="0.25"/>
    <row r="3129" s="3" customFormat="1" ht="15" x14ac:dyDescent="0.25"/>
    <row r="3130" s="3" customFormat="1" ht="15" x14ac:dyDescent="0.25"/>
    <row r="3131" s="3" customFormat="1" ht="15" x14ac:dyDescent="0.25"/>
    <row r="3132" s="3" customFormat="1" ht="15" x14ac:dyDescent="0.25"/>
    <row r="3133" s="3" customFormat="1" ht="15" x14ac:dyDescent="0.25"/>
    <row r="3134" s="3" customFormat="1" ht="15" x14ac:dyDescent="0.25"/>
    <row r="3135" s="3" customFormat="1" ht="15" x14ac:dyDescent="0.25"/>
    <row r="3136" s="3" customFormat="1" ht="15" x14ac:dyDescent="0.25"/>
    <row r="3137" s="3" customFormat="1" ht="15" x14ac:dyDescent="0.25"/>
    <row r="3138" s="3" customFormat="1" ht="15" x14ac:dyDescent="0.25"/>
    <row r="3139" s="3" customFormat="1" ht="15" x14ac:dyDescent="0.25"/>
    <row r="3140" s="3" customFormat="1" ht="15" x14ac:dyDescent="0.25"/>
    <row r="3141" s="3" customFormat="1" ht="15" x14ac:dyDescent="0.25"/>
    <row r="3142" s="3" customFormat="1" ht="15" x14ac:dyDescent="0.25"/>
    <row r="3143" s="3" customFormat="1" ht="15" x14ac:dyDescent="0.25"/>
    <row r="3144" s="3" customFormat="1" ht="15" x14ac:dyDescent="0.25"/>
    <row r="3145" s="3" customFormat="1" ht="15" x14ac:dyDescent="0.25"/>
    <row r="3146" s="3" customFormat="1" ht="15" x14ac:dyDescent="0.25"/>
    <row r="3147" s="3" customFormat="1" ht="15" x14ac:dyDescent="0.25"/>
    <row r="3148" s="3" customFormat="1" ht="15" x14ac:dyDescent="0.25"/>
    <row r="3149" s="3" customFormat="1" ht="15" x14ac:dyDescent="0.25"/>
    <row r="3150" s="3" customFormat="1" ht="15" x14ac:dyDescent="0.25"/>
    <row r="3151" s="3" customFormat="1" ht="15" x14ac:dyDescent="0.25"/>
    <row r="3152" s="3" customFormat="1" ht="15" x14ac:dyDescent="0.25"/>
    <row r="3153" s="3" customFormat="1" ht="15" x14ac:dyDescent="0.25"/>
    <row r="3154" s="3" customFormat="1" ht="15" x14ac:dyDescent="0.25"/>
    <row r="3155" s="3" customFormat="1" ht="15" x14ac:dyDescent="0.25"/>
    <row r="3156" s="3" customFormat="1" ht="15" x14ac:dyDescent="0.25"/>
    <row r="3157" s="3" customFormat="1" ht="15" x14ac:dyDescent="0.25"/>
    <row r="3158" s="3" customFormat="1" ht="15" x14ac:dyDescent="0.25"/>
    <row r="3159" s="3" customFormat="1" ht="15" x14ac:dyDescent="0.25"/>
    <row r="3160" s="3" customFormat="1" ht="15" x14ac:dyDescent="0.25"/>
    <row r="3161" s="3" customFormat="1" ht="15" x14ac:dyDescent="0.25"/>
    <row r="3162" s="3" customFormat="1" ht="15" x14ac:dyDescent="0.25"/>
    <row r="3163" s="3" customFormat="1" ht="15" x14ac:dyDescent="0.25"/>
    <row r="3164" s="3" customFormat="1" ht="15" x14ac:dyDescent="0.25"/>
    <row r="3165" s="3" customFormat="1" ht="15" x14ac:dyDescent="0.25"/>
    <row r="3166" s="3" customFormat="1" ht="15" x14ac:dyDescent="0.25"/>
    <row r="3167" s="3" customFormat="1" ht="15" x14ac:dyDescent="0.25"/>
    <row r="3168" s="3" customFormat="1" ht="15" x14ac:dyDescent="0.25"/>
    <row r="3169" s="3" customFormat="1" ht="15" x14ac:dyDescent="0.25"/>
    <row r="3170" s="3" customFormat="1" ht="15" x14ac:dyDescent="0.25"/>
    <row r="3171" s="3" customFormat="1" ht="15" x14ac:dyDescent="0.25"/>
    <row r="3172" s="3" customFormat="1" ht="15" x14ac:dyDescent="0.25"/>
    <row r="3173" s="3" customFormat="1" ht="15" x14ac:dyDescent="0.25"/>
    <row r="3174" s="3" customFormat="1" ht="15" x14ac:dyDescent="0.25"/>
    <row r="3175" s="3" customFormat="1" ht="15" x14ac:dyDescent="0.25"/>
    <row r="3176" s="3" customFormat="1" ht="15" x14ac:dyDescent="0.25"/>
    <row r="3177" s="3" customFormat="1" ht="15" x14ac:dyDescent="0.25"/>
    <row r="3178" s="3" customFormat="1" ht="15" x14ac:dyDescent="0.25"/>
    <row r="3179" s="3" customFormat="1" ht="15" x14ac:dyDescent="0.25"/>
    <row r="3180" s="3" customFormat="1" ht="15" x14ac:dyDescent="0.25"/>
    <row r="3181" s="3" customFormat="1" ht="15" x14ac:dyDescent="0.25"/>
    <row r="3182" s="3" customFormat="1" ht="15" x14ac:dyDescent="0.25"/>
    <row r="3183" s="3" customFormat="1" ht="15" x14ac:dyDescent="0.25"/>
    <row r="3184" s="3" customFormat="1" ht="15" x14ac:dyDescent="0.25"/>
    <row r="3185" s="3" customFormat="1" ht="15" x14ac:dyDescent="0.25"/>
    <row r="3186" s="3" customFormat="1" ht="15" x14ac:dyDescent="0.25"/>
    <row r="3187" s="3" customFormat="1" ht="15" x14ac:dyDescent="0.25"/>
    <row r="3188" s="3" customFormat="1" ht="15" x14ac:dyDescent="0.25"/>
    <row r="3189" s="3" customFormat="1" ht="15" x14ac:dyDescent="0.25"/>
    <row r="3190" s="3" customFormat="1" ht="15" x14ac:dyDescent="0.25"/>
    <row r="3191" s="3" customFormat="1" ht="15" x14ac:dyDescent="0.25"/>
    <row r="3192" s="3" customFormat="1" ht="15" x14ac:dyDescent="0.25"/>
    <row r="3193" s="3" customFormat="1" ht="15" x14ac:dyDescent="0.25"/>
    <row r="3194" s="3" customFormat="1" ht="15" x14ac:dyDescent="0.25"/>
    <row r="3195" s="3" customFormat="1" ht="15" x14ac:dyDescent="0.25"/>
    <row r="3196" s="3" customFormat="1" ht="15" x14ac:dyDescent="0.25"/>
    <row r="3197" s="3" customFormat="1" ht="15" x14ac:dyDescent="0.25"/>
    <row r="3198" s="3" customFormat="1" ht="15" x14ac:dyDescent="0.25"/>
    <row r="3199" s="3" customFormat="1" ht="15" x14ac:dyDescent="0.25"/>
    <row r="3200" s="3" customFormat="1" ht="15" x14ac:dyDescent="0.25"/>
    <row r="3201" s="3" customFormat="1" ht="15" x14ac:dyDescent="0.25"/>
    <row r="3202" s="3" customFormat="1" ht="15" x14ac:dyDescent="0.25"/>
    <row r="3203" s="3" customFormat="1" ht="15" x14ac:dyDescent="0.25"/>
    <row r="3204" s="3" customFormat="1" ht="15" x14ac:dyDescent="0.25"/>
    <row r="3205" s="3" customFormat="1" ht="15" x14ac:dyDescent="0.25"/>
    <row r="3206" s="3" customFormat="1" ht="15" x14ac:dyDescent="0.25"/>
    <row r="3207" s="3" customFormat="1" ht="15" x14ac:dyDescent="0.25"/>
    <row r="3208" s="3" customFormat="1" ht="15" x14ac:dyDescent="0.25"/>
    <row r="3209" s="3" customFormat="1" ht="15" x14ac:dyDescent="0.25"/>
    <row r="3210" s="3" customFormat="1" ht="15" x14ac:dyDescent="0.25"/>
    <row r="3211" s="3" customFormat="1" ht="15" x14ac:dyDescent="0.25"/>
    <row r="3212" s="3" customFormat="1" ht="15" x14ac:dyDescent="0.25"/>
    <row r="3213" s="3" customFormat="1" ht="15" x14ac:dyDescent="0.25"/>
    <row r="3214" s="3" customFormat="1" ht="15" x14ac:dyDescent="0.25"/>
    <row r="3215" s="3" customFormat="1" ht="15" x14ac:dyDescent="0.25"/>
    <row r="3216" s="3" customFormat="1" ht="15" x14ac:dyDescent="0.25"/>
    <row r="3217" s="3" customFormat="1" ht="15" x14ac:dyDescent="0.25"/>
    <row r="3218" s="3" customFormat="1" ht="15" x14ac:dyDescent="0.25"/>
    <row r="3219" s="3" customFormat="1" ht="15" x14ac:dyDescent="0.25"/>
    <row r="3220" s="3" customFormat="1" ht="15" x14ac:dyDescent="0.25"/>
    <row r="3221" s="3" customFormat="1" ht="15" x14ac:dyDescent="0.25"/>
    <row r="3222" s="3" customFormat="1" ht="15" x14ac:dyDescent="0.25"/>
    <row r="3223" s="3" customFormat="1" ht="15" x14ac:dyDescent="0.25"/>
    <row r="3224" s="3" customFormat="1" ht="15" x14ac:dyDescent="0.25"/>
    <row r="3225" s="3" customFormat="1" ht="15" x14ac:dyDescent="0.25"/>
    <row r="3226" s="3" customFormat="1" ht="15" x14ac:dyDescent="0.25"/>
    <row r="3227" s="3" customFormat="1" ht="15" x14ac:dyDescent="0.25"/>
    <row r="3228" s="3" customFormat="1" ht="15" x14ac:dyDescent="0.25"/>
    <row r="3229" s="3" customFormat="1" ht="15" x14ac:dyDescent="0.25"/>
    <row r="3230" s="3" customFormat="1" ht="15" x14ac:dyDescent="0.25"/>
    <row r="3231" s="3" customFormat="1" ht="15" x14ac:dyDescent="0.25"/>
    <row r="3232" s="3" customFormat="1" ht="15" x14ac:dyDescent="0.25"/>
    <row r="3233" s="3" customFormat="1" ht="15" x14ac:dyDescent="0.25"/>
    <row r="3234" s="3" customFormat="1" ht="15" x14ac:dyDescent="0.25"/>
    <row r="3235" s="3" customFormat="1" ht="15" x14ac:dyDescent="0.25"/>
    <row r="3236" s="3" customFormat="1" ht="15" x14ac:dyDescent="0.25"/>
    <row r="3237" s="3" customFormat="1" ht="15" x14ac:dyDescent="0.25"/>
    <row r="3238" s="3" customFormat="1" ht="15" x14ac:dyDescent="0.25"/>
    <row r="3239" s="3" customFormat="1" ht="15" x14ac:dyDescent="0.25"/>
    <row r="3240" s="3" customFormat="1" ht="15" x14ac:dyDescent="0.25"/>
    <row r="3241" s="3" customFormat="1" ht="15" x14ac:dyDescent="0.25"/>
    <row r="3242" s="3" customFormat="1" ht="15" x14ac:dyDescent="0.25"/>
    <row r="3243" s="3" customFormat="1" ht="15" x14ac:dyDescent="0.25"/>
    <row r="3244" s="3" customFormat="1" ht="15" x14ac:dyDescent="0.25"/>
    <row r="3245" s="3" customFormat="1" ht="15" x14ac:dyDescent="0.25"/>
    <row r="3246" s="3" customFormat="1" ht="15" x14ac:dyDescent="0.25"/>
    <row r="3247" s="3" customFormat="1" ht="15" x14ac:dyDescent="0.25"/>
    <row r="3248" s="3" customFormat="1" ht="15" x14ac:dyDescent="0.25"/>
    <row r="3249" s="3" customFormat="1" ht="15" x14ac:dyDescent="0.25"/>
    <row r="3250" s="3" customFormat="1" ht="15" x14ac:dyDescent="0.25"/>
    <row r="3251" s="3" customFormat="1" ht="15" x14ac:dyDescent="0.25"/>
    <row r="3252" s="3" customFormat="1" ht="15" x14ac:dyDescent="0.25"/>
    <row r="3253" s="3" customFormat="1" ht="15" x14ac:dyDescent="0.25"/>
    <row r="3254" s="3" customFormat="1" ht="15" x14ac:dyDescent="0.25"/>
    <row r="3255" s="3" customFormat="1" ht="15" x14ac:dyDescent="0.25"/>
    <row r="3256" s="3" customFormat="1" ht="15" x14ac:dyDescent="0.25"/>
    <row r="3257" s="3" customFormat="1" ht="15" x14ac:dyDescent="0.25"/>
    <row r="3258" s="3" customFormat="1" ht="15" x14ac:dyDescent="0.25"/>
    <row r="3259" s="3" customFormat="1" ht="15" x14ac:dyDescent="0.25"/>
    <row r="3260" s="3" customFormat="1" ht="15" x14ac:dyDescent="0.25"/>
    <row r="3261" s="3" customFormat="1" ht="15" x14ac:dyDescent="0.25"/>
    <row r="3262" s="3" customFormat="1" ht="15" x14ac:dyDescent="0.25"/>
    <row r="3263" s="3" customFormat="1" ht="15" x14ac:dyDescent="0.25"/>
    <row r="3264" s="3" customFormat="1" ht="15" x14ac:dyDescent="0.25"/>
    <row r="3265" s="3" customFormat="1" ht="15" x14ac:dyDescent="0.25"/>
    <row r="3266" s="3" customFormat="1" ht="15" x14ac:dyDescent="0.25"/>
    <row r="3267" s="3" customFormat="1" ht="15" x14ac:dyDescent="0.25"/>
    <row r="3268" s="3" customFormat="1" ht="15" x14ac:dyDescent="0.25"/>
    <row r="3269" s="3" customFormat="1" ht="15" x14ac:dyDescent="0.25"/>
    <row r="3270" s="3" customFormat="1" ht="15" x14ac:dyDescent="0.25"/>
    <row r="3271" s="3" customFormat="1" ht="15" x14ac:dyDescent="0.25"/>
    <row r="3272" s="3" customFormat="1" ht="15" x14ac:dyDescent="0.25"/>
    <row r="3273" s="3" customFormat="1" ht="15" x14ac:dyDescent="0.25"/>
    <row r="3274" s="3" customFormat="1" ht="15" x14ac:dyDescent="0.25"/>
    <row r="3275" s="3" customFormat="1" ht="15" x14ac:dyDescent="0.25"/>
    <row r="3276" s="3" customFormat="1" ht="15" x14ac:dyDescent="0.25"/>
    <row r="3277" s="3" customFormat="1" ht="15" x14ac:dyDescent="0.25"/>
    <row r="3278" s="3" customFormat="1" ht="15" x14ac:dyDescent="0.25"/>
    <row r="3279" s="3" customFormat="1" ht="15" x14ac:dyDescent="0.25"/>
    <row r="3280" s="3" customFormat="1" ht="15" x14ac:dyDescent="0.25"/>
    <row r="3281" s="3" customFormat="1" ht="15" x14ac:dyDescent="0.25"/>
    <row r="3282" s="3" customFormat="1" ht="15" x14ac:dyDescent="0.25"/>
    <row r="3283" s="3" customFormat="1" ht="15" x14ac:dyDescent="0.25"/>
    <row r="3284" s="3" customFormat="1" ht="15" x14ac:dyDescent="0.25"/>
    <row r="3285" s="3" customFormat="1" ht="15" x14ac:dyDescent="0.25"/>
    <row r="3286" s="3" customFormat="1" ht="15" x14ac:dyDescent="0.25"/>
    <row r="3287" s="3" customFormat="1" ht="15" x14ac:dyDescent="0.25"/>
    <row r="3288" s="3" customFormat="1" ht="15" x14ac:dyDescent="0.25"/>
    <row r="3289" s="3" customFormat="1" ht="15" x14ac:dyDescent="0.25"/>
    <row r="3290" s="3" customFormat="1" ht="15" x14ac:dyDescent="0.25"/>
    <row r="3291" s="3" customFormat="1" ht="15" x14ac:dyDescent="0.25"/>
    <row r="3292" s="3" customFormat="1" ht="15" x14ac:dyDescent="0.25"/>
    <row r="3293" s="3" customFormat="1" ht="15" x14ac:dyDescent="0.25"/>
    <row r="3294" s="3" customFormat="1" ht="15" x14ac:dyDescent="0.25"/>
    <row r="3295" s="3" customFormat="1" ht="15" x14ac:dyDescent="0.25"/>
    <row r="3296" s="3" customFormat="1" ht="15" x14ac:dyDescent="0.25"/>
    <row r="3297" s="3" customFormat="1" ht="15" x14ac:dyDescent="0.25"/>
    <row r="3298" s="3" customFormat="1" ht="15" x14ac:dyDescent="0.25"/>
    <row r="3299" s="3" customFormat="1" ht="15" x14ac:dyDescent="0.25"/>
    <row r="3300" s="3" customFormat="1" ht="15" x14ac:dyDescent="0.25"/>
    <row r="3301" s="3" customFormat="1" ht="15" x14ac:dyDescent="0.25"/>
    <row r="3302" s="3" customFormat="1" ht="15" x14ac:dyDescent="0.25"/>
    <row r="3303" s="3" customFormat="1" ht="15" x14ac:dyDescent="0.25"/>
    <row r="3304" s="3" customFormat="1" ht="15" x14ac:dyDescent="0.25"/>
    <row r="3305" s="3" customFormat="1" ht="15" x14ac:dyDescent="0.25"/>
    <row r="3306" s="3" customFormat="1" ht="15" x14ac:dyDescent="0.25"/>
    <row r="3307" s="3" customFormat="1" ht="15" x14ac:dyDescent="0.25"/>
    <row r="3308" s="3" customFormat="1" ht="15" x14ac:dyDescent="0.25"/>
    <row r="3309" s="3" customFormat="1" ht="15" x14ac:dyDescent="0.25"/>
    <row r="3310" s="3" customFormat="1" ht="15" x14ac:dyDescent="0.25"/>
    <row r="3311" s="3" customFormat="1" ht="15" x14ac:dyDescent="0.25"/>
    <row r="3312" s="3" customFormat="1" ht="15" x14ac:dyDescent="0.25"/>
    <row r="3313" s="3" customFormat="1" ht="15" x14ac:dyDescent="0.25"/>
    <row r="3314" s="3" customFormat="1" ht="15" x14ac:dyDescent="0.25"/>
    <row r="3315" s="3" customFormat="1" ht="15" x14ac:dyDescent="0.25"/>
    <row r="3316" s="3" customFormat="1" ht="15" x14ac:dyDescent="0.25"/>
    <row r="3317" s="3" customFormat="1" ht="15" x14ac:dyDescent="0.25"/>
    <row r="3318" s="3" customFormat="1" ht="15" x14ac:dyDescent="0.25"/>
    <row r="3319" s="3" customFormat="1" ht="15" x14ac:dyDescent="0.25"/>
    <row r="3320" s="3" customFormat="1" ht="15" x14ac:dyDescent="0.25"/>
    <row r="3321" s="3" customFormat="1" ht="15" x14ac:dyDescent="0.25"/>
    <row r="3322" s="3" customFormat="1" ht="15" x14ac:dyDescent="0.25"/>
    <row r="3323" s="3" customFormat="1" ht="15" x14ac:dyDescent="0.25"/>
    <row r="3324" s="3" customFormat="1" ht="15" x14ac:dyDescent="0.25"/>
    <row r="3325" s="3" customFormat="1" ht="15" x14ac:dyDescent="0.25"/>
    <row r="3326" s="3" customFormat="1" ht="15" x14ac:dyDescent="0.25"/>
    <row r="3327" s="3" customFormat="1" ht="15" x14ac:dyDescent="0.25"/>
    <row r="3328" s="3" customFormat="1" ht="15" x14ac:dyDescent="0.25"/>
    <row r="3329" s="3" customFormat="1" ht="15" x14ac:dyDescent="0.25"/>
    <row r="3330" s="3" customFormat="1" ht="15" x14ac:dyDescent="0.25"/>
    <row r="3331" s="3" customFormat="1" ht="15" x14ac:dyDescent="0.25"/>
    <row r="3332" s="3" customFormat="1" ht="15" x14ac:dyDescent="0.25"/>
    <row r="3333" s="3" customFormat="1" ht="15" x14ac:dyDescent="0.25"/>
    <row r="3334" s="3" customFormat="1" ht="15" x14ac:dyDescent="0.25"/>
    <row r="3335" s="3" customFormat="1" ht="15" x14ac:dyDescent="0.25"/>
    <row r="3336" s="3" customFormat="1" ht="15" x14ac:dyDescent="0.25"/>
    <row r="3337" s="3" customFormat="1" ht="15" x14ac:dyDescent="0.25"/>
    <row r="3338" s="3" customFormat="1" ht="15" x14ac:dyDescent="0.25"/>
    <row r="3339" s="3" customFormat="1" ht="15" x14ac:dyDescent="0.25"/>
    <row r="3340" s="3" customFormat="1" ht="15" x14ac:dyDescent="0.25"/>
    <row r="3341" s="3" customFormat="1" ht="15" x14ac:dyDescent="0.25"/>
    <row r="3342" s="3" customFormat="1" ht="15" x14ac:dyDescent="0.25"/>
    <row r="3343" s="3" customFormat="1" ht="15" x14ac:dyDescent="0.25"/>
    <row r="3344" s="3" customFormat="1" ht="15" x14ac:dyDescent="0.25"/>
    <row r="3345" s="3" customFormat="1" ht="15" x14ac:dyDescent="0.25"/>
    <row r="3346" s="3" customFormat="1" ht="15" x14ac:dyDescent="0.25"/>
    <row r="3347" s="3" customFormat="1" ht="15" x14ac:dyDescent="0.25"/>
    <row r="3348" s="3" customFormat="1" ht="15" x14ac:dyDescent="0.25"/>
    <row r="3349" s="3" customFormat="1" ht="15" x14ac:dyDescent="0.25"/>
    <row r="3350" s="3" customFormat="1" ht="15" x14ac:dyDescent="0.25"/>
    <row r="3351" s="3" customFormat="1" ht="15" x14ac:dyDescent="0.25"/>
    <row r="3352" s="3" customFormat="1" ht="15" x14ac:dyDescent="0.25"/>
    <row r="3353" s="3" customFormat="1" ht="15" x14ac:dyDescent="0.25"/>
    <row r="3354" s="3" customFormat="1" ht="15" x14ac:dyDescent="0.25"/>
    <row r="3355" s="3" customFormat="1" ht="15" x14ac:dyDescent="0.25"/>
    <row r="3356" s="3" customFormat="1" ht="15" x14ac:dyDescent="0.25"/>
    <row r="3357" s="3" customFormat="1" ht="15" x14ac:dyDescent="0.25"/>
    <row r="3358" s="3" customFormat="1" ht="15" x14ac:dyDescent="0.25"/>
    <row r="3359" s="3" customFormat="1" ht="15" x14ac:dyDescent="0.25"/>
    <row r="3360" s="3" customFormat="1" ht="15" x14ac:dyDescent="0.25"/>
    <row r="3361" s="3" customFormat="1" ht="15" x14ac:dyDescent="0.25"/>
    <row r="3362" s="3" customFormat="1" ht="15" x14ac:dyDescent="0.25"/>
    <row r="3363" s="3" customFormat="1" ht="15" x14ac:dyDescent="0.25"/>
    <row r="3364" s="3" customFormat="1" ht="15" x14ac:dyDescent="0.25"/>
    <row r="3365" s="3" customFormat="1" ht="15" x14ac:dyDescent="0.25"/>
    <row r="3366" s="3" customFormat="1" ht="15" x14ac:dyDescent="0.25"/>
    <row r="3367" s="3" customFormat="1" ht="15" x14ac:dyDescent="0.25"/>
    <row r="3368" s="3" customFormat="1" ht="15" x14ac:dyDescent="0.25"/>
    <row r="3369" s="3" customFormat="1" ht="15" x14ac:dyDescent="0.25"/>
    <row r="3370" s="3" customFormat="1" ht="15" x14ac:dyDescent="0.25"/>
    <row r="3371" s="3" customFormat="1" ht="15" x14ac:dyDescent="0.25"/>
    <row r="3372" s="3" customFormat="1" ht="15" x14ac:dyDescent="0.25"/>
    <row r="3373" s="3" customFormat="1" ht="15" x14ac:dyDescent="0.25"/>
    <row r="3374" s="3" customFormat="1" ht="15" x14ac:dyDescent="0.25"/>
    <row r="3375" s="3" customFormat="1" ht="15" x14ac:dyDescent="0.25"/>
    <row r="3376" s="3" customFormat="1" ht="15" x14ac:dyDescent="0.25"/>
    <row r="3377" s="3" customFormat="1" ht="15" x14ac:dyDescent="0.25"/>
    <row r="3378" s="3" customFormat="1" ht="15" x14ac:dyDescent="0.25"/>
    <row r="3379" s="3" customFormat="1" ht="15" x14ac:dyDescent="0.25"/>
    <row r="3380" s="3" customFormat="1" ht="15" x14ac:dyDescent="0.25"/>
    <row r="3381" s="3" customFormat="1" ht="15" x14ac:dyDescent="0.25"/>
    <row r="3382" s="3" customFormat="1" ht="15" x14ac:dyDescent="0.25"/>
    <row r="3383" s="3" customFormat="1" ht="15" x14ac:dyDescent="0.25"/>
    <row r="3384" s="3" customFormat="1" ht="15" x14ac:dyDescent="0.25"/>
    <row r="3385" s="3" customFormat="1" ht="15" x14ac:dyDescent="0.25"/>
    <row r="3386" s="3" customFormat="1" ht="15" x14ac:dyDescent="0.25"/>
    <row r="3387" s="3" customFormat="1" ht="15" x14ac:dyDescent="0.25"/>
    <row r="3388" s="3" customFormat="1" ht="15" x14ac:dyDescent="0.25"/>
    <row r="3389" s="3" customFormat="1" ht="15" x14ac:dyDescent="0.25"/>
    <row r="3390" s="3" customFormat="1" ht="15" x14ac:dyDescent="0.25"/>
    <row r="3391" s="3" customFormat="1" ht="15" x14ac:dyDescent="0.25"/>
    <row r="3392" s="3" customFormat="1" ht="15" x14ac:dyDescent="0.25"/>
    <row r="3393" s="3" customFormat="1" ht="15" x14ac:dyDescent="0.25"/>
    <row r="3394" s="3" customFormat="1" ht="15" x14ac:dyDescent="0.25"/>
    <row r="3395" s="3" customFormat="1" ht="15" x14ac:dyDescent="0.25"/>
    <row r="3396" s="3" customFormat="1" ht="15" x14ac:dyDescent="0.25"/>
    <row r="3397" s="3" customFormat="1" ht="15" x14ac:dyDescent="0.25"/>
    <row r="3398" s="3" customFormat="1" ht="15" x14ac:dyDescent="0.25"/>
    <row r="3399" s="3" customFormat="1" ht="15" x14ac:dyDescent="0.25"/>
    <row r="3400" s="3" customFormat="1" ht="15" x14ac:dyDescent="0.25"/>
    <row r="3401" s="3" customFormat="1" ht="15" x14ac:dyDescent="0.25"/>
    <row r="3402" s="3" customFormat="1" ht="15" x14ac:dyDescent="0.25"/>
    <row r="3403" s="3" customFormat="1" ht="15" x14ac:dyDescent="0.25"/>
    <row r="3404" s="3" customFormat="1" ht="15" x14ac:dyDescent="0.25"/>
    <row r="3405" s="3" customFormat="1" ht="15" x14ac:dyDescent="0.25"/>
    <row r="3406" s="3" customFormat="1" ht="15" x14ac:dyDescent="0.25"/>
    <row r="3407" s="3" customFormat="1" ht="15" x14ac:dyDescent="0.25"/>
    <row r="3408" s="3" customFormat="1" ht="15" x14ac:dyDescent="0.25"/>
    <row r="3409" s="3" customFormat="1" ht="15" x14ac:dyDescent="0.25"/>
    <row r="3410" s="3" customFormat="1" ht="15" x14ac:dyDescent="0.25"/>
    <row r="3411" s="3" customFormat="1" ht="15" x14ac:dyDescent="0.25"/>
    <row r="3412" s="3" customFormat="1" ht="15" x14ac:dyDescent="0.25"/>
    <row r="3413" s="3" customFormat="1" ht="15" x14ac:dyDescent="0.25"/>
    <row r="3414" s="3" customFormat="1" ht="15" x14ac:dyDescent="0.25"/>
    <row r="3415" s="3" customFormat="1" ht="15" x14ac:dyDescent="0.25"/>
    <row r="3416" s="3" customFormat="1" ht="15" x14ac:dyDescent="0.25"/>
    <row r="3417" s="3" customFormat="1" ht="15" x14ac:dyDescent="0.25"/>
    <row r="3418" s="3" customFormat="1" ht="15" x14ac:dyDescent="0.25"/>
    <row r="3419" s="3" customFormat="1" ht="15" x14ac:dyDescent="0.25"/>
    <row r="3420" s="3" customFormat="1" ht="15" x14ac:dyDescent="0.25"/>
    <row r="3421" s="3" customFormat="1" ht="15" x14ac:dyDescent="0.25"/>
    <row r="3422" s="3" customFormat="1" ht="15" x14ac:dyDescent="0.25"/>
    <row r="3423" s="3" customFormat="1" ht="15" x14ac:dyDescent="0.25"/>
    <row r="3424" s="3" customFormat="1" ht="15" x14ac:dyDescent="0.25"/>
    <row r="3425" s="3" customFormat="1" ht="15" x14ac:dyDescent="0.25"/>
    <row r="3426" s="3" customFormat="1" ht="15" x14ac:dyDescent="0.25"/>
    <row r="3427" s="3" customFormat="1" ht="15" x14ac:dyDescent="0.25"/>
    <row r="3428" s="3" customFormat="1" ht="15" x14ac:dyDescent="0.25"/>
    <row r="3429" s="3" customFormat="1" ht="15" x14ac:dyDescent="0.25"/>
    <row r="3430" s="3" customFormat="1" ht="15" x14ac:dyDescent="0.25"/>
    <row r="3431" s="3" customFormat="1" ht="15" x14ac:dyDescent="0.25"/>
    <row r="3432" s="3" customFormat="1" ht="15" x14ac:dyDescent="0.25"/>
    <row r="3433" s="3" customFormat="1" ht="15" x14ac:dyDescent="0.25"/>
    <row r="3434" s="3" customFormat="1" ht="15" x14ac:dyDescent="0.25"/>
    <row r="3435" s="3" customFormat="1" ht="15" x14ac:dyDescent="0.25"/>
    <row r="3436" s="3" customFormat="1" ht="15" x14ac:dyDescent="0.25"/>
    <row r="3437" s="3" customFormat="1" ht="15" x14ac:dyDescent="0.25"/>
    <row r="3438" s="3" customFormat="1" ht="15" x14ac:dyDescent="0.25"/>
    <row r="3439" s="3" customFormat="1" ht="15" x14ac:dyDescent="0.25"/>
    <row r="3440" s="3" customFormat="1" ht="15" x14ac:dyDescent="0.25"/>
    <row r="3441" s="3" customFormat="1" ht="15" x14ac:dyDescent="0.25"/>
    <row r="3442" s="3" customFormat="1" ht="15" x14ac:dyDescent="0.25"/>
    <row r="3443" s="3" customFormat="1" ht="15" x14ac:dyDescent="0.25"/>
    <row r="3444" s="3" customFormat="1" ht="15" x14ac:dyDescent="0.25"/>
    <row r="3445" s="3" customFormat="1" ht="15" x14ac:dyDescent="0.25"/>
    <row r="3446" s="3" customFormat="1" ht="15" x14ac:dyDescent="0.25"/>
    <row r="3447" s="3" customFormat="1" ht="15" x14ac:dyDescent="0.25"/>
    <row r="3448" s="3" customFormat="1" ht="15" x14ac:dyDescent="0.25"/>
    <row r="3449" s="3" customFormat="1" ht="15" x14ac:dyDescent="0.25"/>
    <row r="3450" s="3" customFormat="1" ht="15" x14ac:dyDescent="0.25"/>
    <row r="3451" s="3" customFormat="1" ht="15" x14ac:dyDescent="0.25"/>
    <row r="3452" s="3" customFormat="1" ht="15" x14ac:dyDescent="0.25"/>
    <row r="3453" s="3" customFormat="1" ht="15" x14ac:dyDescent="0.25"/>
    <row r="3454" s="3" customFormat="1" ht="15" x14ac:dyDescent="0.25"/>
    <row r="3455" s="3" customFormat="1" ht="15" x14ac:dyDescent="0.25"/>
    <row r="3456" s="3" customFormat="1" ht="15" x14ac:dyDescent="0.25"/>
    <row r="3457" s="3" customFormat="1" ht="15" x14ac:dyDescent="0.25"/>
    <row r="3458" s="3" customFormat="1" ht="15" x14ac:dyDescent="0.25"/>
    <row r="3459" s="3" customFormat="1" ht="15" x14ac:dyDescent="0.25"/>
    <row r="3460" s="3" customFormat="1" ht="15" x14ac:dyDescent="0.25"/>
    <row r="3461" s="3" customFormat="1" ht="15" x14ac:dyDescent="0.25"/>
    <row r="3462" s="3" customFormat="1" ht="15" x14ac:dyDescent="0.25"/>
    <row r="3463" s="3" customFormat="1" ht="15" x14ac:dyDescent="0.25"/>
    <row r="3464" s="3" customFormat="1" ht="15" x14ac:dyDescent="0.25"/>
    <row r="3465" s="3" customFormat="1" ht="15" x14ac:dyDescent="0.25"/>
    <row r="3466" s="3" customFormat="1" ht="15" x14ac:dyDescent="0.25"/>
    <row r="3467" s="3" customFormat="1" ht="15" x14ac:dyDescent="0.25"/>
    <row r="3468" s="3" customFormat="1" ht="15" x14ac:dyDescent="0.25"/>
    <row r="3469" s="3" customFormat="1" ht="15" x14ac:dyDescent="0.25"/>
    <row r="3470" s="3" customFormat="1" ht="15" x14ac:dyDescent="0.25"/>
    <row r="3471" s="3" customFormat="1" ht="15" x14ac:dyDescent="0.25"/>
    <row r="3472" s="3" customFormat="1" ht="15" x14ac:dyDescent="0.25"/>
    <row r="3473" s="3" customFormat="1" ht="15" x14ac:dyDescent="0.25"/>
    <row r="3474" s="3" customFormat="1" ht="15" x14ac:dyDescent="0.25"/>
    <row r="3475" s="3" customFormat="1" ht="15" x14ac:dyDescent="0.25"/>
    <row r="3476" s="3" customFormat="1" ht="15" x14ac:dyDescent="0.25"/>
    <row r="3477" s="3" customFormat="1" ht="15" x14ac:dyDescent="0.25"/>
    <row r="3478" s="3" customFormat="1" ht="15" x14ac:dyDescent="0.25"/>
    <row r="3479" s="3" customFormat="1" ht="15" x14ac:dyDescent="0.25"/>
    <row r="3480" s="3" customFormat="1" ht="15" x14ac:dyDescent="0.25"/>
    <row r="3481" s="3" customFormat="1" ht="15" x14ac:dyDescent="0.25"/>
    <row r="3482" s="3" customFormat="1" ht="15" x14ac:dyDescent="0.25"/>
    <row r="3483" s="3" customFormat="1" ht="15" x14ac:dyDescent="0.25"/>
    <row r="3484" s="3" customFormat="1" ht="15" x14ac:dyDescent="0.25"/>
    <row r="3485" s="3" customFormat="1" ht="15" x14ac:dyDescent="0.25"/>
    <row r="3486" s="3" customFormat="1" ht="15" x14ac:dyDescent="0.25"/>
    <row r="3487" s="3" customFormat="1" ht="15" x14ac:dyDescent="0.25"/>
    <row r="3488" s="3" customFormat="1" ht="15" x14ac:dyDescent="0.25"/>
    <row r="3489" s="3" customFormat="1" ht="15" x14ac:dyDescent="0.25"/>
    <row r="3490" s="3" customFormat="1" ht="15" x14ac:dyDescent="0.25"/>
    <row r="3491" s="3" customFormat="1" ht="15" x14ac:dyDescent="0.25"/>
    <row r="3492" s="3" customFormat="1" ht="15" x14ac:dyDescent="0.25"/>
    <row r="3493" s="3" customFormat="1" ht="15" x14ac:dyDescent="0.25"/>
    <row r="3494" s="3" customFormat="1" ht="15" x14ac:dyDescent="0.25"/>
    <row r="3495" s="3" customFormat="1" ht="15" x14ac:dyDescent="0.25"/>
    <row r="3496" s="3" customFormat="1" ht="15" x14ac:dyDescent="0.25"/>
    <row r="3497" s="3" customFormat="1" ht="15" x14ac:dyDescent="0.25"/>
    <row r="3498" s="3" customFormat="1" ht="15" x14ac:dyDescent="0.25"/>
    <row r="3499" s="3" customFormat="1" ht="15" x14ac:dyDescent="0.25"/>
    <row r="3500" s="3" customFormat="1" ht="15" x14ac:dyDescent="0.25"/>
    <row r="3501" s="3" customFormat="1" ht="15" x14ac:dyDescent="0.25"/>
    <row r="3502" s="3" customFormat="1" ht="15" x14ac:dyDescent="0.25"/>
    <row r="3503" s="3" customFormat="1" ht="15" x14ac:dyDescent="0.25"/>
    <row r="3504" s="3" customFormat="1" ht="15" x14ac:dyDescent="0.25"/>
    <row r="3505" s="3" customFormat="1" ht="15" x14ac:dyDescent="0.25"/>
    <row r="3506" s="3" customFormat="1" ht="15" x14ac:dyDescent="0.25"/>
    <row r="3507" s="3" customFormat="1" ht="15" x14ac:dyDescent="0.25"/>
    <row r="3508" s="3" customFormat="1" ht="15" x14ac:dyDescent="0.25"/>
    <row r="3509" s="3" customFormat="1" ht="15" x14ac:dyDescent="0.25"/>
    <row r="3510" s="3" customFormat="1" ht="15" x14ac:dyDescent="0.25"/>
    <row r="3511" s="3" customFormat="1" ht="15" x14ac:dyDescent="0.25"/>
    <row r="3512" s="3" customFormat="1" ht="15" x14ac:dyDescent="0.25"/>
    <row r="3513" s="3" customFormat="1" ht="15" x14ac:dyDescent="0.25"/>
    <row r="3514" s="3" customFormat="1" ht="15" x14ac:dyDescent="0.25"/>
    <row r="3515" s="3" customFormat="1" ht="15" x14ac:dyDescent="0.25"/>
    <row r="3516" s="3" customFormat="1" ht="15" x14ac:dyDescent="0.25"/>
    <row r="3517" s="3" customFormat="1" ht="15" x14ac:dyDescent="0.25"/>
    <row r="3518" s="3" customFormat="1" ht="15" x14ac:dyDescent="0.25"/>
    <row r="3519" s="3" customFormat="1" ht="15" x14ac:dyDescent="0.25"/>
    <row r="3520" s="3" customFormat="1" ht="15" x14ac:dyDescent="0.25"/>
    <row r="3521" s="3" customFormat="1" ht="15" x14ac:dyDescent="0.25"/>
    <row r="3522" s="3" customFormat="1" ht="15" x14ac:dyDescent="0.25"/>
    <row r="3523" s="3" customFormat="1" ht="15" x14ac:dyDescent="0.25"/>
    <row r="3524" s="3" customFormat="1" ht="15" x14ac:dyDescent="0.25"/>
    <row r="3525" s="3" customFormat="1" ht="15" x14ac:dyDescent="0.25"/>
    <row r="3526" s="3" customFormat="1" ht="15" x14ac:dyDescent="0.25"/>
    <row r="3527" s="3" customFormat="1" ht="15" x14ac:dyDescent="0.25"/>
    <row r="3528" s="3" customFormat="1" ht="15" x14ac:dyDescent="0.25"/>
    <row r="3529" s="3" customFormat="1" ht="15" x14ac:dyDescent="0.25"/>
    <row r="3530" s="3" customFormat="1" ht="15" x14ac:dyDescent="0.25"/>
    <row r="3531" s="3" customFormat="1" ht="15" x14ac:dyDescent="0.25"/>
    <row r="3532" s="3" customFormat="1" ht="15" x14ac:dyDescent="0.25"/>
    <row r="3533" s="3" customFormat="1" ht="15" x14ac:dyDescent="0.25"/>
    <row r="3534" s="3" customFormat="1" ht="15" x14ac:dyDescent="0.25"/>
    <row r="3535" s="3" customFormat="1" ht="15" x14ac:dyDescent="0.25"/>
    <row r="3536" s="3" customFormat="1" ht="15" x14ac:dyDescent="0.25"/>
    <row r="3537" s="3" customFormat="1" ht="15" x14ac:dyDescent="0.25"/>
    <row r="3538" s="3" customFormat="1" ht="15" x14ac:dyDescent="0.25"/>
    <row r="3539" s="3" customFormat="1" ht="15" x14ac:dyDescent="0.25"/>
    <row r="3540" s="3" customFormat="1" ht="15" x14ac:dyDescent="0.25"/>
    <row r="3541" s="3" customFormat="1" ht="15" x14ac:dyDescent="0.25"/>
    <row r="3542" s="3" customFormat="1" ht="15" x14ac:dyDescent="0.25"/>
    <row r="3543" s="3" customFormat="1" ht="15" x14ac:dyDescent="0.25"/>
    <row r="3544" s="3" customFormat="1" ht="15" x14ac:dyDescent="0.25"/>
    <row r="3545" s="3" customFormat="1" ht="15" x14ac:dyDescent="0.25"/>
    <row r="3546" s="3" customFormat="1" ht="15" x14ac:dyDescent="0.25"/>
    <row r="3547" s="3" customFormat="1" ht="15" x14ac:dyDescent="0.25"/>
    <row r="3548" s="3" customFormat="1" ht="15" x14ac:dyDescent="0.25"/>
    <row r="3549" s="3" customFormat="1" ht="15" x14ac:dyDescent="0.25"/>
    <row r="3550" s="3" customFormat="1" ht="15" x14ac:dyDescent="0.25"/>
    <row r="3551" s="3" customFormat="1" ht="15" x14ac:dyDescent="0.25"/>
    <row r="3552" s="3" customFormat="1" ht="15" x14ac:dyDescent="0.25"/>
    <row r="3553" s="3" customFormat="1" ht="15" x14ac:dyDescent="0.25"/>
    <row r="3554" s="3" customFormat="1" ht="15" x14ac:dyDescent="0.25"/>
    <row r="3555" s="3" customFormat="1" ht="15" x14ac:dyDescent="0.25"/>
    <row r="3556" s="3" customFormat="1" ht="15" x14ac:dyDescent="0.25"/>
    <row r="3557" s="3" customFormat="1" ht="15" x14ac:dyDescent="0.25"/>
    <row r="3558" s="3" customFormat="1" ht="15" x14ac:dyDescent="0.25"/>
    <row r="3559" s="3" customFormat="1" ht="15" x14ac:dyDescent="0.25"/>
    <row r="3560" s="3" customFormat="1" ht="15" x14ac:dyDescent="0.25"/>
    <row r="3561" s="3" customFormat="1" ht="15" x14ac:dyDescent="0.25"/>
    <row r="3562" s="3" customFormat="1" ht="15" x14ac:dyDescent="0.25"/>
    <row r="3563" s="3" customFormat="1" ht="15" x14ac:dyDescent="0.25"/>
    <row r="3564" s="3" customFormat="1" ht="15" x14ac:dyDescent="0.25"/>
    <row r="3565" s="3" customFormat="1" ht="15" x14ac:dyDescent="0.25"/>
    <row r="3566" s="3" customFormat="1" ht="15" x14ac:dyDescent="0.25"/>
    <row r="3567" s="3" customFormat="1" ht="15" x14ac:dyDescent="0.25"/>
    <row r="3568" s="3" customFormat="1" ht="15" x14ac:dyDescent="0.25"/>
    <row r="3569" s="3" customFormat="1" ht="15" x14ac:dyDescent="0.25"/>
    <row r="3570" s="3" customFormat="1" ht="15" x14ac:dyDescent="0.25"/>
    <row r="3571" s="3" customFormat="1" ht="15" x14ac:dyDescent="0.25"/>
    <row r="3572" s="3" customFormat="1" ht="15" x14ac:dyDescent="0.25"/>
    <row r="3573" s="3" customFormat="1" ht="15" x14ac:dyDescent="0.25"/>
    <row r="3574" s="3" customFormat="1" ht="15" x14ac:dyDescent="0.25"/>
    <row r="3575" s="3" customFormat="1" ht="15" x14ac:dyDescent="0.25"/>
    <row r="3576" s="3" customFormat="1" ht="15" x14ac:dyDescent="0.25"/>
    <row r="3577" s="3" customFormat="1" ht="15" x14ac:dyDescent="0.25"/>
    <row r="3578" s="3" customFormat="1" ht="15" x14ac:dyDescent="0.25"/>
    <row r="3579" s="3" customFormat="1" ht="15" x14ac:dyDescent="0.25"/>
    <row r="3580" s="3" customFormat="1" ht="15" x14ac:dyDescent="0.25"/>
    <row r="3581" s="3" customFormat="1" ht="15" x14ac:dyDescent="0.25"/>
    <row r="3582" s="3" customFormat="1" ht="15" x14ac:dyDescent="0.25"/>
    <row r="3583" s="3" customFormat="1" ht="15" x14ac:dyDescent="0.25"/>
    <row r="3584" s="3" customFormat="1" ht="15" x14ac:dyDescent="0.25"/>
    <row r="3585" s="3" customFormat="1" ht="15" x14ac:dyDescent="0.25"/>
    <row r="3586" s="3" customFormat="1" ht="15" x14ac:dyDescent="0.25"/>
    <row r="3587" s="3" customFormat="1" ht="15" x14ac:dyDescent="0.25"/>
    <row r="3588" s="3" customFormat="1" ht="15" x14ac:dyDescent="0.25"/>
    <row r="3589" s="3" customFormat="1" ht="15" x14ac:dyDescent="0.25"/>
    <row r="3590" s="3" customFormat="1" ht="15" x14ac:dyDescent="0.25"/>
    <row r="3591" s="3" customFormat="1" ht="15" x14ac:dyDescent="0.25"/>
    <row r="3592" s="3" customFormat="1" ht="15" x14ac:dyDescent="0.25"/>
    <row r="3593" s="3" customFormat="1" ht="15" x14ac:dyDescent="0.25"/>
    <row r="3594" s="3" customFormat="1" ht="15" x14ac:dyDescent="0.25"/>
    <row r="3595" s="3" customFormat="1" ht="15" x14ac:dyDescent="0.25"/>
    <row r="3596" s="3" customFormat="1" ht="15" x14ac:dyDescent="0.25"/>
    <row r="3597" s="3" customFormat="1" ht="15" x14ac:dyDescent="0.25"/>
    <row r="3598" s="3" customFormat="1" ht="15" x14ac:dyDescent="0.25"/>
    <row r="3599" s="3" customFormat="1" ht="15" x14ac:dyDescent="0.25"/>
    <row r="3600" s="3" customFormat="1" ht="15" x14ac:dyDescent="0.25"/>
    <row r="3601" s="3" customFormat="1" ht="15" x14ac:dyDescent="0.25"/>
    <row r="3602" s="3" customFormat="1" ht="15" x14ac:dyDescent="0.25"/>
    <row r="3603" s="3" customFormat="1" ht="15" x14ac:dyDescent="0.25"/>
    <row r="3604" s="3" customFormat="1" ht="15" x14ac:dyDescent="0.25"/>
    <row r="3605" s="3" customFormat="1" ht="15" x14ac:dyDescent="0.25"/>
    <row r="3606" s="3" customFormat="1" ht="15" x14ac:dyDescent="0.25"/>
    <row r="3607" s="3" customFormat="1" ht="15" x14ac:dyDescent="0.25"/>
    <row r="3608" s="3" customFormat="1" ht="15" x14ac:dyDescent="0.25"/>
    <row r="3609" s="3" customFormat="1" ht="15" x14ac:dyDescent="0.25"/>
    <row r="3610" s="3" customFormat="1" ht="15" x14ac:dyDescent="0.25"/>
    <row r="3611" s="3" customFormat="1" ht="15" x14ac:dyDescent="0.25"/>
    <row r="3612" s="3" customFormat="1" ht="15" x14ac:dyDescent="0.25"/>
    <row r="3613" s="3" customFormat="1" ht="15" x14ac:dyDescent="0.25"/>
    <row r="3614" s="3" customFormat="1" ht="15" x14ac:dyDescent="0.25"/>
    <row r="3615" s="3" customFormat="1" ht="15" x14ac:dyDescent="0.25"/>
    <row r="3616" s="3" customFormat="1" ht="15" x14ac:dyDescent="0.25"/>
    <row r="3617" s="3" customFormat="1" ht="15" x14ac:dyDescent="0.25"/>
    <row r="3618" s="3" customFormat="1" ht="15" x14ac:dyDescent="0.25"/>
    <row r="3619" s="3" customFormat="1" ht="15" x14ac:dyDescent="0.25"/>
    <row r="3620" s="3" customFormat="1" ht="15" x14ac:dyDescent="0.25"/>
    <row r="3621" s="3" customFormat="1" ht="15" x14ac:dyDescent="0.25"/>
    <row r="3622" s="3" customFormat="1" ht="15" x14ac:dyDescent="0.25"/>
    <row r="3623" s="3" customFormat="1" ht="15" x14ac:dyDescent="0.25"/>
    <row r="3624" s="3" customFormat="1" ht="15" x14ac:dyDescent="0.25"/>
    <row r="3625" s="3" customFormat="1" ht="15" x14ac:dyDescent="0.25"/>
    <row r="3626" s="3" customFormat="1" ht="15" x14ac:dyDescent="0.25"/>
    <row r="3627" s="3" customFormat="1" ht="15" x14ac:dyDescent="0.25"/>
    <row r="3628" s="3" customFormat="1" ht="15" x14ac:dyDescent="0.25"/>
    <row r="3629" s="3" customFormat="1" ht="15" x14ac:dyDescent="0.25"/>
    <row r="3630" s="3" customFormat="1" ht="15" x14ac:dyDescent="0.25"/>
    <row r="3631" s="3" customFormat="1" ht="15" x14ac:dyDescent="0.25"/>
    <row r="3632" s="3" customFormat="1" ht="15" x14ac:dyDescent="0.25"/>
    <row r="3633" s="3" customFormat="1" ht="15" x14ac:dyDescent="0.25"/>
    <row r="3634" s="3" customFormat="1" ht="15" x14ac:dyDescent="0.25"/>
    <row r="3635" s="3" customFormat="1" ht="15" x14ac:dyDescent="0.25"/>
    <row r="3636" s="3" customFormat="1" ht="15" x14ac:dyDescent="0.25"/>
    <row r="3637" s="3" customFormat="1" ht="15" x14ac:dyDescent="0.25"/>
    <row r="3638" s="3" customFormat="1" ht="15" x14ac:dyDescent="0.25"/>
    <row r="3639" s="3" customFormat="1" ht="15" x14ac:dyDescent="0.25"/>
    <row r="3640" s="3" customFormat="1" ht="15" x14ac:dyDescent="0.25"/>
    <row r="3641" s="3" customFormat="1" ht="15" x14ac:dyDescent="0.25"/>
    <row r="3642" s="3" customFormat="1" ht="15" x14ac:dyDescent="0.25"/>
    <row r="3643" s="3" customFormat="1" ht="15" x14ac:dyDescent="0.25"/>
    <row r="3644" s="3" customFormat="1" ht="15" x14ac:dyDescent="0.25"/>
    <row r="3645" s="3" customFormat="1" ht="15" x14ac:dyDescent="0.25"/>
    <row r="3646" s="3" customFormat="1" ht="15" x14ac:dyDescent="0.25"/>
    <row r="3647" s="3" customFormat="1" ht="15" x14ac:dyDescent="0.25"/>
    <row r="3648" s="3" customFormat="1" ht="15" x14ac:dyDescent="0.25"/>
    <row r="3649" s="3" customFormat="1" ht="15" x14ac:dyDescent="0.25"/>
    <row r="3650" s="3" customFormat="1" ht="15" x14ac:dyDescent="0.25"/>
    <row r="3651" s="3" customFormat="1" ht="15" x14ac:dyDescent="0.25"/>
    <row r="3652" s="3" customFormat="1" ht="15" x14ac:dyDescent="0.25"/>
    <row r="3653" s="3" customFormat="1" ht="15" x14ac:dyDescent="0.25"/>
    <row r="3654" s="3" customFormat="1" ht="15" x14ac:dyDescent="0.25"/>
    <row r="3655" s="3" customFormat="1" ht="15" x14ac:dyDescent="0.25"/>
    <row r="3656" s="3" customFormat="1" ht="15" x14ac:dyDescent="0.25"/>
    <row r="3657" s="3" customFormat="1" ht="15" x14ac:dyDescent="0.25"/>
    <row r="3658" s="3" customFormat="1" ht="15" x14ac:dyDescent="0.25"/>
    <row r="3659" s="3" customFormat="1" ht="15" x14ac:dyDescent="0.25"/>
    <row r="3660" s="3" customFormat="1" ht="15" x14ac:dyDescent="0.25"/>
    <row r="3661" s="3" customFormat="1" ht="15" x14ac:dyDescent="0.25"/>
    <row r="3662" s="3" customFormat="1" ht="15" x14ac:dyDescent="0.25"/>
    <row r="3663" s="3" customFormat="1" ht="15" x14ac:dyDescent="0.25"/>
    <row r="3664" s="3" customFormat="1" ht="15" x14ac:dyDescent="0.25"/>
    <row r="3665" s="3" customFormat="1" ht="15" x14ac:dyDescent="0.25"/>
    <row r="3666" s="3" customFormat="1" ht="15" x14ac:dyDescent="0.25"/>
    <row r="3667" s="3" customFormat="1" ht="15" x14ac:dyDescent="0.25"/>
    <row r="3668" s="3" customFormat="1" ht="15" x14ac:dyDescent="0.25"/>
    <row r="3669" s="3" customFormat="1" ht="15" x14ac:dyDescent="0.25"/>
    <row r="3670" s="3" customFormat="1" ht="15" x14ac:dyDescent="0.25"/>
    <row r="3671" s="3" customFormat="1" ht="15" x14ac:dyDescent="0.25"/>
    <row r="3672" s="3" customFormat="1" ht="15" x14ac:dyDescent="0.25"/>
    <row r="3673" s="3" customFormat="1" ht="15" x14ac:dyDescent="0.25"/>
    <row r="3674" s="3" customFormat="1" ht="15" x14ac:dyDescent="0.25"/>
    <row r="3675" s="3" customFormat="1" ht="15" x14ac:dyDescent="0.25"/>
    <row r="3676" s="3" customFormat="1" ht="15" x14ac:dyDescent="0.25"/>
    <row r="3677" s="3" customFormat="1" ht="15" x14ac:dyDescent="0.25"/>
    <row r="3678" s="3" customFormat="1" ht="15" x14ac:dyDescent="0.25"/>
    <row r="3679" s="3" customFormat="1" ht="15" x14ac:dyDescent="0.25"/>
    <row r="3680" s="3" customFormat="1" ht="15" x14ac:dyDescent="0.25"/>
    <row r="3681" s="3" customFormat="1" ht="15" x14ac:dyDescent="0.25"/>
    <row r="3682" s="3" customFormat="1" ht="15" x14ac:dyDescent="0.25"/>
    <row r="3683" s="3" customFormat="1" ht="15" x14ac:dyDescent="0.25"/>
    <row r="3684" s="3" customFormat="1" ht="15" x14ac:dyDescent="0.25"/>
    <row r="3685" s="3" customFormat="1" ht="15" x14ac:dyDescent="0.25"/>
    <row r="3686" s="3" customFormat="1" ht="15" x14ac:dyDescent="0.25"/>
    <row r="3687" s="3" customFormat="1" ht="15" x14ac:dyDescent="0.25"/>
    <row r="3688" s="3" customFormat="1" ht="15" x14ac:dyDescent="0.25"/>
    <row r="3689" s="3" customFormat="1" ht="15" x14ac:dyDescent="0.25"/>
    <row r="3690" s="3" customFormat="1" ht="15" x14ac:dyDescent="0.25"/>
    <row r="3691" s="3" customFormat="1" ht="15" x14ac:dyDescent="0.25"/>
    <row r="3692" s="3" customFormat="1" ht="15" x14ac:dyDescent="0.25"/>
    <row r="3693" s="3" customFormat="1" ht="15" x14ac:dyDescent="0.25"/>
    <row r="3694" s="3" customFormat="1" ht="15" x14ac:dyDescent="0.25"/>
    <row r="3695" s="3" customFormat="1" ht="15" x14ac:dyDescent="0.25"/>
    <row r="3696" s="3" customFormat="1" ht="15" x14ac:dyDescent="0.25"/>
    <row r="3697" s="3" customFormat="1" ht="15" x14ac:dyDescent="0.25"/>
    <row r="3698" s="3" customFormat="1" ht="15" x14ac:dyDescent="0.25"/>
    <row r="3699" s="3" customFormat="1" ht="15" x14ac:dyDescent="0.25"/>
    <row r="3700" s="3" customFormat="1" ht="15" x14ac:dyDescent="0.25"/>
    <row r="3701" s="3" customFormat="1" ht="15" x14ac:dyDescent="0.25"/>
    <row r="3702" s="3" customFormat="1" ht="15" x14ac:dyDescent="0.25"/>
    <row r="3703" s="3" customFormat="1" ht="15" x14ac:dyDescent="0.25"/>
    <row r="3704" s="3" customFormat="1" ht="15" x14ac:dyDescent="0.25"/>
    <row r="3705" s="3" customFormat="1" ht="15" x14ac:dyDescent="0.25"/>
    <row r="3706" s="3" customFormat="1" ht="15" x14ac:dyDescent="0.25"/>
    <row r="3707" s="3" customFormat="1" ht="15" x14ac:dyDescent="0.25"/>
    <row r="3708" s="3" customFormat="1" ht="15" x14ac:dyDescent="0.25"/>
    <row r="3709" s="3" customFormat="1" ht="15" x14ac:dyDescent="0.25"/>
    <row r="3710" s="3" customFormat="1" ht="15" x14ac:dyDescent="0.25"/>
    <row r="3711" s="3" customFormat="1" ht="15" x14ac:dyDescent="0.25"/>
    <row r="3712" s="3" customFormat="1" ht="15" x14ac:dyDescent="0.25"/>
    <row r="3713" s="3" customFormat="1" ht="15" x14ac:dyDescent="0.25"/>
    <row r="3714" s="3" customFormat="1" ht="15" x14ac:dyDescent="0.25"/>
    <row r="3715" s="3" customFormat="1" ht="15" x14ac:dyDescent="0.25"/>
    <row r="3716" s="3" customFormat="1" ht="15" x14ac:dyDescent="0.25"/>
    <row r="3717" s="3" customFormat="1" ht="15" x14ac:dyDescent="0.25"/>
    <row r="3718" s="3" customFormat="1" ht="15" x14ac:dyDescent="0.25"/>
    <row r="3719" s="3" customFormat="1" ht="15" x14ac:dyDescent="0.25"/>
    <row r="3720" s="3" customFormat="1" ht="15" x14ac:dyDescent="0.25"/>
    <row r="3721" s="3" customFormat="1" ht="15" x14ac:dyDescent="0.25"/>
    <row r="3722" s="3" customFormat="1" ht="15" x14ac:dyDescent="0.25"/>
    <row r="3723" s="3" customFormat="1" ht="15" x14ac:dyDescent="0.25"/>
    <row r="3724" s="3" customFormat="1" ht="15" x14ac:dyDescent="0.25"/>
    <row r="3725" s="3" customFormat="1" ht="15" x14ac:dyDescent="0.25"/>
    <row r="3726" s="3" customFormat="1" ht="15" x14ac:dyDescent="0.25"/>
    <row r="3727" s="3" customFormat="1" ht="15" x14ac:dyDescent="0.25"/>
    <row r="3728" s="3" customFormat="1" ht="15" x14ac:dyDescent="0.25"/>
    <row r="3729" s="3" customFormat="1" ht="15" x14ac:dyDescent="0.25"/>
    <row r="3730" s="3" customFormat="1" ht="15" x14ac:dyDescent="0.25"/>
    <row r="3731" s="3" customFormat="1" ht="15" x14ac:dyDescent="0.25"/>
    <row r="3732" s="3" customFormat="1" ht="15" x14ac:dyDescent="0.25"/>
    <row r="3733" s="3" customFormat="1" ht="15" x14ac:dyDescent="0.25"/>
    <row r="3734" s="3" customFormat="1" ht="15" x14ac:dyDescent="0.25"/>
    <row r="3735" s="3" customFormat="1" ht="15" x14ac:dyDescent="0.25"/>
    <row r="3736" s="3" customFormat="1" ht="15" x14ac:dyDescent="0.25"/>
    <row r="3737" s="3" customFormat="1" ht="15" x14ac:dyDescent="0.25"/>
    <row r="3738" s="3" customFormat="1" ht="15" x14ac:dyDescent="0.25"/>
    <row r="3739" s="3" customFormat="1" ht="15" x14ac:dyDescent="0.25"/>
    <row r="3740" s="3" customFormat="1" ht="15" x14ac:dyDescent="0.25"/>
    <row r="3741" s="3" customFormat="1" ht="15" x14ac:dyDescent="0.25"/>
    <row r="3742" s="3" customFormat="1" ht="15" x14ac:dyDescent="0.25"/>
    <row r="3743" s="3" customFormat="1" ht="15" x14ac:dyDescent="0.25"/>
    <row r="3744" s="3" customFormat="1" ht="15" x14ac:dyDescent="0.25"/>
    <row r="3745" s="3" customFormat="1" ht="15" x14ac:dyDescent="0.25"/>
    <row r="3746" s="3" customFormat="1" ht="15" x14ac:dyDescent="0.25"/>
    <row r="3747" s="3" customFormat="1" ht="15" x14ac:dyDescent="0.25"/>
    <row r="3748" s="3" customFormat="1" ht="15" x14ac:dyDescent="0.25"/>
    <row r="3749" s="3" customFormat="1" ht="15" x14ac:dyDescent="0.25"/>
    <row r="3750" s="3" customFormat="1" ht="15" x14ac:dyDescent="0.25"/>
    <row r="3751" s="3" customFormat="1" ht="15" x14ac:dyDescent="0.25"/>
    <row r="3752" s="3" customFormat="1" ht="15" x14ac:dyDescent="0.25"/>
    <row r="3753" s="3" customFormat="1" ht="15" x14ac:dyDescent="0.25"/>
    <row r="3754" s="3" customFormat="1" ht="15" x14ac:dyDescent="0.25"/>
    <row r="3755" s="3" customFormat="1" ht="15" x14ac:dyDescent="0.25"/>
    <row r="3756" s="3" customFormat="1" ht="15" x14ac:dyDescent="0.25"/>
    <row r="3757" s="3" customFormat="1" ht="15" x14ac:dyDescent="0.25"/>
    <row r="3758" s="3" customFormat="1" ht="15" x14ac:dyDescent="0.25"/>
    <row r="3759" s="3" customFormat="1" ht="15" x14ac:dyDescent="0.25"/>
    <row r="3760" s="3" customFormat="1" ht="15" x14ac:dyDescent="0.25"/>
    <row r="3761" s="3" customFormat="1" ht="15" x14ac:dyDescent="0.25"/>
    <row r="3762" s="3" customFormat="1" ht="15" x14ac:dyDescent="0.25"/>
    <row r="3763" s="3" customFormat="1" ht="15" x14ac:dyDescent="0.25"/>
    <row r="3764" s="3" customFormat="1" ht="15" x14ac:dyDescent="0.25"/>
    <row r="3765" s="3" customFormat="1" ht="15" x14ac:dyDescent="0.25"/>
    <row r="3766" s="3" customFormat="1" ht="15" x14ac:dyDescent="0.25"/>
    <row r="3767" s="3" customFormat="1" ht="15" x14ac:dyDescent="0.25"/>
    <row r="3768" s="3" customFormat="1" ht="15" x14ac:dyDescent="0.25"/>
    <row r="3769" s="3" customFormat="1" ht="15" x14ac:dyDescent="0.25"/>
    <row r="3770" s="3" customFormat="1" ht="15" x14ac:dyDescent="0.25"/>
    <row r="3771" s="3" customFormat="1" ht="15" x14ac:dyDescent="0.25"/>
    <row r="3772" s="3" customFormat="1" ht="15" x14ac:dyDescent="0.25"/>
    <row r="3773" s="3" customFormat="1" ht="15" x14ac:dyDescent="0.25"/>
    <row r="3774" s="3" customFormat="1" ht="15" x14ac:dyDescent="0.25"/>
    <row r="3775" s="3" customFormat="1" ht="15" x14ac:dyDescent="0.25"/>
    <row r="3776" s="3" customFormat="1" ht="15" x14ac:dyDescent="0.25"/>
    <row r="3777" s="3" customFormat="1" ht="15" x14ac:dyDescent="0.25"/>
    <row r="3778" s="3" customFormat="1" ht="15" x14ac:dyDescent="0.25"/>
    <row r="3779" s="3" customFormat="1" ht="15" x14ac:dyDescent="0.25"/>
    <row r="3780" s="3" customFormat="1" ht="15" x14ac:dyDescent="0.25"/>
    <row r="3781" s="3" customFormat="1" ht="15" x14ac:dyDescent="0.25"/>
    <row r="3782" s="3" customFormat="1" ht="15" x14ac:dyDescent="0.25"/>
    <row r="3783" s="3" customFormat="1" ht="15" x14ac:dyDescent="0.25"/>
    <row r="3784" s="3" customFormat="1" ht="15" x14ac:dyDescent="0.25"/>
    <row r="3785" s="3" customFormat="1" ht="15" x14ac:dyDescent="0.25"/>
    <row r="3786" s="3" customFormat="1" ht="15" x14ac:dyDescent="0.25"/>
    <row r="3787" s="3" customFormat="1" ht="15" x14ac:dyDescent="0.25"/>
    <row r="3788" s="3" customFormat="1" ht="15" x14ac:dyDescent="0.25"/>
    <row r="3789" s="3" customFormat="1" ht="15" x14ac:dyDescent="0.25"/>
    <row r="3790" s="3" customFormat="1" ht="15" x14ac:dyDescent="0.25"/>
    <row r="3791" s="3" customFormat="1" ht="15" x14ac:dyDescent="0.25"/>
    <row r="3792" s="3" customFormat="1" ht="15" x14ac:dyDescent="0.25"/>
    <row r="3793" s="3" customFormat="1" ht="15" x14ac:dyDescent="0.25"/>
    <row r="3794" s="3" customFormat="1" ht="15" x14ac:dyDescent="0.25"/>
    <row r="3795" s="3" customFormat="1" ht="15" x14ac:dyDescent="0.25"/>
    <row r="3796" s="3" customFormat="1" ht="15" x14ac:dyDescent="0.25"/>
    <row r="3797" s="3" customFormat="1" ht="15" x14ac:dyDescent="0.25"/>
    <row r="3798" s="3" customFormat="1" ht="15" x14ac:dyDescent="0.25"/>
    <row r="3799" s="3" customFormat="1" ht="15" x14ac:dyDescent="0.25"/>
    <row r="3800" s="3" customFormat="1" ht="15" x14ac:dyDescent="0.25"/>
    <row r="3801" s="3" customFormat="1" ht="15" x14ac:dyDescent="0.25"/>
    <row r="3802" s="3" customFormat="1" ht="15" x14ac:dyDescent="0.25"/>
    <row r="3803" s="3" customFormat="1" ht="15" x14ac:dyDescent="0.25"/>
    <row r="3804" s="3" customFormat="1" ht="15" x14ac:dyDescent="0.25"/>
    <row r="3805" s="3" customFormat="1" ht="15" x14ac:dyDescent="0.25"/>
    <row r="3806" s="3" customFormat="1" ht="15" x14ac:dyDescent="0.25"/>
    <row r="3807" s="3" customFormat="1" ht="15" x14ac:dyDescent="0.25"/>
    <row r="3808" s="3" customFormat="1" ht="15" x14ac:dyDescent="0.25"/>
    <row r="3809" s="3" customFormat="1" ht="15" x14ac:dyDescent="0.25"/>
    <row r="3810" s="3" customFormat="1" ht="15" x14ac:dyDescent="0.25"/>
    <row r="3811" s="3" customFormat="1" ht="15" x14ac:dyDescent="0.25"/>
    <row r="3812" s="3" customFormat="1" ht="15" x14ac:dyDescent="0.25"/>
    <row r="3813" s="3" customFormat="1" ht="15" x14ac:dyDescent="0.25"/>
    <row r="3814" s="3" customFormat="1" ht="15" x14ac:dyDescent="0.25"/>
    <row r="3815" s="3" customFormat="1" ht="15" x14ac:dyDescent="0.25"/>
    <row r="3816" s="3" customFormat="1" ht="15" x14ac:dyDescent="0.25"/>
    <row r="3817" s="3" customFormat="1" ht="15" x14ac:dyDescent="0.25"/>
    <row r="3818" s="3" customFormat="1" ht="15" x14ac:dyDescent="0.25"/>
    <row r="3819" s="3" customFormat="1" ht="15" x14ac:dyDescent="0.25"/>
    <row r="3820" s="3" customFormat="1" ht="15" x14ac:dyDescent="0.25"/>
    <row r="3821" s="3" customFormat="1" ht="15" x14ac:dyDescent="0.25"/>
    <row r="3822" s="3" customFormat="1" ht="15" x14ac:dyDescent="0.25"/>
    <row r="3823" s="3" customFormat="1" ht="15" x14ac:dyDescent="0.25"/>
    <row r="3824" s="3" customFormat="1" ht="15" x14ac:dyDescent="0.25"/>
    <row r="3825" s="3" customFormat="1" ht="15" x14ac:dyDescent="0.25"/>
    <row r="3826" s="3" customFormat="1" ht="15" x14ac:dyDescent="0.25"/>
    <row r="3827" s="3" customFormat="1" ht="15" x14ac:dyDescent="0.25"/>
    <row r="3828" s="3" customFormat="1" ht="15" x14ac:dyDescent="0.25"/>
    <row r="3829" s="3" customFormat="1" ht="15" x14ac:dyDescent="0.25"/>
    <row r="3830" s="3" customFormat="1" ht="15" x14ac:dyDescent="0.25"/>
    <row r="3831" s="3" customFormat="1" ht="15" x14ac:dyDescent="0.25"/>
    <row r="3832" s="3" customFormat="1" ht="15" x14ac:dyDescent="0.25"/>
    <row r="3833" s="3" customFormat="1" ht="15" x14ac:dyDescent="0.25"/>
    <row r="3834" s="3" customFormat="1" ht="15" x14ac:dyDescent="0.25"/>
    <row r="3835" s="3" customFormat="1" ht="15" x14ac:dyDescent="0.25"/>
    <row r="3836" s="3" customFormat="1" ht="15" x14ac:dyDescent="0.25"/>
    <row r="3837" s="3" customFormat="1" ht="15" x14ac:dyDescent="0.25"/>
    <row r="3838" s="3" customFormat="1" ht="15" x14ac:dyDescent="0.25"/>
    <row r="3839" s="3" customFormat="1" ht="15" x14ac:dyDescent="0.25"/>
    <row r="3840" s="3" customFormat="1" ht="15" x14ac:dyDescent="0.25"/>
    <row r="3841" s="3" customFormat="1" ht="15" x14ac:dyDescent="0.25"/>
    <row r="3842" s="3" customFormat="1" ht="15" x14ac:dyDescent="0.25"/>
    <row r="3843" s="3" customFormat="1" ht="15" x14ac:dyDescent="0.25"/>
    <row r="3844" s="3" customFormat="1" ht="15" x14ac:dyDescent="0.25"/>
    <row r="3845" s="3" customFormat="1" ht="15" x14ac:dyDescent="0.25"/>
    <row r="3846" s="3" customFormat="1" ht="15" x14ac:dyDescent="0.25"/>
    <row r="3847" s="3" customFormat="1" ht="15" x14ac:dyDescent="0.25"/>
    <row r="3848" s="3" customFormat="1" ht="15" x14ac:dyDescent="0.25"/>
    <row r="3849" s="3" customFormat="1" ht="15" x14ac:dyDescent="0.25"/>
    <row r="3850" s="3" customFormat="1" ht="15" x14ac:dyDescent="0.25"/>
    <row r="3851" s="3" customFormat="1" ht="15" x14ac:dyDescent="0.25"/>
    <row r="3852" s="3" customFormat="1" ht="15" x14ac:dyDescent="0.25"/>
    <row r="3853" s="3" customFormat="1" ht="15" x14ac:dyDescent="0.25"/>
    <row r="3854" s="3" customFormat="1" ht="15" x14ac:dyDescent="0.25"/>
    <row r="3855" s="3" customFormat="1" ht="15" x14ac:dyDescent="0.25"/>
    <row r="3856" s="3" customFormat="1" ht="15" x14ac:dyDescent="0.25"/>
    <row r="3857" s="3" customFormat="1" ht="15" x14ac:dyDescent="0.25"/>
    <row r="3858" s="3" customFormat="1" ht="15" x14ac:dyDescent="0.25"/>
    <row r="3859" s="3" customFormat="1" ht="15" x14ac:dyDescent="0.25"/>
    <row r="3860" s="3" customFormat="1" ht="15" x14ac:dyDescent="0.25"/>
    <row r="3861" s="3" customFormat="1" ht="15" x14ac:dyDescent="0.25"/>
    <row r="3862" s="3" customFormat="1" ht="15" x14ac:dyDescent="0.25"/>
    <row r="3863" s="3" customFormat="1" ht="15" x14ac:dyDescent="0.25"/>
    <row r="3864" s="3" customFormat="1" ht="15" x14ac:dyDescent="0.25"/>
    <row r="3865" s="3" customFormat="1" ht="15" x14ac:dyDescent="0.25"/>
    <row r="3866" s="3" customFormat="1" ht="15" x14ac:dyDescent="0.25"/>
    <row r="3867" s="3" customFormat="1" ht="15" x14ac:dyDescent="0.25"/>
    <row r="3868" s="3" customFormat="1" ht="15" x14ac:dyDescent="0.25"/>
    <row r="3869" s="3" customFormat="1" ht="15" x14ac:dyDescent="0.25"/>
    <row r="3870" s="3" customFormat="1" ht="15" x14ac:dyDescent="0.25"/>
    <row r="3871" s="3" customFormat="1" ht="15" x14ac:dyDescent="0.25"/>
    <row r="3872" s="3" customFormat="1" ht="15" x14ac:dyDescent="0.25"/>
    <row r="3873" s="3" customFormat="1" ht="15" x14ac:dyDescent="0.25"/>
    <row r="3874" s="3" customFormat="1" ht="15" x14ac:dyDescent="0.25"/>
    <row r="3875" s="3" customFormat="1" ht="15" x14ac:dyDescent="0.25"/>
    <row r="3876" s="3" customFormat="1" ht="15" x14ac:dyDescent="0.25"/>
    <row r="3877" s="3" customFormat="1" ht="15" x14ac:dyDescent="0.25"/>
    <row r="3878" s="3" customFormat="1" ht="15" x14ac:dyDescent="0.25"/>
    <row r="3879" s="3" customFormat="1" ht="15" x14ac:dyDescent="0.25"/>
    <row r="3880" s="3" customFormat="1" ht="15" x14ac:dyDescent="0.25"/>
    <row r="3881" s="3" customFormat="1" ht="15" x14ac:dyDescent="0.25"/>
    <row r="3882" s="3" customFormat="1" ht="15" x14ac:dyDescent="0.25"/>
    <row r="3883" s="3" customFormat="1" ht="15" x14ac:dyDescent="0.25"/>
    <row r="3884" s="3" customFormat="1" ht="15" x14ac:dyDescent="0.25"/>
    <row r="3885" s="3" customFormat="1" ht="15" x14ac:dyDescent="0.25"/>
    <row r="3886" s="3" customFormat="1" ht="15" x14ac:dyDescent="0.25"/>
    <row r="3887" s="3" customFormat="1" ht="15" x14ac:dyDescent="0.25"/>
    <row r="3888" s="3" customFormat="1" ht="15" x14ac:dyDescent="0.25"/>
    <row r="3889" s="3" customFormat="1" ht="15" x14ac:dyDescent="0.25"/>
    <row r="3890" s="3" customFormat="1" ht="15" x14ac:dyDescent="0.25"/>
    <row r="3891" s="3" customFormat="1" ht="15" x14ac:dyDescent="0.25"/>
    <row r="3892" s="3" customFormat="1" ht="15" x14ac:dyDescent="0.25"/>
    <row r="3893" s="3" customFormat="1" ht="15" x14ac:dyDescent="0.25"/>
    <row r="3894" s="3" customFormat="1" ht="15" x14ac:dyDescent="0.25"/>
    <row r="3895" s="3" customFormat="1" ht="15" x14ac:dyDescent="0.25"/>
    <row r="3896" s="3" customFormat="1" ht="15" x14ac:dyDescent="0.25"/>
    <row r="3897" s="3" customFormat="1" ht="15" x14ac:dyDescent="0.25"/>
    <row r="3898" s="3" customFormat="1" ht="15" x14ac:dyDescent="0.25"/>
    <row r="3899" s="3" customFormat="1" ht="15" x14ac:dyDescent="0.25"/>
    <row r="3900" s="3" customFormat="1" ht="15" x14ac:dyDescent="0.25"/>
    <row r="3901" s="3" customFormat="1" ht="15" x14ac:dyDescent="0.25"/>
    <row r="3902" s="3" customFormat="1" ht="15" x14ac:dyDescent="0.25"/>
    <row r="3903" s="3" customFormat="1" ht="15" x14ac:dyDescent="0.25"/>
    <row r="3904" s="3" customFormat="1" ht="15" x14ac:dyDescent="0.25"/>
    <row r="3905" s="3" customFormat="1" ht="15" x14ac:dyDescent="0.25"/>
    <row r="3906" s="3" customFormat="1" ht="15" x14ac:dyDescent="0.25"/>
    <row r="3907" s="3" customFormat="1" ht="15" x14ac:dyDescent="0.25"/>
    <row r="3908" s="3" customFormat="1" ht="15" x14ac:dyDescent="0.25"/>
    <row r="3909" s="3" customFormat="1" ht="15" x14ac:dyDescent="0.25"/>
    <row r="3910" s="3" customFormat="1" ht="15" x14ac:dyDescent="0.25"/>
    <row r="3911" s="3" customFormat="1" ht="15" x14ac:dyDescent="0.25"/>
    <row r="3912" s="3" customFormat="1" ht="15" x14ac:dyDescent="0.25"/>
    <row r="3913" s="3" customFormat="1" ht="15" x14ac:dyDescent="0.25"/>
    <row r="3914" s="3" customFormat="1" ht="15" x14ac:dyDescent="0.25"/>
    <row r="3915" s="3" customFormat="1" ht="15" x14ac:dyDescent="0.25"/>
    <row r="3916" s="3" customFormat="1" ht="15" x14ac:dyDescent="0.25"/>
    <row r="3917" s="3" customFormat="1" ht="15" x14ac:dyDescent="0.25"/>
    <row r="3918" s="3" customFormat="1" ht="15" x14ac:dyDescent="0.25"/>
    <row r="3919" s="3" customFormat="1" ht="15" x14ac:dyDescent="0.25"/>
    <row r="3920" s="3" customFormat="1" ht="15" x14ac:dyDescent="0.25"/>
    <row r="3921" s="3" customFormat="1" ht="15" x14ac:dyDescent="0.25"/>
    <row r="3922" s="3" customFormat="1" ht="15" x14ac:dyDescent="0.25"/>
    <row r="3923" s="3" customFormat="1" ht="15" x14ac:dyDescent="0.25"/>
    <row r="3924" s="3" customFormat="1" ht="15" x14ac:dyDescent="0.25"/>
    <row r="3925" s="3" customFormat="1" ht="15" x14ac:dyDescent="0.25"/>
    <row r="3926" s="3" customFormat="1" ht="15" x14ac:dyDescent="0.25"/>
    <row r="3927" s="3" customFormat="1" ht="15" x14ac:dyDescent="0.25"/>
    <row r="3928" s="3" customFormat="1" ht="15" x14ac:dyDescent="0.25"/>
    <row r="3929" s="3" customFormat="1" ht="15" x14ac:dyDescent="0.25"/>
    <row r="3930" s="3" customFormat="1" ht="15" x14ac:dyDescent="0.25"/>
    <row r="3931" s="3" customFormat="1" ht="15" x14ac:dyDescent="0.25"/>
    <row r="3932" s="3" customFormat="1" ht="15" x14ac:dyDescent="0.25"/>
    <row r="3933" s="3" customFormat="1" ht="15" x14ac:dyDescent="0.25"/>
    <row r="3934" s="3" customFormat="1" ht="15" x14ac:dyDescent="0.25"/>
    <row r="3935" s="3" customFormat="1" ht="15" x14ac:dyDescent="0.25"/>
    <row r="3936" s="3" customFormat="1" ht="15" x14ac:dyDescent="0.25"/>
    <row r="3937" s="3" customFormat="1" ht="15" x14ac:dyDescent="0.25"/>
    <row r="3938" s="3" customFormat="1" ht="15" x14ac:dyDescent="0.25"/>
    <row r="3939" s="3" customFormat="1" ht="15" x14ac:dyDescent="0.25"/>
    <row r="3940" s="3" customFormat="1" ht="15" x14ac:dyDescent="0.25"/>
    <row r="3941" s="3" customFormat="1" ht="15" x14ac:dyDescent="0.25"/>
    <row r="3942" s="3" customFormat="1" ht="15" x14ac:dyDescent="0.25"/>
    <row r="3943" s="3" customFormat="1" ht="15" x14ac:dyDescent="0.25"/>
    <row r="3944" s="3" customFormat="1" ht="15" x14ac:dyDescent="0.25"/>
    <row r="3945" s="3" customFormat="1" ht="15" x14ac:dyDescent="0.25"/>
    <row r="3946" s="3" customFormat="1" ht="15" x14ac:dyDescent="0.25"/>
    <row r="3947" s="3" customFormat="1" ht="15" x14ac:dyDescent="0.25"/>
    <row r="3948" s="3" customFormat="1" ht="15" x14ac:dyDescent="0.25"/>
    <row r="3949" s="3" customFormat="1" ht="15" x14ac:dyDescent="0.25"/>
    <row r="3950" s="3" customFormat="1" ht="15" x14ac:dyDescent="0.25"/>
    <row r="3951" s="3" customFormat="1" ht="15" x14ac:dyDescent="0.25"/>
    <row r="3952" s="3" customFormat="1" ht="15" x14ac:dyDescent="0.25"/>
    <row r="3953" s="3" customFormat="1" ht="15" x14ac:dyDescent="0.25"/>
    <row r="3954" s="3" customFormat="1" ht="15" x14ac:dyDescent="0.25"/>
    <row r="3955" s="3" customFormat="1" ht="15" x14ac:dyDescent="0.25"/>
    <row r="3956" s="3" customFormat="1" ht="15" x14ac:dyDescent="0.25"/>
    <row r="3957" s="3" customFormat="1" ht="15" x14ac:dyDescent="0.25"/>
    <row r="3958" s="3" customFormat="1" ht="15" x14ac:dyDescent="0.25"/>
    <row r="3959" s="3" customFormat="1" ht="15" x14ac:dyDescent="0.25"/>
    <row r="3960" s="3" customFormat="1" ht="15" x14ac:dyDescent="0.25"/>
    <row r="3961" s="3" customFormat="1" ht="15" x14ac:dyDescent="0.25"/>
    <row r="3962" s="3" customFormat="1" ht="15" x14ac:dyDescent="0.25"/>
    <row r="3963" s="3" customFormat="1" ht="15" x14ac:dyDescent="0.25"/>
    <row r="3964" s="3" customFormat="1" ht="15" x14ac:dyDescent="0.25"/>
    <row r="3965" s="3" customFormat="1" ht="15" x14ac:dyDescent="0.25"/>
    <row r="3966" s="3" customFormat="1" ht="15" x14ac:dyDescent="0.25"/>
    <row r="3967" s="3" customFormat="1" ht="15" x14ac:dyDescent="0.25"/>
    <row r="3968" s="3" customFormat="1" ht="15" x14ac:dyDescent="0.25"/>
    <row r="3969" s="3" customFormat="1" ht="15" x14ac:dyDescent="0.25"/>
    <row r="3970" s="3" customFormat="1" ht="15" x14ac:dyDescent="0.25"/>
    <row r="3971" s="3" customFormat="1" ht="15" x14ac:dyDescent="0.25"/>
    <row r="3972" s="3" customFormat="1" ht="15" x14ac:dyDescent="0.25"/>
    <row r="3973" s="3" customFormat="1" ht="15" x14ac:dyDescent="0.25"/>
    <row r="3974" s="3" customFormat="1" ht="15" x14ac:dyDescent="0.25"/>
    <row r="3975" s="3" customFormat="1" ht="15" x14ac:dyDescent="0.25"/>
    <row r="3976" s="3" customFormat="1" ht="15" x14ac:dyDescent="0.25"/>
    <row r="3977" s="3" customFormat="1" ht="15" x14ac:dyDescent="0.25"/>
    <row r="3978" s="3" customFormat="1" ht="15" x14ac:dyDescent="0.25"/>
    <row r="3979" s="3" customFormat="1" ht="15" x14ac:dyDescent="0.25"/>
    <row r="3980" s="3" customFormat="1" ht="15" x14ac:dyDescent="0.25"/>
    <row r="3981" s="3" customFormat="1" ht="15" x14ac:dyDescent="0.25"/>
    <row r="3982" s="3" customFormat="1" ht="15" x14ac:dyDescent="0.25"/>
    <row r="3983" s="3" customFormat="1" ht="15" x14ac:dyDescent="0.25"/>
    <row r="3984" s="3" customFormat="1" ht="15" x14ac:dyDescent="0.25"/>
    <row r="3985" s="3" customFormat="1" ht="15" x14ac:dyDescent="0.25"/>
    <row r="3986" s="3" customFormat="1" ht="15" x14ac:dyDescent="0.25"/>
    <row r="3987" s="3" customFormat="1" ht="15" x14ac:dyDescent="0.25"/>
    <row r="3988" s="3" customFormat="1" ht="15" x14ac:dyDescent="0.25"/>
    <row r="3989" s="3" customFormat="1" ht="15" x14ac:dyDescent="0.25"/>
    <row r="3990" s="3" customFormat="1" ht="15" x14ac:dyDescent="0.25"/>
    <row r="3991" s="3" customFormat="1" ht="15" x14ac:dyDescent="0.25"/>
    <row r="3992" s="3" customFormat="1" ht="15" x14ac:dyDescent="0.25"/>
    <row r="3993" s="3" customFormat="1" ht="15" x14ac:dyDescent="0.25"/>
    <row r="3994" s="3" customFormat="1" ht="15" x14ac:dyDescent="0.25"/>
    <row r="3995" s="3" customFormat="1" ht="15" x14ac:dyDescent="0.25"/>
    <row r="3996" s="3" customFormat="1" ht="15" x14ac:dyDescent="0.25"/>
    <row r="3997" s="3" customFormat="1" ht="15" x14ac:dyDescent="0.25"/>
    <row r="3998" s="3" customFormat="1" ht="15" x14ac:dyDescent="0.25"/>
    <row r="3999" s="3" customFormat="1" ht="15" x14ac:dyDescent="0.25"/>
    <row r="4000" s="3" customFormat="1" ht="15" x14ac:dyDescent="0.25"/>
    <row r="4001" s="3" customFormat="1" ht="15" x14ac:dyDescent="0.25"/>
    <row r="4002" s="3" customFormat="1" ht="15" x14ac:dyDescent="0.25"/>
    <row r="4003" s="3" customFormat="1" ht="15" x14ac:dyDescent="0.25"/>
    <row r="4004" s="3" customFormat="1" ht="15" x14ac:dyDescent="0.25"/>
    <row r="4005" s="3" customFormat="1" ht="15" x14ac:dyDescent="0.25"/>
    <row r="4006" s="3" customFormat="1" ht="15" x14ac:dyDescent="0.25"/>
    <row r="4007" s="3" customFormat="1" ht="15" x14ac:dyDescent="0.25"/>
    <row r="4008" s="3" customFormat="1" ht="15" x14ac:dyDescent="0.25"/>
    <row r="4009" s="3" customFormat="1" ht="15" x14ac:dyDescent="0.25"/>
    <row r="4010" s="3" customFormat="1" ht="15" x14ac:dyDescent="0.25"/>
    <row r="4011" s="3" customFormat="1" ht="15" x14ac:dyDescent="0.25"/>
    <row r="4012" s="3" customFormat="1" ht="15" x14ac:dyDescent="0.25"/>
    <row r="4013" s="3" customFormat="1" ht="15" x14ac:dyDescent="0.25"/>
    <row r="4014" s="3" customFormat="1" ht="15" x14ac:dyDescent="0.25"/>
    <row r="4015" s="3" customFormat="1" ht="15" x14ac:dyDescent="0.25"/>
    <row r="4016" s="3" customFormat="1" ht="15" x14ac:dyDescent="0.25"/>
    <row r="4017" s="3" customFormat="1" ht="15" x14ac:dyDescent="0.25"/>
    <row r="4018" s="3" customFormat="1" ht="15" x14ac:dyDescent="0.25"/>
    <row r="4019" s="3" customFormat="1" ht="15" x14ac:dyDescent="0.25"/>
    <row r="4020" s="3" customFormat="1" ht="15" x14ac:dyDescent="0.25"/>
    <row r="4021" s="3" customFormat="1" ht="15" x14ac:dyDescent="0.25"/>
    <row r="4022" s="3" customFormat="1" ht="15" x14ac:dyDescent="0.25"/>
    <row r="4023" s="3" customFormat="1" ht="15" x14ac:dyDescent="0.25"/>
    <row r="4024" s="3" customFormat="1" ht="15" x14ac:dyDescent="0.25"/>
    <row r="4025" s="3" customFormat="1" ht="15" x14ac:dyDescent="0.25"/>
    <row r="4026" s="3" customFormat="1" ht="15" x14ac:dyDescent="0.25"/>
    <row r="4027" s="3" customFormat="1" ht="15" x14ac:dyDescent="0.25"/>
    <row r="4028" s="3" customFormat="1" ht="15" x14ac:dyDescent="0.25"/>
    <row r="4029" s="3" customFormat="1" ht="15" x14ac:dyDescent="0.25"/>
    <row r="4030" s="3" customFormat="1" ht="15" x14ac:dyDescent="0.25"/>
    <row r="4031" s="3" customFormat="1" ht="15" x14ac:dyDescent="0.25"/>
    <row r="4032" s="3" customFormat="1" ht="15" x14ac:dyDescent="0.25"/>
    <row r="4033" s="3" customFormat="1" ht="15" x14ac:dyDescent="0.25"/>
    <row r="4034" s="3" customFormat="1" ht="15" x14ac:dyDescent="0.25"/>
    <row r="4035" s="3" customFormat="1" ht="15" x14ac:dyDescent="0.25"/>
    <row r="4036" s="3" customFormat="1" ht="15" x14ac:dyDescent="0.25"/>
    <row r="4037" s="3" customFormat="1" ht="15" x14ac:dyDescent="0.25"/>
    <row r="4038" s="3" customFormat="1" ht="15" x14ac:dyDescent="0.25"/>
    <row r="4039" s="3" customFormat="1" ht="15" x14ac:dyDescent="0.25"/>
    <row r="4040" s="3" customFormat="1" ht="15" x14ac:dyDescent="0.25"/>
    <row r="4041" s="3" customFormat="1" ht="15" x14ac:dyDescent="0.25"/>
    <row r="4042" s="3" customFormat="1" ht="15" x14ac:dyDescent="0.25"/>
    <row r="4043" s="3" customFormat="1" ht="15" x14ac:dyDescent="0.25"/>
    <row r="4044" s="3" customFormat="1" ht="15" x14ac:dyDescent="0.25"/>
    <row r="4045" s="3" customFormat="1" ht="15" x14ac:dyDescent="0.25"/>
    <row r="4046" s="3" customFormat="1" ht="15" x14ac:dyDescent="0.25"/>
    <row r="4047" s="3" customFormat="1" ht="15" x14ac:dyDescent="0.25"/>
    <row r="4048" s="3" customFormat="1" ht="15" x14ac:dyDescent="0.25"/>
    <row r="4049" s="3" customFormat="1" ht="15" x14ac:dyDescent="0.25"/>
    <row r="4050" s="3" customFormat="1" ht="15" x14ac:dyDescent="0.25"/>
    <row r="4051" s="3" customFormat="1" ht="15" x14ac:dyDescent="0.25"/>
    <row r="4052" s="3" customFormat="1" ht="15" x14ac:dyDescent="0.25"/>
    <row r="4053" s="3" customFormat="1" ht="15" x14ac:dyDescent="0.25"/>
    <row r="4054" s="3" customFormat="1" ht="15" x14ac:dyDescent="0.25"/>
    <row r="4055" s="3" customFormat="1" ht="15" x14ac:dyDescent="0.25"/>
    <row r="4056" s="3" customFormat="1" ht="15" x14ac:dyDescent="0.25"/>
    <row r="4057" s="3" customFormat="1" ht="15" x14ac:dyDescent="0.25"/>
    <row r="4058" s="3" customFormat="1" ht="15" x14ac:dyDescent="0.25"/>
    <row r="4059" s="3" customFormat="1" ht="15" x14ac:dyDescent="0.25"/>
    <row r="4060" s="3" customFormat="1" ht="15" x14ac:dyDescent="0.25"/>
    <row r="4061" s="3" customFormat="1" ht="15" x14ac:dyDescent="0.25"/>
    <row r="4062" s="3" customFormat="1" ht="15" x14ac:dyDescent="0.25"/>
    <row r="4063" s="3" customFormat="1" ht="15" x14ac:dyDescent="0.25"/>
    <row r="4064" s="3" customFormat="1" ht="15" x14ac:dyDescent="0.25"/>
    <row r="4065" s="3" customFormat="1" ht="15" x14ac:dyDescent="0.25"/>
    <row r="4066" s="3" customFormat="1" ht="15" x14ac:dyDescent="0.25"/>
    <row r="4067" s="3" customFormat="1" ht="15" x14ac:dyDescent="0.25"/>
    <row r="4068" s="3" customFormat="1" ht="15" x14ac:dyDescent="0.25"/>
    <row r="4069" s="3" customFormat="1" ht="15" x14ac:dyDescent="0.25"/>
    <row r="4070" s="3" customFormat="1" ht="15" x14ac:dyDescent="0.25"/>
    <row r="4071" s="3" customFormat="1" ht="15" x14ac:dyDescent="0.25"/>
    <row r="4072" s="3" customFormat="1" ht="15" x14ac:dyDescent="0.25"/>
    <row r="4073" s="3" customFormat="1" ht="15" x14ac:dyDescent="0.25"/>
    <row r="4074" s="3" customFormat="1" ht="15" x14ac:dyDescent="0.25"/>
    <row r="4075" s="3" customFormat="1" ht="15" x14ac:dyDescent="0.25"/>
    <row r="4076" s="3" customFormat="1" ht="15" x14ac:dyDescent="0.25"/>
    <row r="4077" s="3" customFormat="1" ht="15" x14ac:dyDescent="0.25"/>
    <row r="4078" s="3" customFormat="1" ht="15" x14ac:dyDescent="0.25"/>
    <row r="4079" s="3" customFormat="1" ht="15" x14ac:dyDescent="0.25"/>
    <row r="4080" s="3" customFormat="1" ht="15" x14ac:dyDescent="0.25"/>
    <row r="4081" s="3" customFormat="1" ht="15" x14ac:dyDescent="0.25"/>
    <row r="4082" s="3" customFormat="1" ht="15" x14ac:dyDescent="0.25"/>
    <row r="4083" s="3" customFormat="1" ht="15" x14ac:dyDescent="0.25"/>
    <row r="4084" s="3" customFormat="1" ht="15" x14ac:dyDescent="0.25"/>
    <row r="4085" s="3" customFormat="1" ht="15" x14ac:dyDescent="0.25"/>
    <row r="4086" s="3" customFormat="1" ht="15" x14ac:dyDescent="0.25"/>
    <row r="4087" s="3" customFormat="1" ht="15" x14ac:dyDescent="0.25"/>
    <row r="4088" s="3" customFormat="1" ht="15" x14ac:dyDescent="0.25"/>
    <row r="4089" s="3" customFormat="1" ht="15" x14ac:dyDescent="0.25"/>
    <row r="4090" s="3" customFormat="1" ht="15" x14ac:dyDescent="0.25"/>
    <row r="4091" s="3" customFormat="1" ht="15" x14ac:dyDescent="0.25"/>
    <row r="4092" s="3" customFormat="1" ht="15" x14ac:dyDescent="0.25"/>
    <row r="4093" s="3" customFormat="1" ht="15" x14ac:dyDescent="0.25"/>
    <row r="4094" s="3" customFormat="1" ht="15" x14ac:dyDescent="0.25"/>
    <row r="4095" s="3" customFormat="1" ht="15" x14ac:dyDescent="0.25"/>
    <row r="4096" s="3" customFormat="1" ht="15" x14ac:dyDescent="0.25"/>
    <row r="4097" s="3" customFormat="1" ht="15" x14ac:dyDescent="0.25"/>
    <row r="4098" s="3" customFormat="1" ht="15" x14ac:dyDescent="0.25"/>
    <row r="4099" s="3" customFormat="1" ht="15" x14ac:dyDescent="0.25"/>
    <row r="4100" s="3" customFormat="1" ht="15" x14ac:dyDescent="0.25"/>
    <row r="4101" s="3" customFormat="1" ht="15" x14ac:dyDescent="0.25"/>
    <row r="4102" s="3" customFormat="1" ht="15" x14ac:dyDescent="0.25"/>
    <row r="4103" s="3" customFormat="1" ht="15" x14ac:dyDescent="0.25"/>
    <row r="4104" s="3" customFormat="1" ht="15" x14ac:dyDescent="0.25"/>
    <row r="4105" s="3" customFormat="1" ht="15" x14ac:dyDescent="0.25"/>
    <row r="4106" s="3" customFormat="1" ht="15" x14ac:dyDescent="0.25"/>
    <row r="4107" s="3" customFormat="1" ht="15" x14ac:dyDescent="0.25"/>
    <row r="4108" s="3" customFormat="1" ht="15" x14ac:dyDescent="0.25"/>
    <row r="4109" s="3" customFormat="1" ht="15" x14ac:dyDescent="0.25"/>
    <row r="4110" s="3" customFormat="1" ht="15" x14ac:dyDescent="0.25"/>
    <row r="4111" s="3" customFormat="1" ht="15" x14ac:dyDescent="0.25"/>
    <row r="4112" s="3" customFormat="1" ht="15" x14ac:dyDescent="0.25"/>
    <row r="4113" s="3" customFormat="1" ht="15" x14ac:dyDescent="0.25"/>
    <row r="4114" s="3" customFormat="1" ht="15" x14ac:dyDescent="0.25"/>
    <row r="4115" s="3" customFormat="1" ht="15" x14ac:dyDescent="0.25"/>
    <row r="4116" s="3" customFormat="1" ht="15" x14ac:dyDescent="0.25"/>
    <row r="4117" s="3" customFormat="1" ht="15" x14ac:dyDescent="0.25"/>
    <row r="4118" s="3" customFormat="1" ht="15" x14ac:dyDescent="0.25"/>
    <row r="4119" s="3" customFormat="1" ht="15" x14ac:dyDescent="0.25"/>
    <row r="4120" s="3" customFormat="1" ht="15" x14ac:dyDescent="0.25"/>
    <row r="4121" s="3" customFormat="1" ht="15" x14ac:dyDescent="0.25"/>
    <row r="4122" s="3" customFormat="1" ht="15" x14ac:dyDescent="0.25"/>
    <row r="4123" s="3" customFormat="1" ht="15" x14ac:dyDescent="0.25"/>
    <row r="4124" s="3" customFormat="1" ht="15" x14ac:dyDescent="0.25"/>
    <row r="4125" s="3" customFormat="1" ht="15" x14ac:dyDescent="0.25"/>
    <row r="4126" s="3" customFormat="1" ht="15" x14ac:dyDescent="0.25"/>
    <row r="4127" s="3" customFormat="1" ht="15" x14ac:dyDescent="0.25"/>
    <row r="4128" s="3" customFormat="1" ht="15" x14ac:dyDescent="0.25"/>
    <row r="4129" s="3" customFormat="1" ht="15" x14ac:dyDescent="0.25"/>
    <row r="4130" s="3" customFormat="1" ht="15" x14ac:dyDescent="0.25"/>
    <row r="4131" s="3" customFormat="1" ht="15" x14ac:dyDescent="0.25"/>
    <row r="4132" s="3" customFormat="1" ht="15" x14ac:dyDescent="0.25"/>
    <row r="4133" s="3" customFormat="1" ht="15" x14ac:dyDescent="0.25"/>
    <row r="4134" s="3" customFormat="1" ht="15" x14ac:dyDescent="0.25"/>
    <row r="4135" s="3" customFormat="1" ht="15" x14ac:dyDescent="0.25"/>
    <row r="4136" s="3" customFormat="1" ht="15" x14ac:dyDescent="0.25"/>
    <row r="4137" s="3" customFormat="1" ht="15" x14ac:dyDescent="0.25"/>
    <row r="4138" s="3" customFormat="1" ht="15" x14ac:dyDescent="0.25"/>
    <row r="4139" s="3" customFormat="1" ht="15" x14ac:dyDescent="0.25"/>
    <row r="4140" s="3" customFormat="1" ht="15" x14ac:dyDescent="0.25"/>
    <row r="4141" s="3" customFormat="1" ht="15" x14ac:dyDescent="0.25"/>
    <row r="4142" s="3" customFormat="1" ht="15" x14ac:dyDescent="0.25"/>
    <row r="4143" s="3" customFormat="1" ht="15" x14ac:dyDescent="0.25"/>
    <row r="4144" s="3" customFormat="1" ht="15" x14ac:dyDescent="0.25"/>
    <row r="4145" s="3" customFormat="1" ht="15" x14ac:dyDescent="0.25"/>
    <row r="4146" s="3" customFormat="1" ht="15" x14ac:dyDescent="0.25"/>
    <row r="4147" s="3" customFormat="1" ht="15" x14ac:dyDescent="0.25"/>
    <row r="4148" s="3" customFormat="1" ht="15" x14ac:dyDescent="0.25"/>
    <row r="4149" s="3" customFormat="1" ht="15" x14ac:dyDescent="0.25"/>
    <row r="4150" s="3" customFormat="1" ht="15" x14ac:dyDescent="0.25"/>
    <row r="4151" s="3" customFormat="1" ht="15" x14ac:dyDescent="0.25"/>
    <row r="4152" s="3" customFormat="1" ht="15" x14ac:dyDescent="0.25"/>
    <row r="4153" s="3" customFormat="1" ht="15" x14ac:dyDescent="0.25"/>
    <row r="4154" s="3" customFormat="1" ht="15" x14ac:dyDescent="0.25"/>
    <row r="4155" s="3" customFormat="1" ht="15" x14ac:dyDescent="0.25"/>
    <row r="4156" s="3" customFormat="1" ht="15" x14ac:dyDescent="0.25"/>
    <row r="4157" s="3" customFormat="1" ht="15" x14ac:dyDescent="0.25"/>
    <row r="4158" s="3" customFormat="1" ht="15" x14ac:dyDescent="0.25"/>
    <row r="4159" s="3" customFormat="1" ht="15" x14ac:dyDescent="0.25"/>
    <row r="4160" s="3" customFormat="1" ht="15" x14ac:dyDescent="0.25"/>
    <row r="4161" s="3" customFormat="1" ht="15" x14ac:dyDescent="0.25"/>
    <row r="4162" s="3" customFormat="1" ht="15" x14ac:dyDescent="0.25"/>
    <row r="4163" s="3" customFormat="1" ht="15" x14ac:dyDescent="0.25"/>
    <row r="4164" s="3" customFormat="1" ht="15" x14ac:dyDescent="0.25"/>
    <row r="4165" s="3" customFormat="1" ht="15" x14ac:dyDescent="0.25"/>
    <row r="4166" s="3" customFormat="1" ht="15" x14ac:dyDescent="0.25"/>
    <row r="4167" s="3" customFormat="1" ht="15" x14ac:dyDescent="0.25"/>
    <row r="4168" s="3" customFormat="1" ht="15" x14ac:dyDescent="0.25"/>
    <row r="4169" s="3" customFormat="1" ht="15" x14ac:dyDescent="0.25"/>
    <row r="4170" s="3" customFormat="1" ht="15" x14ac:dyDescent="0.25"/>
    <row r="4171" s="3" customFormat="1" ht="15" x14ac:dyDescent="0.25"/>
    <row r="4172" s="3" customFormat="1" ht="15" x14ac:dyDescent="0.25"/>
    <row r="4173" s="3" customFormat="1" ht="15" x14ac:dyDescent="0.25"/>
    <row r="4174" s="3" customFormat="1" ht="15" x14ac:dyDescent="0.25"/>
    <row r="4175" s="3" customFormat="1" ht="15" x14ac:dyDescent="0.25"/>
    <row r="4176" s="3" customFormat="1" ht="15" x14ac:dyDescent="0.25"/>
    <row r="4177" s="3" customFormat="1" ht="15" x14ac:dyDescent="0.25"/>
    <row r="4178" s="3" customFormat="1" ht="15" x14ac:dyDescent="0.25"/>
    <row r="4179" s="3" customFormat="1" ht="15" x14ac:dyDescent="0.25"/>
    <row r="4180" s="3" customFormat="1" ht="15" x14ac:dyDescent="0.25"/>
    <row r="4181" s="3" customFormat="1" ht="15" x14ac:dyDescent="0.25"/>
    <row r="4182" s="3" customFormat="1" ht="15" x14ac:dyDescent="0.25"/>
    <row r="4183" s="3" customFormat="1" ht="15" x14ac:dyDescent="0.25"/>
    <row r="4184" s="3" customFormat="1" ht="15" x14ac:dyDescent="0.25"/>
    <row r="4185" s="3" customFormat="1" ht="15" x14ac:dyDescent="0.25"/>
    <row r="4186" s="3" customFormat="1" ht="15" x14ac:dyDescent="0.25"/>
    <row r="4187" s="3" customFormat="1" ht="15" x14ac:dyDescent="0.25"/>
    <row r="4188" s="3" customFormat="1" ht="15" x14ac:dyDescent="0.25"/>
    <row r="4189" s="3" customFormat="1" ht="15" x14ac:dyDescent="0.25"/>
    <row r="4190" s="3" customFormat="1" ht="15" x14ac:dyDescent="0.25"/>
    <row r="4191" s="3" customFormat="1" ht="15" x14ac:dyDescent="0.25"/>
    <row r="4192" s="3" customFormat="1" ht="15" x14ac:dyDescent="0.25"/>
    <row r="4193" s="3" customFormat="1" ht="15" x14ac:dyDescent="0.25"/>
    <row r="4194" s="3" customFormat="1" ht="15" x14ac:dyDescent="0.25"/>
    <row r="4195" s="3" customFormat="1" ht="15" x14ac:dyDescent="0.25"/>
    <row r="4196" s="3" customFormat="1" ht="15" x14ac:dyDescent="0.25"/>
    <row r="4197" s="3" customFormat="1" ht="15" x14ac:dyDescent="0.25"/>
    <row r="4198" s="3" customFormat="1" ht="15" x14ac:dyDescent="0.25"/>
    <row r="4199" s="3" customFormat="1" ht="15" x14ac:dyDescent="0.25"/>
    <row r="4200" s="3" customFormat="1" ht="15" x14ac:dyDescent="0.25"/>
    <row r="4201" s="3" customFormat="1" ht="15" x14ac:dyDescent="0.25"/>
    <row r="4202" s="3" customFormat="1" ht="15" x14ac:dyDescent="0.25"/>
    <row r="4203" s="3" customFormat="1" ht="15" x14ac:dyDescent="0.25"/>
    <row r="4204" s="3" customFormat="1" ht="15" x14ac:dyDescent="0.25"/>
    <row r="4205" s="3" customFormat="1" ht="15" x14ac:dyDescent="0.25"/>
    <row r="4206" s="3" customFormat="1" ht="15" x14ac:dyDescent="0.25"/>
    <row r="4207" s="3" customFormat="1" ht="15" x14ac:dyDescent="0.25"/>
    <row r="4208" s="3" customFormat="1" ht="15" x14ac:dyDescent="0.25"/>
    <row r="4209" s="3" customFormat="1" ht="15" x14ac:dyDescent="0.25"/>
    <row r="4210" s="3" customFormat="1" ht="15" x14ac:dyDescent="0.25"/>
    <row r="4211" s="3" customFormat="1" ht="15" x14ac:dyDescent="0.25"/>
    <row r="4212" s="3" customFormat="1" ht="15" x14ac:dyDescent="0.25"/>
    <row r="4213" s="3" customFormat="1" ht="15" x14ac:dyDescent="0.25"/>
    <row r="4214" s="3" customFormat="1" ht="15" x14ac:dyDescent="0.25"/>
    <row r="4215" s="3" customFormat="1" ht="15" x14ac:dyDescent="0.25"/>
    <row r="4216" s="3" customFormat="1" ht="15" x14ac:dyDescent="0.25"/>
    <row r="4217" s="3" customFormat="1" ht="15" x14ac:dyDescent="0.25"/>
    <row r="4218" s="3" customFormat="1" ht="15" x14ac:dyDescent="0.25"/>
    <row r="4219" s="3" customFormat="1" ht="15" x14ac:dyDescent="0.25"/>
    <row r="4220" s="3" customFormat="1" ht="15" x14ac:dyDescent="0.25"/>
    <row r="4221" s="3" customFormat="1" ht="15" x14ac:dyDescent="0.25"/>
    <row r="4222" s="3" customFormat="1" ht="15" x14ac:dyDescent="0.25"/>
    <row r="4223" s="3" customFormat="1" ht="15" x14ac:dyDescent="0.25"/>
    <row r="4224" s="3" customFormat="1" ht="15" x14ac:dyDescent="0.25"/>
    <row r="4225" s="3" customFormat="1" ht="15" x14ac:dyDescent="0.25"/>
    <row r="4226" s="3" customFormat="1" ht="15" x14ac:dyDescent="0.25"/>
    <row r="4227" s="3" customFormat="1" ht="15" x14ac:dyDescent="0.25"/>
    <row r="4228" s="3" customFormat="1" ht="15" x14ac:dyDescent="0.25"/>
    <row r="4229" s="3" customFormat="1" ht="15" x14ac:dyDescent="0.25"/>
    <row r="4230" s="3" customFormat="1" ht="15" x14ac:dyDescent="0.25"/>
    <row r="4231" s="3" customFormat="1" ht="15" x14ac:dyDescent="0.25"/>
    <row r="4232" s="3" customFormat="1" ht="15" x14ac:dyDescent="0.25"/>
    <row r="4233" s="3" customFormat="1" ht="15" x14ac:dyDescent="0.25"/>
    <row r="4234" s="3" customFormat="1" ht="15" x14ac:dyDescent="0.25"/>
    <row r="4235" s="3" customFormat="1" ht="15" x14ac:dyDescent="0.25"/>
    <row r="4236" s="3" customFormat="1" ht="15" x14ac:dyDescent="0.25"/>
    <row r="4237" s="3" customFormat="1" ht="15" x14ac:dyDescent="0.25"/>
    <row r="4238" s="3" customFormat="1" ht="15" x14ac:dyDescent="0.25"/>
    <row r="4239" s="3" customFormat="1" ht="15" x14ac:dyDescent="0.25"/>
    <row r="4240" s="3" customFormat="1" ht="15" x14ac:dyDescent="0.25"/>
    <row r="4241" s="3" customFormat="1" ht="15" x14ac:dyDescent="0.25"/>
    <row r="4242" s="3" customFormat="1" ht="15" x14ac:dyDescent="0.25"/>
    <row r="4243" s="3" customFormat="1" ht="15" x14ac:dyDescent="0.25"/>
    <row r="4244" s="3" customFormat="1" ht="15" x14ac:dyDescent="0.25"/>
    <row r="4245" s="3" customFormat="1" ht="15" x14ac:dyDescent="0.25"/>
    <row r="4246" s="3" customFormat="1" ht="15" x14ac:dyDescent="0.25"/>
    <row r="4247" s="3" customFormat="1" ht="15" x14ac:dyDescent="0.25"/>
    <row r="4248" s="3" customFormat="1" ht="15" x14ac:dyDescent="0.25"/>
    <row r="4249" s="3" customFormat="1" ht="15" x14ac:dyDescent="0.25"/>
    <row r="4250" s="3" customFormat="1" ht="15" x14ac:dyDescent="0.25"/>
    <row r="4251" s="3" customFormat="1" ht="15" x14ac:dyDescent="0.25"/>
    <row r="4252" s="3" customFormat="1" ht="15" x14ac:dyDescent="0.25"/>
    <row r="4253" s="3" customFormat="1" ht="15" x14ac:dyDescent="0.25"/>
    <row r="4254" s="3" customFormat="1" ht="15" x14ac:dyDescent="0.25"/>
    <row r="4255" s="3" customFormat="1" ht="15" x14ac:dyDescent="0.25"/>
    <row r="4256" s="3" customFormat="1" ht="15" x14ac:dyDescent="0.25"/>
    <row r="4257" s="3" customFormat="1" ht="15" x14ac:dyDescent="0.25"/>
    <row r="4258" s="3" customFormat="1" ht="15" x14ac:dyDescent="0.25"/>
    <row r="4259" s="3" customFormat="1" ht="15" x14ac:dyDescent="0.25"/>
    <row r="4260" s="3" customFormat="1" ht="15" x14ac:dyDescent="0.25"/>
    <row r="4261" s="3" customFormat="1" ht="15" x14ac:dyDescent="0.25"/>
    <row r="4262" s="3" customFormat="1" ht="15" x14ac:dyDescent="0.25"/>
    <row r="4263" s="3" customFormat="1" ht="15" x14ac:dyDescent="0.25"/>
    <row r="4264" s="3" customFormat="1" ht="15" x14ac:dyDescent="0.25"/>
    <row r="4265" s="3" customFormat="1" ht="15" x14ac:dyDescent="0.25"/>
    <row r="4266" s="3" customFormat="1" ht="15" x14ac:dyDescent="0.25"/>
    <row r="4267" s="3" customFormat="1" ht="15" x14ac:dyDescent="0.25"/>
    <row r="4268" s="3" customFormat="1" ht="15" x14ac:dyDescent="0.25"/>
    <row r="4269" s="3" customFormat="1" ht="15" x14ac:dyDescent="0.25"/>
    <row r="4270" s="3" customFormat="1" ht="15" x14ac:dyDescent="0.25"/>
    <row r="4271" s="3" customFormat="1" ht="15" x14ac:dyDescent="0.25"/>
    <row r="4272" s="3" customFormat="1" ht="15" x14ac:dyDescent="0.25"/>
    <row r="4273" s="3" customFormat="1" ht="15" x14ac:dyDescent="0.25"/>
    <row r="4274" s="3" customFormat="1" ht="15" x14ac:dyDescent="0.25"/>
    <row r="4275" s="3" customFormat="1" ht="15" x14ac:dyDescent="0.25"/>
    <row r="4276" s="3" customFormat="1" ht="15" x14ac:dyDescent="0.25"/>
    <row r="4277" s="3" customFormat="1" ht="15" x14ac:dyDescent="0.25"/>
    <row r="4278" s="3" customFormat="1" ht="15" x14ac:dyDescent="0.25"/>
    <row r="4279" s="3" customFormat="1" ht="15" x14ac:dyDescent="0.25"/>
    <row r="4280" s="3" customFormat="1" ht="15" x14ac:dyDescent="0.25"/>
    <row r="4281" s="3" customFormat="1" ht="15" x14ac:dyDescent="0.25"/>
    <row r="4282" s="3" customFormat="1" ht="15" x14ac:dyDescent="0.25"/>
    <row r="4283" s="3" customFormat="1" ht="15" x14ac:dyDescent="0.25"/>
    <row r="4284" s="3" customFormat="1" ht="15" x14ac:dyDescent="0.25"/>
    <row r="4285" s="3" customFormat="1" ht="15" x14ac:dyDescent="0.25"/>
    <row r="4286" s="3" customFormat="1" ht="15" x14ac:dyDescent="0.25"/>
    <row r="4287" s="3" customFormat="1" ht="15" x14ac:dyDescent="0.25"/>
    <row r="4288" s="3" customFormat="1" ht="15" x14ac:dyDescent="0.25"/>
    <row r="4289" s="3" customFormat="1" ht="15" x14ac:dyDescent="0.25"/>
    <row r="4290" s="3" customFormat="1" ht="15" x14ac:dyDescent="0.25"/>
    <row r="4291" s="3" customFormat="1" ht="15" x14ac:dyDescent="0.25"/>
    <row r="4292" s="3" customFormat="1" ht="15" x14ac:dyDescent="0.25"/>
    <row r="4293" s="3" customFormat="1" ht="15" x14ac:dyDescent="0.25"/>
    <row r="4294" s="3" customFormat="1" ht="15" x14ac:dyDescent="0.25"/>
    <row r="4295" s="3" customFormat="1" ht="15" x14ac:dyDescent="0.25"/>
    <row r="4296" s="3" customFormat="1" ht="15" x14ac:dyDescent="0.25"/>
    <row r="4297" s="3" customFormat="1" ht="15" x14ac:dyDescent="0.25"/>
    <row r="4298" s="3" customFormat="1" ht="15" x14ac:dyDescent="0.25"/>
    <row r="4299" s="3" customFormat="1" ht="15" x14ac:dyDescent="0.25"/>
    <row r="4300" s="3" customFormat="1" ht="15" x14ac:dyDescent="0.25"/>
    <row r="4301" s="3" customFormat="1" ht="15" x14ac:dyDescent="0.25"/>
    <row r="4302" s="3" customFormat="1" ht="15" x14ac:dyDescent="0.25"/>
    <row r="4303" s="3" customFormat="1" ht="15" x14ac:dyDescent="0.25"/>
    <row r="4304" s="3" customFormat="1" ht="15" x14ac:dyDescent="0.25"/>
    <row r="4305" s="3" customFormat="1" ht="15" x14ac:dyDescent="0.25"/>
    <row r="4306" s="3" customFormat="1" ht="15" x14ac:dyDescent="0.25"/>
    <row r="4307" s="3" customFormat="1" ht="15" x14ac:dyDescent="0.25"/>
    <row r="4308" s="3" customFormat="1" ht="15" x14ac:dyDescent="0.25"/>
    <row r="4309" s="3" customFormat="1" ht="15" x14ac:dyDescent="0.25"/>
    <row r="4310" s="3" customFormat="1" ht="15" x14ac:dyDescent="0.25"/>
    <row r="4311" s="3" customFormat="1" ht="15" x14ac:dyDescent="0.25"/>
    <row r="4312" s="3" customFormat="1" ht="15" x14ac:dyDescent="0.25"/>
    <row r="4313" s="3" customFormat="1" ht="15" x14ac:dyDescent="0.25"/>
    <row r="4314" s="3" customFormat="1" ht="15" x14ac:dyDescent="0.25"/>
    <row r="4315" s="3" customFormat="1" ht="15" x14ac:dyDescent="0.25"/>
    <row r="4316" s="3" customFormat="1" ht="15" x14ac:dyDescent="0.25"/>
    <row r="4317" s="3" customFormat="1" ht="15" x14ac:dyDescent="0.25"/>
    <row r="4318" s="3" customFormat="1" ht="15" x14ac:dyDescent="0.25"/>
    <row r="4319" s="3" customFormat="1" ht="15" x14ac:dyDescent="0.25"/>
    <row r="4320" s="3" customFormat="1" ht="15" x14ac:dyDescent="0.25"/>
    <row r="4321" s="3" customFormat="1" ht="15" x14ac:dyDescent="0.25"/>
    <row r="4322" s="3" customFormat="1" ht="15" x14ac:dyDescent="0.25"/>
    <row r="4323" s="3" customFormat="1" ht="15" x14ac:dyDescent="0.25"/>
    <row r="4324" s="3" customFormat="1" ht="15" x14ac:dyDescent="0.25"/>
    <row r="4325" s="3" customFormat="1" ht="15" x14ac:dyDescent="0.25"/>
    <row r="4326" s="3" customFormat="1" ht="15" x14ac:dyDescent="0.25"/>
    <row r="4327" s="3" customFormat="1" ht="15" x14ac:dyDescent="0.25"/>
    <row r="4328" s="3" customFormat="1" ht="15" x14ac:dyDescent="0.25"/>
    <row r="4329" s="3" customFormat="1" ht="15" x14ac:dyDescent="0.25"/>
    <row r="4330" s="3" customFormat="1" ht="15" x14ac:dyDescent="0.25"/>
    <row r="4331" s="3" customFormat="1" ht="15" x14ac:dyDescent="0.25"/>
    <row r="4332" s="3" customFormat="1" ht="15" x14ac:dyDescent="0.25"/>
    <row r="4333" s="3" customFormat="1" ht="15" x14ac:dyDescent="0.25"/>
    <row r="4334" s="3" customFormat="1" ht="15" x14ac:dyDescent="0.25"/>
    <row r="4335" s="3" customFormat="1" ht="15" x14ac:dyDescent="0.25"/>
    <row r="4336" s="3" customFormat="1" ht="15" x14ac:dyDescent="0.25"/>
    <row r="4337" s="3" customFormat="1" ht="15" x14ac:dyDescent="0.25"/>
    <row r="4338" s="3" customFormat="1" ht="15" x14ac:dyDescent="0.25"/>
    <row r="4339" s="3" customFormat="1" ht="15" x14ac:dyDescent="0.25"/>
    <row r="4340" s="3" customFormat="1" ht="15" x14ac:dyDescent="0.25"/>
    <row r="4341" s="3" customFormat="1" ht="15" x14ac:dyDescent="0.25"/>
    <row r="4342" s="3" customFormat="1" ht="15" x14ac:dyDescent="0.25"/>
    <row r="4343" s="3" customFormat="1" ht="15" x14ac:dyDescent="0.25"/>
    <row r="4344" s="3" customFormat="1" ht="15" x14ac:dyDescent="0.25"/>
    <row r="4345" s="3" customFormat="1" ht="15" x14ac:dyDescent="0.25"/>
    <row r="4346" s="3" customFormat="1" ht="15" x14ac:dyDescent="0.25"/>
    <row r="4347" s="3" customFormat="1" ht="15" x14ac:dyDescent="0.25"/>
    <row r="4348" s="3" customFormat="1" ht="15" x14ac:dyDescent="0.25"/>
    <row r="4349" s="3" customFormat="1" ht="15" x14ac:dyDescent="0.25"/>
    <row r="4350" s="3" customFormat="1" ht="15" x14ac:dyDescent="0.25"/>
    <row r="4351" s="3" customFormat="1" ht="15" x14ac:dyDescent="0.25"/>
    <row r="4352" s="3" customFormat="1" ht="15" x14ac:dyDescent="0.25"/>
    <row r="4353" s="3" customFormat="1" ht="15" x14ac:dyDescent="0.25"/>
    <row r="4354" s="3" customFormat="1" ht="15" x14ac:dyDescent="0.25"/>
    <row r="4355" s="3" customFormat="1" ht="15" x14ac:dyDescent="0.25"/>
    <row r="4356" s="3" customFormat="1" ht="15" x14ac:dyDescent="0.25"/>
    <row r="4357" s="3" customFormat="1" ht="15" x14ac:dyDescent="0.25"/>
    <row r="4358" s="3" customFormat="1" ht="15" x14ac:dyDescent="0.25"/>
    <row r="4359" s="3" customFormat="1" ht="15" x14ac:dyDescent="0.25"/>
    <row r="4360" s="3" customFormat="1" ht="15" x14ac:dyDescent="0.25"/>
    <row r="4361" s="3" customFormat="1" ht="15" x14ac:dyDescent="0.25"/>
    <row r="4362" s="3" customFormat="1" ht="15" x14ac:dyDescent="0.25"/>
    <row r="4363" s="3" customFormat="1" ht="15" x14ac:dyDescent="0.25"/>
    <row r="4364" s="3" customFormat="1" ht="15" x14ac:dyDescent="0.25"/>
    <row r="4365" s="3" customFormat="1" ht="15" x14ac:dyDescent="0.25"/>
    <row r="4366" s="3" customFormat="1" ht="15" x14ac:dyDescent="0.25"/>
    <row r="4367" s="3" customFormat="1" ht="15" x14ac:dyDescent="0.25"/>
    <row r="4368" s="3" customFormat="1" ht="15" x14ac:dyDescent="0.25"/>
    <row r="4369" s="3" customFormat="1" ht="15" x14ac:dyDescent="0.25"/>
    <row r="4370" s="3" customFormat="1" ht="15" x14ac:dyDescent="0.25"/>
    <row r="4371" s="3" customFormat="1" ht="15" x14ac:dyDescent="0.25"/>
    <row r="4372" s="3" customFormat="1" ht="15" x14ac:dyDescent="0.25"/>
    <row r="4373" s="3" customFormat="1" ht="15" x14ac:dyDescent="0.25"/>
    <row r="4374" s="3" customFormat="1" ht="15" x14ac:dyDescent="0.25"/>
    <row r="4375" s="3" customFormat="1" ht="15" x14ac:dyDescent="0.25"/>
    <row r="4376" s="3" customFormat="1" ht="15" x14ac:dyDescent="0.25"/>
    <row r="4377" s="3" customFormat="1" ht="15" x14ac:dyDescent="0.25"/>
    <row r="4378" s="3" customFormat="1" ht="15" x14ac:dyDescent="0.25"/>
    <row r="4379" s="3" customFormat="1" ht="15" x14ac:dyDescent="0.25"/>
    <row r="4380" s="3" customFormat="1" ht="15" x14ac:dyDescent="0.25"/>
    <row r="4381" s="3" customFormat="1" ht="15" x14ac:dyDescent="0.25"/>
    <row r="4382" s="3" customFormat="1" ht="15" x14ac:dyDescent="0.25"/>
    <row r="4383" s="3" customFormat="1" ht="15" x14ac:dyDescent="0.25"/>
    <row r="4384" s="3" customFormat="1" ht="15" x14ac:dyDescent="0.25"/>
    <row r="4385" s="3" customFormat="1" ht="15" x14ac:dyDescent="0.25"/>
    <row r="4386" s="3" customFormat="1" ht="15" x14ac:dyDescent="0.25"/>
    <row r="4387" s="3" customFormat="1" ht="15" x14ac:dyDescent="0.25"/>
    <row r="4388" s="3" customFormat="1" ht="15" x14ac:dyDescent="0.25"/>
    <row r="4389" s="3" customFormat="1" ht="15" x14ac:dyDescent="0.25"/>
    <row r="4390" s="3" customFormat="1" ht="15" x14ac:dyDescent="0.25"/>
    <row r="4391" s="3" customFormat="1" ht="15" x14ac:dyDescent="0.25"/>
    <row r="4392" s="3" customFormat="1" ht="15" x14ac:dyDescent="0.25"/>
    <row r="4393" s="3" customFormat="1" ht="15" x14ac:dyDescent="0.25"/>
    <row r="4394" s="3" customFormat="1" ht="15" x14ac:dyDescent="0.25"/>
    <row r="4395" s="3" customFormat="1" ht="15" x14ac:dyDescent="0.25"/>
    <row r="4396" s="3" customFormat="1" ht="15" x14ac:dyDescent="0.25"/>
    <row r="4397" s="3" customFormat="1" ht="15" x14ac:dyDescent="0.25"/>
    <row r="4398" s="3" customFormat="1" ht="15" x14ac:dyDescent="0.25"/>
    <row r="4399" s="3" customFormat="1" ht="15" x14ac:dyDescent="0.25"/>
    <row r="4400" s="3" customFormat="1" ht="15" x14ac:dyDescent="0.25"/>
    <row r="4401" s="3" customFormat="1" ht="15" x14ac:dyDescent="0.25"/>
    <row r="4402" s="3" customFormat="1" ht="15" x14ac:dyDescent="0.25"/>
    <row r="4403" s="3" customFormat="1" ht="15" x14ac:dyDescent="0.25"/>
    <row r="4404" s="3" customFormat="1" ht="15" x14ac:dyDescent="0.25"/>
    <row r="4405" s="3" customFormat="1" ht="15" x14ac:dyDescent="0.25"/>
    <row r="4406" s="3" customFormat="1" ht="15" x14ac:dyDescent="0.25"/>
    <row r="4407" s="3" customFormat="1" ht="15" x14ac:dyDescent="0.25"/>
    <row r="4408" s="3" customFormat="1" ht="15" x14ac:dyDescent="0.25"/>
    <row r="4409" s="3" customFormat="1" ht="15" x14ac:dyDescent="0.25"/>
    <row r="4410" s="3" customFormat="1" ht="15" x14ac:dyDescent="0.25"/>
    <row r="4411" s="3" customFormat="1" ht="15" x14ac:dyDescent="0.25"/>
    <row r="4412" s="3" customFormat="1" ht="15" x14ac:dyDescent="0.25"/>
    <row r="4413" s="3" customFormat="1" ht="15" x14ac:dyDescent="0.25"/>
    <row r="4414" s="3" customFormat="1" ht="15" x14ac:dyDescent="0.25"/>
    <row r="4415" s="3" customFormat="1" ht="15" x14ac:dyDescent="0.25"/>
    <row r="4416" s="3" customFormat="1" ht="15" x14ac:dyDescent="0.25"/>
    <row r="4417" s="3" customFormat="1" ht="15" x14ac:dyDescent="0.25"/>
    <row r="4418" s="3" customFormat="1" ht="15" x14ac:dyDescent="0.25"/>
    <row r="4419" s="3" customFormat="1" ht="15" x14ac:dyDescent="0.25"/>
    <row r="4420" s="3" customFormat="1" ht="15" x14ac:dyDescent="0.25"/>
    <row r="4421" s="3" customFormat="1" ht="15" x14ac:dyDescent="0.25"/>
    <row r="4422" s="3" customFormat="1" ht="15" x14ac:dyDescent="0.25"/>
    <row r="4423" s="3" customFormat="1" ht="15" x14ac:dyDescent="0.25"/>
    <row r="4424" s="3" customFormat="1" ht="15" x14ac:dyDescent="0.25"/>
    <row r="4425" s="3" customFormat="1" ht="15" x14ac:dyDescent="0.25"/>
    <row r="4426" s="3" customFormat="1" ht="15" x14ac:dyDescent="0.25"/>
    <row r="4427" s="3" customFormat="1" ht="15" x14ac:dyDescent="0.25"/>
    <row r="4428" s="3" customFormat="1" ht="15" x14ac:dyDescent="0.25"/>
    <row r="4429" s="3" customFormat="1" ht="15" x14ac:dyDescent="0.25"/>
    <row r="4430" s="3" customFormat="1" ht="15" x14ac:dyDescent="0.25"/>
    <row r="4431" s="3" customFormat="1" ht="15" x14ac:dyDescent="0.25"/>
    <row r="4432" s="3" customFormat="1" ht="15" x14ac:dyDescent="0.25"/>
    <row r="4433" s="3" customFormat="1" ht="15" x14ac:dyDescent="0.25"/>
    <row r="4434" s="3" customFormat="1" ht="15" x14ac:dyDescent="0.25"/>
    <row r="4435" s="3" customFormat="1" ht="15" x14ac:dyDescent="0.25"/>
    <row r="4436" s="3" customFormat="1" ht="15" x14ac:dyDescent="0.25"/>
    <row r="4437" s="3" customFormat="1" ht="15" x14ac:dyDescent="0.25"/>
    <row r="4438" s="3" customFormat="1" ht="15" x14ac:dyDescent="0.25"/>
    <row r="4439" s="3" customFormat="1" ht="15" x14ac:dyDescent="0.25"/>
    <row r="4440" s="3" customFormat="1" ht="15" x14ac:dyDescent="0.25"/>
    <row r="4441" s="3" customFormat="1" ht="15" x14ac:dyDescent="0.25"/>
    <row r="4442" s="3" customFormat="1" ht="15" x14ac:dyDescent="0.25"/>
    <row r="4443" s="3" customFormat="1" ht="15" x14ac:dyDescent="0.25"/>
    <row r="4444" s="3" customFormat="1" ht="15" x14ac:dyDescent="0.25"/>
    <row r="4445" s="3" customFormat="1" ht="15" x14ac:dyDescent="0.25"/>
    <row r="4446" s="3" customFormat="1" ht="15" x14ac:dyDescent="0.25"/>
    <row r="4447" s="3" customFormat="1" ht="15" x14ac:dyDescent="0.25"/>
    <row r="4448" s="3" customFormat="1" ht="15" x14ac:dyDescent="0.25"/>
    <row r="4449" s="3" customFormat="1" ht="15" x14ac:dyDescent="0.25"/>
    <row r="4450" s="3" customFormat="1" ht="15" x14ac:dyDescent="0.25"/>
    <row r="4451" s="3" customFormat="1" ht="15" x14ac:dyDescent="0.25"/>
    <row r="4452" s="3" customFormat="1" ht="15" x14ac:dyDescent="0.25"/>
    <row r="4453" s="3" customFormat="1" ht="15" x14ac:dyDescent="0.25"/>
    <row r="4454" s="3" customFormat="1" ht="15" x14ac:dyDescent="0.25"/>
    <row r="4455" s="3" customFormat="1" ht="15" x14ac:dyDescent="0.25"/>
    <row r="4456" s="3" customFormat="1" ht="15" x14ac:dyDescent="0.25"/>
    <row r="4457" s="3" customFormat="1" ht="15" x14ac:dyDescent="0.25"/>
    <row r="4458" s="3" customFormat="1" ht="15" x14ac:dyDescent="0.25"/>
    <row r="4459" s="3" customFormat="1" ht="15" x14ac:dyDescent="0.25"/>
    <row r="4460" s="3" customFormat="1" ht="15" x14ac:dyDescent="0.25"/>
    <row r="4461" s="3" customFormat="1" ht="15" x14ac:dyDescent="0.25"/>
    <row r="4462" s="3" customFormat="1" ht="15" x14ac:dyDescent="0.25"/>
    <row r="4463" s="3" customFormat="1" ht="15" x14ac:dyDescent="0.25"/>
    <row r="4464" s="3" customFormat="1" ht="15" x14ac:dyDescent="0.25"/>
    <row r="4465" s="3" customFormat="1" ht="15" x14ac:dyDescent="0.25"/>
    <row r="4466" s="3" customFormat="1" ht="15" x14ac:dyDescent="0.25"/>
    <row r="4467" s="3" customFormat="1" ht="15" x14ac:dyDescent="0.25"/>
    <row r="4468" s="3" customFormat="1" ht="15" x14ac:dyDescent="0.25"/>
    <row r="4469" s="3" customFormat="1" ht="15" x14ac:dyDescent="0.25"/>
    <row r="4470" s="3" customFormat="1" ht="15" x14ac:dyDescent="0.25"/>
    <row r="4471" s="3" customFormat="1" ht="15" x14ac:dyDescent="0.25"/>
    <row r="4472" s="3" customFormat="1" ht="15" x14ac:dyDescent="0.25"/>
    <row r="4473" s="3" customFormat="1" ht="15" x14ac:dyDescent="0.25"/>
    <row r="4474" s="3" customFormat="1" ht="15" x14ac:dyDescent="0.25"/>
    <row r="4475" s="3" customFormat="1" ht="15" x14ac:dyDescent="0.25"/>
    <row r="4476" s="3" customFormat="1" ht="15" x14ac:dyDescent="0.25"/>
    <row r="4477" s="3" customFormat="1" ht="15" x14ac:dyDescent="0.25"/>
    <row r="4478" s="3" customFormat="1" ht="15" x14ac:dyDescent="0.25"/>
    <row r="4479" s="3" customFormat="1" ht="15" x14ac:dyDescent="0.25"/>
    <row r="4480" s="3" customFormat="1" ht="15" x14ac:dyDescent="0.25"/>
    <row r="4481" s="3" customFormat="1" ht="15" x14ac:dyDescent="0.25"/>
    <row r="4482" s="3" customFormat="1" ht="15" x14ac:dyDescent="0.25"/>
    <row r="4483" s="3" customFormat="1" ht="15" x14ac:dyDescent="0.25"/>
    <row r="4484" s="3" customFormat="1" ht="15" x14ac:dyDescent="0.25"/>
    <row r="4485" s="3" customFormat="1" ht="15" x14ac:dyDescent="0.25"/>
    <row r="4486" s="3" customFormat="1" ht="15" x14ac:dyDescent="0.25"/>
    <row r="4487" s="3" customFormat="1" ht="15" x14ac:dyDescent="0.25"/>
    <row r="4488" s="3" customFormat="1" ht="15" x14ac:dyDescent="0.25"/>
    <row r="4489" s="3" customFormat="1" ht="15" x14ac:dyDescent="0.25"/>
    <row r="4490" s="3" customFormat="1" ht="15" x14ac:dyDescent="0.25"/>
    <row r="4491" s="3" customFormat="1" ht="15" x14ac:dyDescent="0.25"/>
    <row r="4492" s="3" customFormat="1" ht="15" x14ac:dyDescent="0.25"/>
    <row r="4493" s="3" customFormat="1" ht="15" x14ac:dyDescent="0.25"/>
    <row r="4494" s="3" customFormat="1" ht="15" x14ac:dyDescent="0.25"/>
    <row r="4495" s="3" customFormat="1" ht="15" x14ac:dyDescent="0.25"/>
    <row r="4496" s="3" customFormat="1" ht="15" x14ac:dyDescent="0.25"/>
    <row r="4497" s="3" customFormat="1" ht="15" x14ac:dyDescent="0.25"/>
    <row r="4498" s="3" customFormat="1" ht="15" x14ac:dyDescent="0.25"/>
    <row r="4499" s="3" customFormat="1" ht="15" x14ac:dyDescent="0.25"/>
    <row r="4500" s="3" customFormat="1" ht="15" x14ac:dyDescent="0.25"/>
    <row r="4501" s="3" customFormat="1" ht="15" x14ac:dyDescent="0.25"/>
    <row r="4502" s="3" customFormat="1" ht="15" x14ac:dyDescent="0.25"/>
    <row r="4503" s="3" customFormat="1" ht="15" x14ac:dyDescent="0.25"/>
    <row r="4504" s="3" customFormat="1" ht="15" x14ac:dyDescent="0.25"/>
    <row r="4505" s="3" customFormat="1" ht="15" x14ac:dyDescent="0.25"/>
    <row r="4506" s="3" customFormat="1" ht="15" x14ac:dyDescent="0.25"/>
    <row r="4507" s="3" customFormat="1" ht="15" x14ac:dyDescent="0.25"/>
    <row r="4508" s="3" customFormat="1" ht="15" x14ac:dyDescent="0.25"/>
    <row r="4509" s="3" customFormat="1" ht="15" x14ac:dyDescent="0.25"/>
    <row r="4510" s="3" customFormat="1" ht="15" x14ac:dyDescent="0.25"/>
    <row r="4511" s="3" customFormat="1" ht="15" x14ac:dyDescent="0.25"/>
    <row r="4512" s="3" customFormat="1" ht="15" x14ac:dyDescent="0.25"/>
    <row r="4513" s="3" customFormat="1" ht="15" x14ac:dyDescent="0.25"/>
    <row r="4514" s="3" customFormat="1" ht="15" x14ac:dyDescent="0.25"/>
    <row r="4515" s="3" customFormat="1" ht="15" x14ac:dyDescent="0.25"/>
    <row r="4516" s="3" customFormat="1" ht="15" x14ac:dyDescent="0.25"/>
    <row r="4517" s="3" customFormat="1" ht="15" x14ac:dyDescent="0.25"/>
    <row r="4518" s="3" customFormat="1" ht="15" x14ac:dyDescent="0.25"/>
    <row r="4519" s="3" customFormat="1" ht="15" x14ac:dyDescent="0.25"/>
    <row r="4520" s="3" customFormat="1" ht="15" x14ac:dyDescent="0.25"/>
    <row r="4521" s="3" customFormat="1" ht="15" x14ac:dyDescent="0.25"/>
    <row r="4522" s="3" customFormat="1" ht="15" x14ac:dyDescent="0.25"/>
    <row r="4523" s="3" customFormat="1" ht="15" x14ac:dyDescent="0.25"/>
    <row r="4524" s="3" customFormat="1" ht="15" x14ac:dyDescent="0.25"/>
    <row r="4525" s="3" customFormat="1" ht="15" x14ac:dyDescent="0.25"/>
    <row r="4526" s="3" customFormat="1" ht="15" x14ac:dyDescent="0.25"/>
    <row r="4527" s="3" customFormat="1" ht="15" x14ac:dyDescent="0.25"/>
    <row r="4528" s="3" customFormat="1" ht="15" x14ac:dyDescent="0.25"/>
    <row r="4529" s="3" customFormat="1" ht="15" x14ac:dyDescent="0.25"/>
    <row r="4530" s="3" customFormat="1" ht="15" x14ac:dyDescent="0.25"/>
    <row r="4531" s="3" customFormat="1" ht="15" x14ac:dyDescent="0.25"/>
    <row r="4532" s="3" customFormat="1" ht="15" x14ac:dyDescent="0.25"/>
    <row r="4533" s="3" customFormat="1" ht="15" x14ac:dyDescent="0.25"/>
    <row r="4534" s="3" customFormat="1" ht="15" x14ac:dyDescent="0.25"/>
    <row r="4535" s="3" customFormat="1" ht="15" x14ac:dyDescent="0.25"/>
    <row r="4536" s="3" customFormat="1" ht="15" x14ac:dyDescent="0.25"/>
    <row r="4537" s="3" customFormat="1" ht="15" x14ac:dyDescent="0.25"/>
    <row r="4538" s="3" customFormat="1" ht="15" x14ac:dyDescent="0.25"/>
    <row r="4539" s="3" customFormat="1" ht="15" x14ac:dyDescent="0.25"/>
    <row r="4540" s="3" customFormat="1" ht="15" x14ac:dyDescent="0.25"/>
    <row r="4541" s="3" customFormat="1" ht="15" x14ac:dyDescent="0.25"/>
    <row r="4542" s="3" customFormat="1" ht="15" x14ac:dyDescent="0.25"/>
    <row r="4543" s="3" customFormat="1" ht="15" x14ac:dyDescent="0.25"/>
    <row r="4544" s="3" customFormat="1" ht="15" x14ac:dyDescent="0.25"/>
    <row r="4545" s="3" customFormat="1" ht="15" x14ac:dyDescent="0.25"/>
    <row r="4546" s="3" customFormat="1" ht="15" x14ac:dyDescent="0.25"/>
    <row r="4547" s="3" customFormat="1" ht="15" x14ac:dyDescent="0.25"/>
    <row r="4548" s="3" customFormat="1" ht="15" x14ac:dyDescent="0.25"/>
    <row r="4549" s="3" customFormat="1" ht="15" x14ac:dyDescent="0.25"/>
    <row r="4550" s="3" customFormat="1" ht="15" x14ac:dyDescent="0.25"/>
    <row r="4551" s="3" customFormat="1" ht="15" x14ac:dyDescent="0.25"/>
    <row r="4552" s="3" customFormat="1" ht="15" x14ac:dyDescent="0.25"/>
    <row r="4553" s="3" customFormat="1" ht="15" x14ac:dyDescent="0.25"/>
    <row r="4554" s="3" customFormat="1" ht="15" x14ac:dyDescent="0.25"/>
    <row r="4555" s="3" customFormat="1" ht="15" x14ac:dyDescent="0.25"/>
    <row r="4556" s="3" customFormat="1" ht="15" x14ac:dyDescent="0.25"/>
    <row r="4557" s="3" customFormat="1" ht="15" x14ac:dyDescent="0.25"/>
    <row r="4558" s="3" customFormat="1" ht="15" x14ac:dyDescent="0.25"/>
    <row r="4559" s="3" customFormat="1" ht="15" x14ac:dyDescent="0.25"/>
    <row r="4560" s="3" customFormat="1" ht="15" x14ac:dyDescent="0.25"/>
    <row r="4561" s="3" customFormat="1" ht="15" x14ac:dyDescent="0.25"/>
    <row r="4562" s="3" customFormat="1" ht="15" x14ac:dyDescent="0.25"/>
    <row r="4563" s="3" customFormat="1" ht="15" x14ac:dyDescent="0.25"/>
    <row r="4564" s="3" customFormat="1" ht="15" x14ac:dyDescent="0.25"/>
    <row r="4565" s="3" customFormat="1" ht="15" x14ac:dyDescent="0.25"/>
    <row r="4566" s="3" customFormat="1" ht="15" x14ac:dyDescent="0.25"/>
    <row r="4567" s="3" customFormat="1" ht="15" x14ac:dyDescent="0.25"/>
    <row r="4568" s="3" customFormat="1" ht="15" x14ac:dyDescent="0.25"/>
    <row r="4569" s="3" customFormat="1" ht="15" x14ac:dyDescent="0.25"/>
    <row r="4570" s="3" customFormat="1" ht="15" x14ac:dyDescent="0.25"/>
    <row r="4571" s="3" customFormat="1" ht="15" x14ac:dyDescent="0.25"/>
    <row r="4572" s="3" customFormat="1" ht="15" x14ac:dyDescent="0.25"/>
    <row r="4573" s="3" customFormat="1" ht="15" x14ac:dyDescent="0.25"/>
    <row r="4574" s="3" customFormat="1" ht="15" x14ac:dyDescent="0.25"/>
    <row r="4575" s="3" customFormat="1" ht="15" x14ac:dyDescent="0.25"/>
    <row r="4576" s="3" customFormat="1" ht="15" x14ac:dyDescent="0.25"/>
    <row r="4577" s="3" customFormat="1" ht="15" x14ac:dyDescent="0.25"/>
    <row r="4578" s="3" customFormat="1" ht="15" x14ac:dyDescent="0.25"/>
    <row r="4579" s="3" customFormat="1" ht="15" x14ac:dyDescent="0.25"/>
    <row r="4580" s="3" customFormat="1" ht="15" x14ac:dyDescent="0.25"/>
    <row r="4581" s="3" customFormat="1" ht="15" x14ac:dyDescent="0.25"/>
    <row r="4582" s="3" customFormat="1" ht="15" x14ac:dyDescent="0.25"/>
    <row r="4583" s="3" customFormat="1" ht="15" x14ac:dyDescent="0.25"/>
    <row r="4584" s="3" customFormat="1" ht="15" x14ac:dyDescent="0.25"/>
    <row r="4585" s="3" customFormat="1" ht="15" x14ac:dyDescent="0.25"/>
    <row r="4586" s="3" customFormat="1" ht="15" x14ac:dyDescent="0.25"/>
    <row r="4587" s="3" customFormat="1" ht="15" x14ac:dyDescent="0.25"/>
    <row r="4588" s="3" customFormat="1" ht="15" x14ac:dyDescent="0.25"/>
    <row r="4589" s="3" customFormat="1" ht="15" x14ac:dyDescent="0.25"/>
    <row r="4590" s="3" customFormat="1" ht="15" x14ac:dyDescent="0.25"/>
    <row r="4591" s="3" customFormat="1" ht="15" x14ac:dyDescent="0.25"/>
    <row r="4592" s="3" customFormat="1" ht="15" x14ac:dyDescent="0.25"/>
    <row r="4593" s="3" customFormat="1" ht="15" x14ac:dyDescent="0.25"/>
    <row r="4594" s="3" customFormat="1" ht="15" x14ac:dyDescent="0.25"/>
    <row r="4595" s="3" customFormat="1" ht="15" x14ac:dyDescent="0.25"/>
    <row r="4596" s="3" customFormat="1" ht="15" x14ac:dyDescent="0.25"/>
    <row r="4597" s="3" customFormat="1" ht="15" x14ac:dyDescent="0.25"/>
    <row r="4598" s="3" customFormat="1" ht="15" x14ac:dyDescent="0.25"/>
    <row r="4599" s="3" customFormat="1" ht="15" x14ac:dyDescent="0.25"/>
    <row r="4600" s="3" customFormat="1" ht="15" x14ac:dyDescent="0.25"/>
    <row r="4601" s="3" customFormat="1" ht="15" x14ac:dyDescent="0.25"/>
    <row r="4602" s="3" customFormat="1" ht="15" x14ac:dyDescent="0.25"/>
    <row r="4603" s="3" customFormat="1" ht="15" x14ac:dyDescent="0.25"/>
    <row r="4604" s="3" customFormat="1" ht="15" x14ac:dyDescent="0.25"/>
    <row r="4605" s="3" customFormat="1" ht="15" x14ac:dyDescent="0.25"/>
    <row r="4606" s="3" customFormat="1" ht="15" x14ac:dyDescent="0.25"/>
    <row r="4607" s="3" customFormat="1" ht="15" x14ac:dyDescent="0.25"/>
    <row r="4608" s="3" customFormat="1" ht="15" x14ac:dyDescent="0.25"/>
    <row r="4609" s="3" customFormat="1" ht="15" x14ac:dyDescent="0.25"/>
    <row r="4610" s="3" customFormat="1" ht="15" x14ac:dyDescent="0.25"/>
    <row r="4611" s="3" customFormat="1" ht="15" x14ac:dyDescent="0.25"/>
    <row r="4612" s="3" customFormat="1" ht="15" x14ac:dyDescent="0.25"/>
    <row r="4613" s="3" customFormat="1" ht="15" x14ac:dyDescent="0.25"/>
    <row r="4614" s="3" customFormat="1" ht="15" x14ac:dyDescent="0.25"/>
    <row r="4615" s="3" customFormat="1" ht="15" x14ac:dyDescent="0.25"/>
    <row r="4616" s="3" customFormat="1" ht="15" x14ac:dyDescent="0.25"/>
    <row r="4617" s="3" customFormat="1" ht="15" x14ac:dyDescent="0.25"/>
    <row r="4618" s="3" customFormat="1" ht="15" x14ac:dyDescent="0.25"/>
    <row r="4619" s="3" customFormat="1" ht="15" x14ac:dyDescent="0.25"/>
    <row r="4620" s="3" customFormat="1" ht="15" x14ac:dyDescent="0.25"/>
    <row r="4621" s="3" customFormat="1" ht="15" x14ac:dyDescent="0.25"/>
    <row r="4622" s="3" customFormat="1" ht="15" x14ac:dyDescent="0.25"/>
    <row r="4623" s="3" customFormat="1" ht="15" x14ac:dyDescent="0.25"/>
    <row r="4624" s="3" customFormat="1" ht="15" x14ac:dyDescent="0.25"/>
    <row r="4625" s="3" customFormat="1" ht="15" x14ac:dyDescent="0.25"/>
    <row r="4626" s="3" customFormat="1" ht="15" x14ac:dyDescent="0.25"/>
    <row r="4627" s="3" customFormat="1" ht="15" x14ac:dyDescent="0.25"/>
    <row r="4628" s="3" customFormat="1" ht="15" x14ac:dyDescent="0.25"/>
    <row r="4629" s="3" customFormat="1" ht="15" x14ac:dyDescent="0.25"/>
    <row r="4630" s="3" customFormat="1" ht="15" x14ac:dyDescent="0.25"/>
    <row r="4631" s="3" customFormat="1" ht="15" x14ac:dyDescent="0.25"/>
    <row r="4632" s="3" customFormat="1" ht="15" x14ac:dyDescent="0.25"/>
    <row r="4633" s="3" customFormat="1" ht="15" x14ac:dyDescent="0.25"/>
    <row r="4634" s="3" customFormat="1" ht="15" x14ac:dyDescent="0.25"/>
    <row r="4635" s="3" customFormat="1" ht="15" x14ac:dyDescent="0.25"/>
    <row r="4636" s="3" customFormat="1" ht="15" x14ac:dyDescent="0.25"/>
    <row r="4637" s="3" customFormat="1" ht="15" x14ac:dyDescent="0.25"/>
    <row r="4638" s="3" customFormat="1" ht="15" x14ac:dyDescent="0.25"/>
    <row r="4639" s="3" customFormat="1" ht="15" x14ac:dyDescent="0.25"/>
    <row r="4640" s="3" customFormat="1" ht="15" x14ac:dyDescent="0.25"/>
    <row r="4641" s="3" customFormat="1" ht="15" x14ac:dyDescent="0.25"/>
    <row r="4642" s="3" customFormat="1" ht="15" x14ac:dyDescent="0.25"/>
    <row r="4643" s="3" customFormat="1" ht="15" x14ac:dyDescent="0.25"/>
    <row r="4644" s="3" customFormat="1" ht="15" x14ac:dyDescent="0.25"/>
    <row r="4645" s="3" customFormat="1" ht="15" x14ac:dyDescent="0.25"/>
    <row r="4646" s="3" customFormat="1" ht="15" x14ac:dyDescent="0.25"/>
    <row r="4647" s="3" customFormat="1" ht="15" x14ac:dyDescent="0.25"/>
    <row r="4648" s="3" customFormat="1" ht="15" x14ac:dyDescent="0.25"/>
    <row r="4649" s="3" customFormat="1" ht="15" x14ac:dyDescent="0.25"/>
    <row r="4650" s="3" customFormat="1" ht="15" x14ac:dyDescent="0.25"/>
    <row r="4651" s="3" customFormat="1" ht="15" x14ac:dyDescent="0.25"/>
    <row r="4652" s="3" customFormat="1" ht="15" x14ac:dyDescent="0.25"/>
    <row r="4653" s="3" customFormat="1" ht="15" x14ac:dyDescent="0.25"/>
    <row r="4654" s="3" customFormat="1" ht="15" x14ac:dyDescent="0.25"/>
    <row r="4655" s="3" customFormat="1" ht="15" x14ac:dyDescent="0.25"/>
    <row r="4656" s="3" customFormat="1" ht="15" x14ac:dyDescent="0.25"/>
    <row r="4657" s="3" customFormat="1" ht="15" x14ac:dyDescent="0.25"/>
    <row r="4658" s="3" customFormat="1" ht="15" x14ac:dyDescent="0.25"/>
    <row r="4659" s="3" customFormat="1" ht="15" x14ac:dyDescent="0.25"/>
    <row r="4660" s="3" customFormat="1" ht="15" x14ac:dyDescent="0.25"/>
    <row r="4661" s="3" customFormat="1" ht="15" x14ac:dyDescent="0.25"/>
    <row r="4662" s="3" customFormat="1" ht="15" x14ac:dyDescent="0.25"/>
    <row r="4663" s="3" customFormat="1" ht="15" x14ac:dyDescent="0.25"/>
    <row r="4664" s="3" customFormat="1" ht="15" x14ac:dyDescent="0.25"/>
    <row r="4665" s="3" customFormat="1" ht="15" x14ac:dyDescent="0.25"/>
    <row r="4666" s="3" customFormat="1" ht="15" x14ac:dyDescent="0.25"/>
    <row r="4667" s="3" customFormat="1" ht="15" x14ac:dyDescent="0.25"/>
    <row r="4668" s="3" customFormat="1" ht="15" x14ac:dyDescent="0.25"/>
    <row r="4669" s="3" customFormat="1" ht="15" x14ac:dyDescent="0.25"/>
    <row r="4670" s="3" customFormat="1" ht="15" x14ac:dyDescent="0.25"/>
    <row r="4671" s="3" customFormat="1" ht="15" x14ac:dyDescent="0.25"/>
    <row r="4672" s="3" customFormat="1" ht="15" x14ac:dyDescent="0.25"/>
    <row r="4673" s="3" customFormat="1" ht="15" x14ac:dyDescent="0.25"/>
    <row r="4674" s="3" customFormat="1" ht="15" x14ac:dyDescent="0.25"/>
    <row r="4675" s="3" customFormat="1" ht="15" x14ac:dyDescent="0.25"/>
    <row r="4676" s="3" customFormat="1" ht="15" x14ac:dyDescent="0.25"/>
    <row r="4677" s="3" customFormat="1" ht="15" x14ac:dyDescent="0.25"/>
    <row r="4678" s="3" customFormat="1" ht="15" x14ac:dyDescent="0.25"/>
    <row r="4679" s="3" customFormat="1" ht="15" x14ac:dyDescent="0.25"/>
    <row r="4680" s="3" customFormat="1" ht="15" x14ac:dyDescent="0.25"/>
    <row r="4681" s="3" customFormat="1" ht="15" x14ac:dyDescent="0.25"/>
    <row r="4682" s="3" customFormat="1" ht="15" x14ac:dyDescent="0.25"/>
    <row r="4683" s="3" customFormat="1" ht="15" x14ac:dyDescent="0.25"/>
    <row r="4684" s="3" customFormat="1" ht="15" x14ac:dyDescent="0.25"/>
    <row r="4685" s="3" customFormat="1" ht="15" x14ac:dyDescent="0.25"/>
    <row r="4686" s="3" customFormat="1" ht="15" x14ac:dyDescent="0.25"/>
    <row r="4687" s="3" customFormat="1" ht="15" x14ac:dyDescent="0.25"/>
    <row r="4688" s="3" customFormat="1" ht="15" x14ac:dyDescent="0.25"/>
    <row r="4689" s="3" customFormat="1" ht="15" x14ac:dyDescent="0.25"/>
    <row r="4690" s="3" customFormat="1" ht="15" x14ac:dyDescent="0.25"/>
    <row r="4691" s="3" customFormat="1" ht="15" x14ac:dyDescent="0.25"/>
    <row r="4692" s="3" customFormat="1" ht="15" x14ac:dyDescent="0.25"/>
    <row r="4693" s="3" customFormat="1" ht="15" x14ac:dyDescent="0.25"/>
    <row r="4694" s="3" customFormat="1" ht="15" x14ac:dyDescent="0.25"/>
    <row r="4695" s="3" customFormat="1" ht="15" x14ac:dyDescent="0.25"/>
    <row r="4696" s="3" customFormat="1" ht="15" x14ac:dyDescent="0.25"/>
    <row r="4697" s="3" customFormat="1" ht="15" x14ac:dyDescent="0.25"/>
    <row r="4698" s="3" customFormat="1" ht="15" x14ac:dyDescent="0.25"/>
    <row r="4699" s="3" customFormat="1" ht="15" x14ac:dyDescent="0.25"/>
    <row r="4700" s="3" customFormat="1" ht="15" x14ac:dyDescent="0.25"/>
    <row r="4701" s="3" customFormat="1" ht="15" x14ac:dyDescent="0.25"/>
    <row r="4702" s="3" customFormat="1" ht="15" x14ac:dyDescent="0.25"/>
    <row r="4703" s="3" customFormat="1" ht="15" x14ac:dyDescent="0.25"/>
    <row r="4704" s="3" customFormat="1" ht="15" x14ac:dyDescent="0.25"/>
    <row r="4705" s="3" customFormat="1" ht="15" x14ac:dyDescent="0.25"/>
    <row r="4706" s="3" customFormat="1" ht="15" x14ac:dyDescent="0.25"/>
    <row r="4707" s="3" customFormat="1" ht="15" x14ac:dyDescent="0.25"/>
    <row r="4708" s="3" customFormat="1" ht="15" x14ac:dyDescent="0.25"/>
    <row r="4709" s="3" customFormat="1" ht="15" x14ac:dyDescent="0.25"/>
    <row r="4710" s="3" customFormat="1" ht="15" x14ac:dyDescent="0.25"/>
    <row r="4711" s="3" customFormat="1" ht="15" x14ac:dyDescent="0.25"/>
    <row r="4712" s="3" customFormat="1" ht="15" x14ac:dyDescent="0.25"/>
    <row r="4713" s="3" customFormat="1" ht="15" x14ac:dyDescent="0.25"/>
    <row r="4714" s="3" customFormat="1" ht="15" x14ac:dyDescent="0.25"/>
    <row r="4715" s="3" customFormat="1" ht="15" x14ac:dyDescent="0.25"/>
    <row r="4716" s="3" customFormat="1" ht="15" x14ac:dyDescent="0.25"/>
    <row r="4717" s="3" customFormat="1" ht="15" x14ac:dyDescent="0.25"/>
    <row r="4718" s="3" customFormat="1" ht="15" x14ac:dyDescent="0.25"/>
    <row r="4719" s="3" customFormat="1" ht="15" x14ac:dyDescent="0.25"/>
    <row r="4720" s="3" customFormat="1" ht="15" x14ac:dyDescent="0.25"/>
    <row r="4721" s="3" customFormat="1" ht="15" x14ac:dyDescent="0.25"/>
    <row r="4722" s="3" customFormat="1" ht="15" x14ac:dyDescent="0.25"/>
    <row r="4723" s="3" customFormat="1" ht="15" x14ac:dyDescent="0.25"/>
    <row r="4724" s="3" customFormat="1" ht="15" x14ac:dyDescent="0.25"/>
    <row r="4725" s="3" customFormat="1" ht="15" x14ac:dyDescent="0.25"/>
    <row r="4726" s="3" customFormat="1" ht="15" x14ac:dyDescent="0.25"/>
    <row r="4727" s="3" customFormat="1" ht="15" x14ac:dyDescent="0.25"/>
    <row r="4728" s="3" customFormat="1" ht="15" x14ac:dyDescent="0.25"/>
    <row r="4729" s="3" customFormat="1" ht="15" x14ac:dyDescent="0.25"/>
    <row r="4730" s="3" customFormat="1" ht="15" x14ac:dyDescent="0.25"/>
    <row r="4731" s="3" customFormat="1" ht="15" x14ac:dyDescent="0.25"/>
    <row r="4732" s="3" customFormat="1" ht="15" x14ac:dyDescent="0.25"/>
    <row r="4733" s="3" customFormat="1" ht="15" x14ac:dyDescent="0.25"/>
    <row r="4734" s="3" customFormat="1" ht="15" x14ac:dyDescent="0.25"/>
    <row r="4735" s="3" customFormat="1" ht="15" x14ac:dyDescent="0.25"/>
    <row r="4736" s="3" customFormat="1" ht="15" x14ac:dyDescent="0.25"/>
    <row r="4737" s="3" customFormat="1" ht="15" x14ac:dyDescent="0.25"/>
    <row r="4738" s="3" customFormat="1" ht="15" x14ac:dyDescent="0.25"/>
    <row r="4739" s="3" customFormat="1" ht="15" x14ac:dyDescent="0.25"/>
    <row r="4740" s="3" customFormat="1" ht="15" x14ac:dyDescent="0.25"/>
    <row r="4741" s="3" customFormat="1" ht="15" x14ac:dyDescent="0.25"/>
    <row r="4742" s="3" customFormat="1" ht="15" x14ac:dyDescent="0.25"/>
    <row r="4743" s="3" customFormat="1" ht="15" x14ac:dyDescent="0.25"/>
    <row r="4744" s="3" customFormat="1" ht="15" x14ac:dyDescent="0.25"/>
    <row r="4745" s="3" customFormat="1" ht="15" x14ac:dyDescent="0.25"/>
    <row r="4746" s="3" customFormat="1" ht="15" x14ac:dyDescent="0.25"/>
    <row r="4747" s="3" customFormat="1" ht="15" x14ac:dyDescent="0.25"/>
    <row r="4748" s="3" customFormat="1" ht="15" x14ac:dyDescent="0.25"/>
    <row r="4749" s="3" customFormat="1" ht="15" x14ac:dyDescent="0.25"/>
    <row r="4750" s="3" customFormat="1" ht="15" x14ac:dyDescent="0.25"/>
    <row r="4751" s="3" customFormat="1" ht="15" x14ac:dyDescent="0.25"/>
    <row r="4752" s="3" customFormat="1" ht="15" x14ac:dyDescent="0.25"/>
    <row r="4753" s="3" customFormat="1" ht="15" x14ac:dyDescent="0.25"/>
    <row r="4754" s="3" customFormat="1" ht="15" x14ac:dyDescent="0.25"/>
    <row r="4755" s="3" customFormat="1" ht="15" x14ac:dyDescent="0.25"/>
    <row r="4756" s="3" customFormat="1" ht="15" x14ac:dyDescent="0.25"/>
    <row r="4757" s="3" customFormat="1" ht="15" x14ac:dyDescent="0.25"/>
    <row r="4758" s="3" customFormat="1" ht="15" x14ac:dyDescent="0.25"/>
    <row r="4759" s="3" customFormat="1" ht="15" x14ac:dyDescent="0.25"/>
    <row r="4760" s="3" customFormat="1" ht="15" x14ac:dyDescent="0.25"/>
    <row r="4761" s="3" customFormat="1" ht="15" x14ac:dyDescent="0.25"/>
    <row r="4762" s="3" customFormat="1" ht="15" x14ac:dyDescent="0.25"/>
    <row r="4763" s="3" customFormat="1" ht="15" x14ac:dyDescent="0.25"/>
    <row r="4764" s="3" customFormat="1" ht="15" x14ac:dyDescent="0.25"/>
    <row r="4765" s="3" customFormat="1" ht="15" x14ac:dyDescent="0.25"/>
    <row r="4766" s="3" customFormat="1" ht="15" x14ac:dyDescent="0.25"/>
    <row r="4767" s="3" customFormat="1" ht="15" x14ac:dyDescent="0.25"/>
    <row r="4768" s="3" customFormat="1" ht="15" x14ac:dyDescent="0.25"/>
    <row r="4769" s="3" customFormat="1" ht="15" x14ac:dyDescent="0.25"/>
    <row r="4770" s="3" customFormat="1" ht="15" x14ac:dyDescent="0.25"/>
    <row r="4771" s="3" customFormat="1" ht="15" x14ac:dyDescent="0.25"/>
    <row r="4772" s="3" customFormat="1" ht="15" x14ac:dyDescent="0.25"/>
    <row r="4773" s="3" customFormat="1" ht="15" x14ac:dyDescent="0.25"/>
  </sheetData>
  <mergeCells count="44">
    <mergeCell ref="J37:L37"/>
    <mergeCell ref="M37:M38"/>
    <mergeCell ref="N37:N38"/>
    <mergeCell ref="J38:L38"/>
    <mergeCell ref="I40:L40"/>
    <mergeCell ref="I36:M36"/>
    <mergeCell ref="J8:L8"/>
    <mergeCell ref="I11:L11"/>
    <mergeCell ref="J12:L12"/>
    <mergeCell ref="J13:L13"/>
    <mergeCell ref="I16:L16"/>
    <mergeCell ref="J17:L17"/>
    <mergeCell ref="J18:L18"/>
    <mergeCell ref="J19:L19"/>
    <mergeCell ref="I21:L21"/>
    <mergeCell ref="J22:L22"/>
    <mergeCell ref="J23:L23"/>
    <mergeCell ref="I1:O1"/>
    <mergeCell ref="I2:O2"/>
    <mergeCell ref="I3:O3"/>
    <mergeCell ref="I6:L6"/>
    <mergeCell ref="J7:L7"/>
    <mergeCell ref="A1:G1"/>
    <mergeCell ref="F37:F38"/>
    <mergeCell ref="B12:D12"/>
    <mergeCell ref="B13:D13"/>
    <mergeCell ref="A21:D21"/>
    <mergeCell ref="A2:G2"/>
    <mergeCell ref="A3:G3"/>
    <mergeCell ref="A6:D6"/>
    <mergeCell ref="B8:D8"/>
    <mergeCell ref="B23:D23"/>
    <mergeCell ref="B7:D7"/>
    <mergeCell ref="A36:E36"/>
    <mergeCell ref="B37:D37"/>
    <mergeCell ref="B19:D19"/>
    <mergeCell ref="E37:E38"/>
    <mergeCell ref="A40:D40"/>
    <mergeCell ref="A11:D11"/>
    <mergeCell ref="A16:D16"/>
    <mergeCell ref="B22:D22"/>
    <mergeCell ref="B18:D18"/>
    <mergeCell ref="B17:D17"/>
    <mergeCell ref="B38:D38"/>
  </mergeCells>
  <phoneticPr fontId="0" type="noConversion"/>
  <pageMargins left="1.25" right="0.45" top="1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4"/>
  <sheetViews>
    <sheetView zoomScaleNormal="100" workbookViewId="0">
      <selection activeCell="K52" sqref="K52"/>
    </sheetView>
  </sheetViews>
  <sheetFormatPr defaultRowHeight="13.2" x14ac:dyDescent="0.25"/>
  <cols>
    <col min="1" max="1" width="41.6640625" customWidth="1"/>
    <col min="2" max="2" width="14.6640625" bestFit="1" customWidth="1"/>
    <col min="3" max="3" width="13.88671875" customWidth="1"/>
    <col min="4" max="4" width="14.6640625" bestFit="1" customWidth="1"/>
    <col min="5" max="5" width="14.6640625" customWidth="1"/>
    <col min="7" max="7" width="41.6640625" customWidth="1"/>
    <col min="8" max="8" width="14.6640625" customWidth="1"/>
    <col min="9" max="9" width="13.88671875" customWidth="1"/>
    <col min="10" max="11" width="14.6640625" customWidth="1"/>
  </cols>
  <sheetData>
    <row r="1" spans="1:11" ht="17.399999999999999" x14ac:dyDescent="0.3">
      <c r="A1" s="204" t="str">
        <f>'2019 Operating Budget'!A1:G1</f>
        <v>EAST CASEY COUNTY WATER DISTRICT</v>
      </c>
      <c r="B1" s="204"/>
      <c r="C1" s="204"/>
      <c r="D1" s="204"/>
      <c r="E1" s="204"/>
      <c r="F1" s="46"/>
      <c r="G1" s="204" t="str">
        <f>A1</f>
        <v>EAST CASEY COUNTY WATER DISTRICT</v>
      </c>
      <c r="H1" s="204"/>
      <c r="I1" s="204"/>
      <c r="J1" s="204"/>
      <c r="K1" s="204"/>
    </row>
    <row r="2" spans="1:11" ht="17.399999999999999" x14ac:dyDescent="0.3">
      <c r="A2" s="204" t="s">
        <v>72</v>
      </c>
      <c r="B2" s="204"/>
      <c r="C2" s="204"/>
      <c r="D2" s="204"/>
      <c r="E2" s="204"/>
      <c r="F2" s="46"/>
      <c r="G2" s="204" t="str">
        <f>A2</f>
        <v>2020 Water System Improvements</v>
      </c>
      <c r="H2" s="204"/>
      <c r="I2" s="204"/>
      <c r="J2" s="204"/>
      <c r="K2" s="204"/>
    </row>
    <row r="3" spans="1:11" ht="17.399999999999999" x14ac:dyDescent="0.3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7.399999999999999" x14ac:dyDescent="0.3">
      <c r="A4" s="46" t="s">
        <v>73</v>
      </c>
      <c r="B4" s="47"/>
      <c r="C4" s="47"/>
      <c r="D4" s="47"/>
      <c r="E4" s="59">
        <f>'Percent Rate Increase'!F37</f>
        <v>0.31977383335331111</v>
      </c>
      <c r="F4" s="52"/>
      <c r="G4" s="46" t="s">
        <v>73</v>
      </c>
      <c r="H4" s="47"/>
      <c r="I4" s="47"/>
      <c r="J4" s="47"/>
      <c r="K4" s="59">
        <f>'Percent Rate Increase'!N37</f>
        <v>0.3318365579312339</v>
      </c>
    </row>
    <row r="5" spans="1:11" ht="17.399999999999999" x14ac:dyDescent="0.3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7.399999999999999" x14ac:dyDescent="0.3">
      <c r="A6" s="46" t="s">
        <v>74</v>
      </c>
      <c r="B6" s="47"/>
      <c r="C6" s="47"/>
      <c r="D6" s="47"/>
      <c r="E6" s="47"/>
      <c r="F6" s="47"/>
      <c r="G6" s="46" t="str">
        <f>A6</f>
        <v>All Meters</v>
      </c>
      <c r="H6" s="47"/>
      <c r="I6" s="47"/>
      <c r="J6" s="47"/>
      <c r="K6" s="47"/>
    </row>
    <row r="7" spans="1:11" ht="18" thickBot="1" x14ac:dyDescent="0.35">
      <c r="A7" s="53" t="s">
        <v>75</v>
      </c>
      <c r="B7" s="217" t="s">
        <v>76</v>
      </c>
      <c r="C7" s="217"/>
      <c r="D7" s="217" t="s">
        <v>77</v>
      </c>
      <c r="E7" s="217"/>
      <c r="F7" s="47"/>
      <c r="G7" s="53" t="s">
        <v>75</v>
      </c>
      <c r="H7" s="217" t="s">
        <v>76</v>
      </c>
      <c r="I7" s="217"/>
      <c r="J7" s="217" t="s">
        <v>77</v>
      </c>
      <c r="K7" s="217"/>
    </row>
    <row r="8" spans="1:11" ht="18" thickTop="1" x14ac:dyDescent="0.3">
      <c r="A8" s="48" t="s">
        <v>78</v>
      </c>
      <c r="B8" s="54">
        <v>17.239999999999998</v>
      </c>
      <c r="C8" s="55" t="s">
        <v>79</v>
      </c>
      <c r="D8" s="54">
        <f t="shared" ref="D8:D13" si="0">B8*(1+$E$4)</f>
        <v>22.75290088701108</v>
      </c>
      <c r="E8" s="56" t="s">
        <v>79</v>
      </c>
      <c r="F8" s="47"/>
      <c r="G8" s="48" t="str">
        <f t="shared" ref="G8:H13" si="1">A8</f>
        <v>First               2,000</v>
      </c>
      <c r="H8" s="54">
        <f t="shared" si="1"/>
        <v>17.239999999999998</v>
      </c>
      <c r="I8" s="55" t="s">
        <v>79</v>
      </c>
      <c r="J8" s="54">
        <f t="shared" ref="J8:J13" si="2">H8*(1+$K$4)</f>
        <v>22.960862258734469</v>
      </c>
      <c r="K8" s="56" t="s">
        <v>79</v>
      </c>
    </row>
    <row r="9" spans="1:11" ht="17.399999999999999" x14ac:dyDescent="0.3">
      <c r="A9" s="48" t="s">
        <v>80</v>
      </c>
      <c r="B9" s="54">
        <v>7.42</v>
      </c>
      <c r="C9" s="120" t="s">
        <v>81</v>
      </c>
      <c r="D9" s="54">
        <f t="shared" si="0"/>
        <v>9.7927218434815675</v>
      </c>
      <c r="E9" s="120" t="s">
        <v>81</v>
      </c>
      <c r="F9" s="47"/>
      <c r="G9" s="48" t="str">
        <f t="shared" si="1"/>
        <v>Next               3,000</v>
      </c>
      <c r="H9" s="54">
        <f t="shared" si="1"/>
        <v>7.42</v>
      </c>
      <c r="I9" s="120" t="s">
        <v>81</v>
      </c>
      <c r="J9" s="54">
        <f t="shared" si="2"/>
        <v>9.8822272598497563</v>
      </c>
      <c r="K9" s="120" t="s">
        <v>81</v>
      </c>
    </row>
    <row r="10" spans="1:11" ht="17.399999999999999" x14ac:dyDescent="0.3">
      <c r="A10" s="48" t="s">
        <v>82</v>
      </c>
      <c r="B10" s="54">
        <v>7.12</v>
      </c>
      <c r="C10" s="120" t="s">
        <v>81</v>
      </c>
      <c r="D10" s="54">
        <f t="shared" si="0"/>
        <v>9.3967896934755757</v>
      </c>
      <c r="E10" s="120" t="s">
        <v>81</v>
      </c>
      <c r="F10" s="47"/>
      <c r="G10" s="48" t="str">
        <f t="shared" si="1"/>
        <v>Next               5,000</v>
      </c>
      <c r="H10" s="54">
        <f t="shared" si="1"/>
        <v>7.12</v>
      </c>
      <c r="I10" s="120" t="s">
        <v>81</v>
      </c>
      <c r="J10" s="54">
        <f t="shared" si="2"/>
        <v>9.4826762924703853</v>
      </c>
      <c r="K10" s="120" t="s">
        <v>81</v>
      </c>
    </row>
    <row r="11" spans="1:11" ht="17.399999999999999" x14ac:dyDescent="0.3">
      <c r="A11" s="48" t="s">
        <v>82</v>
      </c>
      <c r="B11" s="54">
        <v>6.82</v>
      </c>
      <c r="C11" s="120" t="s">
        <v>81</v>
      </c>
      <c r="D11" s="54">
        <f t="shared" si="0"/>
        <v>9.0008575434695821</v>
      </c>
      <c r="E11" s="120" t="s">
        <v>81</v>
      </c>
      <c r="F11" s="47"/>
      <c r="G11" s="48" t="str">
        <f t="shared" si="1"/>
        <v>Next               5,000</v>
      </c>
      <c r="H11" s="54">
        <f t="shared" si="1"/>
        <v>6.82</v>
      </c>
      <c r="I11" s="120" t="s">
        <v>81</v>
      </c>
      <c r="J11" s="54">
        <f t="shared" si="2"/>
        <v>9.0831253250910162</v>
      </c>
      <c r="K11" s="120" t="s">
        <v>81</v>
      </c>
    </row>
    <row r="12" spans="1:11" ht="17.399999999999999" x14ac:dyDescent="0.3">
      <c r="A12" s="48" t="s">
        <v>82</v>
      </c>
      <c r="B12" s="54">
        <v>6.52</v>
      </c>
      <c r="C12" s="120" t="s">
        <v>81</v>
      </c>
      <c r="D12" s="54">
        <f t="shared" si="0"/>
        <v>8.6049253934635885</v>
      </c>
      <c r="E12" s="120" t="s">
        <v>81</v>
      </c>
      <c r="F12" s="47"/>
      <c r="G12" s="48" t="str">
        <f t="shared" si="1"/>
        <v>Next               5,000</v>
      </c>
      <c r="H12" s="54">
        <f t="shared" si="1"/>
        <v>6.52</v>
      </c>
      <c r="I12" s="120" t="s">
        <v>81</v>
      </c>
      <c r="J12" s="54">
        <f t="shared" si="2"/>
        <v>8.6835743577116453</v>
      </c>
      <c r="K12" s="120" t="s">
        <v>81</v>
      </c>
    </row>
    <row r="13" spans="1:11" ht="17.399999999999999" x14ac:dyDescent="0.3">
      <c r="A13" s="50" t="s">
        <v>83</v>
      </c>
      <c r="B13" s="57">
        <v>5.92</v>
      </c>
      <c r="C13" s="51" t="s">
        <v>81</v>
      </c>
      <c r="D13" s="57">
        <f t="shared" si="0"/>
        <v>7.8130610934516014</v>
      </c>
      <c r="E13" s="58" t="s">
        <v>81</v>
      </c>
      <c r="F13" s="47"/>
      <c r="G13" s="50" t="str">
        <f t="shared" si="1"/>
        <v>All Over         20,000</v>
      </c>
      <c r="H13" s="57">
        <f t="shared" si="1"/>
        <v>5.92</v>
      </c>
      <c r="I13" s="51" t="s">
        <v>81</v>
      </c>
      <c r="J13" s="57">
        <f t="shared" si="2"/>
        <v>7.8844724229529044</v>
      </c>
      <c r="K13" s="58" t="s">
        <v>81</v>
      </c>
    </row>
    <row r="14" spans="1:11" ht="17.399999999999999" x14ac:dyDescent="0.3">
      <c r="A14" s="47"/>
      <c r="B14" s="70"/>
      <c r="C14" s="49"/>
      <c r="D14" s="71"/>
      <c r="E14" s="55"/>
      <c r="F14" s="47"/>
      <c r="G14" s="47"/>
      <c r="H14" s="70"/>
      <c r="I14" s="49"/>
      <c r="J14" s="71"/>
      <c r="K14" s="55"/>
    </row>
  </sheetData>
  <mergeCells count="8">
    <mergeCell ref="A2:E2"/>
    <mergeCell ref="A1:E1"/>
    <mergeCell ref="G1:K1"/>
    <mergeCell ref="G2:K2"/>
    <mergeCell ref="H7:I7"/>
    <mergeCell ref="J7:K7"/>
    <mergeCell ref="B7:C7"/>
    <mergeCell ref="D7:E7"/>
  </mergeCells>
  <printOptions horizontalCentered="1"/>
  <pageMargins left="0.7" right="0.7" top="0.75" bottom="0.75" header="0.3" footer="0.3"/>
  <pageSetup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67"/>
  <sheetViews>
    <sheetView zoomScaleNormal="100" workbookViewId="0">
      <selection activeCell="T50" sqref="T50"/>
    </sheetView>
  </sheetViews>
  <sheetFormatPr defaultColWidth="9.109375" defaultRowHeight="13.2" x14ac:dyDescent="0.25"/>
  <cols>
    <col min="1" max="2" width="9.109375" style="2"/>
    <col min="3" max="3" width="13" style="2" customWidth="1"/>
    <col min="4" max="4" width="11.44140625" style="2" customWidth="1"/>
    <col min="5" max="5" width="9.33203125" style="2" bestFit="1" customWidth="1"/>
    <col min="6" max="6" width="11.44140625" style="2" customWidth="1"/>
    <col min="7" max="7" width="9.88671875" style="2" bestFit="1" customWidth="1"/>
    <col min="8" max="14" width="11.44140625" style="2" customWidth="1"/>
    <col min="15" max="15" width="29" style="2" customWidth="1"/>
    <col min="16" max="16" width="10.33203125" style="2" bestFit="1" customWidth="1"/>
    <col min="17" max="17" width="10.88671875" style="2" bestFit="1" customWidth="1"/>
    <col min="18" max="19" width="10.88671875" style="2" customWidth="1"/>
    <col min="20" max="27" width="10.109375" style="2" bestFit="1" customWidth="1"/>
    <col min="28" max="28" width="10.109375" style="2" customWidth="1"/>
    <col min="29" max="16384" width="9.109375" style="2"/>
  </cols>
  <sheetData>
    <row r="1" spans="1:19" ht="15.6" x14ac:dyDescent="0.3">
      <c r="A1" s="4" t="s">
        <v>84</v>
      </c>
      <c r="B1" s="4"/>
      <c r="C1" s="4"/>
    </row>
    <row r="2" spans="1:19" ht="15.6" x14ac:dyDescent="0.3">
      <c r="A2" s="4" t="str">
        <f>'2019 Operating Budget'!A1:G1</f>
        <v>EAST CASEY COUNTY WATER DISTRICT</v>
      </c>
      <c r="B2" s="4"/>
      <c r="C2" s="4"/>
    </row>
    <row r="3" spans="1:19" ht="15.6" x14ac:dyDescent="0.3">
      <c r="A3" s="4" t="s">
        <v>85</v>
      </c>
      <c r="B3" s="4"/>
      <c r="C3" s="4"/>
    </row>
    <row r="4" spans="1:19" ht="6" customHeight="1" x14ac:dyDescent="0.3">
      <c r="A4" s="4"/>
      <c r="B4" s="4"/>
      <c r="C4" s="4"/>
    </row>
    <row r="5" spans="1:19" ht="26.4" x14ac:dyDescent="0.25">
      <c r="A5" s="73" t="s">
        <v>86</v>
      </c>
      <c r="D5" s="82" t="s">
        <v>87</v>
      </c>
      <c r="E5" s="82" t="s">
        <v>88</v>
      </c>
      <c r="F5" s="82" t="s">
        <v>89</v>
      </c>
      <c r="G5" s="82" t="s">
        <v>88</v>
      </c>
      <c r="H5" s="82" t="s">
        <v>90</v>
      </c>
      <c r="I5" s="82" t="s">
        <v>88</v>
      </c>
      <c r="J5" s="82" t="s">
        <v>91</v>
      </c>
      <c r="K5" s="83" t="s">
        <v>92</v>
      </c>
      <c r="L5" s="82" t="s">
        <v>93</v>
      </c>
      <c r="M5" s="82" t="s">
        <v>94</v>
      </c>
    </row>
    <row r="6" spans="1:19" x14ac:dyDescent="0.25">
      <c r="A6" s="2" t="s">
        <v>95</v>
      </c>
      <c r="D6" s="74">
        <v>1669056</v>
      </c>
      <c r="E6" s="134">
        <f>IF(D6&lt;F6,(ABS(D6-F6)/D6),((F6-D6)/D6))</f>
        <v>-1.9797418420951722E-2</v>
      </c>
      <c r="F6" s="74">
        <v>1636013</v>
      </c>
      <c r="G6" s="134">
        <f>IF(F6&lt;H6,(ABS(F6-H6)/F6),((H6-F6)/F6))</f>
        <v>8.5317170462581894E-3</v>
      </c>
      <c r="H6" s="74">
        <v>1649971</v>
      </c>
      <c r="I6" s="134">
        <f>IF(H6&lt;J6,(ABS(H6-J6)/H6),((J6-H6)/H6))</f>
        <v>5.8340419316460716E-2</v>
      </c>
      <c r="J6" s="74">
        <v>1746231</v>
      </c>
      <c r="K6" s="192">
        <f>ROUND(H6*1.04,0)</f>
        <v>1715970</v>
      </c>
      <c r="L6" s="193">
        <f>K6</f>
        <v>1715970</v>
      </c>
      <c r="M6" s="193">
        <f>L6</f>
        <v>1715970</v>
      </c>
    </row>
    <row r="7" spans="1:19" x14ac:dyDescent="0.25">
      <c r="A7" s="2" t="s">
        <v>96</v>
      </c>
      <c r="D7" s="74">
        <v>46992</v>
      </c>
      <c r="E7" s="134">
        <f>IF(D7&lt;F7,(ABS(D7-F7)/D7),((F7-D7)/D7))</f>
        <v>-2.8111167858358869E-2</v>
      </c>
      <c r="F7" s="74">
        <v>45671</v>
      </c>
      <c r="G7" s="134">
        <f>IF(F7&lt;H7,(ABS(F7-H7)/F7),((H7-F7)/F7))</f>
        <v>7.9919423704320029E-3</v>
      </c>
      <c r="H7" s="74">
        <v>46036</v>
      </c>
      <c r="I7" s="134">
        <f>IF(H7&lt;J7,(ABS(H7-J7)/H7),((J7-H7)/H7))</f>
        <v>3.5624294030758537E-3</v>
      </c>
      <c r="J7" s="74">
        <v>46200</v>
      </c>
      <c r="K7" s="192">
        <f>AVERAGE($H$7,$D$7,$F$7,$J$7)</f>
        <v>46224.75</v>
      </c>
      <c r="L7" s="193">
        <f>AVERAGE($H$7,$D$7,$F$7,$J$7)</f>
        <v>46224.75</v>
      </c>
      <c r="M7" s="193">
        <f>AVERAGE($H$7,$D$7,$F$7,$J$7)</f>
        <v>46224.75</v>
      </c>
    </row>
    <row r="8" spans="1:19" x14ac:dyDescent="0.25">
      <c r="A8" s="2" t="s">
        <v>97</v>
      </c>
      <c r="D8" s="74">
        <v>15526</v>
      </c>
      <c r="E8" s="134">
        <f>IF(D8&lt;F8,(ABS(D8-F8)/D8),((F8-D8)/D8))</f>
        <v>-3.4844776503928893E-2</v>
      </c>
      <c r="F8" s="74">
        <v>14985</v>
      </c>
      <c r="G8" s="134">
        <f>IF(F8&lt;H8,(ABS(F8-H8)/F8),((H8-F8)/F8))</f>
        <v>-4.7380714047380711E-3</v>
      </c>
      <c r="H8" s="74">
        <v>14914</v>
      </c>
      <c r="I8" s="134">
        <f>IF(H8&lt;J8,(ABS(H8-J8)/H8),((J8-H8)/H8))</f>
        <v>0.75372133565777122</v>
      </c>
      <c r="J8" s="74">
        <v>26155</v>
      </c>
      <c r="K8" s="192">
        <f>AVERAGE($H$8,$D$8,$F$8,$J$8)</f>
        <v>17895</v>
      </c>
      <c r="L8" s="193">
        <f>AVERAGE($H$8,$D$8,$F$8,$J$8)</f>
        <v>17895</v>
      </c>
      <c r="M8" s="193">
        <f>AVERAGE($H$8,$D$8,$F$8,$J$8)</f>
        <v>17895</v>
      </c>
    </row>
    <row r="9" spans="1:19" ht="6" customHeight="1" thickBot="1" x14ac:dyDescent="0.3">
      <c r="D9" s="75"/>
      <c r="E9" s="75"/>
      <c r="F9" s="75"/>
      <c r="G9" s="75"/>
      <c r="H9" s="75"/>
      <c r="I9" s="75"/>
      <c r="J9" s="75"/>
      <c r="K9" s="78"/>
      <c r="L9" s="75"/>
      <c r="M9" s="75"/>
    </row>
    <row r="10" spans="1:19" x14ac:dyDescent="0.25">
      <c r="A10" s="73" t="s">
        <v>98</v>
      </c>
      <c r="D10" s="74">
        <f>SUM(D6:D8)</f>
        <v>1731574</v>
      </c>
      <c r="E10" s="84">
        <f>IF(D10&lt;F10,ABS((D10-F10)/D10),-((D10-F10)/D10))</f>
        <v>-2.015796032973468E-2</v>
      </c>
      <c r="F10" s="74">
        <f>SUM(F6:F8)</f>
        <v>1696669</v>
      </c>
      <c r="G10" s="84">
        <f>IF(F10&lt;H10,ABS((F10-H10)/F10),-((F10-H10)/F10))</f>
        <v>8.399988447953019E-3</v>
      </c>
      <c r="H10" s="74">
        <f>SUM(H6:H8)</f>
        <v>1710921</v>
      </c>
      <c r="I10" s="84">
        <f>IF(H10&lt;J10,ABS((H10-J10)/H10),-((H10-J10)/H10))</f>
        <v>6.2928095452683089E-2</v>
      </c>
      <c r="J10" s="74">
        <f>SUM(J6:J8)</f>
        <v>1818586</v>
      </c>
      <c r="K10" s="77">
        <f>SUM(K6:K8)</f>
        <v>1780089.75</v>
      </c>
      <c r="L10" s="116">
        <f>SUM(L6:L8)</f>
        <v>1780089.75</v>
      </c>
      <c r="M10" s="116">
        <f>SUM(M6:M8)</f>
        <v>1780089.75</v>
      </c>
    </row>
    <row r="11" spans="1:19" x14ac:dyDescent="0.25">
      <c r="K11" s="79"/>
    </row>
    <row r="12" spans="1:19" x14ac:dyDescent="0.25">
      <c r="A12" s="73" t="s">
        <v>99</v>
      </c>
      <c r="K12" s="79"/>
      <c r="R12" s="76"/>
    </row>
    <row r="13" spans="1:19" x14ac:dyDescent="0.25">
      <c r="A13" s="2" t="s">
        <v>99</v>
      </c>
      <c r="D13" s="74">
        <f>P57</f>
        <v>1563720</v>
      </c>
      <c r="E13" s="134">
        <f>IF(D13&lt;F13,(ABS(D13-F13)/D13),((F13-D13)/D13))</f>
        <v>3.2783362750364517E-2</v>
      </c>
      <c r="F13" s="74">
        <f>Q57</f>
        <v>1614984</v>
      </c>
      <c r="G13" s="134">
        <f>IF(F13&lt;H13,(ABS(F13-H13)/F13),((H13-F13)/F13))</f>
        <v>6.3248923828347528E-2</v>
      </c>
      <c r="H13" s="74">
        <f>R57</f>
        <v>1717130</v>
      </c>
      <c r="I13" s="134">
        <f>IF(H13&lt;J13,(ABS(H13-J13)/H13),((J13-H13)/H13))</f>
        <v>6.1511359070076231E-2</v>
      </c>
      <c r="J13" s="74">
        <f>S57</f>
        <v>1822753</v>
      </c>
      <c r="K13" s="77">
        <f>T57</f>
        <v>1898931</v>
      </c>
      <c r="L13" s="116">
        <f>U57</f>
        <v>1980662</v>
      </c>
      <c r="M13" s="116">
        <f>V57</f>
        <v>2068209</v>
      </c>
      <c r="O13" s="2" t="s">
        <v>100</v>
      </c>
      <c r="R13" s="76"/>
      <c r="S13" s="76"/>
    </row>
    <row r="14" spans="1:19" x14ac:dyDescent="0.25">
      <c r="A14" s="2" t="s">
        <v>101</v>
      </c>
      <c r="D14" s="74">
        <v>316236</v>
      </c>
      <c r="E14" s="134">
        <f>IF(D14&lt;F14,(ABS(D14-F14)/D14),((F14-D14)/D14))</f>
        <v>1.9099659747783302E-2</v>
      </c>
      <c r="F14" s="74">
        <v>322276</v>
      </c>
      <c r="G14" s="134">
        <f>IF(F14&lt;H14,(ABS(F14-H14)/F14),((H14-F14)/F14))</f>
        <v>-1.2684779505765244E-2</v>
      </c>
      <c r="H14" s="74">
        <v>318188</v>
      </c>
      <c r="I14" s="134">
        <f>IF(H14&lt;J14,(ABS(H14-J14)/H14),((J14-H14)/H14))</f>
        <v>-2.3812965919519279E-2</v>
      </c>
      <c r="J14" s="74">
        <v>310611</v>
      </c>
      <c r="K14" s="77">
        <f>AVERAGE($D$14,$F$14,$H$14,$J$14)</f>
        <v>316827.75</v>
      </c>
      <c r="L14" s="116">
        <f>AVERAGE($D$14,$F$14,$H$14,$J$14)</f>
        <v>316827.75</v>
      </c>
      <c r="M14" s="116">
        <f>AVERAGE($D$14,$F$14,$H$14,$J$14)</f>
        <v>316827.75</v>
      </c>
      <c r="O14" s="2" t="s">
        <v>102</v>
      </c>
      <c r="R14" s="76"/>
    </row>
    <row r="15" spans="1:19" ht="6" customHeight="1" thickBot="1" x14ac:dyDescent="0.3">
      <c r="D15" s="75"/>
      <c r="E15" s="75"/>
      <c r="F15" s="75"/>
      <c r="G15" s="75"/>
      <c r="H15" s="75"/>
      <c r="I15" s="75"/>
      <c r="J15" s="75"/>
      <c r="K15" s="78"/>
      <c r="L15" s="75"/>
      <c r="M15" s="75"/>
    </row>
    <row r="16" spans="1:19" x14ac:dyDescent="0.25">
      <c r="A16" s="73" t="s">
        <v>103</v>
      </c>
      <c r="D16" s="74">
        <f t="shared" ref="D16:M16" si="0">SUM(D13:D14)</f>
        <v>1879956</v>
      </c>
      <c r="E16" s="84">
        <f>IF(D16&lt;F16,ABS((D16-F16)/D16),-((D16-F16)/D16))</f>
        <v>3.0481564462146987E-2</v>
      </c>
      <c r="F16" s="74">
        <f t="shared" si="0"/>
        <v>1937260</v>
      </c>
      <c r="G16" s="84">
        <f>IF(F16&lt;H16,ABS((F16-H16)/F16),-((F16-H16)/F16))</f>
        <v>5.0616850603429589E-2</v>
      </c>
      <c r="H16" s="74">
        <f>SUM(H13:H14)</f>
        <v>2035318</v>
      </c>
      <c r="I16" s="84">
        <f>IF(H16&lt;J16,ABS((H16-J16)/H16),-((H16-J16)/H16))</f>
        <v>4.8172324914337712E-2</v>
      </c>
      <c r="J16" s="74">
        <f>SUM(J13:J14)</f>
        <v>2133364</v>
      </c>
      <c r="K16" s="77">
        <f t="shared" si="0"/>
        <v>2215758.75</v>
      </c>
      <c r="L16" s="74">
        <f t="shared" si="0"/>
        <v>2297489.75</v>
      </c>
      <c r="M16" s="74">
        <f t="shared" si="0"/>
        <v>2385036.75</v>
      </c>
    </row>
    <row r="17" spans="1:30" ht="13.8" thickBot="1" x14ac:dyDescent="0.3">
      <c r="D17" s="75"/>
      <c r="E17" s="75"/>
      <c r="F17" s="75"/>
      <c r="G17" s="75"/>
      <c r="H17" s="75"/>
      <c r="I17" s="75"/>
      <c r="J17" s="75"/>
      <c r="K17" s="78"/>
      <c r="L17" s="75"/>
      <c r="M17" s="75"/>
    </row>
    <row r="18" spans="1:30" x14ac:dyDescent="0.25">
      <c r="A18" s="73" t="s">
        <v>104</v>
      </c>
      <c r="D18" s="74">
        <f t="shared" ref="D18:M18" si="1">D10-D16</f>
        <v>-148382</v>
      </c>
      <c r="E18" s="84">
        <f>IF(D18&lt;F18,ABS((D18-F18)/D18),-((D18-F18)/D18))</f>
        <v>0.62142982302435601</v>
      </c>
      <c r="F18" s="74">
        <f t="shared" si="1"/>
        <v>-240591</v>
      </c>
      <c r="G18" s="84">
        <f>IF(F18&lt;H18,ABS((F18-H18)/F18),-((F18-H18)/F18))</f>
        <v>0.34833389445157964</v>
      </c>
      <c r="H18" s="74">
        <f>H10-H16</f>
        <v>-324397</v>
      </c>
      <c r="I18" s="84">
        <f>IF(H18&lt;J18,ABS((H18-J18)/H18),-((H18-J18)/H18))</f>
        <v>2.9651938828040951E-2</v>
      </c>
      <c r="J18" s="74">
        <f>J10-J16</f>
        <v>-314778</v>
      </c>
      <c r="K18" s="77">
        <f t="shared" si="1"/>
        <v>-435669</v>
      </c>
      <c r="L18" s="74">
        <f t="shared" si="1"/>
        <v>-517400</v>
      </c>
      <c r="M18" s="74">
        <f t="shared" si="1"/>
        <v>-604947</v>
      </c>
    </row>
    <row r="19" spans="1:30" x14ac:dyDescent="0.25">
      <c r="K19" s="79"/>
    </row>
    <row r="20" spans="1:30" x14ac:dyDescent="0.25">
      <c r="A20" s="73" t="s">
        <v>105</v>
      </c>
      <c r="K20" s="79"/>
    </row>
    <row r="21" spans="1:30" x14ac:dyDescent="0.25">
      <c r="A21" s="2" t="s">
        <v>105</v>
      </c>
      <c r="D21" s="74">
        <f>D67</f>
        <v>55368</v>
      </c>
      <c r="E21" s="134">
        <f>IF(D21&lt;F21,(ABS(D21-F21)/D21),((F21-D21)/D21))</f>
        <v>-9.6138563791359627E-2</v>
      </c>
      <c r="F21" s="74">
        <f>F67</f>
        <v>50045</v>
      </c>
      <c r="G21" s="134">
        <f>IF(F21&lt;H21,(ABS(F21-H21)/F21),((H21-F21)/F21))</f>
        <v>-0.10068937955839745</v>
      </c>
      <c r="H21" s="74">
        <f>H67</f>
        <v>45006</v>
      </c>
      <c r="I21" s="134">
        <f>IF(H21&lt;J21,(ABS(H21-J21)/H21),((J21-H21)/H21))</f>
        <v>0.35924099009021021</v>
      </c>
      <c r="J21" s="74">
        <f>J67</f>
        <v>61174</v>
      </c>
      <c r="K21" s="77">
        <f>AVERAGE($D$21,$F$21,$H$21,$J$21)</f>
        <v>52898.25</v>
      </c>
      <c r="L21" s="116">
        <f>AVERAGE($D$21,$F$21,$H$21,$J$21)</f>
        <v>52898.25</v>
      </c>
      <c r="M21" s="116">
        <f>AVERAGE($D$21,$F$21,$H$21,$J$21)</f>
        <v>52898.25</v>
      </c>
      <c r="O21" s="2" t="s">
        <v>106</v>
      </c>
      <c r="Q21" s="74"/>
    </row>
    <row r="22" spans="1:30" ht="6" customHeight="1" thickBot="1" x14ac:dyDescent="0.3">
      <c r="D22" s="75"/>
      <c r="E22" s="75"/>
      <c r="F22" s="75"/>
      <c r="G22" s="75"/>
      <c r="H22" s="75"/>
      <c r="I22" s="75"/>
      <c r="J22" s="75"/>
      <c r="K22" s="78"/>
      <c r="L22" s="75"/>
      <c r="M22" s="75"/>
    </row>
    <row r="23" spans="1:30" x14ac:dyDescent="0.25">
      <c r="A23" s="73" t="s">
        <v>107</v>
      </c>
      <c r="D23" s="76">
        <f>SUM(D21:D21)</f>
        <v>55368</v>
      </c>
      <c r="E23" s="84">
        <f>IF(D23&lt;F23,ABS((D23-F23)/D23),-((D23-F23)/D23))</f>
        <v>-9.6138563791359627E-2</v>
      </c>
      <c r="F23" s="76">
        <f>F21</f>
        <v>50045</v>
      </c>
      <c r="G23" s="84">
        <f>IF(F23&lt;H23,ABS((F23-H23)/F23),-((F23-H23)/F23))</f>
        <v>-0.10068937955839745</v>
      </c>
      <c r="H23" s="76">
        <f>H21</f>
        <v>45006</v>
      </c>
      <c r="I23" s="84">
        <f>IF(H23&lt;J23,ABS((H23-J23)/H23),-((H23-J23)/H23))</f>
        <v>0.35924099009021021</v>
      </c>
      <c r="J23" s="76">
        <f>J21</f>
        <v>61174</v>
      </c>
      <c r="K23" s="86">
        <f>SUM(K21:K21)</f>
        <v>52898.25</v>
      </c>
      <c r="L23" s="76">
        <f>SUM(L21:L21)</f>
        <v>52898.25</v>
      </c>
      <c r="M23" s="76">
        <f>SUM(M21:M21)</f>
        <v>52898.25</v>
      </c>
    </row>
    <row r="24" spans="1:30" x14ac:dyDescent="0.25">
      <c r="K24" s="79"/>
    </row>
    <row r="25" spans="1:30" x14ac:dyDescent="0.25">
      <c r="A25" s="73" t="s">
        <v>108</v>
      </c>
      <c r="K25" s="79"/>
    </row>
    <row r="26" spans="1:30" x14ac:dyDescent="0.25">
      <c r="A26" s="2" t="s">
        <v>101</v>
      </c>
      <c r="D26" s="76">
        <f>D14</f>
        <v>316236</v>
      </c>
      <c r="E26" s="134">
        <f>IF(D26&lt;F26,(ABS(D26-F26)/D26),((F26-D26)/D26))</f>
        <v>1.9099659747783302E-2</v>
      </c>
      <c r="F26" s="76">
        <f>F14</f>
        <v>322276</v>
      </c>
      <c r="G26" s="134">
        <f>IF(F26&lt;H26,(ABS(F26-H26)/F26),((H26-F26)/F26))</f>
        <v>-1.2684779505765244E-2</v>
      </c>
      <c r="H26" s="76">
        <f>H14</f>
        <v>318188</v>
      </c>
      <c r="I26" s="134">
        <f>IF(H26&lt;J26,(ABS(H26-J26)/H26),((J26-H26)/H26))</f>
        <v>-2.3812965919519279E-2</v>
      </c>
      <c r="J26" s="76">
        <f>J14</f>
        <v>310611</v>
      </c>
      <c r="K26" s="77">
        <f>K14</f>
        <v>316827.75</v>
      </c>
      <c r="L26" s="116">
        <f>L14</f>
        <v>316827.75</v>
      </c>
      <c r="M26" s="116">
        <f>M14</f>
        <v>316827.75</v>
      </c>
      <c r="O26" s="2" t="s">
        <v>109</v>
      </c>
    </row>
    <row r="27" spans="1:30" x14ac:dyDescent="0.25">
      <c r="K27" s="79"/>
    </row>
    <row r="28" spans="1:30" x14ac:dyDescent="0.25">
      <c r="A28" s="73" t="s">
        <v>110</v>
      </c>
      <c r="D28" s="88">
        <f>D18+D23+D26</f>
        <v>223222</v>
      </c>
      <c r="E28" s="84">
        <f>IF(D28&lt;F28,ABS((D28-F28)/D28),-((D28-F28)/D28))</f>
        <v>-0.40986999489297649</v>
      </c>
      <c r="F28" s="88">
        <f>F18+F23+F26</f>
        <v>131730</v>
      </c>
      <c r="G28" s="84">
        <f>IF(F28&lt;H28,ABS((F28-H28)/F28),-((F28-H28)/F28))</f>
        <v>-0.70548090791771045</v>
      </c>
      <c r="H28" s="88">
        <f>H18+H23+H26</f>
        <v>38797</v>
      </c>
      <c r="I28" s="84">
        <f>IF(H28&lt;J28,ABS((H28-J28)/H28),-((H28-J28)/H28))</f>
        <v>0.46936618810732789</v>
      </c>
      <c r="J28" s="88">
        <f>J18+J23+J26</f>
        <v>57007</v>
      </c>
      <c r="K28" s="89">
        <f>K18+K23+K26</f>
        <v>-65943</v>
      </c>
      <c r="L28" s="88">
        <f>L18+L23+L26</f>
        <v>-147674</v>
      </c>
      <c r="M28" s="88">
        <f>M18+M23+M26</f>
        <v>-235221</v>
      </c>
    </row>
    <row r="29" spans="1:30" x14ac:dyDescent="0.25">
      <c r="K29" s="79"/>
    </row>
    <row r="30" spans="1:30" x14ac:dyDescent="0.25">
      <c r="A30" s="72" t="s">
        <v>111</v>
      </c>
      <c r="K30" s="79"/>
    </row>
    <row r="31" spans="1:30" x14ac:dyDescent="0.25">
      <c r="A31" s="2" t="s">
        <v>112</v>
      </c>
      <c r="D31" s="76">
        <v>155250</v>
      </c>
      <c r="E31" s="134">
        <f>IF(D31&lt;F31,(ABS(D31-F31)/D31),((F31-D31)/D31))</f>
        <v>4.3066022544283412E-2</v>
      </c>
      <c r="F31" s="74">
        <v>161936</v>
      </c>
      <c r="G31" s="134">
        <f>IF(F31&lt;H31,(ABS(F31-H31)/F31),((H31-F31)/F31))</f>
        <v>5.4218950696571485E-3</v>
      </c>
      <c r="H31" s="74">
        <v>162814</v>
      </c>
      <c r="I31" s="134">
        <f>IF(H31&lt;J31,(ABS(H31-J31)/H31),((J31-H31)/H31))</f>
        <v>2.8683037085262936E-3</v>
      </c>
      <c r="J31" s="74">
        <v>163281</v>
      </c>
      <c r="K31" s="77">
        <v>171647</v>
      </c>
      <c r="L31" s="116">
        <v>172956</v>
      </c>
      <c r="M31" s="116">
        <v>178020</v>
      </c>
    </row>
    <row r="32" spans="1:30" x14ac:dyDescent="0.25">
      <c r="A32" s="2" t="s">
        <v>113</v>
      </c>
      <c r="D32" s="74">
        <v>98533</v>
      </c>
      <c r="E32" s="134">
        <f>IF(D32&lt;F32,(ABS(D32-F32)/D32),((F32-D32)/D32))</f>
        <v>-2.5138785990480347E-2</v>
      </c>
      <c r="F32" s="74">
        <v>96056</v>
      </c>
      <c r="G32" s="134">
        <f>IF(F32&lt;H32,(ABS(F32-H32)/F32),((H32-F32)/F32))</f>
        <v>-2.863954359956692E-2</v>
      </c>
      <c r="H32" s="74">
        <v>93305</v>
      </c>
      <c r="I32" s="134">
        <f>IF(H32&lt;J32,(ABS(H32-J32)/H32),((J32-H32)/H32))</f>
        <v>-2.9687583730775412E-2</v>
      </c>
      <c r="J32" s="74">
        <v>90535</v>
      </c>
      <c r="K32" s="77">
        <v>87983</v>
      </c>
      <c r="L32" s="116">
        <v>83782</v>
      </c>
      <c r="M32" s="116">
        <v>79552</v>
      </c>
      <c r="Y32" s="191"/>
      <c r="Z32" s="191"/>
      <c r="AA32" s="191"/>
      <c r="AB32" s="191"/>
      <c r="AC32" s="191"/>
      <c r="AD32" s="191"/>
    </row>
    <row r="33" spans="1:22" x14ac:dyDescent="0.25">
      <c r="A33" s="2" t="s">
        <v>114</v>
      </c>
      <c r="D33" s="74">
        <v>0</v>
      </c>
      <c r="E33" s="74"/>
      <c r="F33" s="74">
        <v>0</v>
      </c>
      <c r="G33" s="74"/>
      <c r="H33" s="74">
        <v>0</v>
      </c>
      <c r="I33" s="74"/>
      <c r="J33" s="74">
        <v>8898</v>
      </c>
      <c r="K33" s="77">
        <v>8493</v>
      </c>
      <c r="L33" s="85">
        <v>8064</v>
      </c>
      <c r="M33" s="85">
        <v>7631</v>
      </c>
    </row>
    <row r="34" spans="1:22" ht="13.8" thickBot="1" x14ac:dyDescent="0.3">
      <c r="D34" s="75"/>
      <c r="E34" s="75"/>
      <c r="F34" s="75"/>
      <c r="G34" s="75"/>
      <c r="H34" s="75"/>
      <c r="I34" s="75"/>
      <c r="J34" s="75"/>
      <c r="K34" s="78"/>
      <c r="L34" s="75"/>
      <c r="M34" s="75"/>
    </row>
    <row r="35" spans="1:22" x14ac:dyDescent="0.25">
      <c r="A35" s="72" t="s">
        <v>115</v>
      </c>
      <c r="D35" s="76">
        <f>SUM(D31:D33)</f>
        <v>253783</v>
      </c>
      <c r="E35" s="134">
        <f>IF(D35&lt;F35,(ABS(D35-F35)/D35),((F35-D35)/D35))</f>
        <v>1.6585035246647728E-2</v>
      </c>
      <c r="F35" s="76">
        <f>SUM(F31:F33)</f>
        <v>257992</v>
      </c>
      <c r="G35" s="134">
        <f>IF(F35&lt;H35,(ABS(F35-H35)/F35),((H35-F35)/F35))</f>
        <v>-7.2599150361251511E-3</v>
      </c>
      <c r="H35" s="76">
        <f>SUM(H31:H33)</f>
        <v>256119</v>
      </c>
      <c r="I35" s="134">
        <f>IF(H35&lt;J35,(ABS(H35-J35)/H35),((J35-H35)/H35))</f>
        <v>2.574974914004818E-2</v>
      </c>
      <c r="J35" s="76">
        <f>SUM(J31:J33)</f>
        <v>262714</v>
      </c>
      <c r="K35" s="86">
        <f>SUM(K31:K33)</f>
        <v>268123</v>
      </c>
      <c r="L35" s="76">
        <f>SUM(L31:L33)</f>
        <v>264802</v>
      </c>
      <c r="M35" s="76">
        <f>SUM(M31:M33)</f>
        <v>265203</v>
      </c>
    </row>
    <row r="36" spans="1:22" ht="13.8" thickBot="1" x14ac:dyDescent="0.3">
      <c r="D36" s="75"/>
      <c r="E36" s="75"/>
      <c r="F36" s="75"/>
      <c r="G36" s="75"/>
      <c r="H36" s="75"/>
      <c r="I36" s="75"/>
      <c r="J36" s="75"/>
      <c r="K36" s="78"/>
      <c r="L36" s="75"/>
      <c r="M36" s="75"/>
    </row>
    <row r="37" spans="1:22" ht="13.8" thickBot="1" x14ac:dyDescent="0.3">
      <c r="A37" s="73" t="s">
        <v>116</v>
      </c>
      <c r="D37" s="80">
        <f>D28-D35</f>
        <v>-30561</v>
      </c>
      <c r="E37" s="80"/>
      <c r="F37" s="80">
        <f>F28-F35</f>
        <v>-126262</v>
      </c>
      <c r="G37" s="80"/>
      <c r="H37" s="80">
        <f>H28-H35</f>
        <v>-217322</v>
      </c>
      <c r="I37" s="80"/>
      <c r="J37" s="80">
        <f>J28-J35</f>
        <v>-205707</v>
      </c>
      <c r="K37" s="87">
        <f>K28-K35</f>
        <v>-334066</v>
      </c>
      <c r="L37" s="80">
        <f>L28-L35</f>
        <v>-412476</v>
      </c>
      <c r="M37" s="80">
        <f>M28-M35</f>
        <v>-500424</v>
      </c>
    </row>
    <row r="39" spans="1:22" x14ac:dyDescent="0.25">
      <c r="A39" s="73" t="s">
        <v>117</v>
      </c>
      <c r="D39" s="81">
        <f t="shared" ref="D39:M39" si="2">D28/D35</f>
        <v>0.87957822233955785</v>
      </c>
      <c r="E39" s="81"/>
      <c r="F39" s="81">
        <f t="shared" si="2"/>
        <v>0.51059722782101769</v>
      </c>
      <c r="G39" s="81"/>
      <c r="H39" s="81">
        <f>H28/H35</f>
        <v>0.15148036654836228</v>
      </c>
      <c r="I39" s="81"/>
      <c r="J39" s="81">
        <f>J28/J35</f>
        <v>0.21699262315674078</v>
      </c>
      <c r="K39" s="81">
        <f t="shared" si="2"/>
        <v>-0.24594309328181468</v>
      </c>
      <c r="L39" s="81">
        <f t="shared" si="2"/>
        <v>-0.5576770568198125</v>
      </c>
      <c r="M39" s="81">
        <f t="shared" si="2"/>
        <v>-0.88694698023778007</v>
      </c>
    </row>
    <row r="42" spans="1:22" x14ac:dyDescent="0.25">
      <c r="O42" s="218" t="s">
        <v>118</v>
      </c>
      <c r="P42" s="219"/>
      <c r="Q42" s="219"/>
      <c r="R42" s="219"/>
      <c r="S42" s="219"/>
      <c r="T42" s="219"/>
      <c r="U42" s="219"/>
      <c r="V42" s="220"/>
    </row>
    <row r="43" spans="1:22" ht="39.6" x14ac:dyDescent="0.25">
      <c r="A43" s="73" t="s">
        <v>119</v>
      </c>
      <c r="L43" s="135" t="s">
        <v>120</v>
      </c>
      <c r="O43" s="138" t="s">
        <v>121</v>
      </c>
      <c r="P43" s="137" t="s">
        <v>122</v>
      </c>
      <c r="Q43" s="137" t="s">
        <v>123</v>
      </c>
      <c r="R43" s="137" t="s">
        <v>124</v>
      </c>
      <c r="S43" s="137" t="s">
        <v>125</v>
      </c>
      <c r="T43" s="137" t="s">
        <v>126</v>
      </c>
      <c r="U43" s="137" t="s">
        <v>127</v>
      </c>
      <c r="V43" s="137" t="s">
        <v>128</v>
      </c>
    </row>
    <row r="44" spans="1:22" x14ac:dyDescent="0.25">
      <c r="A44" s="2" t="str">
        <f t="shared" ref="A44:A56" si="3">O44</f>
        <v>Water Purchases</v>
      </c>
      <c r="D44" s="100">
        <f t="shared" ref="D44:D56" si="4">P44</f>
        <v>745635</v>
      </c>
      <c r="E44" s="139">
        <f t="shared" ref="E44:E56" si="5">IF(D44&lt;F44,(ABS(D44-F44)/D44),((F44-D44)/D44))</f>
        <v>4.1748308488737784E-2</v>
      </c>
      <c r="F44" s="100">
        <f t="shared" ref="F44:F56" si="6">Q44</f>
        <v>776764</v>
      </c>
      <c r="G44" s="139">
        <f t="shared" ref="G44:I56" si="7">IF(F44&lt;H44,(ABS(F44-H44)/F44),((H44-F44)/F44))</f>
        <v>0.16921870735512975</v>
      </c>
      <c r="H44" s="100">
        <f t="shared" ref="H44:H56" si="8">R44</f>
        <v>908207</v>
      </c>
      <c r="I44" s="139">
        <f t="shared" si="7"/>
        <v>5.8827998462905484E-2</v>
      </c>
      <c r="J44" s="100">
        <f t="shared" ref="J44:J56" si="9">S44</f>
        <v>961635</v>
      </c>
      <c r="L44" s="136">
        <f>(E44+G44+I44)/5</f>
        <v>5.3959002861354598E-2</v>
      </c>
      <c r="O44" s="95" t="s">
        <v>129</v>
      </c>
      <c r="P44" s="92">
        <v>745635</v>
      </c>
      <c r="Q44" s="92">
        <v>776764</v>
      </c>
      <c r="R44" s="92">
        <v>908207</v>
      </c>
      <c r="S44" s="92">
        <v>961635</v>
      </c>
      <c r="T44" s="92">
        <f>ROUND(S44*(1+L44),0)</f>
        <v>1013524</v>
      </c>
      <c r="U44" s="92">
        <f>ROUND(T44*(1+L44),0)</f>
        <v>1068213</v>
      </c>
      <c r="V44" s="92">
        <f>ROUND(U44*(1+L44),0)</f>
        <v>1125853</v>
      </c>
    </row>
    <row r="45" spans="1:22" x14ac:dyDescent="0.25">
      <c r="A45" s="2" t="str">
        <f t="shared" si="3"/>
        <v>Salaries</v>
      </c>
      <c r="D45" s="100">
        <f t="shared" si="4"/>
        <v>257402</v>
      </c>
      <c r="E45" s="139">
        <f t="shared" si="5"/>
        <v>-4.8216408574913945E-2</v>
      </c>
      <c r="F45" s="100">
        <f t="shared" si="6"/>
        <v>244991</v>
      </c>
      <c r="G45" s="139">
        <f t="shared" si="7"/>
        <v>3.3972676547301739E-2</v>
      </c>
      <c r="H45" s="100">
        <f t="shared" si="8"/>
        <v>253314</v>
      </c>
      <c r="I45" s="139">
        <f t="shared" si="7"/>
        <v>1.5751202065420783E-3</v>
      </c>
      <c r="J45" s="100">
        <f t="shared" si="9"/>
        <v>253713</v>
      </c>
      <c r="L45" s="136">
        <f t="shared" ref="L45:L56" si="10">(E45+G45+I45)/5</f>
        <v>-2.5337223642140257E-3</v>
      </c>
      <c r="O45" s="95" t="s">
        <v>130</v>
      </c>
      <c r="P45" s="92">
        <v>257402</v>
      </c>
      <c r="Q45" s="92">
        <v>244991</v>
      </c>
      <c r="R45" s="92">
        <v>253314</v>
      </c>
      <c r="S45" s="92">
        <v>253713</v>
      </c>
      <c r="T45" s="92">
        <f t="shared" ref="T45:T56" si="11">ROUND(S45*(1+L45),0)</f>
        <v>253070</v>
      </c>
      <c r="U45" s="92">
        <f t="shared" ref="U45:U56" si="12">ROUND(T45*(1+L45),0)</f>
        <v>252429</v>
      </c>
      <c r="V45" s="92">
        <f t="shared" ref="V45:V56" si="13">ROUND(U45*(1+L45),0)</f>
        <v>251789</v>
      </c>
    </row>
    <row r="46" spans="1:22" x14ac:dyDescent="0.25">
      <c r="A46" s="2" t="str">
        <f t="shared" si="3"/>
        <v>Employee Benefits</v>
      </c>
      <c r="D46" s="100">
        <f t="shared" si="4"/>
        <v>162589</v>
      </c>
      <c r="E46" s="139">
        <f t="shared" si="5"/>
        <v>0.27356709248473143</v>
      </c>
      <c r="F46" s="100">
        <f t="shared" si="6"/>
        <v>207068</v>
      </c>
      <c r="G46" s="139">
        <f t="shared" si="7"/>
        <v>1.9959626789267295E-2</v>
      </c>
      <c r="H46" s="100">
        <f t="shared" si="8"/>
        <v>211201</v>
      </c>
      <c r="I46" s="139">
        <f t="shared" si="7"/>
        <v>0.1397910047774395</v>
      </c>
      <c r="J46" s="100">
        <f t="shared" si="9"/>
        <v>240725</v>
      </c>
      <c r="L46" s="136">
        <f t="shared" si="10"/>
        <v>8.6663544810287638E-2</v>
      </c>
      <c r="O46" s="95" t="s">
        <v>131</v>
      </c>
      <c r="P46" s="92">
        <v>162589</v>
      </c>
      <c r="Q46" s="92">
        <v>207068</v>
      </c>
      <c r="R46" s="92">
        <v>211201</v>
      </c>
      <c r="S46" s="92">
        <v>240725</v>
      </c>
      <c r="T46" s="92">
        <f t="shared" si="11"/>
        <v>261587</v>
      </c>
      <c r="U46" s="92">
        <f t="shared" si="12"/>
        <v>284257</v>
      </c>
      <c r="V46" s="92">
        <f t="shared" si="13"/>
        <v>308892</v>
      </c>
    </row>
    <row r="47" spans="1:22" x14ac:dyDescent="0.25">
      <c r="A47" s="2" t="str">
        <f t="shared" si="3"/>
        <v>Taxes</v>
      </c>
      <c r="D47" s="100">
        <f t="shared" si="4"/>
        <v>21069</v>
      </c>
      <c r="E47" s="139">
        <f t="shared" si="5"/>
        <v>-6.516683278750772E-2</v>
      </c>
      <c r="F47" s="100">
        <f t="shared" si="6"/>
        <v>19696</v>
      </c>
      <c r="G47" s="139">
        <f t="shared" si="7"/>
        <v>3.0869212022745736E-2</v>
      </c>
      <c r="H47" s="100">
        <f t="shared" si="8"/>
        <v>20304</v>
      </c>
      <c r="I47" s="139">
        <f t="shared" si="7"/>
        <v>0.11081560283687943</v>
      </c>
      <c r="J47" s="100">
        <f t="shared" si="9"/>
        <v>22554</v>
      </c>
      <c r="L47" s="136">
        <f t="shared" si="10"/>
        <v>1.5303596414423488E-2</v>
      </c>
      <c r="O47" s="95" t="s">
        <v>132</v>
      </c>
      <c r="P47" s="92">
        <v>21069</v>
      </c>
      <c r="Q47" s="92">
        <v>19696</v>
      </c>
      <c r="R47" s="92">
        <v>20304</v>
      </c>
      <c r="S47" s="92">
        <v>22554</v>
      </c>
      <c r="T47" s="92">
        <f t="shared" si="11"/>
        <v>22899</v>
      </c>
      <c r="U47" s="92">
        <f t="shared" si="12"/>
        <v>23249</v>
      </c>
      <c r="V47" s="92">
        <f t="shared" si="13"/>
        <v>23605</v>
      </c>
    </row>
    <row r="48" spans="1:22" x14ac:dyDescent="0.25">
      <c r="A48" s="2" t="str">
        <f t="shared" si="3"/>
        <v>Office Expense &amp; Postage</v>
      </c>
      <c r="D48" s="100">
        <f t="shared" si="4"/>
        <v>40679</v>
      </c>
      <c r="E48" s="139">
        <f t="shared" si="5"/>
        <v>5.6073158140563926E-2</v>
      </c>
      <c r="F48" s="100">
        <f t="shared" si="6"/>
        <v>42960</v>
      </c>
      <c r="G48" s="139">
        <f t="shared" si="7"/>
        <v>-0.10819366852886406</v>
      </c>
      <c r="H48" s="100">
        <f t="shared" si="8"/>
        <v>38312</v>
      </c>
      <c r="I48" s="139">
        <f t="shared" si="7"/>
        <v>5.2542284401754021E-2</v>
      </c>
      <c r="J48" s="100">
        <f t="shared" si="9"/>
        <v>40325</v>
      </c>
      <c r="L48" s="136">
        <f t="shared" si="10"/>
        <v>8.4354802690778102E-5</v>
      </c>
      <c r="O48" s="95" t="s">
        <v>133</v>
      </c>
      <c r="P48" s="92">
        <v>40679</v>
      </c>
      <c r="Q48" s="92">
        <v>42960</v>
      </c>
      <c r="R48" s="92">
        <v>38312</v>
      </c>
      <c r="S48" s="92">
        <v>40325</v>
      </c>
      <c r="T48" s="92">
        <f t="shared" si="11"/>
        <v>40328</v>
      </c>
      <c r="U48" s="92">
        <f t="shared" si="12"/>
        <v>40331</v>
      </c>
      <c r="V48" s="92">
        <f t="shared" si="13"/>
        <v>40334</v>
      </c>
    </row>
    <row r="49" spans="1:22" x14ac:dyDescent="0.25">
      <c r="A49" s="2" t="str">
        <f t="shared" si="3"/>
        <v>Insurance</v>
      </c>
      <c r="D49" s="100">
        <f t="shared" si="4"/>
        <v>31131</v>
      </c>
      <c r="E49" s="139">
        <f t="shared" si="5"/>
        <v>-2.0686775240114356E-2</v>
      </c>
      <c r="F49" s="100">
        <f t="shared" si="6"/>
        <v>30487</v>
      </c>
      <c r="G49" s="139">
        <f t="shared" si="7"/>
        <v>3.6835372453832782E-2</v>
      </c>
      <c r="H49" s="100">
        <f t="shared" si="8"/>
        <v>31610</v>
      </c>
      <c r="I49" s="139">
        <f t="shared" si="7"/>
        <v>-1.9708952863018034E-2</v>
      </c>
      <c r="J49" s="100">
        <f t="shared" si="9"/>
        <v>30987</v>
      </c>
      <c r="L49" s="136">
        <f t="shared" si="10"/>
        <v>-7.1207112985992164E-4</v>
      </c>
      <c r="O49" s="95" t="s">
        <v>134</v>
      </c>
      <c r="P49" s="92">
        <v>31131</v>
      </c>
      <c r="Q49" s="92">
        <v>30487</v>
      </c>
      <c r="R49" s="92">
        <v>31610</v>
      </c>
      <c r="S49" s="92">
        <v>30987</v>
      </c>
      <c r="T49" s="92">
        <f t="shared" si="11"/>
        <v>30965</v>
      </c>
      <c r="U49" s="92">
        <f t="shared" si="12"/>
        <v>30943</v>
      </c>
      <c r="V49" s="92">
        <f t="shared" si="13"/>
        <v>30921</v>
      </c>
    </row>
    <row r="50" spans="1:22" x14ac:dyDescent="0.25">
      <c r="A50" s="2" t="str">
        <f t="shared" si="3"/>
        <v>Transportation Expense</v>
      </c>
      <c r="D50" s="100">
        <f t="shared" si="4"/>
        <v>25558</v>
      </c>
      <c r="E50" s="139">
        <f t="shared" si="5"/>
        <v>-0.16319743328898975</v>
      </c>
      <c r="F50" s="100">
        <f t="shared" si="6"/>
        <v>21387</v>
      </c>
      <c r="G50" s="139">
        <f t="shared" si="7"/>
        <v>0.36615701126852762</v>
      </c>
      <c r="H50" s="100">
        <f t="shared" si="8"/>
        <v>29218</v>
      </c>
      <c r="I50" s="139">
        <f t="shared" si="7"/>
        <v>-6.7492641522349239E-2</v>
      </c>
      <c r="J50" s="100">
        <f t="shared" si="9"/>
        <v>27246</v>
      </c>
      <c r="L50" s="136">
        <f t="shared" si="10"/>
        <v>2.7093387291437725E-2</v>
      </c>
      <c r="O50" s="95" t="s">
        <v>135</v>
      </c>
      <c r="P50" s="92">
        <v>25558</v>
      </c>
      <c r="Q50" s="92">
        <v>21387</v>
      </c>
      <c r="R50" s="92">
        <v>29218</v>
      </c>
      <c r="S50" s="92">
        <v>27246</v>
      </c>
      <c r="T50" s="92">
        <f t="shared" si="11"/>
        <v>27984</v>
      </c>
      <c r="U50" s="92">
        <f t="shared" si="12"/>
        <v>28742</v>
      </c>
      <c r="V50" s="92">
        <f t="shared" si="13"/>
        <v>29521</v>
      </c>
    </row>
    <row r="51" spans="1:22" x14ac:dyDescent="0.25">
      <c r="A51" s="2" t="str">
        <f t="shared" si="3"/>
        <v>Line Upkeep</v>
      </c>
      <c r="D51" s="100">
        <f t="shared" si="4"/>
        <v>68636</v>
      </c>
      <c r="E51" s="139">
        <f t="shared" si="5"/>
        <v>0.35130252345707791</v>
      </c>
      <c r="F51" s="100">
        <f t="shared" si="6"/>
        <v>92748</v>
      </c>
      <c r="G51" s="139">
        <f t="shared" si="7"/>
        <v>-0.4707163496786993</v>
      </c>
      <c r="H51" s="100">
        <f t="shared" si="8"/>
        <v>49090</v>
      </c>
      <c r="I51" s="139">
        <f t="shared" si="7"/>
        <v>0.23566917905887147</v>
      </c>
      <c r="J51" s="100">
        <f t="shared" si="9"/>
        <v>60659</v>
      </c>
      <c r="L51" s="136">
        <f t="shared" si="10"/>
        <v>2.3251070567450016E-2</v>
      </c>
      <c r="O51" s="95" t="s">
        <v>136</v>
      </c>
      <c r="P51" s="92">
        <v>68636</v>
      </c>
      <c r="Q51" s="92">
        <v>92748</v>
      </c>
      <c r="R51" s="92">
        <v>49090</v>
      </c>
      <c r="S51" s="92">
        <v>60659</v>
      </c>
      <c r="T51" s="92">
        <f t="shared" si="11"/>
        <v>62069</v>
      </c>
      <c r="U51" s="92">
        <f t="shared" si="12"/>
        <v>63512</v>
      </c>
      <c r="V51" s="92">
        <f>ROUND(U51*(1+L51),0)</f>
        <v>64989</v>
      </c>
    </row>
    <row r="52" spans="1:22" x14ac:dyDescent="0.25">
      <c r="A52" s="2" t="str">
        <f t="shared" si="3"/>
        <v>Contract Labor</v>
      </c>
      <c r="D52" s="100">
        <f t="shared" si="4"/>
        <v>70992</v>
      </c>
      <c r="E52" s="139">
        <f t="shared" si="5"/>
        <v>-0.37664807302231235</v>
      </c>
      <c r="F52" s="100">
        <f t="shared" si="6"/>
        <v>44253</v>
      </c>
      <c r="G52" s="139">
        <f t="shared" si="7"/>
        <v>-0.47560617359275076</v>
      </c>
      <c r="H52" s="100">
        <f t="shared" si="8"/>
        <v>23206</v>
      </c>
      <c r="I52" s="139">
        <f t="shared" si="7"/>
        <v>0.14185986382832025</v>
      </c>
      <c r="J52" s="100">
        <f t="shared" si="9"/>
        <v>26498</v>
      </c>
      <c r="L52" s="136">
        <f t="shared" si="10"/>
        <v>-0.14207887655734858</v>
      </c>
      <c r="O52" s="95" t="s">
        <v>137</v>
      </c>
      <c r="P52" s="92">
        <v>70992</v>
      </c>
      <c r="Q52" s="92">
        <v>44253</v>
      </c>
      <c r="R52" s="92">
        <v>23206</v>
      </c>
      <c r="S52" s="92">
        <v>26498</v>
      </c>
      <c r="T52" s="92">
        <f t="shared" si="11"/>
        <v>22733</v>
      </c>
      <c r="U52" s="92">
        <f t="shared" si="12"/>
        <v>19503</v>
      </c>
      <c r="V52" s="92">
        <f t="shared" si="13"/>
        <v>16732</v>
      </c>
    </row>
    <row r="53" spans="1:22" x14ac:dyDescent="0.25">
      <c r="A53" s="2" t="str">
        <f t="shared" si="3"/>
        <v>Utilities &amp; Telephone</v>
      </c>
      <c r="D53" s="100">
        <f t="shared" si="4"/>
        <v>96447</v>
      </c>
      <c r="E53" s="139">
        <f t="shared" si="5"/>
        <v>-2.6439391582941927E-2</v>
      </c>
      <c r="F53" s="100">
        <f t="shared" si="6"/>
        <v>93897</v>
      </c>
      <c r="G53" s="139">
        <f t="shared" si="7"/>
        <v>3.5134242840559333E-2</v>
      </c>
      <c r="H53" s="100">
        <f t="shared" si="8"/>
        <v>97196</v>
      </c>
      <c r="I53" s="139">
        <f t="shared" si="7"/>
        <v>5.6535248364130208E-2</v>
      </c>
      <c r="J53" s="100">
        <f t="shared" si="9"/>
        <v>102691</v>
      </c>
      <c r="L53" s="136">
        <f t="shared" si="10"/>
        <v>1.3046019924349523E-2</v>
      </c>
      <c r="O53" s="95" t="s">
        <v>138</v>
      </c>
      <c r="P53" s="92">
        <v>96447</v>
      </c>
      <c r="Q53" s="92">
        <v>93897</v>
      </c>
      <c r="R53" s="92">
        <v>97196</v>
      </c>
      <c r="S53" s="92">
        <v>102691</v>
      </c>
      <c r="T53" s="92">
        <f t="shared" si="11"/>
        <v>104031</v>
      </c>
      <c r="U53" s="92">
        <f t="shared" si="12"/>
        <v>105388</v>
      </c>
      <c r="V53" s="92">
        <f>ROUND(U53*(1+L53),0)</f>
        <v>106763</v>
      </c>
    </row>
    <row r="54" spans="1:22" x14ac:dyDescent="0.25">
      <c r="A54" s="2" t="str">
        <f t="shared" si="3"/>
        <v>Legal &amp; Professional</v>
      </c>
      <c r="D54" s="100">
        <f t="shared" si="4"/>
        <v>21478</v>
      </c>
      <c r="E54" s="139">
        <f t="shared" si="5"/>
        <v>-0.18316416798584598</v>
      </c>
      <c r="F54" s="100">
        <f t="shared" si="6"/>
        <v>17544</v>
      </c>
      <c r="G54" s="139">
        <f t="shared" si="7"/>
        <v>0.74686502507979935</v>
      </c>
      <c r="H54" s="100">
        <f t="shared" si="8"/>
        <v>30647</v>
      </c>
      <c r="I54" s="139">
        <f t="shared" si="7"/>
        <v>-8.2977126635559756E-2</v>
      </c>
      <c r="J54" s="100">
        <f t="shared" si="9"/>
        <v>28104</v>
      </c>
      <c r="L54" s="136">
        <f t="shared" si="10"/>
        <v>9.6144746091678709E-2</v>
      </c>
      <c r="O54" s="95" t="s">
        <v>139</v>
      </c>
      <c r="P54" s="92">
        <v>21478</v>
      </c>
      <c r="Q54" s="92">
        <v>17544</v>
      </c>
      <c r="R54" s="92">
        <v>30647</v>
      </c>
      <c r="S54" s="92">
        <v>28104</v>
      </c>
      <c r="T54" s="92">
        <f t="shared" si="11"/>
        <v>30806</v>
      </c>
      <c r="U54" s="92">
        <f t="shared" si="12"/>
        <v>33768</v>
      </c>
      <c r="V54" s="92">
        <f t="shared" si="13"/>
        <v>37015</v>
      </c>
    </row>
    <row r="55" spans="1:22" x14ac:dyDescent="0.25">
      <c r="A55" s="2" t="str">
        <f t="shared" si="3"/>
        <v>Miscellaneous</v>
      </c>
      <c r="D55" s="100">
        <f t="shared" si="4"/>
        <v>18712</v>
      </c>
      <c r="E55" s="139">
        <f t="shared" si="5"/>
        <v>4.8418127404873876E-2</v>
      </c>
      <c r="F55" s="100">
        <f t="shared" si="6"/>
        <v>19618</v>
      </c>
      <c r="G55" s="139">
        <f t="shared" si="7"/>
        <v>9.2415128963197063E-2</v>
      </c>
      <c r="H55" s="100">
        <f t="shared" si="8"/>
        <v>21431</v>
      </c>
      <c r="I55" s="139">
        <f t="shared" si="7"/>
        <v>0.13256497596939013</v>
      </c>
      <c r="J55" s="100">
        <f t="shared" si="9"/>
        <v>24272</v>
      </c>
      <c r="L55" s="136">
        <f t="shared" si="10"/>
        <v>5.4679646467492217E-2</v>
      </c>
      <c r="O55" s="95" t="s">
        <v>140</v>
      </c>
      <c r="P55" s="92">
        <v>18712</v>
      </c>
      <c r="Q55" s="92">
        <v>19618</v>
      </c>
      <c r="R55" s="92">
        <v>21431</v>
      </c>
      <c r="S55" s="92">
        <v>24272</v>
      </c>
      <c r="T55" s="92">
        <f t="shared" si="11"/>
        <v>25599</v>
      </c>
      <c r="U55" s="92">
        <f t="shared" si="12"/>
        <v>26999</v>
      </c>
      <c r="V55" s="92">
        <f t="shared" si="13"/>
        <v>28475</v>
      </c>
    </row>
    <row r="56" spans="1:22" x14ac:dyDescent="0.25">
      <c r="A56" s="2" t="str">
        <f t="shared" si="3"/>
        <v>Regulatory Commission Expenses</v>
      </c>
      <c r="D56" s="100">
        <f t="shared" si="4"/>
        <v>3392</v>
      </c>
      <c r="E56" s="139">
        <f t="shared" si="5"/>
        <v>5.2771226415094338E-2</v>
      </c>
      <c r="F56" s="100">
        <f t="shared" si="6"/>
        <v>3571</v>
      </c>
      <c r="G56" s="139">
        <f t="shared" si="7"/>
        <v>-4.9565947913749651E-2</v>
      </c>
      <c r="H56" s="100">
        <f t="shared" si="8"/>
        <v>3394</v>
      </c>
      <c r="I56" s="139">
        <f t="shared" si="7"/>
        <v>-1.4731879787860931E-2</v>
      </c>
      <c r="J56" s="100">
        <f t="shared" si="9"/>
        <v>3344</v>
      </c>
      <c r="L56" s="136">
        <f t="shared" si="10"/>
        <v>-2.3053202573032486E-3</v>
      </c>
      <c r="O56" s="95" t="s">
        <v>141</v>
      </c>
      <c r="P56" s="92">
        <v>3392</v>
      </c>
      <c r="Q56" s="92">
        <v>3571</v>
      </c>
      <c r="R56" s="92">
        <v>3394</v>
      </c>
      <c r="S56" s="92">
        <v>3344</v>
      </c>
      <c r="T56" s="92">
        <f t="shared" si="11"/>
        <v>3336</v>
      </c>
      <c r="U56" s="92">
        <f t="shared" si="12"/>
        <v>3328</v>
      </c>
      <c r="V56" s="92">
        <f t="shared" si="13"/>
        <v>3320</v>
      </c>
    </row>
    <row r="57" spans="1:22" ht="13.8" thickBot="1" x14ac:dyDescent="0.3">
      <c r="D57" s="75"/>
      <c r="E57" s="75"/>
      <c r="F57" s="75"/>
      <c r="G57" s="75"/>
      <c r="H57" s="75"/>
      <c r="I57" s="75"/>
      <c r="J57" s="75"/>
      <c r="L57" s="136"/>
      <c r="O57" s="93" t="s">
        <v>37</v>
      </c>
      <c r="P57" s="94">
        <f t="shared" ref="P57:V57" si="14">SUM(P44:P56)</f>
        <v>1563720</v>
      </c>
      <c r="Q57" s="94">
        <f t="shared" si="14"/>
        <v>1614984</v>
      </c>
      <c r="R57" s="94">
        <f t="shared" si="14"/>
        <v>1717130</v>
      </c>
      <c r="S57" s="94">
        <f t="shared" si="14"/>
        <v>1822753</v>
      </c>
      <c r="T57" s="94">
        <f t="shared" si="14"/>
        <v>1898931</v>
      </c>
      <c r="U57" s="94">
        <f t="shared" si="14"/>
        <v>1980662</v>
      </c>
      <c r="V57" s="94">
        <f t="shared" si="14"/>
        <v>2068209</v>
      </c>
    </row>
    <row r="58" spans="1:22" x14ac:dyDescent="0.25">
      <c r="A58" s="73" t="s">
        <v>98</v>
      </c>
      <c r="D58" s="74">
        <f>SUM(D44:D56)</f>
        <v>1563720</v>
      </c>
      <c r="E58" s="84">
        <f>IF(D58&lt;F58,ABS((D58-F58)/D58),-((D58-F58)/D58))</f>
        <v>3.2783362750364517E-2</v>
      </c>
      <c r="F58" s="74">
        <f>SUM(F44:F56)</f>
        <v>1614984</v>
      </c>
      <c r="G58" s="84">
        <f>IF(F58&lt;H58,ABS((F58-H58)/F58),-((F58-H58)/F58))</f>
        <v>6.3248923828347528E-2</v>
      </c>
      <c r="H58" s="74">
        <f>SUM(H44:H56)</f>
        <v>1717130</v>
      </c>
      <c r="I58" s="84">
        <f>IF(H58&lt;J58,ABS((H58-J58)/H58),-((H58-J58)/H58))</f>
        <v>6.1511359070076231E-2</v>
      </c>
      <c r="J58" s="74">
        <f>SUM(J44:J56)</f>
        <v>1822753</v>
      </c>
      <c r="L58" s="136">
        <f>(E58+G58+I58)/3</f>
        <v>5.2514548549596092E-2</v>
      </c>
    </row>
    <row r="60" spans="1:22" ht="39.6" x14ac:dyDescent="0.25">
      <c r="A60" s="73" t="s">
        <v>142</v>
      </c>
      <c r="L60" s="135" t="s">
        <v>120</v>
      </c>
    </row>
    <row r="61" spans="1:22" x14ac:dyDescent="0.25">
      <c r="A61" s="2" t="s">
        <v>143</v>
      </c>
      <c r="D61" s="199">
        <v>16482</v>
      </c>
      <c r="E61" s="200">
        <f>IF(D61&lt;F61,(ABS(D61-F61)/D61),((F61-D61)/D61))</f>
        <v>0.32975367067103506</v>
      </c>
      <c r="F61" s="199">
        <v>21917</v>
      </c>
      <c r="G61" s="200">
        <f>IF(F61&lt;H61,(ABS(F61-H61)/F61),((H61-F61)/F61))</f>
        <v>1.6379979011726057E-2</v>
      </c>
      <c r="H61" s="199">
        <v>22276</v>
      </c>
      <c r="I61" s="200">
        <f>IF(H61&lt;J61,(ABS(H61-J61)/H61),((J61-H61)/H61))</f>
        <v>-3.3937870353743939E-2</v>
      </c>
      <c r="J61" s="199">
        <v>21520</v>
      </c>
      <c r="L61" s="136">
        <f>(E61+G61+I61)/3</f>
        <v>0.10406525977633906</v>
      </c>
    </row>
    <row r="62" spans="1:22" x14ac:dyDescent="0.25">
      <c r="A62" s="2" t="s">
        <v>144</v>
      </c>
      <c r="D62" s="199">
        <v>6867</v>
      </c>
      <c r="E62" s="200">
        <f>IF(D62&lt;F62,(ABS(D62-F62)/D62),((F62-D62)/D62))</f>
        <v>-1</v>
      </c>
      <c r="F62" s="199">
        <v>0</v>
      </c>
      <c r="G62" s="200" t="e">
        <f>IF(F62&lt;H62,(ABS(F62-H62)/F62),((H62-F62)/F62))</f>
        <v>#DIV/0!</v>
      </c>
      <c r="H62" s="199">
        <v>0</v>
      </c>
      <c r="I62" s="200" t="e">
        <f>IF(H62&lt;J62,(ABS(H62-J62)/H62),((J62-H62)/H62))</f>
        <v>#DIV/0!</v>
      </c>
      <c r="J62" s="199">
        <v>0</v>
      </c>
      <c r="L62" s="136" t="e">
        <f t="shared" ref="L62:L67" si="15">(E62+G62+I62)/3</f>
        <v>#DIV/0!</v>
      </c>
    </row>
    <row r="63" spans="1:22" x14ac:dyDescent="0.25">
      <c r="A63" s="2" t="s">
        <v>145</v>
      </c>
      <c r="D63" s="199">
        <v>-10082</v>
      </c>
      <c r="E63" s="200">
        <f>IF(D63&lt;F63,(ABS(D63-F63)/D63),((F63-D63)/D63))</f>
        <v>-3.7492560999801625E-2</v>
      </c>
      <c r="F63" s="199">
        <v>-9704</v>
      </c>
      <c r="G63" s="200">
        <f>IF(F63&lt;H63,(ABS(F63-H63)/F63),((H63-F63)/F63))</f>
        <v>-4.1323165704863975E-2</v>
      </c>
      <c r="H63" s="199">
        <v>-9303</v>
      </c>
      <c r="I63" s="200">
        <f>IF(H63&lt;J63,(ABS(H63-J63)/H63),((J63-H63)/H63))</f>
        <v>-4.3534343760077393E-2</v>
      </c>
      <c r="J63" s="199">
        <v>-8898</v>
      </c>
      <c r="L63" s="136">
        <f t="shared" si="15"/>
        <v>-4.0783356821580997E-2</v>
      </c>
    </row>
    <row r="64" spans="1:22" x14ac:dyDescent="0.25">
      <c r="A64" s="2" t="s">
        <v>146</v>
      </c>
      <c r="D64" s="199">
        <v>29630</v>
      </c>
      <c r="E64" s="200">
        <f>IF(D64&lt;F64,(ABS(D64-F64)/D64),((F64-D64)/D64))</f>
        <v>7.3067836652041848E-2</v>
      </c>
      <c r="F64" s="199">
        <v>31795</v>
      </c>
      <c r="G64" s="200">
        <f>IF(F64&lt;H64,(ABS(F64-H64)/F64),((H64-F64)/F64))</f>
        <v>-2.5853121559993711E-2</v>
      </c>
      <c r="H64" s="199">
        <v>30973</v>
      </c>
      <c r="I64" s="200">
        <f>IF(H64&lt;J64,(ABS(H64-J64)/H64),((J64-H64)/H64))</f>
        <v>0.28789590934039322</v>
      </c>
      <c r="J64" s="199">
        <v>39890</v>
      </c>
      <c r="L64" s="136">
        <f t="shared" si="15"/>
        <v>0.11170354147748045</v>
      </c>
    </row>
    <row r="65" spans="1:12" x14ac:dyDescent="0.25">
      <c r="A65" s="2" t="s">
        <v>11</v>
      </c>
      <c r="D65" s="199">
        <v>12471</v>
      </c>
      <c r="E65" s="200">
        <f>IF(D65&lt;F65,(ABS(D65-F65)/D65),((F65-D65)/D65))</f>
        <v>-0.51591692727126937</v>
      </c>
      <c r="F65" s="199">
        <v>6037</v>
      </c>
      <c r="G65" s="200">
        <f>IF(F65&lt;H65,(ABS(F65-H65)/F65),((H65-F65)/F65))</f>
        <v>-0.82441610071227434</v>
      </c>
      <c r="H65" s="199">
        <v>1060</v>
      </c>
      <c r="I65" s="200">
        <f>IF(H65&lt;J65,(ABS(H65-J65)/H65),((J65-H65)/H65))</f>
        <v>7.1716981132075475</v>
      </c>
      <c r="J65" s="199">
        <v>8662</v>
      </c>
      <c r="L65" s="136">
        <f t="shared" si="15"/>
        <v>1.9437883617413345</v>
      </c>
    </row>
    <row r="66" spans="1:12" ht="13.8" thickBot="1" x14ac:dyDescent="0.3">
      <c r="D66" s="75"/>
      <c r="E66" s="75"/>
      <c r="F66" s="75"/>
      <c r="G66" s="75"/>
      <c r="H66" s="75"/>
      <c r="I66" s="75"/>
      <c r="J66" s="75"/>
      <c r="L66" s="136"/>
    </row>
    <row r="67" spans="1:12" x14ac:dyDescent="0.25">
      <c r="A67" s="73" t="s">
        <v>98</v>
      </c>
      <c r="D67" s="199">
        <f>SUM(D61:D65)</f>
        <v>55368</v>
      </c>
      <c r="E67" s="201">
        <f>IF(D67&lt;F67,ABS((D67-F67)/D67),-((D67-F67)/D67))</f>
        <v>-9.6138563791359627E-2</v>
      </c>
      <c r="F67" s="199">
        <f>SUM(F61:F65)</f>
        <v>50045</v>
      </c>
      <c r="G67" s="201">
        <f>IF(F67&lt;H67,ABS((F67-H67)/F67),-((F67-H67)/F67))</f>
        <v>-0.10068937955839745</v>
      </c>
      <c r="H67" s="199">
        <f>SUM(H61:H65)</f>
        <v>45006</v>
      </c>
      <c r="I67" s="201">
        <f>IF(H67&lt;J67,ABS((H67-J67)/H67),-((H67-J67)/H67))</f>
        <v>0.35924099009021021</v>
      </c>
      <c r="J67" s="199">
        <f>SUM(J61:J65)</f>
        <v>61174</v>
      </c>
      <c r="L67" s="136">
        <f t="shared" si="15"/>
        <v>5.4137682246817719E-2</v>
      </c>
    </row>
  </sheetData>
  <mergeCells count="1">
    <mergeCell ref="O42:V42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8"/>
  <sheetViews>
    <sheetView workbookViewId="0">
      <selection activeCell="J17" sqref="J17"/>
    </sheetView>
  </sheetViews>
  <sheetFormatPr defaultColWidth="9.109375" defaultRowHeight="13.2" x14ac:dyDescent="0.25"/>
  <cols>
    <col min="1" max="1" width="16.44140625" style="2" bestFit="1" customWidth="1"/>
    <col min="2" max="2" width="48.109375" style="2" bestFit="1" customWidth="1"/>
    <col min="3" max="3" width="18.6640625" style="2" bestFit="1" customWidth="1"/>
    <col min="4" max="4" width="17.44140625" style="2" bestFit="1" customWidth="1"/>
    <col min="5" max="5" width="15.88671875" style="2" bestFit="1" customWidth="1"/>
    <col min="6" max="7" width="9.6640625" style="2" customWidth="1"/>
    <col min="8" max="16384" width="9.109375" style="2"/>
  </cols>
  <sheetData>
    <row r="1" spans="1:5" ht="18" thickBot="1" x14ac:dyDescent="0.35">
      <c r="A1" s="227" t="s">
        <v>147</v>
      </c>
      <c r="B1" s="228"/>
      <c r="C1" s="228"/>
      <c r="D1" s="228"/>
      <c r="E1" s="229"/>
    </row>
    <row r="2" spans="1:5" ht="15" customHeight="1" thickBot="1" x14ac:dyDescent="0.3">
      <c r="A2" s="122" t="s">
        <v>148</v>
      </c>
      <c r="B2" s="123" t="s">
        <v>149</v>
      </c>
      <c r="C2" s="123" t="s">
        <v>150</v>
      </c>
      <c r="D2" s="123" t="s">
        <v>151</v>
      </c>
      <c r="E2" s="124" t="s">
        <v>152</v>
      </c>
    </row>
    <row r="3" spans="1:5" ht="13.8" x14ac:dyDescent="0.25">
      <c r="A3" s="125" t="s">
        <v>153</v>
      </c>
      <c r="B3" s="125" t="s">
        <v>154</v>
      </c>
      <c r="C3" s="126">
        <v>48250</v>
      </c>
      <c r="D3" s="127">
        <v>0</v>
      </c>
      <c r="E3" s="126">
        <f>C3/5</f>
        <v>9650</v>
      </c>
    </row>
    <row r="4" spans="1:5" ht="15" customHeight="1" x14ac:dyDescent="0.25">
      <c r="A4" s="125" t="s">
        <v>153</v>
      </c>
      <c r="B4" s="128" t="s">
        <v>155</v>
      </c>
      <c r="C4" s="129">
        <v>7359</v>
      </c>
      <c r="D4" s="129">
        <v>0</v>
      </c>
      <c r="E4" s="129">
        <f>C4/5</f>
        <v>1471.8</v>
      </c>
    </row>
    <row r="5" spans="1:5" ht="15" customHeight="1" thickBot="1" x14ac:dyDescent="0.3">
      <c r="A5" s="125" t="s">
        <v>153</v>
      </c>
      <c r="B5" s="128" t="s">
        <v>156</v>
      </c>
      <c r="C5" s="129">
        <v>12257</v>
      </c>
      <c r="D5" s="129">
        <v>0</v>
      </c>
      <c r="E5" s="130">
        <f>C5/5</f>
        <v>2451.4</v>
      </c>
    </row>
    <row r="6" spans="1:5" ht="15" customHeight="1" x14ac:dyDescent="0.25">
      <c r="A6" s="230" t="s">
        <v>157</v>
      </c>
      <c r="B6" s="231"/>
      <c r="C6" s="231"/>
      <c r="D6" s="232"/>
      <c r="E6" s="131">
        <f>SUM(E3:E5)</f>
        <v>13573.199999999999</v>
      </c>
    </row>
    <row r="7" spans="1:5" ht="15" customHeight="1" x14ac:dyDescent="0.25">
      <c r="A7" s="221"/>
      <c r="B7" s="222"/>
      <c r="C7" s="222"/>
      <c r="D7" s="222"/>
      <c r="E7" s="223"/>
    </row>
    <row r="8" spans="1:5" ht="15" customHeight="1" x14ac:dyDescent="0.25">
      <c r="A8" s="128" t="s">
        <v>158</v>
      </c>
      <c r="B8" s="128" t="s">
        <v>159</v>
      </c>
      <c r="C8" s="129">
        <v>148237</v>
      </c>
      <c r="D8" s="129">
        <v>0</v>
      </c>
      <c r="E8" s="129">
        <f>C8/10</f>
        <v>14823.7</v>
      </c>
    </row>
    <row r="9" spans="1:5" ht="15" customHeight="1" x14ac:dyDescent="0.25">
      <c r="A9" s="128" t="s">
        <v>158</v>
      </c>
      <c r="B9" s="128" t="s">
        <v>160</v>
      </c>
      <c r="C9" s="129">
        <v>4667</v>
      </c>
      <c r="D9" s="129">
        <v>0</v>
      </c>
      <c r="E9" s="129">
        <f>C9/10</f>
        <v>466.7</v>
      </c>
    </row>
    <row r="10" spans="1:5" ht="13.8" x14ac:dyDescent="0.25">
      <c r="A10" s="128" t="s">
        <v>158</v>
      </c>
      <c r="B10" s="128" t="s">
        <v>161</v>
      </c>
      <c r="C10" s="129">
        <v>7579</v>
      </c>
      <c r="D10" s="129">
        <v>0</v>
      </c>
      <c r="E10" s="129">
        <f>C10/10</f>
        <v>757.9</v>
      </c>
    </row>
    <row r="11" spans="1:5" ht="15" customHeight="1" thickBot="1" x14ac:dyDescent="0.3">
      <c r="A11" s="128" t="s">
        <v>158</v>
      </c>
      <c r="B11" s="128" t="s">
        <v>162</v>
      </c>
      <c r="C11" s="129">
        <v>9795</v>
      </c>
      <c r="D11" s="129">
        <v>0</v>
      </c>
      <c r="E11" s="130">
        <f>C11/10</f>
        <v>979.5</v>
      </c>
    </row>
    <row r="12" spans="1:5" ht="15" customHeight="1" x14ac:dyDescent="0.25">
      <c r="A12" s="230" t="s">
        <v>163</v>
      </c>
      <c r="B12" s="231"/>
      <c r="C12" s="231"/>
      <c r="D12" s="232"/>
      <c r="E12" s="131">
        <f>SUM(E8:E11)</f>
        <v>17027.800000000003</v>
      </c>
    </row>
    <row r="13" spans="1:5" ht="15" customHeight="1" x14ac:dyDescent="0.25">
      <c r="A13" s="221"/>
      <c r="B13" s="222"/>
      <c r="C13" s="222"/>
      <c r="D13" s="222"/>
      <c r="E13" s="223"/>
    </row>
    <row r="14" spans="1:5" ht="15" customHeight="1" x14ac:dyDescent="0.25">
      <c r="A14" s="128" t="s">
        <v>164</v>
      </c>
      <c r="B14" s="128" t="s">
        <v>165</v>
      </c>
      <c r="C14" s="129">
        <v>112760</v>
      </c>
      <c r="D14" s="129">
        <v>0</v>
      </c>
      <c r="E14" s="129">
        <f>C14/15</f>
        <v>7517.333333333333</v>
      </c>
    </row>
    <row r="15" spans="1:5" ht="15" customHeight="1" x14ac:dyDescent="0.25">
      <c r="A15" s="128" t="s">
        <v>164</v>
      </c>
      <c r="B15" s="128" t="s">
        <v>166</v>
      </c>
      <c r="C15" s="129">
        <v>19745</v>
      </c>
      <c r="D15" s="129">
        <v>0</v>
      </c>
      <c r="E15" s="129">
        <f>C15/15</f>
        <v>1316.3333333333333</v>
      </c>
    </row>
    <row r="16" spans="1:5" ht="15" customHeight="1" x14ac:dyDescent="0.25">
      <c r="A16" s="128" t="s">
        <v>164</v>
      </c>
      <c r="B16" s="128" t="s">
        <v>167</v>
      </c>
      <c r="C16" s="129">
        <v>8625</v>
      </c>
      <c r="D16" s="129">
        <v>0</v>
      </c>
      <c r="E16" s="129">
        <f>C16/15</f>
        <v>575</v>
      </c>
    </row>
    <row r="17" spans="1:5" ht="15" customHeight="1" thickBot="1" x14ac:dyDescent="0.3">
      <c r="A17" s="128" t="s">
        <v>164</v>
      </c>
      <c r="B17" s="128" t="s">
        <v>168</v>
      </c>
      <c r="C17" s="129">
        <v>7200</v>
      </c>
      <c r="D17" s="129">
        <v>0</v>
      </c>
      <c r="E17" s="130">
        <f>C17/15</f>
        <v>480</v>
      </c>
    </row>
    <row r="18" spans="1:5" ht="17.25" customHeight="1" x14ac:dyDescent="0.25">
      <c r="A18" s="230" t="s">
        <v>169</v>
      </c>
      <c r="B18" s="231"/>
      <c r="C18" s="231"/>
      <c r="D18" s="232"/>
      <c r="E18" s="131">
        <f>SUM(E14:E17)</f>
        <v>9888.6666666666661</v>
      </c>
    </row>
    <row r="19" spans="1:5" ht="13.8" x14ac:dyDescent="0.25">
      <c r="A19" s="221"/>
      <c r="B19" s="222"/>
      <c r="C19" s="222"/>
      <c r="D19" s="222"/>
      <c r="E19" s="223"/>
    </row>
    <row r="20" spans="1:5" ht="13.8" x14ac:dyDescent="0.25">
      <c r="A20" s="224" t="s">
        <v>170</v>
      </c>
      <c r="B20" s="225"/>
      <c r="C20" s="225"/>
      <c r="D20" s="226"/>
      <c r="E20" s="131">
        <f>SUM(E6,E12,E18)</f>
        <v>40489.666666666664</v>
      </c>
    </row>
    <row r="21" spans="1:5" ht="13.8" x14ac:dyDescent="0.25">
      <c r="A21" s="32"/>
      <c r="B21" s="32"/>
      <c r="C21" s="32"/>
      <c r="D21" s="132"/>
      <c r="E21" s="133"/>
    </row>
    <row r="24" spans="1:5" ht="17.25" customHeight="1" x14ac:dyDescent="0.25"/>
    <row r="36" spans="4:5" ht="13.8" x14ac:dyDescent="0.3">
      <c r="D36" s="101"/>
      <c r="E36" s="102"/>
    </row>
    <row r="37" spans="4:5" ht="13.8" x14ac:dyDescent="0.3">
      <c r="D37" s="102"/>
      <c r="E37" s="100"/>
    </row>
    <row r="38" spans="4:5" ht="13.8" x14ac:dyDescent="0.3">
      <c r="D38" s="102"/>
      <c r="E38" s="100"/>
    </row>
  </sheetData>
  <mergeCells count="8">
    <mergeCell ref="A19:E19"/>
    <mergeCell ref="A20:D20"/>
    <mergeCell ref="A1:E1"/>
    <mergeCell ref="A6:D6"/>
    <mergeCell ref="A7:E7"/>
    <mergeCell ref="A12:D12"/>
    <mergeCell ref="A13:E13"/>
    <mergeCell ref="A18:D18"/>
  </mergeCells>
  <printOptions horizontalCentered="1"/>
  <pageMargins left="0.7" right="0.7" top="0.75" bottom="0.75" header="0.3" footer="0.3"/>
  <pageSetup scale="7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72"/>
  <sheetViews>
    <sheetView tabSelected="1" workbookViewId="0">
      <selection activeCell="S26" sqref="S26"/>
    </sheetView>
  </sheetViews>
  <sheetFormatPr defaultRowHeight="13.2" x14ac:dyDescent="0.25"/>
  <cols>
    <col min="1" max="1" width="6.6640625" customWidth="1"/>
    <col min="2" max="2" width="11.44140625" customWidth="1"/>
    <col min="3" max="3" width="9.33203125" customWidth="1"/>
    <col min="4" max="5" width="14.109375" customWidth="1"/>
    <col min="6" max="6" width="12.109375" bestFit="1" customWidth="1"/>
    <col min="7" max="7" width="11.6640625" bestFit="1" customWidth="1"/>
    <col min="8" max="8" width="14.109375" bestFit="1" customWidth="1"/>
    <col min="9" max="9" width="9.5546875" bestFit="1" customWidth="1"/>
    <col min="10" max="10" width="16" bestFit="1" customWidth="1"/>
    <col min="12" max="12" width="11" bestFit="1" customWidth="1"/>
    <col min="13" max="13" width="10.109375" customWidth="1"/>
    <col min="16" max="16" width="12" customWidth="1"/>
    <col min="17" max="17" width="9.5546875" bestFit="1" customWidth="1"/>
    <col min="18" max="18" width="14.88671875" customWidth="1"/>
    <col min="19" max="20" width="16" bestFit="1" customWidth="1"/>
    <col min="26" max="26" width="11.6640625" customWidth="1"/>
    <col min="28" max="28" width="11.6640625" bestFit="1" customWidth="1"/>
    <col min="29" max="30" width="16" bestFit="1" customWidth="1"/>
  </cols>
  <sheetData>
    <row r="1" spans="1:30" ht="15.6" x14ac:dyDescent="0.3">
      <c r="A1" s="233" t="s">
        <v>171</v>
      </c>
      <c r="B1" s="233"/>
      <c r="C1" s="233"/>
      <c r="D1" s="233"/>
      <c r="E1" s="233"/>
      <c r="F1" s="233"/>
      <c r="G1" s="233"/>
      <c r="H1" s="233"/>
      <c r="I1" s="233"/>
      <c r="J1" s="233"/>
      <c r="K1" s="141"/>
      <c r="L1" s="233" t="s">
        <v>172</v>
      </c>
      <c r="M1" s="233"/>
      <c r="N1" s="233"/>
      <c r="O1" s="233"/>
      <c r="P1" s="233"/>
      <c r="Q1" s="233"/>
      <c r="R1" s="233"/>
      <c r="S1" s="233"/>
      <c r="T1" s="233"/>
      <c r="U1" s="2"/>
      <c r="V1" s="233" t="s">
        <v>173</v>
      </c>
      <c r="W1" s="233"/>
      <c r="X1" s="233"/>
      <c r="Y1" s="233"/>
      <c r="Z1" s="233"/>
      <c r="AA1" s="233"/>
      <c r="AB1" s="233"/>
      <c r="AC1" s="233"/>
      <c r="AD1" s="233"/>
    </row>
    <row r="2" spans="1:30" ht="15.6" x14ac:dyDescent="0.3">
      <c r="A2" s="233" t="s">
        <v>174</v>
      </c>
      <c r="B2" s="233"/>
      <c r="C2" s="233"/>
      <c r="D2" s="233"/>
      <c r="E2" s="233"/>
      <c r="F2" s="233"/>
      <c r="G2" s="233"/>
      <c r="H2" s="233"/>
      <c r="I2" s="233"/>
      <c r="J2" s="233"/>
      <c r="K2" s="141"/>
      <c r="L2" s="233" t="s">
        <v>175</v>
      </c>
      <c r="M2" s="233"/>
      <c r="N2" s="233"/>
      <c r="O2" s="233"/>
      <c r="P2" s="233"/>
      <c r="Q2" s="233"/>
      <c r="R2" s="233"/>
      <c r="S2" s="233"/>
      <c r="T2" s="233"/>
      <c r="U2" s="2"/>
      <c r="V2" s="233" t="s">
        <v>175</v>
      </c>
      <c r="W2" s="233"/>
      <c r="X2" s="233"/>
      <c r="Y2" s="233"/>
      <c r="Z2" s="233"/>
      <c r="AA2" s="233"/>
      <c r="AB2" s="233"/>
      <c r="AC2" s="233"/>
      <c r="AD2" s="233"/>
    </row>
    <row r="3" spans="1:30" ht="15" x14ac:dyDescent="0.25">
      <c r="A3" s="142"/>
      <c r="B3" s="143"/>
      <c r="C3" s="14"/>
      <c r="D3" s="14"/>
      <c r="E3" s="142"/>
      <c r="F3" s="143"/>
      <c r="G3" s="142"/>
      <c r="H3" s="143"/>
      <c r="I3" s="143"/>
      <c r="J3" s="3"/>
      <c r="K3" s="3"/>
      <c r="L3" s="142"/>
      <c r="M3" s="143"/>
      <c r="N3" s="14"/>
      <c r="O3" s="14"/>
      <c r="P3" s="142"/>
      <c r="Q3" s="143"/>
      <c r="R3" s="142"/>
      <c r="S3" s="143"/>
      <c r="T3" s="3"/>
      <c r="U3" s="2"/>
      <c r="V3" s="142"/>
      <c r="W3" s="143"/>
      <c r="X3" s="14"/>
      <c r="Y3" s="14"/>
      <c r="Z3" s="142"/>
      <c r="AA3" s="143"/>
      <c r="AB3" s="142"/>
      <c r="AC3" s="143"/>
      <c r="AD3" s="3"/>
    </row>
    <row r="4" spans="1:30" ht="15.6" x14ac:dyDescent="0.3">
      <c r="A4" s="144" t="s">
        <v>176</v>
      </c>
      <c r="B4" s="143"/>
      <c r="C4" s="14"/>
      <c r="D4" s="14"/>
      <c r="E4" s="142"/>
      <c r="F4" s="143"/>
      <c r="G4" s="142"/>
      <c r="H4" s="143"/>
      <c r="I4" s="143"/>
      <c r="J4" s="3"/>
      <c r="K4" s="3"/>
      <c r="L4" s="145">
        <f>'Percent Rate Increase'!F37</f>
        <v>0.31977383335331111</v>
      </c>
      <c r="M4" s="4" t="s">
        <v>177</v>
      </c>
      <c r="N4" s="3"/>
      <c r="O4" s="3"/>
      <c r="P4" s="3"/>
      <c r="Q4" s="3"/>
      <c r="R4" s="3"/>
      <c r="S4" s="2"/>
      <c r="T4" s="2"/>
      <c r="U4" s="2"/>
      <c r="V4" s="145">
        <f>'Percent Rate Increase'!N37</f>
        <v>0.3318365579312339</v>
      </c>
      <c r="W4" s="4" t="s">
        <v>177</v>
      </c>
      <c r="X4" s="3"/>
      <c r="Y4" s="3"/>
      <c r="Z4" s="3"/>
      <c r="AA4" s="3"/>
      <c r="AB4" s="3"/>
      <c r="AC4" s="2"/>
      <c r="AD4" s="2"/>
    </row>
    <row r="5" spans="1:30" ht="15" x14ac:dyDescent="0.25">
      <c r="A5" s="237" t="s">
        <v>178</v>
      </c>
      <c r="B5" s="238"/>
      <c r="C5" s="146"/>
      <c r="D5" s="147" t="s">
        <v>178</v>
      </c>
      <c r="E5" s="146"/>
      <c r="F5" s="146"/>
      <c r="G5" s="146"/>
      <c r="H5" s="146"/>
      <c r="I5" s="146"/>
      <c r="J5" s="146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.6" x14ac:dyDescent="0.3">
      <c r="A6" s="235" t="s">
        <v>179</v>
      </c>
      <c r="B6" s="236"/>
      <c r="C6" s="148" t="s">
        <v>180</v>
      </c>
      <c r="D6" s="148" t="s">
        <v>179</v>
      </c>
      <c r="E6" s="149" t="s">
        <v>181</v>
      </c>
      <c r="F6" s="149" t="s">
        <v>182</v>
      </c>
      <c r="G6" s="149" t="s">
        <v>182</v>
      </c>
      <c r="H6" s="149" t="s">
        <v>183</v>
      </c>
      <c r="I6" s="149" t="s">
        <v>183</v>
      </c>
      <c r="J6" s="149" t="s">
        <v>184</v>
      </c>
      <c r="K6" s="3"/>
      <c r="L6" s="144" t="s">
        <v>185</v>
      </c>
      <c r="M6" s="143"/>
      <c r="N6" s="14"/>
      <c r="O6" s="14"/>
      <c r="P6" s="142"/>
      <c r="Q6" s="143"/>
      <c r="R6" s="142"/>
      <c r="S6" s="143"/>
      <c r="T6" s="3"/>
      <c r="U6" s="2"/>
      <c r="V6" s="144" t="s">
        <v>185</v>
      </c>
      <c r="W6" s="143"/>
      <c r="X6" s="14"/>
      <c r="Y6" s="14"/>
      <c r="Z6" s="142"/>
      <c r="AA6" s="143"/>
      <c r="AB6" s="142"/>
      <c r="AC6" s="143"/>
      <c r="AD6" s="3"/>
    </row>
    <row r="7" spans="1:30" ht="15.6" thickBot="1" x14ac:dyDescent="0.3">
      <c r="A7" s="151" t="s">
        <v>186</v>
      </c>
      <c r="B7" s="152"/>
      <c r="C7" s="153" t="s">
        <v>187</v>
      </c>
      <c r="D7" s="154" t="s">
        <v>188</v>
      </c>
      <c r="E7" s="155">
        <f>(B8)</f>
        <v>2000</v>
      </c>
      <c r="F7" s="155">
        <f>(B9)</f>
        <v>3000</v>
      </c>
      <c r="G7" s="155">
        <f>(B10)</f>
        <v>5000</v>
      </c>
      <c r="H7" s="155">
        <f>B11</f>
        <v>5000</v>
      </c>
      <c r="I7" s="155">
        <f>B12</f>
        <v>5000</v>
      </c>
      <c r="J7" s="155">
        <f>(B13)</f>
        <v>20000</v>
      </c>
      <c r="K7" s="150"/>
      <c r="L7" s="234" t="s">
        <v>75</v>
      </c>
      <c r="M7" s="234"/>
      <c r="N7" s="3"/>
      <c r="O7" s="5" t="s">
        <v>189</v>
      </c>
      <c r="P7" s="5" t="s">
        <v>190</v>
      </c>
      <c r="Q7" s="234" t="s">
        <v>191</v>
      </c>
      <c r="R7" s="234"/>
      <c r="S7" s="5" t="s">
        <v>192</v>
      </c>
      <c r="T7" s="3"/>
      <c r="U7" s="2"/>
      <c r="V7" s="234" t="s">
        <v>75</v>
      </c>
      <c r="W7" s="234"/>
      <c r="X7" s="3"/>
      <c r="Y7" s="5" t="s">
        <v>189</v>
      </c>
      <c r="Z7" s="5" t="s">
        <v>190</v>
      </c>
      <c r="AA7" s="234" t="s">
        <v>191</v>
      </c>
      <c r="AB7" s="234"/>
      <c r="AC7" s="5" t="s">
        <v>192</v>
      </c>
      <c r="AD7" s="3"/>
    </row>
    <row r="8" spans="1:30" ht="16.2" thickTop="1" x14ac:dyDescent="0.3">
      <c r="A8" s="159" t="s">
        <v>193</v>
      </c>
      <c r="B8" s="160">
        <v>2000</v>
      </c>
      <c r="C8" s="160">
        <v>0</v>
      </c>
      <c r="D8" s="161">
        <v>0</v>
      </c>
      <c r="E8" s="161">
        <f>D8</f>
        <v>0</v>
      </c>
      <c r="F8" s="162"/>
      <c r="G8" s="162"/>
      <c r="H8" s="162"/>
      <c r="I8" s="162"/>
      <c r="J8" s="162"/>
      <c r="K8" s="9"/>
      <c r="L8" s="3" t="s">
        <v>193</v>
      </c>
      <c r="M8" s="156">
        <f t="shared" ref="M8:M13" si="0">B8</f>
        <v>2000</v>
      </c>
      <c r="N8" s="3" t="s">
        <v>194</v>
      </c>
      <c r="O8" s="156">
        <f>$D30</f>
        <v>56362</v>
      </c>
      <c r="P8" s="157" t="s">
        <v>195</v>
      </c>
      <c r="Q8" s="119">
        <f t="shared" ref="Q8:Q13" si="1">F30*(1+L$4)</f>
        <v>22.75290088701108</v>
      </c>
      <c r="R8" s="156" t="s">
        <v>79</v>
      </c>
      <c r="S8" s="158">
        <f>+O8*Q8</f>
        <v>1282398.9997937186</v>
      </c>
      <c r="T8" s="3"/>
      <c r="U8" s="2"/>
      <c r="V8" s="3" t="s">
        <v>193</v>
      </c>
      <c r="W8" s="156">
        <f t="shared" ref="W8:W13" si="2">M8</f>
        <v>2000</v>
      </c>
      <c r="X8" s="3" t="s">
        <v>194</v>
      </c>
      <c r="Y8" s="156">
        <f>$D30</f>
        <v>56362</v>
      </c>
      <c r="Z8" s="157" t="s">
        <v>195</v>
      </c>
      <c r="AA8" s="119">
        <f t="shared" ref="AA8:AA13" si="3">F30*(1+V$4)</f>
        <v>22.960862258734469</v>
      </c>
      <c r="AB8" s="156" t="s">
        <v>79</v>
      </c>
      <c r="AC8" s="158">
        <f>+Y8*AA8</f>
        <v>1294120.1186267922</v>
      </c>
      <c r="AD8" s="3"/>
    </row>
    <row r="9" spans="1:30" ht="15.6" x14ac:dyDescent="0.3">
      <c r="A9" s="159" t="s">
        <v>183</v>
      </c>
      <c r="B9" s="160">
        <v>3000</v>
      </c>
      <c r="C9" s="160">
        <v>54847</v>
      </c>
      <c r="D9" s="161">
        <v>186247.9</v>
      </c>
      <c r="E9" s="161">
        <f>($C9*E$7)/1000</f>
        <v>109694</v>
      </c>
      <c r="F9" s="161">
        <f>(D9-E9)</f>
        <v>76553.899999999994</v>
      </c>
      <c r="G9" s="162"/>
      <c r="H9" s="162"/>
      <c r="I9" s="162"/>
      <c r="J9" s="162"/>
      <c r="K9" s="3"/>
      <c r="L9" s="3" t="s">
        <v>183</v>
      </c>
      <c r="M9" s="156">
        <f t="shared" si="0"/>
        <v>3000</v>
      </c>
      <c r="N9" s="3" t="s">
        <v>194</v>
      </c>
      <c r="O9" s="3"/>
      <c r="P9" s="157">
        <f>$E31</f>
        <v>81098.899999999994</v>
      </c>
      <c r="Q9" s="119">
        <f t="shared" si="1"/>
        <v>9.7927218434815675</v>
      </c>
      <c r="R9" s="6" t="s">
        <v>196</v>
      </c>
      <c r="S9" s="158">
        <f>+P9*Q9</f>
        <v>794178.96951232722</v>
      </c>
      <c r="T9" s="3"/>
      <c r="U9" s="2"/>
      <c r="V9" s="3" t="s">
        <v>183</v>
      </c>
      <c r="W9" s="156">
        <f t="shared" si="2"/>
        <v>3000</v>
      </c>
      <c r="X9" s="3" t="s">
        <v>194</v>
      </c>
      <c r="Y9" s="3"/>
      <c r="Z9" s="157">
        <f>$E31</f>
        <v>81098.899999999994</v>
      </c>
      <c r="AA9" s="119">
        <f t="shared" si="3"/>
        <v>9.8822272598497563</v>
      </c>
      <c r="AB9" s="6" t="s">
        <v>196</v>
      </c>
      <c r="AC9" s="158">
        <f>+Z9*AA9</f>
        <v>801437.76032382937</v>
      </c>
      <c r="AD9" s="3"/>
    </row>
    <row r="10" spans="1:30" ht="15.6" x14ac:dyDescent="0.3">
      <c r="A10" s="159" t="s">
        <v>183</v>
      </c>
      <c r="B10" s="160">
        <v>5000</v>
      </c>
      <c r="C10" s="160">
        <v>705</v>
      </c>
      <c r="D10" s="161">
        <v>3606.8</v>
      </c>
      <c r="E10" s="161">
        <f t="shared" ref="E10:F13" si="4">($C10*E$7)/1000</f>
        <v>1410</v>
      </c>
      <c r="F10" s="161">
        <f>($C10*F$7)/1000</f>
        <v>2115</v>
      </c>
      <c r="G10" s="161">
        <f>D10-E10-F10</f>
        <v>81.800000000000182</v>
      </c>
      <c r="H10" s="162"/>
      <c r="I10" s="162"/>
      <c r="J10" s="162"/>
      <c r="K10" s="3"/>
      <c r="L10" s="3" t="s">
        <v>183</v>
      </c>
      <c r="M10" s="156">
        <f t="shared" si="0"/>
        <v>5000</v>
      </c>
      <c r="N10" s="3" t="s">
        <v>194</v>
      </c>
      <c r="O10" s="3"/>
      <c r="P10" s="157">
        <f>$E32</f>
        <v>4131.8</v>
      </c>
      <c r="Q10" s="119">
        <f t="shared" si="1"/>
        <v>9.3967896934755757</v>
      </c>
      <c r="R10" s="6" t="s">
        <v>196</v>
      </c>
      <c r="S10" s="158">
        <f>+P10*Q10</f>
        <v>38825.655655502385</v>
      </c>
      <c r="T10" s="3"/>
      <c r="U10" s="2"/>
      <c r="V10" s="3" t="s">
        <v>183</v>
      </c>
      <c r="W10" s="156">
        <f t="shared" si="2"/>
        <v>5000</v>
      </c>
      <c r="X10" s="3" t="s">
        <v>194</v>
      </c>
      <c r="Y10" s="3"/>
      <c r="Z10" s="157">
        <f>$E32</f>
        <v>4131.8</v>
      </c>
      <c r="AA10" s="119">
        <f t="shared" si="3"/>
        <v>9.4826762924703853</v>
      </c>
      <c r="AB10" s="6" t="s">
        <v>196</v>
      </c>
      <c r="AC10" s="158">
        <f>+Z10*AA10</f>
        <v>39180.521905229143</v>
      </c>
      <c r="AD10" s="3"/>
    </row>
    <row r="11" spans="1:30" ht="15.6" x14ac:dyDescent="0.3">
      <c r="A11" s="159" t="s">
        <v>183</v>
      </c>
      <c r="B11" s="160">
        <v>5000</v>
      </c>
      <c r="C11" s="160">
        <v>684</v>
      </c>
      <c r="D11" s="161">
        <v>6930.6</v>
      </c>
      <c r="E11" s="161">
        <f t="shared" si="4"/>
        <v>1368</v>
      </c>
      <c r="F11" s="161">
        <f t="shared" si="4"/>
        <v>2052</v>
      </c>
      <c r="G11" s="161">
        <f>($C11*G$7)/1000</f>
        <v>3420</v>
      </c>
      <c r="H11" s="161">
        <f>D11-E11-F11-G11</f>
        <v>90.600000000000364</v>
      </c>
      <c r="I11" s="161"/>
      <c r="J11" s="162"/>
      <c r="K11" s="3"/>
      <c r="L11" s="3" t="s">
        <v>183</v>
      </c>
      <c r="M11" s="156">
        <f t="shared" si="0"/>
        <v>5000</v>
      </c>
      <c r="N11" s="3" t="s">
        <v>194</v>
      </c>
      <c r="O11" s="3"/>
      <c r="P11" s="157">
        <f>$E33</f>
        <v>720.60000000000036</v>
      </c>
      <c r="Q11" s="119">
        <f t="shared" si="1"/>
        <v>9.0008575434695821</v>
      </c>
      <c r="R11" s="6" t="s">
        <v>196</v>
      </c>
      <c r="S11" s="158">
        <f>+P11*Q11</f>
        <v>6486.0179458241837</v>
      </c>
      <c r="T11" s="3"/>
      <c r="U11" s="2"/>
      <c r="V11" s="3" t="s">
        <v>183</v>
      </c>
      <c r="W11" s="156">
        <f t="shared" si="2"/>
        <v>5000</v>
      </c>
      <c r="X11" s="3" t="s">
        <v>194</v>
      </c>
      <c r="Y11" s="3"/>
      <c r="Z11" s="157">
        <f>$E33</f>
        <v>720.60000000000036</v>
      </c>
      <c r="AA11" s="119">
        <f t="shared" si="3"/>
        <v>9.0831253250910162</v>
      </c>
      <c r="AB11" s="6" t="s">
        <v>196</v>
      </c>
      <c r="AC11" s="158">
        <f>+Z11*AA11</f>
        <v>6545.30010926059</v>
      </c>
      <c r="AD11" s="3"/>
    </row>
    <row r="12" spans="1:30" ht="15.6" x14ac:dyDescent="0.3">
      <c r="A12" s="159" t="s">
        <v>183</v>
      </c>
      <c r="B12" s="160">
        <v>5000</v>
      </c>
      <c r="C12" s="160">
        <v>75</v>
      </c>
      <c r="D12" s="161">
        <v>1156</v>
      </c>
      <c r="E12" s="161">
        <f t="shared" si="4"/>
        <v>150</v>
      </c>
      <c r="F12" s="161">
        <f t="shared" si="4"/>
        <v>225</v>
      </c>
      <c r="G12" s="161">
        <f>($C12*G$7)/1000</f>
        <v>375</v>
      </c>
      <c r="H12" s="161">
        <f>($C12*H$7)/1000</f>
        <v>375</v>
      </c>
      <c r="I12" s="161">
        <f>D12-E12-F12-G12-H12</f>
        <v>31</v>
      </c>
      <c r="J12" s="162"/>
      <c r="K12" s="3"/>
      <c r="L12" s="3" t="s">
        <v>183</v>
      </c>
      <c r="M12" s="156">
        <f t="shared" si="0"/>
        <v>5000</v>
      </c>
      <c r="N12" s="3" t="s">
        <v>194</v>
      </c>
      <c r="O12" s="3"/>
      <c r="P12" s="157">
        <f>$E34</f>
        <v>286</v>
      </c>
      <c r="Q12" s="119">
        <f t="shared" si="1"/>
        <v>8.6049253934635885</v>
      </c>
      <c r="R12" s="6" t="s">
        <v>196</v>
      </c>
      <c r="S12" s="158">
        <f>+P12*Q12</f>
        <v>2461.0086625305862</v>
      </c>
      <c r="T12" s="3"/>
      <c r="U12" s="2"/>
      <c r="V12" s="3" t="s">
        <v>183</v>
      </c>
      <c r="W12" s="156">
        <f t="shared" si="2"/>
        <v>5000</v>
      </c>
      <c r="X12" s="3" t="s">
        <v>194</v>
      </c>
      <c r="Y12" s="3"/>
      <c r="Z12" s="157">
        <f>$E34</f>
        <v>286</v>
      </c>
      <c r="AA12" s="119">
        <f t="shared" si="3"/>
        <v>8.6835743577116453</v>
      </c>
      <c r="AB12" s="6" t="s">
        <v>196</v>
      </c>
      <c r="AC12" s="158">
        <f>+Z12*AA12</f>
        <v>2483.5022663055306</v>
      </c>
      <c r="AD12" s="3"/>
    </row>
    <row r="13" spans="1:30" ht="16.2" thickBot="1" x14ac:dyDescent="0.35">
      <c r="A13" s="169" t="s">
        <v>197</v>
      </c>
      <c r="B13" s="170">
        <v>20000</v>
      </c>
      <c r="C13" s="170">
        <v>51</v>
      </c>
      <c r="D13" s="171">
        <v>9818.4</v>
      </c>
      <c r="E13" s="172">
        <f t="shared" si="4"/>
        <v>102</v>
      </c>
      <c r="F13" s="171">
        <f t="shared" si="4"/>
        <v>153</v>
      </c>
      <c r="G13" s="171">
        <f>($C13*G$7)/1000</f>
        <v>255</v>
      </c>
      <c r="H13" s="171">
        <f>($C13*H$7)/1000</f>
        <v>255</v>
      </c>
      <c r="I13" s="171">
        <f>($C13*I$7)/1000</f>
        <v>255</v>
      </c>
      <c r="J13" s="171">
        <f>D13-E13-F13-G13-H13</f>
        <v>9053.4</v>
      </c>
      <c r="K13" s="173"/>
      <c r="L13" s="163" t="s">
        <v>197</v>
      </c>
      <c r="M13" s="164">
        <f t="shared" si="0"/>
        <v>20000</v>
      </c>
      <c r="N13" s="163" t="s">
        <v>194</v>
      </c>
      <c r="O13" s="163"/>
      <c r="P13" s="165">
        <f>$E35</f>
        <v>9053.4</v>
      </c>
      <c r="Q13" s="168">
        <f t="shared" si="1"/>
        <v>7.8130610934516014</v>
      </c>
      <c r="R13" s="166" t="s">
        <v>196</v>
      </c>
      <c r="S13" s="167">
        <f>+P13*Q13</f>
        <v>70734.767303454719</v>
      </c>
      <c r="T13" s="163"/>
      <c r="U13" s="2"/>
      <c r="V13" s="163" t="s">
        <v>197</v>
      </c>
      <c r="W13" s="164">
        <f t="shared" si="2"/>
        <v>20000</v>
      </c>
      <c r="X13" s="163" t="s">
        <v>194</v>
      </c>
      <c r="Y13" s="163"/>
      <c r="Z13" s="165">
        <f>$E35</f>
        <v>9053.4</v>
      </c>
      <c r="AA13" s="168">
        <f t="shared" si="3"/>
        <v>7.8844724229529044</v>
      </c>
      <c r="AB13" s="166" t="s">
        <v>196</v>
      </c>
      <c r="AC13" s="167">
        <f>+Z13*AA13</f>
        <v>71381.282633961819</v>
      </c>
      <c r="AD13" s="163"/>
    </row>
    <row r="14" spans="1:30" ht="15.6" thickTop="1" x14ac:dyDescent="0.25">
      <c r="A14" s="174" t="s">
        <v>198</v>
      </c>
      <c r="B14" s="175"/>
      <c r="C14" s="176">
        <f t="shared" ref="C14:J14" si="5">SUM(C8:C13)</f>
        <v>56362</v>
      </c>
      <c r="D14" s="177">
        <f t="shared" si="5"/>
        <v>207759.69999999998</v>
      </c>
      <c r="E14" s="177">
        <f t="shared" si="5"/>
        <v>112724</v>
      </c>
      <c r="F14" s="177">
        <f t="shared" si="5"/>
        <v>81098.899999999994</v>
      </c>
      <c r="G14" s="177">
        <f t="shared" si="5"/>
        <v>4131.8</v>
      </c>
      <c r="H14" s="177">
        <f t="shared" si="5"/>
        <v>720.60000000000036</v>
      </c>
      <c r="I14" s="177">
        <f t="shared" si="5"/>
        <v>286</v>
      </c>
      <c r="J14" s="177">
        <f t="shared" si="5"/>
        <v>9053.4</v>
      </c>
      <c r="K14" s="173"/>
      <c r="L14" s="3"/>
      <c r="M14" s="3"/>
      <c r="N14" s="3"/>
      <c r="O14" s="3"/>
      <c r="P14" s="3" t="s">
        <v>199</v>
      </c>
      <c r="Q14" s="3"/>
      <c r="R14" s="3"/>
      <c r="S14" s="6"/>
      <c r="T14" s="158">
        <f>SUM(S8:S13)</f>
        <v>2195085.4188733576</v>
      </c>
      <c r="U14" s="2"/>
      <c r="V14" s="3"/>
      <c r="W14" s="3"/>
      <c r="X14" s="3"/>
      <c r="Y14" s="3"/>
      <c r="Z14" s="3" t="s">
        <v>199</v>
      </c>
      <c r="AA14" s="3"/>
      <c r="AB14" s="3"/>
      <c r="AC14" s="6"/>
      <c r="AD14" s="158">
        <f>SUM(AC8:AC13)</f>
        <v>2215148.4858653783</v>
      </c>
    </row>
    <row r="15" spans="1:30" ht="15" x14ac:dyDescent="0.25">
      <c r="A15" s="14"/>
      <c r="B15" s="3"/>
      <c r="C15" s="9"/>
      <c r="D15" s="173"/>
      <c r="E15" s="173"/>
      <c r="F15" s="173"/>
      <c r="G15" s="173"/>
      <c r="H15" s="173"/>
      <c r="I15" s="173"/>
      <c r="J15" s="173"/>
      <c r="K15" s="173"/>
      <c r="L15" s="3"/>
      <c r="M15" s="3"/>
      <c r="N15" s="3"/>
      <c r="O15" s="3"/>
      <c r="P15" s="3"/>
      <c r="Q15" s="3"/>
      <c r="R15" s="3"/>
      <c r="S15" s="6"/>
      <c r="T15" s="158"/>
      <c r="U15" s="2"/>
      <c r="V15" s="3"/>
      <c r="W15" s="3"/>
      <c r="X15" s="3"/>
      <c r="Y15" s="3"/>
      <c r="Z15" s="3"/>
      <c r="AA15" s="3"/>
      <c r="AB15" s="3"/>
      <c r="AC15" s="6"/>
      <c r="AD15" s="158"/>
    </row>
    <row r="16" spans="1:30" ht="15.6" x14ac:dyDescent="0.3">
      <c r="A16" s="144" t="s">
        <v>200</v>
      </c>
      <c r="B16" s="143"/>
      <c r="C16" s="14"/>
      <c r="D16" s="14"/>
      <c r="E16" s="142"/>
      <c r="F16" s="143"/>
      <c r="G16" s="142"/>
      <c r="H16" s="143"/>
      <c r="I16" s="143"/>
      <c r="J16" s="3"/>
      <c r="K16" s="3"/>
      <c r="L16" s="144" t="s">
        <v>201</v>
      </c>
      <c r="M16" s="143"/>
      <c r="N16" s="14"/>
      <c r="O16" s="14"/>
      <c r="P16" s="142"/>
      <c r="Q16" s="143"/>
      <c r="R16" s="142"/>
      <c r="S16" s="143"/>
      <c r="T16" s="3"/>
      <c r="U16" s="2"/>
      <c r="V16" s="144" t="s">
        <v>201</v>
      </c>
      <c r="W16" s="143"/>
      <c r="X16" s="14"/>
      <c r="Y16" s="14"/>
      <c r="Z16" s="142"/>
      <c r="AA16" s="143"/>
      <c r="AB16" s="142"/>
      <c r="AC16" s="143"/>
      <c r="AD16" s="3"/>
    </row>
    <row r="17" spans="1:30" ht="15" x14ac:dyDescent="0.25">
      <c r="A17" s="237" t="s">
        <v>178</v>
      </c>
      <c r="B17" s="238"/>
      <c r="C17" s="146"/>
      <c r="D17" s="147" t="s">
        <v>178</v>
      </c>
      <c r="E17" s="146"/>
      <c r="F17" s="146"/>
      <c r="G17" s="146"/>
      <c r="H17" s="146"/>
      <c r="I17" s="146"/>
      <c r="J17" s="146"/>
      <c r="K17" s="3"/>
      <c r="L17" s="234" t="s">
        <v>75</v>
      </c>
      <c r="M17" s="234"/>
      <c r="N17" s="3"/>
      <c r="O17" s="5" t="s">
        <v>189</v>
      </c>
      <c r="P17" s="5" t="s">
        <v>190</v>
      </c>
      <c r="Q17" s="234" t="s">
        <v>191</v>
      </c>
      <c r="R17" s="234"/>
      <c r="S17" s="5" t="s">
        <v>192</v>
      </c>
      <c r="T17" s="3"/>
      <c r="U17" s="2"/>
      <c r="V17" s="234" t="s">
        <v>75</v>
      </c>
      <c r="W17" s="234"/>
      <c r="X17" s="3"/>
      <c r="Y17" s="5" t="s">
        <v>189</v>
      </c>
      <c r="Z17" s="5" t="s">
        <v>190</v>
      </c>
      <c r="AA17" s="234" t="s">
        <v>191</v>
      </c>
      <c r="AB17" s="234"/>
      <c r="AC17" s="5" t="s">
        <v>192</v>
      </c>
      <c r="AD17" s="3"/>
    </row>
    <row r="18" spans="1:30" ht="15.6" x14ac:dyDescent="0.3">
      <c r="A18" s="235" t="s">
        <v>179</v>
      </c>
      <c r="B18" s="236"/>
      <c r="C18" s="148" t="s">
        <v>180</v>
      </c>
      <c r="D18" s="148" t="s">
        <v>179</v>
      </c>
      <c r="E18" s="149" t="s">
        <v>181</v>
      </c>
      <c r="F18" s="149" t="s">
        <v>182</v>
      </c>
      <c r="G18" s="149" t="s">
        <v>182</v>
      </c>
      <c r="H18" s="149" t="s">
        <v>183</v>
      </c>
      <c r="I18" s="149" t="s">
        <v>183</v>
      </c>
      <c r="J18" s="149" t="s">
        <v>184</v>
      </c>
      <c r="K18" s="150"/>
      <c r="L18" s="3" t="s">
        <v>193</v>
      </c>
      <c r="M18" s="156">
        <f t="shared" ref="M18:M23" si="6">M8</f>
        <v>2000</v>
      </c>
      <c r="N18" s="3" t="s">
        <v>194</v>
      </c>
      <c r="O18" s="156">
        <f>$D40</f>
        <v>1104</v>
      </c>
      <c r="P18" s="157" t="s">
        <v>195</v>
      </c>
      <c r="Q18" s="119">
        <f t="shared" ref="Q18:Q23" si="7">F40*(1+L$4)</f>
        <v>22.75290088701108</v>
      </c>
      <c r="R18" s="156" t="s">
        <v>79</v>
      </c>
      <c r="S18" s="158">
        <f>+O18*Q18</f>
        <v>25119.202579260233</v>
      </c>
      <c r="T18" s="3"/>
      <c r="U18" s="2"/>
      <c r="V18" s="3" t="s">
        <v>193</v>
      </c>
      <c r="W18" s="156">
        <f t="shared" ref="W18:W23" si="8">W8</f>
        <v>2000</v>
      </c>
      <c r="X18" s="3" t="s">
        <v>194</v>
      </c>
      <c r="Y18" s="156">
        <f>$D40</f>
        <v>1104</v>
      </c>
      <c r="Z18" s="157" t="s">
        <v>195</v>
      </c>
      <c r="AA18" s="119">
        <f t="shared" ref="AA18:AA23" si="9">F40*(1+V$4)</f>
        <v>22.960862258734469</v>
      </c>
      <c r="AB18" s="156" t="s">
        <v>79</v>
      </c>
      <c r="AC18" s="158">
        <f>+Y18*AA18</f>
        <v>25348.791933642853</v>
      </c>
      <c r="AD18" s="3"/>
    </row>
    <row r="19" spans="1:30" ht="16.2" thickBot="1" x14ac:dyDescent="0.35">
      <c r="A19" s="151" t="s">
        <v>186</v>
      </c>
      <c r="B19" s="152"/>
      <c r="C19" s="153" t="s">
        <v>187</v>
      </c>
      <c r="D19" s="154" t="s">
        <v>188</v>
      </c>
      <c r="E19" s="155">
        <f>(B20)</f>
        <v>2000</v>
      </c>
      <c r="F19" s="155">
        <f>(B21)</f>
        <v>3000</v>
      </c>
      <c r="G19" s="155">
        <f>(B22)</f>
        <v>5000</v>
      </c>
      <c r="H19" s="155">
        <f>B23</f>
        <v>5000</v>
      </c>
      <c r="I19" s="155">
        <f>B24</f>
        <v>5000</v>
      </c>
      <c r="J19" s="155">
        <f>(B25)</f>
        <v>20000</v>
      </c>
      <c r="K19" s="9"/>
      <c r="L19" s="3" t="s">
        <v>183</v>
      </c>
      <c r="M19" s="156">
        <f t="shared" si="6"/>
        <v>3000</v>
      </c>
      <c r="N19" s="3" t="s">
        <v>194</v>
      </c>
      <c r="O19" s="3"/>
      <c r="P19" s="157">
        <f>$E41</f>
        <v>1143.8000000000002</v>
      </c>
      <c r="Q19" s="119">
        <f t="shared" si="7"/>
        <v>9.7927218434815675</v>
      </c>
      <c r="R19" s="6" t="s">
        <v>196</v>
      </c>
      <c r="S19" s="158">
        <f>+P19*Q19</f>
        <v>11200.915244574218</v>
      </c>
      <c r="T19" s="3"/>
      <c r="U19" s="2"/>
      <c r="V19" s="3" t="s">
        <v>183</v>
      </c>
      <c r="W19" s="156">
        <f t="shared" si="8"/>
        <v>3000</v>
      </c>
      <c r="X19" s="3" t="s">
        <v>194</v>
      </c>
      <c r="Y19" s="3"/>
      <c r="Z19" s="157">
        <f>$E41</f>
        <v>1143.8000000000002</v>
      </c>
      <c r="AA19" s="119">
        <f t="shared" si="9"/>
        <v>9.8822272598497563</v>
      </c>
      <c r="AB19" s="6" t="s">
        <v>196</v>
      </c>
      <c r="AC19" s="158">
        <f>+Z19*AA19</f>
        <v>11303.291539816153</v>
      </c>
      <c r="AD19" s="3"/>
    </row>
    <row r="20" spans="1:30" ht="16.2" thickTop="1" x14ac:dyDescent="0.3">
      <c r="A20" s="159" t="s">
        <v>193</v>
      </c>
      <c r="B20" s="160">
        <v>2000</v>
      </c>
      <c r="C20" s="160">
        <v>0</v>
      </c>
      <c r="D20" s="161">
        <v>0</v>
      </c>
      <c r="E20" s="161">
        <f>D20</f>
        <v>0</v>
      </c>
      <c r="F20" s="162"/>
      <c r="G20" s="162"/>
      <c r="H20" s="162"/>
      <c r="I20" s="162"/>
      <c r="J20" s="162"/>
      <c r="K20" s="3"/>
      <c r="L20" s="3" t="s">
        <v>183</v>
      </c>
      <c r="M20" s="156">
        <f t="shared" si="6"/>
        <v>5000</v>
      </c>
      <c r="N20" s="3" t="s">
        <v>194</v>
      </c>
      <c r="O20" s="3"/>
      <c r="P20" s="157">
        <f>$E42</f>
        <v>4193.6000000000004</v>
      </c>
      <c r="Q20" s="119">
        <f t="shared" si="7"/>
        <v>9.3967896934755757</v>
      </c>
      <c r="R20" s="6" t="s">
        <v>196</v>
      </c>
      <c r="S20" s="158">
        <f>+P20*Q20</f>
        <v>39406.37725855918</v>
      </c>
      <c r="T20" s="3"/>
      <c r="U20" s="2"/>
      <c r="V20" s="3" t="s">
        <v>183</v>
      </c>
      <c r="W20" s="156">
        <f t="shared" si="8"/>
        <v>5000</v>
      </c>
      <c r="X20" s="3" t="s">
        <v>194</v>
      </c>
      <c r="Y20" s="3"/>
      <c r="Z20" s="157">
        <f>$E42</f>
        <v>4193.6000000000004</v>
      </c>
      <c r="AA20" s="119">
        <f t="shared" si="9"/>
        <v>9.4826762924703853</v>
      </c>
      <c r="AB20" s="6" t="s">
        <v>196</v>
      </c>
      <c r="AC20" s="158">
        <f>+Z20*AA20</f>
        <v>39766.551300103813</v>
      </c>
      <c r="AD20" s="3"/>
    </row>
    <row r="21" spans="1:30" ht="15.6" x14ac:dyDescent="0.3">
      <c r="A21" s="159" t="s">
        <v>183</v>
      </c>
      <c r="B21" s="160">
        <v>3000</v>
      </c>
      <c r="C21" s="160">
        <v>859</v>
      </c>
      <c r="D21" s="161">
        <v>2126.8000000000002</v>
      </c>
      <c r="E21" s="161">
        <f>($C21*E$7)/1000</f>
        <v>1718</v>
      </c>
      <c r="F21" s="161">
        <f>(D21-E21)</f>
        <v>408.80000000000018</v>
      </c>
      <c r="G21" s="162"/>
      <c r="H21" s="162"/>
      <c r="I21" s="162"/>
      <c r="J21" s="162"/>
      <c r="K21" s="3"/>
      <c r="L21" s="3" t="s">
        <v>183</v>
      </c>
      <c r="M21" s="156">
        <f t="shared" si="6"/>
        <v>5000</v>
      </c>
      <c r="N21" s="3" t="s">
        <v>194</v>
      </c>
      <c r="O21" s="3"/>
      <c r="P21" s="157">
        <f>$E43</f>
        <v>3347.1</v>
      </c>
      <c r="Q21" s="119">
        <f t="shared" si="7"/>
        <v>9.0008575434695821</v>
      </c>
      <c r="R21" s="6" t="s">
        <v>196</v>
      </c>
      <c r="S21" s="158">
        <f>+P21*Q21</f>
        <v>30126.770283747039</v>
      </c>
      <c r="T21" s="3"/>
      <c r="U21" s="2"/>
      <c r="V21" s="3" t="s">
        <v>183</v>
      </c>
      <c r="W21" s="156">
        <f t="shared" si="8"/>
        <v>5000</v>
      </c>
      <c r="X21" s="3" t="s">
        <v>194</v>
      </c>
      <c r="Y21" s="3"/>
      <c r="Z21" s="157">
        <f>$E43</f>
        <v>3347.1</v>
      </c>
      <c r="AA21" s="119">
        <f t="shared" si="9"/>
        <v>9.0831253250910162</v>
      </c>
      <c r="AB21" s="6" t="s">
        <v>196</v>
      </c>
      <c r="AC21" s="158">
        <f>+Z21*AA21</f>
        <v>30402.128775612138</v>
      </c>
      <c r="AD21" s="3"/>
    </row>
    <row r="22" spans="1:30" ht="15.6" x14ac:dyDescent="0.3">
      <c r="A22" s="159" t="s">
        <v>183</v>
      </c>
      <c r="B22" s="160">
        <v>5000</v>
      </c>
      <c r="C22" s="160">
        <v>221</v>
      </c>
      <c r="D22" s="161">
        <v>5178.6000000000004</v>
      </c>
      <c r="E22" s="161">
        <f t="shared" ref="E22:F25" si="10">($C22*E$7)/1000</f>
        <v>442</v>
      </c>
      <c r="F22" s="161">
        <f>($C22*F$7)/1000</f>
        <v>663</v>
      </c>
      <c r="G22" s="161">
        <f>D22-E22-F22</f>
        <v>4073.6000000000004</v>
      </c>
      <c r="H22" s="162"/>
      <c r="I22" s="162"/>
      <c r="J22" s="162"/>
      <c r="K22" s="3"/>
      <c r="L22" s="3" t="s">
        <v>183</v>
      </c>
      <c r="M22" s="156">
        <f t="shared" si="6"/>
        <v>5000</v>
      </c>
      <c r="N22" s="3" t="s">
        <v>194</v>
      </c>
      <c r="O22" s="3"/>
      <c r="P22" s="157">
        <f>$E44</f>
        <v>40</v>
      </c>
      <c r="Q22" s="119">
        <f t="shared" si="7"/>
        <v>8.6049253934635885</v>
      </c>
      <c r="R22" s="6" t="s">
        <v>196</v>
      </c>
      <c r="S22" s="158">
        <f>+P22*Q22</f>
        <v>344.19701573854354</v>
      </c>
      <c r="T22" s="3"/>
      <c r="U22" s="2"/>
      <c r="V22" s="3" t="s">
        <v>183</v>
      </c>
      <c r="W22" s="156">
        <f t="shared" si="8"/>
        <v>5000</v>
      </c>
      <c r="X22" s="3" t="s">
        <v>194</v>
      </c>
      <c r="Y22" s="3"/>
      <c r="Z22" s="157">
        <f>$E44</f>
        <v>40</v>
      </c>
      <c r="AA22" s="119">
        <f t="shared" si="9"/>
        <v>8.6835743577116453</v>
      </c>
      <c r="AB22" s="6" t="s">
        <v>196</v>
      </c>
      <c r="AC22" s="158">
        <f>+Z22*AA22</f>
        <v>347.34297430846584</v>
      </c>
      <c r="AD22" s="3"/>
    </row>
    <row r="23" spans="1:30" ht="15.6" x14ac:dyDescent="0.3">
      <c r="A23" s="159" t="s">
        <v>183</v>
      </c>
      <c r="B23" s="160">
        <v>5000</v>
      </c>
      <c r="C23" s="160">
        <v>16</v>
      </c>
      <c r="D23" s="161">
        <v>3467.1</v>
      </c>
      <c r="E23" s="161">
        <f t="shared" si="10"/>
        <v>32</v>
      </c>
      <c r="F23" s="161">
        <f t="shared" si="10"/>
        <v>48</v>
      </c>
      <c r="G23" s="161">
        <f>($C23*G$7)/1000</f>
        <v>80</v>
      </c>
      <c r="H23" s="161">
        <f>D23-E23-F23-G23</f>
        <v>3307.1</v>
      </c>
      <c r="I23" s="161"/>
      <c r="J23" s="162"/>
      <c r="K23" s="3"/>
      <c r="L23" s="163" t="s">
        <v>197</v>
      </c>
      <c r="M23" s="164">
        <f t="shared" si="6"/>
        <v>20000</v>
      </c>
      <c r="N23" s="163" t="s">
        <v>194</v>
      </c>
      <c r="O23" s="163"/>
      <c r="P23" s="165">
        <f>$E45</f>
        <v>466.70000000000005</v>
      </c>
      <c r="Q23" s="168">
        <f t="shared" si="7"/>
        <v>7.8130610934516014</v>
      </c>
      <c r="R23" s="166" t="s">
        <v>196</v>
      </c>
      <c r="S23" s="167">
        <f>+P23*Q23</f>
        <v>3646.3556123138628</v>
      </c>
      <c r="T23" s="163"/>
      <c r="U23" s="2"/>
      <c r="V23" s="163" t="s">
        <v>197</v>
      </c>
      <c r="W23" s="164">
        <f t="shared" si="8"/>
        <v>20000</v>
      </c>
      <c r="X23" s="163" t="s">
        <v>194</v>
      </c>
      <c r="Y23" s="163"/>
      <c r="Z23" s="165">
        <f>$E45</f>
        <v>466.70000000000005</v>
      </c>
      <c r="AA23" s="168">
        <f t="shared" si="9"/>
        <v>7.8844724229529044</v>
      </c>
      <c r="AB23" s="166" t="s">
        <v>196</v>
      </c>
      <c r="AC23" s="167">
        <f>+Z23*AA23</f>
        <v>3679.6832797921206</v>
      </c>
      <c r="AD23" s="163"/>
    </row>
    <row r="24" spans="1:30" ht="15" x14ac:dyDescent="0.25">
      <c r="A24" s="159" t="s">
        <v>183</v>
      </c>
      <c r="B24" s="160">
        <v>5000</v>
      </c>
      <c r="C24" s="160">
        <v>0</v>
      </c>
      <c r="D24" s="161">
        <v>0</v>
      </c>
      <c r="E24" s="161">
        <f t="shared" si="10"/>
        <v>0</v>
      </c>
      <c r="F24" s="161">
        <f t="shared" si="10"/>
        <v>0</v>
      </c>
      <c r="G24" s="161">
        <f>($C24*G$7)/1000</f>
        <v>0</v>
      </c>
      <c r="H24" s="161">
        <f>($C24*H$7)/1000</f>
        <v>0</v>
      </c>
      <c r="I24" s="161">
        <f>D24-E24-F24-G24-H24</f>
        <v>0</v>
      </c>
      <c r="J24" s="162"/>
      <c r="K24" s="173"/>
      <c r="L24" s="3"/>
      <c r="M24" s="3"/>
      <c r="N24" s="3"/>
      <c r="O24" s="3"/>
      <c r="P24" s="3" t="s">
        <v>199</v>
      </c>
      <c r="Q24" s="3"/>
      <c r="R24" s="3"/>
      <c r="S24" s="6"/>
      <c r="T24" s="158">
        <f>SUM(S18:S23)</f>
        <v>109843.81799419309</v>
      </c>
      <c r="U24" s="2"/>
      <c r="V24" s="3"/>
      <c r="W24" s="3"/>
      <c r="X24" s="3"/>
      <c r="Y24" s="3"/>
      <c r="Z24" s="3" t="s">
        <v>199</v>
      </c>
      <c r="AA24" s="3"/>
      <c r="AB24" s="3"/>
      <c r="AC24" s="6"/>
      <c r="AD24" s="158">
        <f>SUM(AC18:AC23)</f>
        <v>110847.78980327553</v>
      </c>
    </row>
    <row r="25" spans="1:30" ht="15.6" thickBot="1" x14ac:dyDescent="0.3">
      <c r="A25" s="169" t="s">
        <v>197</v>
      </c>
      <c r="B25" s="170">
        <v>20000</v>
      </c>
      <c r="C25" s="170">
        <v>8</v>
      </c>
      <c r="D25" s="171">
        <v>586.70000000000005</v>
      </c>
      <c r="E25" s="172">
        <f t="shared" si="10"/>
        <v>16</v>
      </c>
      <c r="F25" s="171">
        <f t="shared" si="10"/>
        <v>24</v>
      </c>
      <c r="G25" s="171">
        <f>($C25*G$7)/1000</f>
        <v>40</v>
      </c>
      <c r="H25" s="171">
        <f>($C25*H$7)/1000</f>
        <v>40</v>
      </c>
      <c r="I25" s="171">
        <f>($C25*I$7)/1000</f>
        <v>40</v>
      </c>
      <c r="J25" s="171">
        <f>D25-E25-F25-G25-H25</f>
        <v>466.70000000000005</v>
      </c>
      <c r="K25" s="173"/>
      <c r="L25" s="2"/>
      <c r="M25" s="2"/>
      <c r="N25" s="2"/>
      <c r="O25" s="2"/>
      <c r="P25" s="2"/>
      <c r="Q25" s="2"/>
      <c r="R25" s="2"/>
      <c r="S25" s="2"/>
      <c r="T25" s="2"/>
      <c r="U25" s="3"/>
      <c r="V25" s="2"/>
      <c r="W25" s="2"/>
      <c r="X25" s="2"/>
      <c r="Y25" s="2"/>
      <c r="Z25" s="2"/>
      <c r="AA25" s="2"/>
      <c r="AB25" s="2"/>
      <c r="AC25" s="2"/>
      <c r="AD25" s="2"/>
    </row>
    <row r="26" spans="1:30" ht="16.2" thickTop="1" x14ac:dyDescent="0.3">
      <c r="A26" s="174" t="s">
        <v>198</v>
      </c>
      <c r="B26" s="175"/>
      <c r="C26" s="176">
        <f t="shared" ref="C26:J26" si="11">SUM(C20:C25)</f>
        <v>1104</v>
      </c>
      <c r="D26" s="177">
        <f t="shared" si="11"/>
        <v>11359.2</v>
      </c>
      <c r="E26" s="177">
        <f t="shared" si="11"/>
        <v>2208</v>
      </c>
      <c r="F26" s="177">
        <f t="shared" si="11"/>
        <v>1143.8000000000002</v>
      </c>
      <c r="G26" s="177">
        <f t="shared" si="11"/>
        <v>4193.6000000000004</v>
      </c>
      <c r="H26" s="177">
        <f t="shared" si="11"/>
        <v>3347.1</v>
      </c>
      <c r="I26" s="177">
        <f t="shared" si="11"/>
        <v>40</v>
      </c>
      <c r="J26" s="177">
        <f t="shared" si="11"/>
        <v>466.70000000000005</v>
      </c>
      <c r="K26" s="173"/>
      <c r="M26" s="4" t="s">
        <v>202</v>
      </c>
      <c r="N26" s="3"/>
      <c r="O26" s="3"/>
      <c r="P26" s="3"/>
      <c r="Q26" s="3"/>
      <c r="R26" s="3"/>
      <c r="S26" s="3"/>
      <c r="T26" s="179">
        <f>SUM(T14:T25)</f>
        <v>2304929.2368675508</v>
      </c>
      <c r="V26" s="2"/>
      <c r="W26" s="4" t="s">
        <v>202</v>
      </c>
      <c r="X26" s="3"/>
      <c r="Y26" s="3"/>
      <c r="Z26" s="3"/>
      <c r="AA26" s="3"/>
      <c r="AB26" s="3"/>
      <c r="AC26" s="3"/>
      <c r="AD26" s="179">
        <f>SUM(AD14:AD25)</f>
        <v>2325996.2756686537</v>
      </c>
    </row>
    <row r="27" spans="1:30" ht="15" x14ac:dyDescent="0.25">
      <c r="A27" s="14"/>
      <c r="B27" s="3"/>
      <c r="C27" s="9"/>
      <c r="D27" s="173"/>
      <c r="E27" s="173"/>
      <c r="F27" s="173"/>
      <c r="G27" s="173"/>
      <c r="H27" s="173"/>
      <c r="I27" s="173"/>
      <c r="J27" s="173"/>
      <c r="K27" s="173"/>
      <c r="L27" s="189" t="s">
        <v>198</v>
      </c>
      <c r="M27" s="163"/>
      <c r="N27" s="163" t="s">
        <v>203</v>
      </c>
      <c r="O27" s="163"/>
      <c r="P27" s="163"/>
      <c r="Q27" s="163"/>
      <c r="R27" s="166"/>
      <c r="S27" s="163"/>
      <c r="T27" s="166">
        <f>J53</f>
        <v>1749478.5279999999</v>
      </c>
      <c r="V27" s="189" t="s">
        <v>198</v>
      </c>
      <c r="W27" s="163"/>
      <c r="X27" s="163" t="s">
        <v>203</v>
      </c>
      <c r="Y27" s="163"/>
      <c r="Z27" s="163"/>
      <c r="AA27" s="163"/>
      <c r="AB27" s="166"/>
      <c r="AC27" s="163"/>
      <c r="AD27" s="166">
        <f>T27</f>
        <v>1749478.5279999999</v>
      </c>
    </row>
    <row r="28" spans="1:30" ht="15" x14ac:dyDescent="0.25">
      <c r="A28" s="3" t="s">
        <v>204</v>
      </c>
      <c r="B28" s="3"/>
      <c r="C28" s="3"/>
      <c r="D28" s="3"/>
      <c r="E28" s="3"/>
      <c r="F28" s="3"/>
      <c r="G28" s="156"/>
      <c r="H28" s="3"/>
      <c r="I28" s="3"/>
      <c r="J28" s="3"/>
      <c r="K28" s="3"/>
      <c r="L28" s="3"/>
      <c r="M28" s="3"/>
      <c r="N28" s="3"/>
      <c r="O28" s="3"/>
      <c r="P28" s="3"/>
      <c r="Q28" s="6"/>
      <c r="R28" s="3"/>
      <c r="S28" s="6"/>
      <c r="U28" s="3"/>
      <c r="V28" s="3"/>
      <c r="W28" s="3"/>
      <c r="X28" s="3"/>
      <c r="Y28" s="3"/>
      <c r="Z28" s="3"/>
      <c r="AA28" s="6"/>
      <c r="AB28" s="3"/>
      <c r="AC28" s="6"/>
    </row>
    <row r="29" spans="1:30" ht="15.6" x14ac:dyDescent="0.3">
      <c r="A29" s="234" t="s">
        <v>75</v>
      </c>
      <c r="B29" s="234"/>
      <c r="C29" s="3"/>
      <c r="D29" s="3" t="s">
        <v>189</v>
      </c>
      <c r="E29" s="3" t="s">
        <v>190</v>
      </c>
      <c r="F29" s="234" t="s">
        <v>191</v>
      </c>
      <c r="G29" s="234"/>
      <c r="H29" s="5" t="s">
        <v>192</v>
      </c>
      <c r="I29" s="5"/>
      <c r="J29" s="3"/>
      <c r="K29" s="3"/>
      <c r="L29" s="181" t="s">
        <v>205</v>
      </c>
      <c r="M29" s="14"/>
      <c r="N29" s="14"/>
      <c r="O29" s="182"/>
      <c r="P29" s="183"/>
      <c r="Q29" s="182"/>
      <c r="R29" s="183"/>
      <c r="S29" s="6">
        <f>T26-T27</f>
        <v>555450.70886755083</v>
      </c>
      <c r="U29" s="180"/>
      <c r="V29" s="181" t="s">
        <v>205</v>
      </c>
      <c r="W29" s="14"/>
      <c r="X29" s="14"/>
      <c r="Y29" s="182"/>
      <c r="Z29" s="183"/>
      <c r="AA29" s="182"/>
      <c r="AB29" s="183"/>
      <c r="AC29" s="6">
        <f>AD26-AD27</f>
        <v>576517.74766865373</v>
      </c>
    </row>
    <row r="30" spans="1:30" ht="15" x14ac:dyDescent="0.25">
      <c r="A30" s="3" t="s">
        <v>193</v>
      </c>
      <c r="B30" s="156">
        <f t="shared" ref="B30:B35" si="12">B8</f>
        <v>2000</v>
      </c>
      <c r="C30" s="150" t="s">
        <v>194</v>
      </c>
      <c r="D30" s="156">
        <f>C14</f>
        <v>56362</v>
      </c>
      <c r="E30" s="157" t="s">
        <v>195</v>
      </c>
      <c r="F30" s="158">
        <v>17.239999999999998</v>
      </c>
      <c r="G30" s="156" t="s">
        <v>79</v>
      </c>
      <c r="H30" s="158">
        <f>+D30*F30</f>
        <v>971680.87999999989</v>
      </c>
      <c r="I30" s="158"/>
      <c r="J30" s="3"/>
      <c r="K30" s="3"/>
      <c r="L30" s="2"/>
      <c r="M30" s="2"/>
      <c r="N30" s="2"/>
      <c r="O30" s="2"/>
      <c r="P30" s="2"/>
      <c r="Q30" s="2"/>
      <c r="R30" s="2"/>
      <c r="S30" s="2"/>
      <c r="T30" s="2"/>
    </row>
    <row r="31" spans="1:30" ht="15" x14ac:dyDescent="0.25">
      <c r="A31" s="3" t="s">
        <v>183</v>
      </c>
      <c r="B31" s="156">
        <f t="shared" si="12"/>
        <v>3000</v>
      </c>
      <c r="C31" s="150" t="s">
        <v>194</v>
      </c>
      <c r="D31" s="3"/>
      <c r="E31" s="157">
        <f>F14</f>
        <v>81098.899999999994</v>
      </c>
      <c r="F31" s="158">
        <v>7.42</v>
      </c>
      <c r="G31" s="6" t="s">
        <v>196</v>
      </c>
      <c r="H31" s="158">
        <f>+E31*F31</f>
        <v>601753.83799999999</v>
      </c>
      <c r="I31" s="158"/>
      <c r="J31" s="3"/>
      <c r="K31" s="3"/>
      <c r="L31" s="2"/>
      <c r="M31" s="2"/>
      <c r="N31" s="2"/>
      <c r="O31" s="2"/>
      <c r="P31" s="2"/>
      <c r="Q31" s="2"/>
      <c r="R31" s="2"/>
      <c r="S31" s="2"/>
      <c r="T31" s="2"/>
    </row>
    <row r="32" spans="1:30" ht="15" x14ac:dyDescent="0.25">
      <c r="A32" s="3" t="s">
        <v>183</v>
      </c>
      <c r="B32" s="156">
        <f t="shared" si="12"/>
        <v>5000</v>
      </c>
      <c r="C32" s="150" t="s">
        <v>194</v>
      </c>
      <c r="D32" s="3"/>
      <c r="E32" s="157">
        <f>G14</f>
        <v>4131.8</v>
      </c>
      <c r="F32" s="158">
        <v>7.12</v>
      </c>
      <c r="G32" s="6" t="s">
        <v>196</v>
      </c>
      <c r="H32" s="158">
        <f>+E32*F32</f>
        <v>29418.416000000001</v>
      </c>
      <c r="I32" s="158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</row>
    <row r="33" spans="1:20" ht="15" x14ac:dyDescent="0.25">
      <c r="A33" s="3" t="s">
        <v>183</v>
      </c>
      <c r="B33" s="156">
        <f t="shared" si="12"/>
        <v>5000</v>
      </c>
      <c r="C33" s="150" t="s">
        <v>194</v>
      </c>
      <c r="D33" s="3"/>
      <c r="E33" s="157">
        <f>H14</f>
        <v>720.60000000000036</v>
      </c>
      <c r="F33" s="158">
        <v>6.82</v>
      </c>
      <c r="G33" s="6" t="s">
        <v>196</v>
      </c>
      <c r="H33" s="158">
        <f>+E33*F33</f>
        <v>4914.4920000000029</v>
      </c>
      <c r="I33" s="158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</row>
    <row r="34" spans="1:20" ht="15" x14ac:dyDescent="0.25">
      <c r="A34" s="3" t="s">
        <v>183</v>
      </c>
      <c r="B34" s="156">
        <f t="shared" si="12"/>
        <v>5000</v>
      </c>
      <c r="C34" s="150" t="s">
        <v>194</v>
      </c>
      <c r="D34" s="3"/>
      <c r="E34" s="157">
        <f>I14</f>
        <v>286</v>
      </c>
      <c r="F34" s="158">
        <v>6.52</v>
      </c>
      <c r="G34" s="6" t="s">
        <v>196</v>
      </c>
      <c r="H34" s="158">
        <f>+E34*F34</f>
        <v>1864.7199999999998</v>
      </c>
      <c r="I34" s="158"/>
      <c r="J34" s="3"/>
      <c r="K34" s="158"/>
      <c r="L34" s="2"/>
      <c r="M34" s="2"/>
      <c r="N34" s="2"/>
      <c r="O34" s="2"/>
      <c r="P34" s="2"/>
      <c r="Q34" s="2"/>
      <c r="R34" s="2"/>
      <c r="S34" s="2"/>
      <c r="T34" s="2"/>
    </row>
    <row r="35" spans="1:20" ht="15" x14ac:dyDescent="0.25">
      <c r="A35" s="163" t="s">
        <v>197</v>
      </c>
      <c r="B35" s="164">
        <f t="shared" si="12"/>
        <v>20000</v>
      </c>
      <c r="C35" s="178" t="s">
        <v>194</v>
      </c>
      <c r="D35" s="163"/>
      <c r="E35" s="165">
        <f>J14</f>
        <v>9053.4</v>
      </c>
      <c r="F35" s="167">
        <v>5.92</v>
      </c>
      <c r="G35" s="166" t="s">
        <v>196</v>
      </c>
      <c r="H35" s="167">
        <f>+E35*F35</f>
        <v>53596.127999999997</v>
      </c>
      <c r="I35" s="167"/>
      <c r="J35" s="163"/>
      <c r="K35" s="3"/>
      <c r="L35" s="2"/>
      <c r="M35" s="2"/>
      <c r="N35" s="2"/>
      <c r="O35" s="2"/>
      <c r="P35" s="2"/>
      <c r="Q35" s="2"/>
      <c r="R35" s="2"/>
      <c r="S35" s="2"/>
      <c r="T35" s="2"/>
    </row>
    <row r="36" spans="1:20" ht="15" x14ac:dyDescent="0.25">
      <c r="A36" s="3"/>
      <c r="B36" s="3"/>
      <c r="C36" s="3"/>
      <c r="D36" s="3" t="s">
        <v>199</v>
      </c>
      <c r="E36" s="3"/>
      <c r="F36" s="3"/>
      <c r="G36" s="6"/>
      <c r="H36" s="3"/>
      <c r="I36" s="3"/>
      <c r="J36" s="158">
        <f>SUM(H30:H35)</f>
        <v>1663228.4739999999</v>
      </c>
      <c r="K36" s="3"/>
      <c r="L36" s="2"/>
      <c r="M36" s="2"/>
      <c r="N36" s="2"/>
      <c r="O36" s="2"/>
      <c r="P36" s="2"/>
      <c r="Q36" s="2"/>
      <c r="R36" s="2"/>
      <c r="S36" s="2"/>
      <c r="T36" s="2"/>
    </row>
    <row r="37" spans="1:20" ht="15" x14ac:dyDescent="0.25">
      <c r="A37" s="3"/>
      <c r="B37" s="3"/>
      <c r="C37" s="3"/>
      <c r="D37" s="3"/>
      <c r="E37" s="3"/>
      <c r="F37" s="3"/>
      <c r="G37" s="6"/>
      <c r="H37" s="3"/>
      <c r="I37" s="3"/>
      <c r="J37" s="158"/>
      <c r="K37" s="3"/>
      <c r="L37" s="2"/>
      <c r="M37" s="2"/>
      <c r="N37" s="2"/>
      <c r="O37" s="2"/>
      <c r="P37" s="2"/>
      <c r="Q37" s="2"/>
      <c r="R37" s="2"/>
      <c r="S37" s="2"/>
      <c r="T37" s="2"/>
    </row>
    <row r="38" spans="1:20" ht="15" x14ac:dyDescent="0.25">
      <c r="A38" s="3" t="s">
        <v>206</v>
      </c>
      <c r="B38" s="3"/>
      <c r="C38" s="3"/>
      <c r="D38" s="3"/>
      <c r="E38" s="3"/>
      <c r="F38" s="3"/>
      <c r="G38" s="156"/>
      <c r="H38" s="3"/>
      <c r="I38" s="3"/>
      <c r="J38" s="3"/>
      <c r="K38" s="3"/>
    </row>
    <row r="39" spans="1:20" ht="15" x14ac:dyDescent="0.25">
      <c r="A39" s="234" t="s">
        <v>75</v>
      </c>
      <c r="B39" s="234"/>
      <c r="C39" s="3"/>
      <c r="D39" s="3" t="s">
        <v>189</v>
      </c>
      <c r="E39" s="3" t="s">
        <v>190</v>
      </c>
      <c r="F39" s="234" t="s">
        <v>191</v>
      </c>
      <c r="G39" s="234"/>
      <c r="H39" s="5" t="s">
        <v>192</v>
      </c>
      <c r="I39" s="5"/>
      <c r="J39" s="3"/>
      <c r="K39" s="3"/>
    </row>
    <row r="40" spans="1:20" ht="15" x14ac:dyDescent="0.25">
      <c r="A40" s="3" t="s">
        <v>193</v>
      </c>
      <c r="B40" s="156">
        <f t="shared" ref="B40:B45" si="13">B30</f>
        <v>2000</v>
      </c>
      <c r="C40" s="150" t="s">
        <v>194</v>
      </c>
      <c r="D40" s="156">
        <f>C26</f>
        <v>1104</v>
      </c>
      <c r="E40" s="157" t="s">
        <v>195</v>
      </c>
      <c r="F40" s="158">
        <v>17.239999999999998</v>
      </c>
      <c r="G40" s="156" t="s">
        <v>79</v>
      </c>
      <c r="H40" s="158">
        <f>+D40*F40</f>
        <v>19032.96</v>
      </c>
      <c r="I40" s="158"/>
      <c r="J40" s="3"/>
      <c r="K40" s="3"/>
    </row>
    <row r="41" spans="1:20" ht="15" x14ac:dyDescent="0.25">
      <c r="A41" s="3" t="s">
        <v>183</v>
      </c>
      <c r="B41" s="156">
        <f t="shared" si="13"/>
        <v>3000</v>
      </c>
      <c r="C41" s="150" t="s">
        <v>194</v>
      </c>
      <c r="D41" s="3"/>
      <c r="E41" s="157">
        <f>F26</f>
        <v>1143.8000000000002</v>
      </c>
      <c r="F41" s="158">
        <v>7.42</v>
      </c>
      <c r="G41" s="6" t="s">
        <v>196</v>
      </c>
      <c r="H41" s="158">
        <f>+E41*F41</f>
        <v>8486.996000000001</v>
      </c>
      <c r="I41" s="158"/>
      <c r="J41" s="3"/>
      <c r="K41" s="3"/>
    </row>
    <row r="42" spans="1:20" ht="15" x14ac:dyDescent="0.25">
      <c r="A42" s="3" t="s">
        <v>183</v>
      </c>
      <c r="B42" s="156">
        <f t="shared" si="13"/>
        <v>5000</v>
      </c>
      <c r="C42" s="150" t="s">
        <v>194</v>
      </c>
      <c r="D42" s="3"/>
      <c r="E42" s="157">
        <f>G26</f>
        <v>4193.6000000000004</v>
      </c>
      <c r="F42" s="158">
        <v>7.12</v>
      </c>
      <c r="G42" s="6" t="s">
        <v>196</v>
      </c>
      <c r="H42" s="158">
        <f>+E42*F42</f>
        <v>29858.432000000004</v>
      </c>
      <c r="I42" s="158"/>
      <c r="J42" s="3"/>
      <c r="K42" s="3"/>
    </row>
    <row r="43" spans="1:20" ht="15" x14ac:dyDescent="0.25">
      <c r="A43" s="3" t="s">
        <v>183</v>
      </c>
      <c r="B43" s="156">
        <f t="shared" si="13"/>
        <v>5000</v>
      </c>
      <c r="C43" s="150" t="s">
        <v>194</v>
      </c>
      <c r="D43" s="3"/>
      <c r="E43" s="157">
        <f>H26</f>
        <v>3347.1</v>
      </c>
      <c r="F43" s="158">
        <v>6.82</v>
      </c>
      <c r="G43" s="6" t="s">
        <v>196</v>
      </c>
      <c r="H43" s="158">
        <f>+E43*F43</f>
        <v>22827.222000000002</v>
      </c>
      <c r="I43" s="158"/>
      <c r="J43" s="3"/>
      <c r="K43" s="3"/>
    </row>
    <row r="44" spans="1:20" ht="15" x14ac:dyDescent="0.25">
      <c r="A44" s="3" t="s">
        <v>183</v>
      </c>
      <c r="B44" s="156">
        <f t="shared" si="13"/>
        <v>5000</v>
      </c>
      <c r="C44" s="150" t="s">
        <v>194</v>
      </c>
      <c r="D44" s="3"/>
      <c r="E44" s="157">
        <f>I26</f>
        <v>40</v>
      </c>
      <c r="F44" s="158">
        <v>6.52</v>
      </c>
      <c r="G44" s="6" t="s">
        <v>196</v>
      </c>
      <c r="H44" s="158">
        <f>+E44*F44</f>
        <v>260.79999999999995</v>
      </c>
      <c r="I44" s="158"/>
      <c r="J44" s="3"/>
      <c r="K44" s="3"/>
    </row>
    <row r="45" spans="1:20" ht="14.25" customHeight="1" x14ac:dyDescent="0.25">
      <c r="A45" s="163" t="s">
        <v>197</v>
      </c>
      <c r="B45" s="164">
        <f t="shared" si="13"/>
        <v>20000</v>
      </c>
      <c r="C45" s="178" t="s">
        <v>194</v>
      </c>
      <c r="D45" s="163"/>
      <c r="E45" s="165">
        <f>J26</f>
        <v>466.70000000000005</v>
      </c>
      <c r="F45" s="167">
        <v>5.92</v>
      </c>
      <c r="G45" s="166" t="s">
        <v>196</v>
      </c>
      <c r="H45" s="167">
        <f>+E45*F45</f>
        <v>2762.864</v>
      </c>
      <c r="I45" s="167"/>
      <c r="J45" s="163"/>
      <c r="K45" s="3"/>
    </row>
    <row r="46" spans="1:20" ht="15" x14ac:dyDescent="0.25">
      <c r="A46" s="3"/>
      <c r="B46" s="3"/>
      <c r="C46" s="3"/>
      <c r="D46" s="3" t="s">
        <v>199</v>
      </c>
      <c r="E46" s="3"/>
      <c r="F46" s="3"/>
      <c r="G46" s="6"/>
      <c r="H46" s="3"/>
      <c r="I46" s="3"/>
      <c r="J46" s="158">
        <f>SUM(H40:H45)</f>
        <v>83229.274000000019</v>
      </c>
      <c r="K46" s="3"/>
    </row>
    <row r="47" spans="1:20" ht="15" x14ac:dyDescent="0.25">
      <c r="A47" s="3"/>
      <c r="B47" s="3"/>
      <c r="C47" s="3"/>
      <c r="D47" s="3"/>
      <c r="E47" s="3"/>
      <c r="F47" s="3"/>
      <c r="G47" s="6"/>
      <c r="H47" s="3"/>
      <c r="I47" s="3"/>
      <c r="J47" s="158"/>
      <c r="K47" s="3"/>
    </row>
    <row r="48" spans="1:20" ht="15.6" x14ac:dyDescent="0.3">
      <c r="A48" s="4" t="s">
        <v>207</v>
      </c>
      <c r="B48" s="3"/>
      <c r="C48" s="3"/>
      <c r="D48" s="3"/>
      <c r="E48" s="3"/>
      <c r="F48" s="3"/>
      <c r="G48" s="6"/>
      <c r="H48" s="6"/>
      <c r="I48" s="3"/>
      <c r="J48" s="158"/>
      <c r="K48" s="3"/>
    </row>
    <row r="49" spans="1:11" ht="30" x14ac:dyDescent="0.25">
      <c r="A49" s="239" t="s">
        <v>208</v>
      </c>
      <c r="B49" s="239"/>
      <c r="C49" s="239"/>
      <c r="D49" s="196"/>
      <c r="E49" s="197" t="s">
        <v>209</v>
      </c>
      <c r="F49" s="239" t="s">
        <v>210</v>
      </c>
      <c r="G49" s="239"/>
      <c r="H49" s="198" t="s">
        <v>192</v>
      </c>
      <c r="I49" s="3"/>
      <c r="J49" s="158"/>
      <c r="K49" s="3"/>
    </row>
    <row r="50" spans="1:11" ht="15" x14ac:dyDescent="0.25">
      <c r="A50" s="3" t="s">
        <v>211</v>
      </c>
      <c r="B50" s="3"/>
      <c r="C50" s="3"/>
      <c r="D50" s="3"/>
      <c r="E50" s="157">
        <v>968.2</v>
      </c>
      <c r="F50" s="158">
        <v>3.12</v>
      </c>
      <c r="G50" s="6" t="s">
        <v>196</v>
      </c>
      <c r="H50" s="158">
        <f>ROUND(E50*F50,2)</f>
        <v>3020.78</v>
      </c>
      <c r="I50" s="3"/>
      <c r="J50" s="158"/>
      <c r="K50" s="3"/>
    </row>
    <row r="51" spans="1:11" ht="15" x14ac:dyDescent="0.25">
      <c r="A51" s="3"/>
      <c r="B51" s="3"/>
      <c r="C51" s="3"/>
      <c r="D51" s="3"/>
      <c r="E51" s="3"/>
      <c r="F51" s="3"/>
      <c r="G51" s="6"/>
      <c r="H51" s="3"/>
      <c r="I51" s="3"/>
      <c r="J51" s="158"/>
      <c r="K51" s="3"/>
    </row>
    <row r="52" spans="1:11" ht="15" x14ac:dyDescent="0.25">
      <c r="A52" s="3"/>
      <c r="B52" s="3"/>
      <c r="C52" s="3"/>
      <c r="D52" s="3"/>
      <c r="E52" s="3"/>
      <c r="F52" s="3"/>
      <c r="G52" s="6"/>
      <c r="H52" s="3"/>
      <c r="I52" s="3"/>
      <c r="J52" s="6"/>
      <c r="K52" s="3"/>
    </row>
    <row r="53" spans="1:11" ht="15.6" x14ac:dyDescent="0.3">
      <c r="A53" s="156"/>
      <c r="B53" s="184" t="s">
        <v>212</v>
      </c>
      <c r="C53" s="4"/>
      <c r="D53" s="4"/>
      <c r="E53" s="184"/>
      <c r="F53" s="4"/>
      <c r="G53" s="184"/>
      <c r="H53" s="4"/>
      <c r="I53" s="4"/>
      <c r="J53" s="179">
        <f>J36+J46+H50</f>
        <v>1749478.5279999999</v>
      </c>
      <c r="K53" s="3"/>
    </row>
    <row r="54" spans="1:11" ht="15.6" x14ac:dyDescent="0.3">
      <c r="A54" s="6"/>
      <c r="B54" s="185" t="s">
        <v>213</v>
      </c>
      <c r="C54" s="186"/>
      <c r="D54" s="185"/>
      <c r="E54" s="186"/>
      <c r="F54" s="185"/>
      <c r="G54" s="186"/>
      <c r="H54" s="185"/>
      <c r="I54" s="185"/>
      <c r="J54" s="186">
        <f>'2019 Operating Budget'!F37</f>
        <v>1746231</v>
      </c>
      <c r="K54" s="3"/>
    </row>
    <row r="55" spans="1:11" ht="15.6" x14ac:dyDescent="0.3">
      <c r="A55" s="3"/>
      <c r="B55" s="4"/>
      <c r="C55" s="4" t="s">
        <v>214</v>
      </c>
      <c r="D55" s="4"/>
      <c r="E55" s="4"/>
      <c r="F55" s="4"/>
      <c r="G55" s="4"/>
      <c r="H55" s="4"/>
      <c r="I55" s="4"/>
      <c r="J55" s="145">
        <f>(J54-J53)/J54</f>
        <v>-1.8597356248972405E-3</v>
      </c>
      <c r="K55" s="3"/>
    </row>
    <row r="56" spans="1:11" ht="15" x14ac:dyDescent="0.25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3"/>
    </row>
    <row r="57" spans="1:11" ht="15" x14ac:dyDescent="0.25">
      <c r="A57" s="2"/>
      <c r="B57" s="2"/>
      <c r="C57" s="2"/>
      <c r="D57" s="2"/>
      <c r="E57" s="2"/>
      <c r="F57" s="2"/>
      <c r="G57" s="2"/>
      <c r="H57" s="2"/>
      <c r="I57" s="2"/>
      <c r="J57" s="31" t="s">
        <v>215</v>
      </c>
      <c r="K57" s="3"/>
    </row>
    <row r="58" spans="1:11" ht="15" x14ac:dyDescent="0.25">
      <c r="K58" s="3"/>
    </row>
    <row r="59" spans="1:11" ht="15" x14ac:dyDescent="0.25">
      <c r="K59" s="3"/>
    </row>
    <row r="60" spans="1:11" ht="15" x14ac:dyDescent="0.25">
      <c r="K60" s="3"/>
    </row>
    <row r="61" spans="1:11" ht="15" x14ac:dyDescent="0.25">
      <c r="K61" s="3"/>
    </row>
    <row r="62" spans="1:11" ht="15" x14ac:dyDescent="0.25">
      <c r="K62" s="3"/>
    </row>
    <row r="63" spans="1:11" ht="15" x14ac:dyDescent="0.25">
      <c r="K63" s="3"/>
    </row>
    <row r="64" spans="1:11" ht="15" x14ac:dyDescent="0.25">
      <c r="K64" s="3"/>
    </row>
    <row r="65" spans="11:20" ht="15" x14ac:dyDescent="0.25">
      <c r="K65" s="3"/>
    </row>
    <row r="66" spans="11:20" ht="15" x14ac:dyDescent="0.25">
      <c r="K66" s="3"/>
    </row>
    <row r="67" spans="11:20" ht="15" x14ac:dyDescent="0.25">
      <c r="K67" s="3"/>
    </row>
    <row r="68" spans="11:20" ht="15" x14ac:dyDescent="0.25">
      <c r="K68" s="3"/>
    </row>
    <row r="69" spans="11:20" ht="15" x14ac:dyDescent="0.25">
      <c r="K69" s="3"/>
    </row>
    <row r="70" spans="11:20" ht="15" x14ac:dyDescent="0.25">
      <c r="K70" s="156"/>
    </row>
    <row r="71" spans="11:20" ht="15" x14ac:dyDescent="0.25">
      <c r="K71" s="156"/>
    </row>
    <row r="72" spans="11:20" ht="15" x14ac:dyDescent="0.25">
      <c r="K72" s="156"/>
    </row>
    <row r="73" spans="11:20" ht="15" x14ac:dyDescent="0.25">
      <c r="K73" s="156"/>
    </row>
    <row r="74" spans="11:20" ht="15" x14ac:dyDescent="0.25">
      <c r="K74" s="156"/>
      <c r="L74" s="2"/>
      <c r="M74" s="2"/>
      <c r="N74" s="2"/>
      <c r="O74" s="2"/>
      <c r="P74" s="2"/>
      <c r="Q74" s="2"/>
      <c r="R74" s="2"/>
      <c r="S74" s="2"/>
      <c r="T74" s="2"/>
    </row>
    <row r="75" spans="11:20" ht="15" x14ac:dyDescent="0.25">
      <c r="K75" s="3"/>
      <c r="L75" s="2"/>
      <c r="M75" s="2"/>
      <c r="N75" s="2"/>
      <c r="O75" s="2"/>
      <c r="P75" s="2"/>
      <c r="Q75" s="2"/>
      <c r="R75" s="2"/>
      <c r="S75" s="2"/>
      <c r="T75" s="2"/>
    </row>
    <row r="76" spans="11:20" ht="15" x14ac:dyDescent="0.25">
      <c r="K76" s="3"/>
      <c r="L76" s="2"/>
      <c r="M76" s="2"/>
      <c r="N76" s="2"/>
      <c r="O76" s="2"/>
      <c r="P76" s="2"/>
      <c r="Q76" s="2"/>
      <c r="R76" s="2"/>
      <c r="S76" s="2"/>
      <c r="T76" s="2"/>
    </row>
    <row r="77" spans="11:20" ht="15" x14ac:dyDescent="0.25">
      <c r="K77" s="5"/>
      <c r="L77" s="2"/>
      <c r="M77" s="2"/>
      <c r="N77" s="2"/>
      <c r="O77" s="2"/>
      <c r="P77" s="2"/>
      <c r="Q77" s="2"/>
      <c r="R77" s="2"/>
      <c r="S77" s="2"/>
      <c r="T77" s="2"/>
    </row>
    <row r="78" spans="11:20" ht="15" x14ac:dyDescent="0.25">
      <c r="K78" s="5"/>
      <c r="L78" s="2"/>
      <c r="M78" s="2"/>
      <c r="N78" s="2"/>
      <c r="O78" s="2"/>
      <c r="P78" s="2"/>
      <c r="Q78" s="2"/>
      <c r="R78" s="2"/>
      <c r="S78" s="2"/>
      <c r="T78" s="2"/>
    </row>
    <row r="79" spans="11:20" ht="15" x14ac:dyDescent="0.25">
      <c r="K79" s="3"/>
      <c r="L79" s="2"/>
      <c r="M79" s="2"/>
      <c r="N79" s="2"/>
      <c r="O79" s="2"/>
      <c r="P79" s="2"/>
      <c r="Q79" s="2"/>
      <c r="R79" s="2"/>
      <c r="S79" s="2"/>
      <c r="T79" s="2"/>
    </row>
    <row r="80" spans="11:20" ht="15" x14ac:dyDescent="0.25">
      <c r="K80" s="3"/>
      <c r="L80" s="2"/>
      <c r="M80" s="2"/>
      <c r="N80" s="2"/>
      <c r="O80" s="2"/>
      <c r="P80" s="2"/>
      <c r="Q80" s="2"/>
      <c r="R80" s="2"/>
      <c r="S80" s="2"/>
      <c r="T80" s="2"/>
    </row>
    <row r="81" spans="11:20" ht="15" x14ac:dyDescent="0.25">
      <c r="K81" s="156"/>
      <c r="L81" s="2"/>
      <c r="M81" s="2"/>
      <c r="N81" s="2"/>
      <c r="O81" s="2"/>
      <c r="P81" s="2"/>
      <c r="Q81" s="2"/>
      <c r="R81" s="2"/>
      <c r="S81" s="2"/>
      <c r="T81" s="2"/>
    </row>
    <row r="82" spans="11:20" x14ac:dyDescent="0.25"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1:20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1:20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1:20" ht="15" x14ac:dyDescent="0.25">
      <c r="K85" s="156"/>
      <c r="L85" s="2"/>
      <c r="M85" s="2"/>
      <c r="N85" s="2"/>
      <c r="O85" s="2"/>
      <c r="P85" s="2"/>
      <c r="Q85" s="2"/>
      <c r="R85" s="2"/>
      <c r="S85" s="2"/>
      <c r="T85" s="2"/>
    </row>
    <row r="86" spans="11:20" ht="15.6" x14ac:dyDescent="0.3">
      <c r="K86" s="180"/>
      <c r="L86" s="2"/>
      <c r="M86" s="2"/>
      <c r="N86" s="2"/>
      <c r="O86" s="2"/>
      <c r="P86" s="2"/>
      <c r="Q86" s="2"/>
      <c r="R86" s="2"/>
      <c r="S86" s="2"/>
      <c r="T86" s="2"/>
    </row>
    <row r="87" spans="11:20" ht="15" x14ac:dyDescent="0.25">
      <c r="K87" s="3"/>
      <c r="L87" s="2"/>
      <c r="M87" s="2"/>
      <c r="N87" s="2"/>
      <c r="O87" s="2"/>
      <c r="P87" s="2"/>
      <c r="Q87" s="2"/>
      <c r="R87" s="2"/>
      <c r="S87" s="2"/>
      <c r="T87" s="2"/>
    </row>
    <row r="88" spans="11:20" ht="15" x14ac:dyDescent="0.25">
      <c r="K88" s="156"/>
      <c r="L88" s="2"/>
      <c r="M88" s="2"/>
      <c r="N88" s="2"/>
      <c r="O88" s="2"/>
      <c r="P88" s="2"/>
      <c r="Q88" s="2"/>
      <c r="R88" s="2"/>
      <c r="S88" s="2"/>
      <c r="T88" s="2"/>
    </row>
    <row r="89" spans="11:20" ht="15" x14ac:dyDescent="0.25">
      <c r="K89" s="156"/>
      <c r="L89" s="2"/>
      <c r="M89" s="2"/>
      <c r="N89" s="2"/>
      <c r="O89" s="2"/>
      <c r="P89" s="2"/>
      <c r="Q89" s="2"/>
      <c r="R89" s="2"/>
      <c r="S89" s="2"/>
      <c r="T89" s="2"/>
    </row>
    <row r="90" spans="11:20" ht="15" x14ac:dyDescent="0.25">
      <c r="K90" s="156"/>
      <c r="L90" s="2"/>
      <c r="M90" s="2"/>
      <c r="N90" s="2"/>
      <c r="O90" s="2"/>
      <c r="P90" s="2"/>
      <c r="Q90" s="2"/>
      <c r="R90" s="2"/>
      <c r="S90" s="2"/>
      <c r="T90" s="2"/>
    </row>
    <row r="91" spans="11:20" ht="15" x14ac:dyDescent="0.25">
      <c r="K91" s="156"/>
      <c r="L91" s="2"/>
      <c r="M91" s="2"/>
      <c r="N91" s="2"/>
      <c r="O91" s="2"/>
      <c r="P91" s="2"/>
      <c r="Q91" s="2"/>
      <c r="R91" s="2"/>
      <c r="S91" s="2"/>
      <c r="T91" s="2"/>
    </row>
    <row r="92" spans="11:20" ht="15" x14ac:dyDescent="0.25">
      <c r="K92" s="156"/>
      <c r="L92" s="2"/>
      <c r="M92" s="2"/>
      <c r="N92" s="2"/>
      <c r="O92" s="2"/>
      <c r="P92" s="2"/>
      <c r="Q92" s="2"/>
      <c r="R92" s="2"/>
      <c r="S92" s="2"/>
      <c r="T92" s="2"/>
    </row>
    <row r="93" spans="11:20" ht="15" x14ac:dyDescent="0.25">
      <c r="K93" s="156"/>
      <c r="L93" s="2"/>
      <c r="M93" s="2"/>
      <c r="N93" s="2"/>
      <c r="O93" s="2"/>
      <c r="P93" s="2"/>
      <c r="Q93" s="2"/>
      <c r="R93" s="2"/>
      <c r="S93" s="2"/>
      <c r="T93" s="2"/>
    </row>
    <row r="94" spans="11:20" ht="15" x14ac:dyDescent="0.25">
      <c r="K94" s="156"/>
      <c r="L94" s="2"/>
      <c r="M94" s="2"/>
      <c r="N94" s="2"/>
      <c r="O94" s="2"/>
      <c r="P94" s="2"/>
      <c r="Q94" s="2"/>
      <c r="R94" s="2"/>
      <c r="S94" s="2"/>
      <c r="T94" s="2"/>
    </row>
    <row r="95" spans="11:20" ht="15" x14ac:dyDescent="0.25">
      <c r="K95" s="156"/>
      <c r="L95" s="2"/>
      <c r="M95" s="2"/>
      <c r="N95" s="2"/>
      <c r="O95" s="2"/>
      <c r="P95" s="2"/>
      <c r="Q95" s="2"/>
      <c r="R95" s="2"/>
      <c r="S95" s="2"/>
      <c r="T95" s="2"/>
    </row>
    <row r="96" spans="11:20" ht="15" x14ac:dyDescent="0.25">
      <c r="K96" s="156"/>
      <c r="L96" s="2"/>
      <c r="M96" s="2"/>
      <c r="N96" s="2"/>
      <c r="O96" s="2"/>
      <c r="P96" s="2"/>
      <c r="Q96" s="2"/>
      <c r="R96" s="2"/>
      <c r="S96" s="2"/>
      <c r="T96" s="2"/>
    </row>
    <row r="97" spans="11:20" ht="15" x14ac:dyDescent="0.25">
      <c r="K97" s="156"/>
      <c r="L97" s="2"/>
      <c r="M97" s="2"/>
      <c r="N97" s="2"/>
      <c r="O97" s="2"/>
      <c r="P97" s="2"/>
      <c r="Q97" s="2"/>
      <c r="R97" s="2"/>
      <c r="S97" s="2"/>
      <c r="T97" s="2"/>
    </row>
    <row r="98" spans="11:20" ht="15" x14ac:dyDescent="0.25">
      <c r="K98" s="156"/>
      <c r="L98" s="2"/>
      <c r="M98" s="2"/>
      <c r="N98" s="2"/>
      <c r="O98" s="2"/>
      <c r="P98" s="2"/>
      <c r="Q98" s="2"/>
      <c r="R98" s="2"/>
      <c r="S98" s="2"/>
      <c r="T98" s="2"/>
    </row>
    <row r="99" spans="11:20" ht="15" x14ac:dyDescent="0.25">
      <c r="K99" s="156"/>
      <c r="L99" s="2"/>
      <c r="M99" s="2"/>
      <c r="N99" s="2"/>
      <c r="O99" s="2"/>
      <c r="P99" s="2"/>
      <c r="Q99" s="2"/>
      <c r="R99" s="2"/>
      <c r="S99" s="2"/>
      <c r="T99" s="2"/>
    </row>
    <row r="100" spans="11:20" ht="15" x14ac:dyDescent="0.25">
      <c r="K100" s="156"/>
      <c r="L100" s="2"/>
      <c r="M100" s="2"/>
      <c r="N100" s="2"/>
      <c r="O100" s="2"/>
      <c r="P100" s="2"/>
      <c r="Q100" s="2"/>
      <c r="R100" s="2"/>
      <c r="S100" s="2"/>
      <c r="T100" s="2"/>
    </row>
    <row r="101" spans="11:20" ht="15" x14ac:dyDescent="0.25">
      <c r="K101" s="156"/>
      <c r="L101" s="2"/>
      <c r="M101" s="2"/>
      <c r="N101" s="2"/>
      <c r="O101" s="2"/>
      <c r="P101" s="2"/>
      <c r="Q101" s="2"/>
      <c r="R101" s="2"/>
      <c r="S101" s="2"/>
      <c r="T101" s="2"/>
    </row>
    <row r="102" spans="11:20" ht="15" x14ac:dyDescent="0.25">
      <c r="K102" s="156"/>
      <c r="L102" s="2"/>
      <c r="M102" s="2"/>
      <c r="N102" s="2"/>
      <c r="O102" s="2"/>
      <c r="P102" s="2"/>
      <c r="Q102" s="2"/>
      <c r="R102" s="2"/>
      <c r="S102" s="2"/>
      <c r="T102" s="2"/>
    </row>
    <row r="103" spans="11:20" ht="15" x14ac:dyDescent="0.25">
      <c r="K103" s="156"/>
      <c r="L103" s="2"/>
      <c r="M103" s="2"/>
      <c r="N103" s="2"/>
      <c r="O103" s="2"/>
      <c r="P103" s="2"/>
      <c r="Q103" s="2"/>
      <c r="R103" s="2"/>
      <c r="S103" s="2"/>
      <c r="T103" s="2"/>
    </row>
    <row r="104" spans="11:20" ht="15" x14ac:dyDescent="0.25">
      <c r="K104" s="156"/>
      <c r="L104" s="2"/>
      <c r="M104" s="2"/>
      <c r="N104" s="2"/>
      <c r="O104" s="2"/>
      <c r="P104" s="2"/>
      <c r="Q104" s="2"/>
      <c r="R104" s="2"/>
      <c r="S104" s="2"/>
      <c r="T104" s="2"/>
    </row>
    <row r="105" spans="11:20" ht="15" x14ac:dyDescent="0.25">
      <c r="K105" s="156"/>
      <c r="L105" s="2"/>
      <c r="M105" s="2"/>
      <c r="N105" s="2"/>
      <c r="O105" s="2"/>
      <c r="P105" s="2"/>
      <c r="Q105" s="2"/>
      <c r="R105" s="2"/>
      <c r="S105" s="2"/>
      <c r="T105" s="2"/>
    </row>
    <row r="106" spans="11:20" ht="15" x14ac:dyDescent="0.25">
      <c r="K106" s="156"/>
      <c r="L106" s="2"/>
      <c r="M106" s="2"/>
      <c r="N106" s="2"/>
      <c r="O106" s="2"/>
      <c r="P106" s="2"/>
      <c r="Q106" s="2"/>
      <c r="R106" s="2"/>
      <c r="S106" s="2"/>
      <c r="T106" s="2"/>
    </row>
    <row r="107" spans="11:20" ht="15" x14ac:dyDescent="0.25">
      <c r="K107" s="156"/>
      <c r="L107" s="2"/>
      <c r="M107" s="2"/>
      <c r="N107" s="2"/>
      <c r="O107" s="2"/>
      <c r="P107" s="2"/>
      <c r="Q107" s="2"/>
      <c r="R107" s="2"/>
      <c r="S107" s="2"/>
      <c r="T107" s="2"/>
    </row>
    <row r="108" spans="11:20" ht="15" x14ac:dyDescent="0.25">
      <c r="K108" s="156"/>
      <c r="L108" s="2"/>
      <c r="M108" s="2"/>
      <c r="N108" s="2"/>
      <c r="O108" s="2"/>
      <c r="P108" s="2"/>
      <c r="Q108" s="2"/>
      <c r="R108" s="2"/>
      <c r="S108" s="2"/>
      <c r="T108" s="2"/>
    </row>
    <row r="109" spans="11:20" ht="15" x14ac:dyDescent="0.25">
      <c r="K109" s="156"/>
      <c r="L109" s="2"/>
      <c r="M109" s="2"/>
      <c r="N109" s="2"/>
      <c r="O109" s="2"/>
      <c r="P109" s="2"/>
      <c r="Q109" s="2"/>
      <c r="R109" s="2"/>
      <c r="S109" s="2"/>
      <c r="T109" s="2"/>
    </row>
    <row r="110" spans="11:20" ht="15" x14ac:dyDescent="0.25">
      <c r="K110" s="156"/>
    </row>
    <row r="111" spans="11:20" ht="15" x14ac:dyDescent="0.25">
      <c r="K111" s="156"/>
    </row>
    <row r="112" spans="11:20" ht="15" x14ac:dyDescent="0.25">
      <c r="K112" s="156"/>
    </row>
    <row r="113" spans="11:29" ht="15" x14ac:dyDescent="0.25">
      <c r="K113" s="156"/>
    </row>
    <row r="114" spans="11:29" ht="15" x14ac:dyDescent="0.25">
      <c r="K114" s="156"/>
    </row>
    <row r="115" spans="11:29" ht="15" x14ac:dyDescent="0.25">
      <c r="K115" s="156"/>
      <c r="U115" s="2"/>
      <c r="V115" s="2"/>
      <c r="W115" s="2"/>
      <c r="X115" s="2"/>
      <c r="Y115" s="2"/>
      <c r="Z115" s="2"/>
      <c r="AA115" s="2"/>
      <c r="AB115" s="2"/>
      <c r="AC115" s="2"/>
    </row>
    <row r="116" spans="11:29" ht="15" x14ac:dyDescent="0.25">
      <c r="K116" s="156"/>
      <c r="U116" s="2"/>
      <c r="V116" s="2"/>
      <c r="W116" s="2"/>
      <c r="X116" s="2"/>
      <c r="Y116" s="2"/>
      <c r="Z116" s="2"/>
      <c r="AA116" s="2"/>
      <c r="AB116" s="2"/>
      <c r="AC116" s="2"/>
    </row>
    <row r="117" spans="11:29" ht="15" x14ac:dyDescent="0.25">
      <c r="K117" s="156"/>
      <c r="U117" s="2"/>
      <c r="V117" s="2"/>
      <c r="W117" s="2"/>
      <c r="X117" s="2"/>
      <c r="Y117" s="2"/>
      <c r="Z117" s="2"/>
      <c r="AA117" s="2"/>
      <c r="AB117" s="2"/>
      <c r="AC117" s="2"/>
    </row>
    <row r="118" spans="11:29" ht="15" x14ac:dyDescent="0.25">
      <c r="K118" s="156"/>
      <c r="U118" s="2"/>
      <c r="V118" s="2"/>
      <c r="W118" s="2"/>
      <c r="X118" s="2"/>
      <c r="Y118" s="2"/>
      <c r="Z118" s="2"/>
      <c r="AA118" s="2"/>
      <c r="AB118" s="2"/>
      <c r="AC118" s="2"/>
    </row>
    <row r="119" spans="11:29" ht="15" x14ac:dyDescent="0.25">
      <c r="K119" s="156"/>
      <c r="U119" s="2"/>
      <c r="V119" s="2"/>
      <c r="W119" s="2"/>
      <c r="X119" s="2"/>
      <c r="Y119" s="2"/>
      <c r="Z119" s="2"/>
      <c r="AA119" s="2"/>
      <c r="AB119" s="2"/>
      <c r="AC119" s="2"/>
    </row>
    <row r="120" spans="11:29" ht="15" x14ac:dyDescent="0.25">
      <c r="K120" s="156"/>
      <c r="U120" s="2"/>
      <c r="V120" s="2"/>
      <c r="W120" s="2"/>
      <c r="X120" s="2"/>
      <c r="Y120" s="2"/>
      <c r="Z120" s="2"/>
      <c r="AA120" s="2"/>
      <c r="AB120" s="2"/>
      <c r="AC120" s="2"/>
    </row>
    <row r="121" spans="11:29" ht="15" x14ac:dyDescent="0.25">
      <c r="K121" s="156"/>
      <c r="U121" s="2"/>
      <c r="V121" s="2"/>
      <c r="W121" s="2"/>
      <c r="X121" s="2"/>
      <c r="Y121" s="2"/>
      <c r="Z121" s="2"/>
      <c r="AA121" s="2"/>
      <c r="AB121" s="2"/>
      <c r="AC121" s="2"/>
    </row>
    <row r="122" spans="11:29" ht="15" x14ac:dyDescent="0.25">
      <c r="K122" s="156"/>
      <c r="U122" s="2"/>
      <c r="V122" s="2"/>
      <c r="W122" s="2"/>
      <c r="X122" s="2"/>
      <c r="Y122" s="2"/>
      <c r="Z122" s="2"/>
      <c r="AA122" s="2"/>
      <c r="AB122" s="2"/>
      <c r="AC122" s="2"/>
    </row>
    <row r="123" spans="11:29" ht="15" x14ac:dyDescent="0.25">
      <c r="K123" s="156"/>
      <c r="U123" s="2"/>
      <c r="V123" s="2"/>
      <c r="W123" s="2"/>
      <c r="X123" s="2"/>
      <c r="Y123" s="2"/>
      <c r="Z123" s="2"/>
      <c r="AA123" s="2"/>
      <c r="AB123" s="2"/>
      <c r="AC123" s="2"/>
    </row>
    <row r="124" spans="11:29" ht="15" x14ac:dyDescent="0.25">
      <c r="K124" s="156"/>
      <c r="U124" s="2"/>
      <c r="V124" s="2"/>
      <c r="W124" s="2"/>
      <c r="X124" s="2"/>
      <c r="Y124" s="2"/>
      <c r="Z124" s="2"/>
      <c r="AA124" s="2"/>
      <c r="AB124" s="2"/>
      <c r="AC124" s="2"/>
    </row>
    <row r="125" spans="11:29" ht="15" x14ac:dyDescent="0.25">
      <c r="K125" s="156"/>
      <c r="U125" s="2"/>
      <c r="V125" s="2"/>
      <c r="W125" s="2"/>
      <c r="X125" s="2"/>
      <c r="Y125" s="2"/>
      <c r="Z125" s="2"/>
      <c r="AA125" s="2"/>
      <c r="AB125" s="2"/>
      <c r="AC125" s="2"/>
    </row>
    <row r="126" spans="11:29" ht="15" x14ac:dyDescent="0.25">
      <c r="K126" s="156"/>
      <c r="U126" s="2"/>
      <c r="V126" s="2"/>
      <c r="W126" s="2"/>
      <c r="X126" s="2"/>
      <c r="Y126" s="2"/>
      <c r="Z126" s="2"/>
      <c r="AA126" s="2"/>
      <c r="AB126" s="2"/>
      <c r="AC126" s="2"/>
    </row>
    <row r="127" spans="11:29" ht="15" x14ac:dyDescent="0.25">
      <c r="K127" s="156"/>
      <c r="U127" s="2"/>
      <c r="V127" s="2"/>
      <c r="W127" s="2"/>
      <c r="X127" s="2"/>
      <c r="Y127" s="2"/>
      <c r="Z127" s="2"/>
      <c r="AA127" s="2"/>
      <c r="AB127" s="2"/>
      <c r="AC127" s="2"/>
    </row>
    <row r="128" spans="11:29" ht="15" x14ac:dyDescent="0.25">
      <c r="K128" s="156"/>
      <c r="U128" s="2"/>
      <c r="V128" s="2"/>
      <c r="W128" s="2"/>
      <c r="X128" s="2"/>
      <c r="Y128" s="2"/>
      <c r="Z128" s="2"/>
      <c r="AA128" s="2"/>
      <c r="AB128" s="2"/>
      <c r="AC128" s="2"/>
    </row>
    <row r="129" spans="11:29" ht="15" x14ac:dyDescent="0.25">
      <c r="K129" s="156"/>
      <c r="U129" s="2"/>
      <c r="V129" s="2"/>
      <c r="W129" s="2"/>
      <c r="X129" s="2"/>
      <c r="Y129" s="2"/>
      <c r="Z129" s="2"/>
      <c r="AA129" s="2"/>
      <c r="AB129" s="2"/>
      <c r="AC129" s="2"/>
    </row>
    <row r="130" spans="11:29" ht="15" x14ac:dyDescent="0.25">
      <c r="K130" s="156"/>
      <c r="U130" s="2"/>
      <c r="V130" s="2"/>
      <c r="W130" s="2"/>
      <c r="X130" s="2"/>
      <c r="Y130" s="2"/>
      <c r="Z130" s="2"/>
      <c r="AA130" s="2"/>
      <c r="AB130" s="2"/>
      <c r="AC130" s="2"/>
    </row>
    <row r="131" spans="11:29" ht="15" x14ac:dyDescent="0.25">
      <c r="K131" s="156"/>
      <c r="U131" s="2"/>
      <c r="V131" s="2"/>
      <c r="W131" s="2"/>
      <c r="X131" s="2"/>
      <c r="Y131" s="2"/>
      <c r="Z131" s="2"/>
      <c r="AA131" s="2"/>
      <c r="AB131" s="2"/>
      <c r="AC131" s="2"/>
    </row>
    <row r="132" spans="11:29" ht="15" x14ac:dyDescent="0.25">
      <c r="K132" s="156"/>
      <c r="U132" s="2"/>
      <c r="V132" s="2"/>
      <c r="W132" s="2"/>
      <c r="X132" s="2"/>
      <c r="Y132" s="2"/>
      <c r="Z132" s="2"/>
      <c r="AA132" s="2"/>
      <c r="AB132" s="2"/>
      <c r="AC132" s="2"/>
    </row>
    <row r="133" spans="11:29" ht="15" x14ac:dyDescent="0.25">
      <c r="K133" s="156"/>
      <c r="U133" s="2"/>
      <c r="V133" s="2"/>
      <c r="W133" s="2"/>
      <c r="X133" s="2"/>
      <c r="Y133" s="2"/>
      <c r="Z133" s="2"/>
      <c r="AA133" s="2"/>
      <c r="AB133" s="2"/>
      <c r="AC133" s="2"/>
    </row>
    <row r="134" spans="11:29" ht="15" x14ac:dyDescent="0.25">
      <c r="K134" s="156"/>
      <c r="U134" s="2"/>
      <c r="V134" s="2"/>
      <c r="W134" s="2"/>
      <c r="X134" s="2"/>
      <c r="Y134" s="2"/>
      <c r="Z134" s="2"/>
      <c r="AA134" s="2"/>
      <c r="AB134" s="2"/>
      <c r="AC134" s="2"/>
    </row>
    <row r="135" spans="11:29" ht="15" x14ac:dyDescent="0.25">
      <c r="K135" s="156"/>
      <c r="U135" s="2"/>
      <c r="V135" s="2"/>
      <c r="W135" s="2"/>
      <c r="X135" s="2"/>
      <c r="Y135" s="2"/>
      <c r="Z135" s="2"/>
      <c r="AA135" s="2"/>
      <c r="AB135" s="2"/>
      <c r="AC135" s="2"/>
    </row>
    <row r="136" spans="11:29" ht="15" x14ac:dyDescent="0.25">
      <c r="K136" s="156"/>
      <c r="U136" s="2"/>
      <c r="V136" s="2"/>
      <c r="W136" s="2"/>
      <c r="X136" s="2"/>
      <c r="Y136" s="2"/>
      <c r="Z136" s="2"/>
      <c r="AA136" s="2"/>
      <c r="AB136" s="2"/>
      <c r="AC136" s="2"/>
    </row>
    <row r="137" spans="11:29" ht="15" x14ac:dyDescent="0.25">
      <c r="K137" s="156"/>
      <c r="U137" s="2"/>
      <c r="V137" s="2"/>
      <c r="W137" s="2"/>
      <c r="X137" s="2"/>
      <c r="Y137" s="2"/>
      <c r="Z137" s="2"/>
      <c r="AA137" s="2"/>
      <c r="AB137" s="2"/>
      <c r="AC137" s="2"/>
    </row>
    <row r="138" spans="11:29" ht="15" x14ac:dyDescent="0.25">
      <c r="K138" s="156"/>
      <c r="U138" s="2"/>
      <c r="V138" s="2"/>
      <c r="W138" s="2"/>
      <c r="X138" s="2"/>
      <c r="Y138" s="2"/>
      <c r="Z138" s="2"/>
      <c r="AA138" s="2"/>
      <c r="AB138" s="2"/>
      <c r="AC138" s="2"/>
    </row>
    <row r="139" spans="11:29" ht="15" x14ac:dyDescent="0.25">
      <c r="K139" s="156"/>
      <c r="U139" s="2"/>
      <c r="V139" s="2"/>
      <c r="W139" s="2"/>
      <c r="X139" s="2"/>
      <c r="Y139" s="2"/>
      <c r="Z139" s="2"/>
      <c r="AA139" s="2"/>
      <c r="AB139" s="2"/>
      <c r="AC139" s="2"/>
    </row>
    <row r="140" spans="11:29" ht="15" x14ac:dyDescent="0.25">
      <c r="K140" s="156"/>
      <c r="U140" s="2"/>
      <c r="V140" s="2"/>
      <c r="W140" s="2"/>
      <c r="X140" s="2"/>
      <c r="Y140" s="2"/>
      <c r="Z140" s="2"/>
      <c r="AA140" s="2"/>
      <c r="AB140" s="2"/>
      <c r="AC140" s="2"/>
    </row>
    <row r="141" spans="11:29" ht="15" x14ac:dyDescent="0.25">
      <c r="K141" s="156"/>
      <c r="U141" s="2"/>
      <c r="V141" s="2"/>
      <c r="W141" s="2"/>
      <c r="X141" s="2"/>
      <c r="Y141" s="2"/>
      <c r="Z141" s="2"/>
      <c r="AA141" s="2"/>
      <c r="AB141" s="2"/>
      <c r="AC141" s="2"/>
    </row>
    <row r="142" spans="11:29" ht="15" x14ac:dyDescent="0.25">
      <c r="K142" s="156"/>
      <c r="U142" s="2"/>
      <c r="V142" s="2"/>
      <c r="W142" s="2"/>
      <c r="X142" s="2"/>
      <c r="Y142" s="2"/>
      <c r="Z142" s="2"/>
      <c r="AA142" s="2"/>
      <c r="AB142" s="2"/>
      <c r="AC142" s="2"/>
    </row>
    <row r="143" spans="11:29" ht="15" x14ac:dyDescent="0.25">
      <c r="K143" s="156"/>
      <c r="U143" s="2"/>
      <c r="V143" s="2"/>
      <c r="W143" s="2"/>
      <c r="X143" s="2"/>
      <c r="Y143" s="2"/>
      <c r="Z143" s="2"/>
      <c r="AA143" s="2"/>
      <c r="AB143" s="2"/>
      <c r="AC143" s="2"/>
    </row>
    <row r="144" spans="11:29" ht="15" x14ac:dyDescent="0.25">
      <c r="K144" s="156"/>
      <c r="U144" s="2"/>
      <c r="V144" s="2"/>
      <c r="W144" s="2"/>
      <c r="X144" s="2"/>
      <c r="Y144" s="2"/>
      <c r="Z144" s="2"/>
      <c r="AA144" s="2"/>
      <c r="AB144" s="2"/>
      <c r="AC144" s="2"/>
    </row>
    <row r="145" spans="11:29" ht="15" x14ac:dyDescent="0.25">
      <c r="K145" s="156"/>
      <c r="U145" s="2"/>
      <c r="V145" s="2"/>
      <c r="W145" s="2"/>
      <c r="X145" s="2"/>
      <c r="Y145" s="2"/>
      <c r="Z145" s="2"/>
      <c r="AA145" s="2"/>
      <c r="AB145" s="2"/>
      <c r="AC145" s="2"/>
    </row>
    <row r="146" spans="11:29" ht="15" x14ac:dyDescent="0.25">
      <c r="K146" s="156"/>
      <c r="U146" s="2"/>
      <c r="V146" s="2"/>
      <c r="W146" s="2"/>
      <c r="X146" s="2"/>
      <c r="Y146" s="2"/>
      <c r="Z146" s="2"/>
      <c r="AA146" s="2"/>
      <c r="AB146" s="2"/>
      <c r="AC146" s="2"/>
    </row>
    <row r="147" spans="11:29" x14ac:dyDescent="0.25">
      <c r="K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1:29" x14ac:dyDescent="0.25">
      <c r="K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1:29" x14ac:dyDescent="0.25">
      <c r="K149" s="2"/>
      <c r="U149" s="2"/>
      <c r="V149" s="2"/>
      <c r="W149" s="2"/>
      <c r="X149" s="2"/>
      <c r="Y149" s="2"/>
      <c r="Z149" s="2"/>
      <c r="AA149" s="2"/>
      <c r="AB149" s="2"/>
      <c r="AC149" s="2"/>
    </row>
    <row r="169" spans="11:11" ht="15" x14ac:dyDescent="0.25">
      <c r="K169" s="3"/>
    </row>
    <row r="170" spans="11:11" ht="15" x14ac:dyDescent="0.25">
      <c r="K170" s="156"/>
    </row>
    <row r="171" spans="11:11" ht="15" x14ac:dyDescent="0.25">
      <c r="K171" s="156"/>
    </row>
    <row r="172" spans="11:11" ht="15" x14ac:dyDescent="0.25">
      <c r="K172" s="156"/>
    </row>
  </sheetData>
  <mergeCells count="24">
    <mergeCell ref="A49:C49"/>
    <mergeCell ref="F49:G49"/>
    <mergeCell ref="A29:B29"/>
    <mergeCell ref="F29:G29"/>
    <mergeCell ref="AA17:AB17"/>
    <mergeCell ref="A17:B17"/>
    <mergeCell ref="A18:B18"/>
    <mergeCell ref="A39:B39"/>
    <mergeCell ref="F39:G39"/>
    <mergeCell ref="L17:M17"/>
    <mergeCell ref="Q17:R17"/>
    <mergeCell ref="V17:W17"/>
    <mergeCell ref="V1:AD1"/>
    <mergeCell ref="A2:J2"/>
    <mergeCell ref="L2:T2"/>
    <mergeCell ref="V2:AD2"/>
    <mergeCell ref="L7:M7"/>
    <mergeCell ref="Q7:R7"/>
    <mergeCell ref="L1:T1"/>
    <mergeCell ref="A6:B6"/>
    <mergeCell ref="A5:B5"/>
    <mergeCell ref="A1:J1"/>
    <mergeCell ref="V7:W7"/>
    <mergeCell ref="AA7:AB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2019 Operating Budget</vt:lpstr>
      <vt:lpstr>Exist. Debt Service</vt:lpstr>
      <vt:lpstr>Project Revenue Requirements</vt:lpstr>
      <vt:lpstr>Percent Rate Increase</vt:lpstr>
      <vt:lpstr>Rates With Proposed Increase</vt:lpstr>
      <vt:lpstr>Cash Flow Analysis</vt:lpstr>
      <vt:lpstr>Short Lived Assets</vt:lpstr>
      <vt:lpstr>Billing Analysis</vt:lpstr>
      <vt:lpstr>'2019 Operating Budget'!Print_Area</vt:lpstr>
      <vt:lpstr>'Cash Flow Analysis'!Print_Area</vt:lpstr>
      <vt:lpstr>'Exist. Debt Service'!Print_Area</vt:lpstr>
      <vt:lpstr>'Percent Rate Increase'!Print_Area</vt:lpstr>
      <vt:lpstr>'Project Revenue Requirements'!Print_Area</vt:lpstr>
      <vt:lpstr>'Rates With Proposed Increase'!Print_Area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Jones</dc:creator>
  <cp:keywords/>
  <dc:description/>
  <cp:lastModifiedBy>Jones</cp:lastModifiedBy>
  <cp:revision/>
  <dcterms:created xsi:type="dcterms:W3CDTF">2000-02-12T17:22:20Z</dcterms:created>
  <dcterms:modified xsi:type="dcterms:W3CDTF">2022-09-14T16:17:20Z</dcterms:modified>
  <cp:category/>
  <cp:contentStatus/>
</cp:coreProperties>
</file>