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T:\Regulatory Accounting Services\Kentucky - Rockport Deferral Recovery\Discovery\AG-KIUC\1_6\"/>
    </mc:Choice>
  </mc:AlternateContent>
  <xr:revisionPtr revIDLastSave="0" documentId="13_ncr:1_{D1B45C6E-6958-4F0C-B9F1-8BBDE2BB5907}" xr6:coauthVersionLast="47" xr6:coauthVersionMax="47" xr10:uidLastSave="{00000000-0000-0000-0000-000000000000}"/>
  <bookViews>
    <workbookView xWindow="28680" yWindow="-120" windowWidth="29040" windowHeight="17640" tabRatio="813" xr2:uid="{8BF2839C-067B-457D-8EB6-48F85F34A691}"/>
  </bookViews>
  <sheets>
    <sheet name="Summary" sheetId="5" r:id="rId1"/>
    <sheet name="PPA Form 3.0a - Jan18-June18" sheetId="2" r:id="rId2"/>
    <sheet name="PPA Form 3.0a - July18-June19" sheetId="3" r:id="rId3"/>
    <sheet name="PPA Form 3.0a - July19-June20" sheetId="4" r:id="rId4"/>
    <sheet name="PPA Form 3.0a - July20-June21" sheetId="1" r:id="rId5"/>
    <sheet name="PPA Form 3.0a - July21-June22" sheetId="7" r:id="rId6"/>
  </sheets>
  <externalReferences>
    <externalReference r:id="rId7"/>
    <externalReference r:id="rId8"/>
    <externalReference r:id="rId9"/>
    <externalReference r:id="rId10"/>
    <externalReference r:id="rId11"/>
    <externalReference r:id="rId12"/>
  </externalReferences>
  <definedNames>
    <definedName name="_">#REF!</definedName>
    <definedName name="Katy" localSheetId="2">#REF!</definedName>
    <definedName name="Katy" localSheetId="3">#REF!</definedName>
    <definedName name="Katy" localSheetId="5">#REF!</definedName>
    <definedName name="Katy">#REF!</definedName>
    <definedName name="Marshall_Rate">'[1]Property Tax'!$B$2</definedName>
    <definedName name="PC_Percent">'[1]Property Tax'!$B$6</definedName>
    <definedName name="_xlnm.Print_Area" localSheetId="1">'PPA Form 3.0a - Jan18-June18'!$A$1:$K$54</definedName>
    <definedName name="_xlnm.Print_Area" localSheetId="2">'PPA Form 3.0a - July18-June19'!$A$1:$P$54</definedName>
    <definedName name="_xlnm.Print_Area" localSheetId="3">'PPA Form 3.0a - July19-June20'!$A$1:$P$54</definedName>
    <definedName name="_xlnm.Print_Area" localSheetId="4">'PPA Form 3.0a - July20-June21'!$A$1:$P$54</definedName>
    <definedName name="_xlnm.Print_Area" localSheetId="5">'PPA Form 3.0a - July21-June22'!$A$1:$P$52</definedName>
    <definedName name="tim" localSheetId="1">#REF!</definedName>
    <definedName name="tim" localSheetId="2">#REF!</definedName>
    <definedName name="tim" localSheetId="3">#REF!</definedName>
    <definedName name="tim" localSheetId="5">#REF!</definedName>
    <definedName name="tim">#REF!</definedName>
    <definedName name="WV_List">'[1]Property Tax'!$B$4</definedName>
    <definedName name="Z_0BD4BC22_E7A2_4140_8384_5A5B3339DEED_.wvu.PrintArea" localSheetId="2" hidden="1">'PPA Form 3.0a - July18-June19'!$A$1:$P$54</definedName>
    <definedName name="Z_0BD4BC22_E7A2_4140_8384_5A5B3339DEED_.wvu.PrintArea" localSheetId="3" hidden="1">'PPA Form 3.0a - July19-June20'!$A$1:$P$54</definedName>
    <definedName name="Z_0BD4BC22_E7A2_4140_8384_5A5B3339DEED_.wvu.PrintArea" localSheetId="4" hidden="1">'PPA Form 3.0a - July20-June21'!$A$1:$P$54</definedName>
    <definedName name="Z_0BD4BC22_E7A2_4140_8384_5A5B3339DEED_.wvu.PrintArea" localSheetId="5" hidden="1">'PPA Form 3.0a - July21-June22'!$A$1:$P$52</definedName>
    <definedName name="Z_4EF176FC_448F_4BD8_8859_C810312E84E7_.wvu.PrintArea" localSheetId="1" hidden="1">'PPA Form 3.0a - Jan18-June18'!$A$1:$K$54</definedName>
    <definedName name="Z_4EF176FC_448F_4BD8_8859_C810312E84E7_.wvu.PrintArea" localSheetId="2" hidden="1">'PPA Form 3.0a - July18-June19'!$A$1:$P$54</definedName>
    <definedName name="Z_4EF176FC_448F_4BD8_8859_C810312E84E7_.wvu.PrintArea" localSheetId="3" hidden="1">'PPA Form 3.0a - July19-June20'!$A$1:$P$54</definedName>
    <definedName name="Z_4EF176FC_448F_4BD8_8859_C810312E84E7_.wvu.PrintArea" localSheetId="4" hidden="1">'PPA Form 3.0a - July20-June21'!$A$1:$P$54</definedName>
    <definedName name="Z_4EF176FC_448F_4BD8_8859_C810312E84E7_.wvu.PrintArea" localSheetId="5" hidden="1">'PPA Form 3.0a - July21-June22'!$A$1:$P$52</definedName>
    <definedName name="Z_567BA860_460A_4CE0_A629_0EA7372574F1_.wvu.PrintArea" localSheetId="1" hidden="1">'PPA Form 3.0a - Jan18-June18'!$A$1:$K$54</definedName>
    <definedName name="Z_567BA860_460A_4CE0_A629_0EA7372574F1_.wvu.PrintArea" localSheetId="2" hidden="1">'PPA Form 3.0a - July18-June19'!$A$1:$P$54</definedName>
    <definedName name="Z_567BA860_460A_4CE0_A629_0EA7372574F1_.wvu.PrintArea" localSheetId="3" hidden="1">'PPA Form 3.0a - July19-June20'!$A$1:$P$54</definedName>
    <definedName name="Z_567BA860_460A_4CE0_A629_0EA7372574F1_.wvu.PrintArea" localSheetId="4" hidden="1">'PPA Form 3.0a - July20-June21'!$A$1:$P$54</definedName>
    <definedName name="Z_567BA860_460A_4CE0_A629_0EA7372574F1_.wvu.PrintArea" localSheetId="5" hidden="1">'PPA Form 3.0a - July21-June22'!$A$1:$P$52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5" l="1"/>
  <c r="A12" i="5" s="1"/>
  <c r="A13" i="5" s="1"/>
  <c r="A14" i="5" s="1"/>
  <c r="A15" i="5" s="1"/>
  <c r="A16" i="5" s="1"/>
  <c r="A17" i="5" s="1"/>
  <c r="A18" i="5" s="1"/>
  <c r="A19" i="5" s="1"/>
  <c r="A20" i="5" s="1"/>
  <c r="A21" i="5" s="1"/>
  <c r="A22" i="5" s="1"/>
  <c r="A23" i="5" s="1"/>
  <c r="A24" i="5" s="1"/>
  <c r="A25" i="5" s="1"/>
  <c r="G18" i="5" l="1"/>
  <c r="G13" i="5"/>
  <c r="G14" i="5"/>
  <c r="G15" i="5"/>
  <c r="G19" i="5" s="1"/>
  <c r="F17" i="5"/>
  <c r="F18" i="5"/>
  <c r="F19" i="5"/>
  <c r="F20" i="5"/>
  <c r="F21" i="5"/>
  <c r="G10" i="5"/>
  <c r="G11" i="5"/>
  <c r="G12" i="5"/>
  <c r="F16" i="5"/>
  <c r="K43" i="7"/>
  <c r="J43" i="7"/>
  <c r="O41" i="7"/>
  <c r="N41" i="7"/>
  <c r="M41" i="7"/>
  <c r="L41" i="7"/>
  <c r="K41" i="7"/>
  <c r="J41" i="7"/>
  <c r="I41" i="7"/>
  <c r="H41" i="7"/>
  <c r="G41" i="7"/>
  <c r="F41" i="7"/>
  <c r="E41" i="7"/>
  <c r="D41" i="7"/>
  <c r="L36" i="7"/>
  <c r="L43" i="7" s="1"/>
  <c r="D36" i="7"/>
  <c r="G36" i="7" s="1"/>
  <c r="P34" i="7"/>
  <c r="P32" i="7"/>
  <c r="P30" i="7"/>
  <c r="I28" i="7"/>
  <c r="H28" i="7"/>
  <c r="O27" i="7"/>
  <c r="O28" i="7" s="1"/>
  <c r="N27" i="7"/>
  <c r="N28" i="7" s="1"/>
  <c r="M27" i="7"/>
  <c r="M28" i="7" s="1"/>
  <c r="I27" i="7"/>
  <c r="H27" i="7"/>
  <c r="G27" i="7"/>
  <c r="G28" i="7" s="1"/>
  <c r="F27" i="7"/>
  <c r="F28" i="7" s="1"/>
  <c r="E27" i="7"/>
  <c r="E28" i="7" s="1"/>
  <c r="O25" i="7"/>
  <c r="N25" i="7"/>
  <c r="M25" i="7"/>
  <c r="L25" i="7"/>
  <c r="L27" i="7" s="1"/>
  <c r="L28" i="7" s="1"/>
  <c r="K25" i="7"/>
  <c r="K27" i="7" s="1"/>
  <c r="K28" i="7" s="1"/>
  <c r="K45" i="7" s="1"/>
  <c r="K47" i="7" s="1"/>
  <c r="J25" i="7"/>
  <c r="J27" i="7" s="1"/>
  <c r="J28" i="7" s="1"/>
  <c r="J45" i="7" s="1"/>
  <c r="J47" i="7" s="1"/>
  <c r="I25" i="7"/>
  <c r="H25" i="7"/>
  <c r="G25" i="7"/>
  <c r="F25" i="7"/>
  <c r="E25" i="7"/>
  <c r="D25" i="7"/>
  <c r="D27" i="7" s="1"/>
  <c r="P24" i="7"/>
  <c r="P23" i="7"/>
  <c r="P22" i="7"/>
  <c r="P21" i="7"/>
  <c r="P20" i="7"/>
  <c r="P19" i="7"/>
  <c r="P18" i="7"/>
  <c r="P17" i="7"/>
  <c r="P16" i="7"/>
  <c r="P15" i="7"/>
  <c r="P14" i="7"/>
  <c r="P11" i="7"/>
  <c r="O9" i="7"/>
  <c r="N9" i="7"/>
  <c r="M9" i="7"/>
  <c r="L9" i="7"/>
  <c r="K9" i="7"/>
  <c r="J9" i="7"/>
  <c r="I9" i="7"/>
  <c r="H9" i="7"/>
  <c r="G9" i="7"/>
  <c r="F9" i="7"/>
  <c r="E9" i="7"/>
  <c r="D9" i="7"/>
  <c r="P9" i="7" s="1"/>
  <c r="P8" i="7"/>
  <c r="P7" i="7"/>
  <c r="A3" i="7"/>
  <c r="H36" i="7" l="1"/>
  <c r="H43" i="7" s="1"/>
  <c r="I36" i="7"/>
  <c r="I43" i="7" s="1"/>
  <c r="G43" i="7"/>
  <c r="H45" i="7"/>
  <c r="H47" i="7" s="1"/>
  <c r="G45" i="7"/>
  <c r="G47" i="7" s="1"/>
  <c r="G17" i="5"/>
  <c r="G21" i="5"/>
  <c r="G16" i="5"/>
  <c r="G20" i="5"/>
  <c r="I45" i="7"/>
  <c r="I47" i="7" s="1"/>
  <c r="N43" i="7"/>
  <c r="N45" i="7" s="1"/>
  <c r="N47" i="7" s="1"/>
  <c r="D28" i="7"/>
  <c r="P27" i="7"/>
  <c r="L45" i="7"/>
  <c r="L47" i="7" s="1"/>
  <c r="O43" i="7"/>
  <c r="O45" i="7" s="1"/>
  <c r="O47" i="7" s="1"/>
  <c r="M36" i="7"/>
  <c r="N36" i="7" s="1"/>
  <c r="O36" i="7" s="1"/>
  <c r="P41" i="7"/>
  <c r="D43" i="7"/>
  <c r="E36" i="7"/>
  <c r="P36" i="7" s="1"/>
  <c r="P25" i="7"/>
  <c r="F36" i="7"/>
  <c r="F43" i="7" s="1"/>
  <c r="F45" i="7" s="1"/>
  <c r="F47" i="7" s="1"/>
  <c r="E43" i="7" l="1"/>
  <c r="E45" i="7" s="1"/>
  <c r="E47" i="7" s="1"/>
  <c r="M43" i="7"/>
  <c r="M45" i="7" s="1"/>
  <c r="M47" i="7" s="1"/>
  <c r="P28" i="7"/>
  <c r="P50" i="7" s="1"/>
  <c r="D45" i="7"/>
  <c r="D47" i="7" l="1"/>
  <c r="P45" i="7"/>
  <c r="P43" i="7"/>
  <c r="D50" i="7" l="1"/>
  <c r="E50" i="7" s="1"/>
  <c r="F50" i="7" s="1"/>
  <c r="G50" i="7" s="1"/>
  <c r="H50" i="7" s="1"/>
  <c r="I50" i="7" s="1"/>
  <c r="J50" i="7" s="1"/>
  <c r="K50" i="7" s="1"/>
  <c r="L50" i="7" s="1"/>
  <c r="M50" i="7" s="1"/>
  <c r="N50" i="7" s="1"/>
  <c r="O50" i="7" s="1"/>
  <c r="P47" i="7"/>
  <c r="D22" i="5" l="1"/>
  <c r="G22" i="5"/>
  <c r="C22" i="5"/>
  <c r="F11" i="5"/>
  <c r="F12" i="5"/>
  <c r="F13" i="5"/>
  <c r="F14" i="5"/>
  <c r="F15" i="5"/>
  <c r="E17" i="5"/>
  <c r="E18" i="5"/>
  <c r="E19" i="5"/>
  <c r="E20" i="5"/>
  <c r="E21" i="5"/>
  <c r="F10" i="5"/>
  <c r="E16" i="5"/>
  <c r="E14" i="5"/>
  <c r="E15" i="5"/>
  <c r="E11" i="5"/>
  <c r="E12" i="5"/>
  <c r="E13" i="5"/>
  <c r="E10" i="5"/>
  <c r="O43" i="4"/>
  <c r="N43" i="4"/>
  <c r="M43" i="4"/>
  <c r="L43" i="4"/>
  <c r="K43" i="4"/>
  <c r="J43" i="4"/>
  <c r="I43" i="4"/>
  <c r="H43" i="4"/>
  <c r="G43" i="4"/>
  <c r="F43" i="4"/>
  <c r="E43" i="4"/>
  <c r="D43" i="4"/>
  <c r="D38" i="4"/>
  <c r="I38" i="4" s="1"/>
  <c r="I45" i="4" s="1"/>
  <c r="P36" i="4"/>
  <c r="P34" i="4"/>
  <c r="O29" i="4"/>
  <c r="N29" i="4"/>
  <c r="M29" i="4"/>
  <c r="L29" i="4"/>
  <c r="K29" i="4"/>
  <c r="J29" i="4"/>
  <c r="I29" i="4"/>
  <c r="H29" i="4"/>
  <c r="G29" i="4"/>
  <c r="F29" i="4"/>
  <c r="E29" i="4"/>
  <c r="D29" i="4"/>
  <c r="D31" i="4" s="1"/>
  <c r="P28" i="4"/>
  <c r="P27" i="4"/>
  <c r="P26" i="4"/>
  <c r="P25" i="4"/>
  <c r="P24" i="4"/>
  <c r="P23" i="4"/>
  <c r="P22" i="4"/>
  <c r="P21" i="4"/>
  <c r="P20" i="4"/>
  <c r="P19" i="4"/>
  <c r="P18" i="4"/>
  <c r="D15" i="4"/>
  <c r="J15" i="4" s="1"/>
  <c r="J13" i="4"/>
  <c r="I13" i="4"/>
  <c r="O12" i="4"/>
  <c r="O13" i="4" s="1"/>
  <c r="N12" i="4"/>
  <c r="N13" i="4" s="1"/>
  <c r="M12" i="4"/>
  <c r="M13" i="4" s="1"/>
  <c r="L12" i="4"/>
  <c r="L13" i="4" s="1"/>
  <c r="K12" i="4"/>
  <c r="K13" i="4" s="1"/>
  <c r="J12" i="4"/>
  <c r="I12" i="4"/>
  <c r="G12" i="4"/>
  <c r="G13" i="4" s="1"/>
  <c r="F12" i="4"/>
  <c r="F13" i="4" s="1"/>
  <c r="E12" i="4"/>
  <c r="E13" i="4" s="1"/>
  <c r="D12" i="4"/>
  <c r="D13" i="4" s="1"/>
  <c r="H7" i="4"/>
  <c r="P7" i="4" s="1"/>
  <c r="A3" i="4"/>
  <c r="D45" i="4" l="1"/>
  <c r="F22" i="5"/>
  <c r="E22" i="5"/>
  <c r="J31" i="4"/>
  <c r="J32" i="4" s="1"/>
  <c r="L45" i="4"/>
  <c r="D32" i="4"/>
  <c r="M31" i="4"/>
  <c r="M32" i="4" s="1"/>
  <c r="M15" i="4"/>
  <c r="H13" i="4"/>
  <c r="P13" i="4" s="1"/>
  <c r="K15" i="4"/>
  <c r="K31" i="4" s="1"/>
  <c r="K32" i="4" s="1"/>
  <c r="J38" i="4"/>
  <c r="J45" i="4" s="1"/>
  <c r="L15" i="4"/>
  <c r="P15" i="4" s="1"/>
  <c r="K38" i="4"/>
  <c r="K45" i="4" s="1"/>
  <c r="L38" i="4"/>
  <c r="H12" i="4"/>
  <c r="P12" i="4"/>
  <c r="F15" i="4"/>
  <c r="F31" i="4" s="1"/>
  <c r="F32" i="4" s="1"/>
  <c r="N15" i="4"/>
  <c r="N31" i="4" s="1"/>
  <c r="N32" i="4" s="1"/>
  <c r="E38" i="4"/>
  <c r="E45" i="4" s="1"/>
  <c r="M38" i="4"/>
  <c r="M45" i="4" s="1"/>
  <c r="P43" i="4"/>
  <c r="G15" i="4"/>
  <c r="G31" i="4" s="1"/>
  <c r="G32" i="4" s="1"/>
  <c r="O15" i="4"/>
  <c r="O31" i="4" s="1"/>
  <c r="O32" i="4" s="1"/>
  <c r="F38" i="4"/>
  <c r="F45" i="4" s="1"/>
  <c r="N38" i="4"/>
  <c r="N45" i="4" s="1"/>
  <c r="H15" i="4"/>
  <c r="H31" i="4" s="1"/>
  <c r="H32" i="4" s="1"/>
  <c r="H47" i="4" s="1"/>
  <c r="P29" i="4"/>
  <c r="G38" i="4"/>
  <c r="G45" i="4" s="1"/>
  <c r="O38" i="4"/>
  <c r="O45" i="4" s="1"/>
  <c r="I15" i="4"/>
  <c r="I31" i="4" s="1"/>
  <c r="I32" i="4" s="1"/>
  <c r="I47" i="4" s="1"/>
  <c r="I49" i="4" s="1"/>
  <c r="H38" i="4"/>
  <c r="H45" i="4" s="1"/>
  <c r="E15" i="4"/>
  <c r="E31" i="4" s="1"/>
  <c r="L31" i="4" l="1"/>
  <c r="L32" i="4" s="1"/>
  <c r="L47" i="4" s="1"/>
  <c r="L49" i="4" s="1"/>
  <c r="E32" i="4"/>
  <c r="E47" i="4" s="1"/>
  <c r="E49" i="4" s="1"/>
  <c r="P31" i="4"/>
  <c r="P45" i="4"/>
  <c r="H49" i="4"/>
  <c r="N47" i="4"/>
  <c r="N49" i="4" s="1"/>
  <c r="P38" i="4"/>
  <c r="K47" i="4"/>
  <c r="K49" i="4" s="1"/>
  <c r="M47" i="4"/>
  <c r="M49" i="4" s="1"/>
  <c r="O47" i="4"/>
  <c r="O49" i="4" s="1"/>
  <c r="P32" i="4"/>
  <c r="D47" i="4"/>
  <c r="F47" i="4"/>
  <c r="F49" i="4" s="1"/>
  <c r="G47" i="4"/>
  <c r="G49" i="4" s="1"/>
  <c r="J47" i="4"/>
  <c r="J49" i="4" s="1"/>
  <c r="D49" i="4" l="1"/>
  <c r="P47" i="4"/>
  <c r="P52" i="4"/>
  <c r="P49" i="4" l="1"/>
  <c r="D52" i="4"/>
  <c r="E52" i="4" s="1"/>
  <c r="F52" i="4" s="1"/>
  <c r="G52" i="4" s="1"/>
  <c r="H52" i="4" s="1"/>
  <c r="I52" i="4" s="1"/>
  <c r="J52" i="4" s="1"/>
  <c r="K52" i="4" s="1"/>
  <c r="L52" i="4" s="1"/>
  <c r="M52" i="4" s="1"/>
  <c r="N52" i="4" s="1"/>
  <c r="O52" i="4" s="1"/>
  <c r="N43" i="3" l="1"/>
  <c r="M43" i="3"/>
  <c r="L43" i="3"/>
  <c r="K43" i="3"/>
  <c r="F43" i="3"/>
  <c r="E43" i="3"/>
  <c r="D43" i="3"/>
  <c r="D45" i="3" s="1"/>
  <c r="O41" i="3"/>
  <c r="O43" i="3" s="1"/>
  <c r="N41" i="3"/>
  <c r="M41" i="3"/>
  <c r="L41" i="3"/>
  <c r="K41" i="3"/>
  <c r="J41" i="3"/>
  <c r="J43" i="3" s="1"/>
  <c r="I41" i="3"/>
  <c r="I43" i="3" s="1"/>
  <c r="H41" i="3"/>
  <c r="H43" i="3" s="1"/>
  <c r="G41" i="3"/>
  <c r="G43" i="3" s="1"/>
  <c r="F41" i="3"/>
  <c r="E41" i="3"/>
  <c r="D38" i="3"/>
  <c r="J38" i="3" s="1"/>
  <c r="P34" i="3"/>
  <c r="O29" i="3"/>
  <c r="N29" i="3"/>
  <c r="M29" i="3"/>
  <c r="L29" i="3"/>
  <c r="K29" i="3"/>
  <c r="J29" i="3"/>
  <c r="I29" i="3"/>
  <c r="H29" i="3"/>
  <c r="G29" i="3"/>
  <c r="F29" i="3"/>
  <c r="E29" i="3"/>
  <c r="D29" i="3"/>
  <c r="P28" i="3"/>
  <c r="P27" i="3"/>
  <c r="P26" i="3"/>
  <c r="P25" i="3"/>
  <c r="P24" i="3"/>
  <c r="P23" i="3"/>
  <c r="P22" i="3"/>
  <c r="P21" i="3"/>
  <c r="P20" i="3"/>
  <c r="P19" i="3"/>
  <c r="P18" i="3"/>
  <c r="D15" i="3"/>
  <c r="J15" i="3" s="1"/>
  <c r="J13" i="3"/>
  <c r="I13" i="3"/>
  <c r="H13" i="3"/>
  <c r="F13" i="3"/>
  <c r="E13" i="3"/>
  <c r="D13" i="3"/>
  <c r="O12" i="3"/>
  <c r="O13" i="3" s="1"/>
  <c r="N12" i="3"/>
  <c r="N13" i="3" s="1"/>
  <c r="M12" i="3"/>
  <c r="M13" i="3" s="1"/>
  <c r="L12" i="3"/>
  <c r="L13" i="3" s="1"/>
  <c r="K12" i="3"/>
  <c r="K13" i="3" s="1"/>
  <c r="J12" i="3"/>
  <c r="I12" i="3"/>
  <c r="H12" i="3"/>
  <c r="G12" i="3"/>
  <c r="G13" i="3" s="1"/>
  <c r="P7" i="3"/>
  <c r="A3" i="3"/>
  <c r="J45" i="3" l="1"/>
  <c r="K15" i="3"/>
  <c r="K31" i="3"/>
  <c r="K32" i="3" s="1"/>
  <c r="K38" i="3"/>
  <c r="K45" i="3" s="1"/>
  <c r="K47" i="3" s="1"/>
  <c r="K49" i="3" s="1"/>
  <c r="D31" i="3"/>
  <c r="M31" i="3"/>
  <c r="M32" i="3" s="1"/>
  <c r="P13" i="3"/>
  <c r="O45" i="3"/>
  <c r="J31" i="3"/>
  <c r="J32" i="3" s="1"/>
  <c r="J47" i="3" s="1"/>
  <c r="J49" i="3" s="1"/>
  <c r="D32" i="3"/>
  <c r="L31" i="3"/>
  <c r="L32" i="3" s="1"/>
  <c r="P12" i="3"/>
  <c r="F15" i="3"/>
  <c r="F31" i="3" s="1"/>
  <c r="F32" i="3" s="1"/>
  <c r="N15" i="3"/>
  <c r="N31" i="3" s="1"/>
  <c r="N32" i="3" s="1"/>
  <c r="F38" i="3"/>
  <c r="F45" i="3" s="1"/>
  <c r="N38" i="3"/>
  <c r="N45" i="3" s="1"/>
  <c r="L38" i="3"/>
  <c r="L45" i="3" s="1"/>
  <c r="G15" i="3"/>
  <c r="G31" i="3" s="1"/>
  <c r="G32" i="3" s="1"/>
  <c r="O15" i="3"/>
  <c r="O31" i="3" s="1"/>
  <c r="O32" i="3" s="1"/>
  <c r="O47" i="3" s="1"/>
  <c r="O49" i="3" s="1"/>
  <c r="G38" i="3"/>
  <c r="G45" i="3" s="1"/>
  <c r="O38" i="3"/>
  <c r="L15" i="3"/>
  <c r="H15" i="3"/>
  <c r="H31" i="3" s="1"/>
  <c r="H32" i="3" s="1"/>
  <c r="P29" i="3"/>
  <c r="H38" i="3"/>
  <c r="H45" i="3" s="1"/>
  <c r="P43" i="3"/>
  <c r="E38" i="3"/>
  <c r="E45" i="3" s="1"/>
  <c r="I15" i="3"/>
  <c r="I31" i="3" s="1"/>
  <c r="I32" i="3" s="1"/>
  <c r="I38" i="3"/>
  <c r="I45" i="3" s="1"/>
  <c r="E15" i="3"/>
  <c r="M15" i="3"/>
  <c r="M38" i="3"/>
  <c r="M45" i="3" s="1"/>
  <c r="P38" i="3" l="1"/>
  <c r="G47" i="3"/>
  <c r="G49" i="3" s="1"/>
  <c r="P15" i="3"/>
  <c r="P45" i="3"/>
  <c r="D47" i="3"/>
  <c r="D49" i="3" s="1"/>
  <c r="D52" i="3" s="1"/>
  <c r="E31" i="3"/>
  <c r="M47" i="3"/>
  <c r="M49" i="3" s="1"/>
  <c r="I47" i="3"/>
  <c r="I49" i="3" s="1"/>
  <c r="L47" i="3"/>
  <c r="L49" i="3" s="1"/>
  <c r="F47" i="3"/>
  <c r="F49" i="3" s="1"/>
  <c r="H47" i="3"/>
  <c r="H49" i="3" s="1"/>
  <c r="N47" i="3"/>
  <c r="N49" i="3" s="1"/>
  <c r="E32" i="3" l="1"/>
  <c r="P31" i="3"/>
  <c r="E47" i="3" l="1"/>
  <c r="E49" i="3" s="1"/>
  <c r="E52" i="3" s="1"/>
  <c r="F52" i="3" s="1"/>
  <c r="G52" i="3" s="1"/>
  <c r="H52" i="3" s="1"/>
  <c r="I52" i="3" s="1"/>
  <c r="J52" i="3" s="1"/>
  <c r="K52" i="3" s="1"/>
  <c r="L52" i="3" s="1"/>
  <c r="M52" i="3" s="1"/>
  <c r="N52" i="3" s="1"/>
  <c r="O52" i="3" s="1"/>
  <c r="P32" i="3"/>
  <c r="P52" i="3" s="1"/>
  <c r="G43" i="2" l="1"/>
  <c r="G45" i="2" s="1"/>
  <c r="F42" i="2"/>
  <c r="J41" i="2"/>
  <c r="J43" i="2" s="1"/>
  <c r="I41" i="2"/>
  <c r="I43" i="2" s="1"/>
  <c r="H41" i="2"/>
  <c r="H43" i="2" s="1"/>
  <c r="G41" i="2"/>
  <c r="F41" i="2"/>
  <c r="F43" i="2" s="1"/>
  <c r="F45" i="2" s="1"/>
  <c r="D40" i="2"/>
  <c r="E40" i="2" s="1"/>
  <c r="G38" i="2"/>
  <c r="H38" i="2" s="1"/>
  <c r="I38" i="2" s="1"/>
  <c r="J38" i="2" s="1"/>
  <c r="E38" i="2"/>
  <c r="E34" i="2"/>
  <c r="K34" i="2" s="1"/>
  <c r="J29" i="2"/>
  <c r="I29" i="2"/>
  <c r="I31" i="2" s="1"/>
  <c r="I32" i="2" s="1"/>
  <c r="H29" i="2"/>
  <c r="H31" i="2" s="1"/>
  <c r="H32" i="2" s="1"/>
  <c r="G29" i="2"/>
  <c r="G31" i="2" s="1"/>
  <c r="G32" i="2" s="1"/>
  <c r="F29" i="2"/>
  <c r="F31" i="2" s="1"/>
  <c r="F32" i="2" s="1"/>
  <c r="F47" i="2" s="1"/>
  <c r="F49" i="2" s="1"/>
  <c r="K28" i="2"/>
  <c r="E27" i="2"/>
  <c r="K27" i="2" s="1"/>
  <c r="E26" i="2"/>
  <c r="K26" i="2" s="1"/>
  <c r="E25" i="2"/>
  <c r="K25" i="2" s="1"/>
  <c r="E24" i="2"/>
  <c r="K24" i="2" s="1"/>
  <c r="E23" i="2"/>
  <c r="K23" i="2" s="1"/>
  <c r="E22" i="2"/>
  <c r="K22" i="2" s="1"/>
  <c r="D21" i="2"/>
  <c r="E21" i="2" s="1"/>
  <c r="K21" i="2" s="1"/>
  <c r="E20" i="2"/>
  <c r="E29" i="2" s="1"/>
  <c r="K19" i="2"/>
  <c r="K18" i="2"/>
  <c r="F15" i="2"/>
  <c r="G15" i="2" s="1"/>
  <c r="H15" i="2" s="1"/>
  <c r="I15" i="2" s="1"/>
  <c r="J15" i="2" s="1"/>
  <c r="E15" i="2"/>
  <c r="K15" i="2" s="1"/>
  <c r="J13" i="2"/>
  <c r="I13" i="2"/>
  <c r="H13" i="2"/>
  <c r="G13" i="2"/>
  <c r="F13" i="2"/>
  <c r="D13" i="2"/>
  <c r="A3" i="2"/>
  <c r="K29" i="2" l="1"/>
  <c r="E31" i="2"/>
  <c r="G47" i="2"/>
  <c r="G49" i="2" s="1"/>
  <c r="I45" i="2"/>
  <c r="I47" i="2" s="1"/>
  <c r="I49" i="2" s="1"/>
  <c r="H45" i="2"/>
  <c r="H47" i="2" s="1"/>
  <c r="H49" i="2" s="1"/>
  <c r="J31" i="2"/>
  <c r="J32" i="2" s="1"/>
  <c r="J47" i="2" s="1"/>
  <c r="J49" i="2" s="1"/>
  <c r="J45" i="2"/>
  <c r="K38" i="2"/>
  <c r="K20" i="2"/>
  <c r="D29" i="2"/>
  <c r="D31" i="2" s="1"/>
  <c r="D32" i="2" s="1"/>
  <c r="D36" i="2" s="1"/>
  <c r="D43" i="2"/>
  <c r="K31" i="2" l="1"/>
  <c r="E32" i="2"/>
  <c r="E43" i="2"/>
  <c r="D45" i="2"/>
  <c r="D47" i="2" s="1"/>
  <c r="D49" i="2" s="1"/>
  <c r="D52" i="2" s="1"/>
  <c r="F52" i="2" s="1"/>
  <c r="G52" i="2" s="1"/>
  <c r="H52" i="2" s="1"/>
  <c r="I52" i="2" s="1"/>
  <c r="J52" i="2" s="1"/>
  <c r="E36" i="2" l="1"/>
  <c r="K32" i="2"/>
  <c r="E45" i="2"/>
  <c r="K45" i="2" s="1"/>
  <c r="K43" i="2"/>
  <c r="K52" i="2" l="1"/>
  <c r="E47" i="2"/>
  <c r="K36" i="2"/>
  <c r="O43" i="1" l="1"/>
  <c r="N43" i="1"/>
  <c r="M43" i="1"/>
  <c r="L43" i="1"/>
  <c r="L45" i="1" s="1"/>
  <c r="K43" i="1"/>
  <c r="K45" i="1" s="1"/>
  <c r="I43" i="1"/>
  <c r="I45" i="1" s="1"/>
  <c r="H43" i="1"/>
  <c r="G43" i="1"/>
  <c r="F43" i="1"/>
  <c r="E43" i="1"/>
  <c r="D43" i="1"/>
  <c r="J42" i="1"/>
  <c r="J41" i="1"/>
  <c r="J40" i="1"/>
  <c r="J43" i="1" s="1"/>
  <c r="J45" i="1" s="1"/>
  <c r="L38" i="1"/>
  <c r="M38" i="1" s="1"/>
  <c r="N38" i="1" s="1"/>
  <c r="O38" i="1" s="1"/>
  <c r="O45" i="1" s="1"/>
  <c r="J38" i="1"/>
  <c r="D38" i="1"/>
  <c r="I38" i="1" s="1"/>
  <c r="P36" i="1"/>
  <c r="J36" i="1"/>
  <c r="J34" i="1"/>
  <c r="P34" i="1" s="1"/>
  <c r="J32" i="1"/>
  <c r="O29" i="1"/>
  <c r="N29" i="1"/>
  <c r="M29" i="1"/>
  <c r="L29" i="1"/>
  <c r="K29" i="1"/>
  <c r="K31" i="1" s="1"/>
  <c r="K32" i="1" s="1"/>
  <c r="K47" i="1" s="1"/>
  <c r="K49" i="1" s="1"/>
  <c r="I29" i="1"/>
  <c r="H29" i="1"/>
  <c r="G29" i="1"/>
  <c r="F29" i="1"/>
  <c r="E29" i="1"/>
  <c r="D29" i="1"/>
  <c r="P29" i="1" s="1"/>
  <c r="P28" i="1"/>
  <c r="J27" i="1"/>
  <c r="P27" i="1" s="1"/>
  <c r="J26" i="1"/>
  <c r="P26" i="1" s="1"/>
  <c r="P25" i="1"/>
  <c r="J25" i="1"/>
  <c r="J24" i="1"/>
  <c r="P24" i="1" s="1"/>
  <c r="J23" i="1"/>
  <c r="P23" i="1" s="1"/>
  <c r="J22" i="1"/>
  <c r="P22" i="1" s="1"/>
  <c r="P21" i="1"/>
  <c r="J20" i="1"/>
  <c r="P20" i="1" s="1"/>
  <c r="P19" i="1"/>
  <c r="J19" i="1"/>
  <c r="P18" i="1"/>
  <c r="J18" i="1"/>
  <c r="J29" i="1" s="1"/>
  <c r="J31" i="1" s="1"/>
  <c r="L15" i="1"/>
  <c r="M15" i="1" s="1"/>
  <c r="N15" i="1" s="1"/>
  <c r="O15" i="1" s="1"/>
  <c r="J15" i="1"/>
  <c r="D15" i="1"/>
  <c r="E15" i="1" s="1"/>
  <c r="N13" i="1"/>
  <c r="L13" i="1"/>
  <c r="K13" i="1"/>
  <c r="F13" i="1"/>
  <c r="D13" i="1"/>
  <c r="O12" i="1"/>
  <c r="O13" i="1" s="1"/>
  <c r="N12" i="1"/>
  <c r="M12" i="1"/>
  <c r="M13" i="1" s="1"/>
  <c r="L12" i="1"/>
  <c r="K12" i="1"/>
  <c r="J12" i="1"/>
  <c r="J13" i="1" s="1"/>
  <c r="I12" i="1"/>
  <c r="I13" i="1" s="1"/>
  <c r="H12" i="1"/>
  <c r="H13" i="1" s="1"/>
  <c r="G12" i="1"/>
  <c r="G13" i="1" s="1"/>
  <c r="F12" i="1"/>
  <c r="E12" i="1"/>
  <c r="E13" i="1" s="1"/>
  <c r="P13" i="1" s="1"/>
  <c r="D12" i="1"/>
  <c r="P7" i="1"/>
  <c r="A3" i="1"/>
  <c r="I15" i="1" l="1"/>
  <c r="I31" i="1" s="1"/>
  <c r="I32" i="1" s="1"/>
  <c r="I47" i="1" s="1"/>
  <c r="I49" i="1" s="1"/>
  <c r="F15" i="1"/>
  <c r="F31" i="1"/>
  <c r="F32" i="1" s="1"/>
  <c r="D45" i="1"/>
  <c r="D31" i="1"/>
  <c r="D32" i="1" s="1"/>
  <c r="F38" i="1"/>
  <c r="H38" i="1"/>
  <c r="H45" i="1" s="1"/>
  <c r="F45" i="1"/>
  <c r="F47" i="1" s="1"/>
  <c r="F49" i="1" s="1"/>
  <c r="M31" i="1"/>
  <c r="M32" i="1" s="1"/>
  <c r="N31" i="1"/>
  <c r="N32" i="1" s="1"/>
  <c r="N47" i="1" s="1"/>
  <c r="N49" i="1" s="1"/>
  <c r="O31" i="1"/>
  <c r="O32" i="1" s="1"/>
  <c r="O47" i="1" s="1"/>
  <c r="O49" i="1" s="1"/>
  <c r="M45" i="1"/>
  <c r="E31" i="1"/>
  <c r="E32" i="1" s="1"/>
  <c r="G31" i="1"/>
  <c r="G32" i="1" s="1"/>
  <c r="N45" i="1"/>
  <c r="P12" i="1"/>
  <c r="J47" i="1"/>
  <c r="J49" i="1" s="1"/>
  <c r="G15" i="1"/>
  <c r="H15" i="1"/>
  <c r="P15" i="1" s="1"/>
  <c r="E38" i="1"/>
  <c r="E45" i="1" s="1"/>
  <c r="D47" i="1"/>
  <c r="L31" i="1"/>
  <c r="L32" i="1" s="1"/>
  <c r="L47" i="1" s="1"/>
  <c r="L49" i="1" s="1"/>
  <c r="G38" i="1"/>
  <c r="G45" i="1" s="1"/>
  <c r="P43" i="1"/>
  <c r="P45" i="1" l="1"/>
  <c r="P38" i="1"/>
  <c r="H31" i="1"/>
  <c r="H32" i="1" s="1"/>
  <c r="H47" i="1" s="1"/>
  <c r="H49" i="1" s="1"/>
  <c r="D49" i="1"/>
  <c r="G47" i="1"/>
  <c r="G49" i="1" s="1"/>
  <c r="E47" i="1"/>
  <c r="E49" i="1" s="1"/>
  <c r="P31" i="1"/>
  <c r="M47" i="1"/>
  <c r="M49" i="1" s="1"/>
  <c r="P32" i="1" l="1"/>
  <c r="P52" i="1" s="1"/>
  <c r="P47" i="1"/>
  <c r="D52" i="1"/>
  <c r="E52" i="1" s="1"/>
  <c r="F52" i="1" s="1"/>
  <c r="G52" i="1" s="1"/>
  <c r="H52" i="1" s="1"/>
  <c r="I52" i="1" s="1"/>
  <c r="J52" i="1" s="1"/>
  <c r="K52" i="1" s="1"/>
  <c r="L52" i="1" s="1"/>
  <c r="M52" i="1" s="1"/>
  <c r="N52" i="1" s="1"/>
  <c r="O52" i="1" s="1"/>
  <c r="P49" i="1"/>
</calcChain>
</file>

<file path=xl/sharedStrings.xml><?xml version="1.0" encoding="utf-8"?>
<sst xmlns="http://schemas.openxmlformats.org/spreadsheetml/2006/main" count="324" uniqueCount="76">
  <si>
    <t>KPCo</t>
  </si>
  <si>
    <t>PPA Rider Over Under Recovery</t>
  </si>
  <si>
    <t>Per Books</t>
  </si>
  <si>
    <t>Review Period Total</t>
  </si>
  <si>
    <t>July</t>
  </si>
  <si>
    <t>August</t>
  </si>
  <si>
    <t>September</t>
  </si>
  <si>
    <t>October</t>
  </si>
  <si>
    <t>November</t>
  </si>
  <si>
    <t>December</t>
  </si>
  <si>
    <t>January</t>
  </si>
  <si>
    <t>February</t>
  </si>
  <si>
    <t>March</t>
  </si>
  <si>
    <t>April</t>
  </si>
  <si>
    <t>May</t>
  </si>
  <si>
    <t>June</t>
  </si>
  <si>
    <t>Revenue:</t>
  </si>
  <si>
    <t>Billed &amp; Accrued Revenue</t>
  </si>
  <si>
    <t>Adjustments</t>
  </si>
  <si>
    <t>Base Rates:</t>
  </si>
  <si>
    <t>Monthly Approved PPA Base Amount included in Base Rates</t>
  </si>
  <si>
    <t>Expense:</t>
  </si>
  <si>
    <t xml:space="preserve">Account No. </t>
  </si>
  <si>
    <t>Account Description</t>
  </si>
  <si>
    <t>PJM NITS Expense - Non-Affiliated</t>
  </si>
  <si>
    <t>PJM TO Serv Expense - Affiliated</t>
  </si>
  <si>
    <t>Firm and Non-Firm Point to Point Transmision Revenues</t>
  </si>
  <si>
    <t>RTO Formation Costs</t>
  </si>
  <si>
    <t>Network Integrated Transmission Service</t>
  </si>
  <si>
    <t>Schedule 1a Charges</t>
  </si>
  <si>
    <t>Transmission Enhancement Charges</t>
  </si>
  <si>
    <t>PJM NITS Expense - Affilated</t>
  </si>
  <si>
    <t xml:space="preserve">(Over) Under Recovery of PJM OATT LSE Charges </t>
  </si>
  <si>
    <t>Previously 80%, now 100% above or below recovery in base rates allowable for recovery</t>
  </si>
  <si>
    <t xml:space="preserve">FERC Return in excess of Kentucky Retail Return </t>
  </si>
  <si>
    <r>
      <t>Recovery of Declining Deferral of Rockport Costs</t>
    </r>
    <r>
      <rPr>
        <b/>
        <sz val="10"/>
        <color rgb="FFFF0000"/>
        <rFont val="Arial"/>
        <family val="2"/>
      </rPr>
      <t xml:space="preserve"> (UPDATE Every January through 2022)</t>
    </r>
  </si>
  <si>
    <t>Non-OATT LSE amount in base rates</t>
  </si>
  <si>
    <t>ESTIMATE - Day 3 - 100% of Interruptible Service Credits &amp; Forced Outage Related Purchase Power Expense</t>
  </si>
  <si>
    <t>Reversal of Day 3 estimates</t>
  </si>
  <si>
    <t>ACTUALS - Post Close - True up of Prior Month 100% of Interruptible Service Credits &amp; FO Expense</t>
  </si>
  <si>
    <t>Total Non-OATT LSE at 100%</t>
  </si>
  <si>
    <t>Total Non-OATT LSE at 100% less amount in Base Rates</t>
  </si>
  <si>
    <t>(Over) Under Recovery of Base Rates (Step 1)</t>
  </si>
  <si>
    <t>Current month (Over) Under Recovery of Base Rates</t>
  </si>
  <si>
    <t>Cummulative Balance in Regulatory Asset/(Liability)</t>
  </si>
  <si>
    <t>*</t>
  </si>
  <si>
    <t>accounting file</t>
  </si>
  <si>
    <t>13 days of January</t>
  </si>
  <si>
    <t>Billed Revenue</t>
  </si>
  <si>
    <t>PPA Rider set at zero</t>
  </si>
  <si>
    <t>Estimated Billed Revenue (proration)</t>
  </si>
  <si>
    <t>Prior Month Estimated Billed Revenue</t>
  </si>
  <si>
    <t>Unbilled Revenue</t>
  </si>
  <si>
    <t>Prior Month Unbilled Revenue</t>
  </si>
  <si>
    <t xml:space="preserve">Portion of April 2018 Refund for period prior to January 19, 2018 </t>
  </si>
  <si>
    <t>Defer 80% above or below recovery in base rates</t>
  </si>
  <si>
    <t>Prorated for 13/31 days (Applicable January 2018)</t>
  </si>
  <si>
    <t xml:space="preserve">ESTIMATE - Day 3 - 100% of Interruptible Service Credits </t>
  </si>
  <si>
    <t>Reversal of Day 3 estimates - 100% of Interruptible Service Credits</t>
  </si>
  <si>
    <t>ACTUALS - Post Close - True up of Prior Month 100% of Interruptible Service Credits</t>
  </si>
  <si>
    <t xml:space="preserve">*$341,958 cumulative balance is after a $172,035 true up (reduction) entry made in July business </t>
  </si>
  <si>
    <t>PPA Rider set at zero until October 2018</t>
  </si>
  <si>
    <t>80% above or below recovery in base rates allowable for recovery</t>
  </si>
  <si>
    <t>Total</t>
  </si>
  <si>
    <t>Purchase Power VCS Credit</t>
  </si>
  <si>
    <t>Recovery of Amortization of Interest Expense Deferral (October 2021-September 2022)</t>
  </si>
  <si>
    <t>Month</t>
  </si>
  <si>
    <t>Line No.</t>
  </si>
  <si>
    <t>Kentucky Power Company</t>
  </si>
  <si>
    <t>KPSC Case No. 2022-00283</t>
  </si>
  <si>
    <t>AG-KIUC’s First Set of Data Requests</t>
  </si>
  <si>
    <t>Dated September 26, 2022</t>
  </si>
  <si>
    <t>Item No. 6</t>
  </si>
  <si>
    <t>Attachment 1</t>
  </si>
  <si>
    <t>Recovery of Declining Deferral of Rockport Costs*</t>
  </si>
  <si>
    <t xml:space="preserve">* Reflects actual amounts recorded by Kentucky Power Company through August 2022, and amounts Kentucky Power Company expects to record September 2022 through December 2022, in accordance with the final order in Case No. 2017-00179.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</si>
</sst>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0.00000%"/>
    <numFmt numFmtId="166" formatCode="_(* #,##0_);_(* \(#,##0\);_(* &quot;-&quot;??_);_(@_)"/>
  </numFmts>
  <fonts count="14">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sz val="10"/>
      <name val="Arial"/>
      <family val="2"/>
    </font>
    <font>
      <sz val="12"/>
      <name val="Arial"/>
      <family val="2"/>
    </font>
    <font>
      <b/>
      <sz val="10"/>
      <color rgb="FFFF0000"/>
      <name val="Arial"/>
      <family val="2"/>
    </font>
    <font>
      <b/>
      <u/>
      <sz val="10"/>
      <name val="Arial"/>
      <family val="2"/>
    </font>
    <font>
      <b/>
      <sz val="10"/>
      <name val="Arial"/>
      <family val="2"/>
    </font>
    <font>
      <sz val="10"/>
      <name val="Arial Unicode MS"/>
      <family val="2"/>
    </font>
    <font>
      <sz val="8"/>
      <name val="Calibri"/>
      <family val="2"/>
      <scheme val="minor"/>
    </font>
    <font>
      <sz val="10"/>
      <name val="Arial Unicode MS"/>
    </font>
    <font>
      <b/>
      <sz val="10"/>
      <name val="Arial Unicode MS"/>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0" fontId="9" fillId="0" borderId="0"/>
    <xf numFmtId="44" fontId="4" fillId="0" borderId="0" applyFont="0" applyFill="0" applyBorder="0" applyAlignment="0" applyProtection="0"/>
    <xf numFmtId="0" fontId="11" fillId="0" borderId="0"/>
    <xf numFmtId="43" fontId="1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cellStyleXfs>
  <cellXfs count="103">
    <xf numFmtId="0" fontId="0" fillId="0" borderId="0" xfId="0"/>
    <xf numFmtId="0" fontId="3" fillId="0" borderId="0" xfId="0" applyFont="1"/>
    <xf numFmtId="0" fontId="4" fillId="0" borderId="0" xfId="0" applyFont="1"/>
    <xf numFmtId="0" fontId="5" fillId="0" borderId="0" xfId="0" applyFont="1"/>
    <xf numFmtId="43" fontId="4" fillId="0" borderId="0" xfId="0" applyNumberFormat="1" applyFont="1"/>
    <xf numFmtId="0" fontId="4" fillId="0" borderId="0" xfId="0" applyFont="1" applyAlignment="1">
      <alignment horizontal="left"/>
    </xf>
    <xf numFmtId="0" fontId="6" fillId="0" borderId="0" xfId="0" applyFont="1" applyAlignment="1">
      <alignment horizontal="center"/>
    </xf>
    <xf numFmtId="0" fontId="4" fillId="0" borderId="0" xfId="0" applyFont="1" applyAlignment="1">
      <alignment horizontal="center"/>
    </xf>
    <xf numFmtId="0" fontId="7" fillId="0" borderId="0" xfId="0" applyFont="1"/>
    <xf numFmtId="0" fontId="7" fillId="0" borderId="0" xfId="0" applyFont="1" applyAlignment="1">
      <alignment horizontal="center"/>
    </xf>
    <xf numFmtId="43" fontId="4" fillId="0" borderId="0" xfId="1" applyFont="1" applyFill="1"/>
    <xf numFmtId="38" fontId="4" fillId="0" borderId="0" xfId="0" applyNumberFormat="1" applyFont="1"/>
    <xf numFmtId="44" fontId="4" fillId="0" borderId="0" xfId="2" applyFont="1" applyFill="1"/>
    <xf numFmtId="38" fontId="4" fillId="0" borderId="1" xfId="0" applyNumberFormat="1" applyFont="1" applyBorder="1"/>
    <xf numFmtId="0" fontId="8" fillId="0" borderId="0" xfId="0" applyFont="1"/>
    <xf numFmtId="40" fontId="4" fillId="0" borderId="2" xfId="0" applyNumberFormat="1" applyFont="1" applyBorder="1"/>
    <xf numFmtId="40" fontId="4" fillId="0" borderId="0" xfId="0" applyNumberFormat="1" applyFont="1"/>
    <xf numFmtId="0" fontId="8" fillId="0" borderId="0" xfId="4" applyFont="1"/>
    <xf numFmtId="40" fontId="4" fillId="0" borderId="0" xfId="5" applyNumberFormat="1" applyFont="1"/>
    <xf numFmtId="40" fontId="7" fillId="0" borderId="0" xfId="0" applyNumberFormat="1" applyFont="1" applyAlignment="1">
      <alignment horizontal="center"/>
    </xf>
    <xf numFmtId="43" fontId="4" fillId="0" borderId="0" xfId="1" applyFont="1" applyFill="1" applyBorder="1" applyAlignment="1">
      <alignment horizontal="right"/>
    </xf>
    <xf numFmtId="43" fontId="4" fillId="0" borderId="0" xfId="6" applyNumberFormat="1" applyFont="1" applyFill="1" applyBorder="1"/>
    <xf numFmtId="44" fontId="4" fillId="0" borderId="0" xfId="6" applyFont="1" applyFill="1" applyBorder="1"/>
    <xf numFmtId="0" fontId="8" fillId="0" borderId="0" xfId="0" applyFont="1" applyAlignment="1">
      <alignment horizontal="left"/>
    </xf>
    <xf numFmtId="44" fontId="4" fillId="0" borderId="2" xfId="2" applyFont="1" applyFill="1" applyBorder="1"/>
    <xf numFmtId="9" fontId="4" fillId="0" borderId="0" xfId="0" applyNumberFormat="1" applyFont="1" applyAlignment="1">
      <alignment horizontal="left"/>
    </xf>
    <xf numFmtId="38" fontId="4" fillId="0" borderId="0" xfId="1" applyNumberFormat="1" applyFont="1" applyFill="1" applyBorder="1" applyAlignment="1">
      <alignment horizontal="right"/>
    </xf>
    <xf numFmtId="164" fontId="4" fillId="0" borderId="0" xfId="2" applyNumberFormat="1" applyFont="1" applyFill="1" applyBorder="1"/>
    <xf numFmtId="44" fontId="4" fillId="0" borderId="1" xfId="6" applyFont="1" applyFill="1" applyBorder="1"/>
    <xf numFmtId="44" fontId="4" fillId="0" borderId="0" xfId="0" applyNumberFormat="1" applyFont="1"/>
    <xf numFmtId="40" fontId="4" fillId="0" borderId="3" xfId="0" applyNumberFormat="1" applyFont="1" applyBorder="1"/>
    <xf numFmtId="0" fontId="4" fillId="0" borderId="2" xfId="4" applyBorder="1"/>
    <xf numFmtId="0" fontId="4" fillId="0" borderId="2" xfId="0" applyFont="1" applyBorder="1"/>
    <xf numFmtId="43" fontId="4" fillId="0" borderId="2" xfId="0" applyNumberFormat="1" applyFont="1" applyBorder="1"/>
    <xf numFmtId="0" fontId="4" fillId="0" borderId="0" xfId="4"/>
    <xf numFmtId="164" fontId="4" fillId="0" borderId="0" xfId="2" applyNumberFormat="1" applyFont="1" applyFill="1"/>
    <xf numFmtId="165" fontId="4" fillId="0" borderId="0" xfId="3" applyNumberFormat="1" applyFont="1" applyFill="1"/>
    <xf numFmtId="0" fontId="4" fillId="2" borderId="0" xfId="0" applyFont="1" applyFill="1"/>
    <xf numFmtId="0" fontId="3" fillId="2" borderId="0" xfId="0" applyFont="1" applyFill="1"/>
    <xf numFmtId="0" fontId="6" fillId="2" borderId="0" xfId="0" applyFont="1" applyFill="1" applyAlignment="1">
      <alignment horizontal="center"/>
    </xf>
    <xf numFmtId="0" fontId="4" fillId="2" borderId="0" xfId="0" applyFont="1" applyFill="1" applyAlignment="1">
      <alignment horizontal="center"/>
    </xf>
    <xf numFmtId="0" fontId="7" fillId="2" borderId="0" xfId="0" applyFont="1" applyFill="1"/>
    <xf numFmtId="0" fontId="7" fillId="2" borderId="0" xfId="0" applyFont="1" applyFill="1" applyAlignment="1">
      <alignment horizontal="center"/>
    </xf>
    <xf numFmtId="43" fontId="4" fillId="2" borderId="0" xfId="1" applyFont="1" applyFill="1"/>
    <xf numFmtId="44" fontId="4" fillId="2" borderId="0" xfId="0" applyNumberFormat="1" applyFont="1" applyFill="1"/>
    <xf numFmtId="44" fontId="4" fillId="2" borderId="0" xfId="2" applyFont="1" applyFill="1"/>
    <xf numFmtId="0" fontId="8" fillId="2" borderId="0" xfId="0" applyFont="1" applyFill="1"/>
    <xf numFmtId="40" fontId="4" fillId="2" borderId="2" xfId="0" applyNumberFormat="1" applyFont="1" applyFill="1" applyBorder="1"/>
    <xf numFmtId="0" fontId="8" fillId="2" borderId="0" xfId="4" applyFont="1" applyFill="1"/>
    <xf numFmtId="38" fontId="4" fillId="2" borderId="0" xfId="0" applyNumberFormat="1" applyFont="1" applyFill="1"/>
    <xf numFmtId="40" fontId="4" fillId="2" borderId="0" xfId="5" applyNumberFormat="1" applyFont="1" applyFill="1"/>
    <xf numFmtId="40" fontId="7" fillId="2" borderId="0" xfId="0" applyNumberFormat="1" applyFont="1" applyFill="1" applyAlignment="1">
      <alignment horizontal="center"/>
    </xf>
    <xf numFmtId="0" fontId="4" fillId="2" borderId="0" xfId="0" applyFont="1" applyFill="1" applyAlignment="1">
      <alignment horizontal="left"/>
    </xf>
    <xf numFmtId="43" fontId="4" fillId="2" borderId="0" xfId="1" applyFont="1" applyFill="1" applyBorder="1" applyAlignment="1">
      <alignment horizontal="right"/>
    </xf>
    <xf numFmtId="0" fontId="8" fillId="2" borderId="0" xfId="0" applyFont="1" applyFill="1" applyAlignment="1">
      <alignment horizontal="left"/>
    </xf>
    <xf numFmtId="43" fontId="4" fillId="2" borderId="2" xfId="1" applyFont="1" applyFill="1" applyBorder="1" applyAlignment="1">
      <alignment horizontal="right"/>
    </xf>
    <xf numFmtId="9" fontId="4" fillId="2" borderId="0" xfId="0" applyNumberFormat="1" applyFont="1" applyFill="1" applyAlignment="1">
      <alignment horizontal="left"/>
    </xf>
    <xf numFmtId="44" fontId="4" fillId="2" borderId="0" xfId="6" applyFont="1" applyFill="1" applyBorder="1"/>
    <xf numFmtId="40" fontId="4" fillId="2" borderId="0" xfId="0" applyNumberFormat="1" applyFont="1" applyFill="1"/>
    <xf numFmtId="43" fontId="4" fillId="2" borderId="1" xfId="1" applyFont="1" applyFill="1" applyBorder="1" applyAlignment="1">
      <alignment horizontal="right"/>
    </xf>
    <xf numFmtId="43" fontId="4" fillId="2" borderId="3" xfId="1" applyFont="1" applyFill="1" applyBorder="1" applyAlignment="1">
      <alignment horizontal="right"/>
    </xf>
    <xf numFmtId="0" fontId="4" fillId="2" borderId="2" xfId="4" applyFill="1" applyBorder="1"/>
    <xf numFmtId="0" fontId="4" fillId="2" borderId="2" xfId="0" applyFont="1" applyFill="1" applyBorder="1"/>
    <xf numFmtId="43" fontId="4" fillId="2" borderId="2" xfId="0" applyNumberFormat="1" applyFont="1" applyFill="1" applyBorder="1"/>
    <xf numFmtId="0" fontId="4" fillId="2" borderId="0" xfId="4" applyFill="1"/>
    <xf numFmtId="43" fontId="4" fillId="2" borderId="0" xfId="0" applyNumberFormat="1" applyFont="1" applyFill="1"/>
    <xf numFmtId="164" fontId="4" fillId="2" borderId="0" xfId="2" applyNumberFormat="1" applyFont="1" applyFill="1"/>
    <xf numFmtId="40" fontId="0" fillId="0" borderId="0" xfId="0" applyNumberFormat="1"/>
    <xf numFmtId="43" fontId="0" fillId="0" borderId="0" xfId="1" applyFont="1"/>
    <xf numFmtId="43" fontId="0" fillId="0" borderId="3" xfId="1" applyFont="1" applyBorder="1"/>
    <xf numFmtId="0" fontId="2" fillId="0" borderId="0" xfId="0" applyFont="1"/>
    <xf numFmtId="0" fontId="0" fillId="0" borderId="0" xfId="0" applyFont="1"/>
    <xf numFmtId="0" fontId="2" fillId="0" borderId="0" xfId="0" applyFont="1" applyAlignment="1">
      <alignment horizontal="center"/>
    </xf>
    <xf numFmtId="0" fontId="13" fillId="0" borderId="0" xfId="0" applyFont="1"/>
    <xf numFmtId="166" fontId="4" fillId="0" borderId="0" xfId="1" applyNumberFormat="1" applyFont="1" applyFill="1"/>
    <xf numFmtId="166" fontId="4" fillId="0" borderId="2" xfId="0" applyNumberFormat="1" applyFont="1" applyBorder="1"/>
    <xf numFmtId="166" fontId="4" fillId="0" borderId="0" xfId="1" applyNumberFormat="1" applyFont="1" applyFill="1" applyBorder="1" applyAlignment="1">
      <alignment horizontal="right"/>
    </xf>
    <xf numFmtId="166" fontId="4" fillId="0" borderId="0" xfId="6" applyNumberFormat="1" applyFont="1" applyFill="1" applyBorder="1"/>
    <xf numFmtId="166" fontId="4" fillId="0" borderId="2" xfId="2" applyNumberFormat="1" applyFont="1" applyFill="1" applyBorder="1"/>
    <xf numFmtId="164" fontId="4" fillId="0" borderId="0" xfId="0" applyNumberFormat="1" applyFont="1"/>
    <xf numFmtId="164" fontId="4" fillId="0" borderId="0" xfId="6" applyNumberFormat="1" applyFont="1" applyFill="1" applyBorder="1"/>
    <xf numFmtId="164" fontId="4" fillId="0" borderId="1" xfId="6" applyNumberFormat="1" applyFont="1" applyFill="1" applyBorder="1"/>
    <xf numFmtId="164" fontId="4" fillId="0" borderId="3" xfId="0" applyNumberFormat="1" applyFont="1" applyBorder="1"/>
    <xf numFmtId="164" fontId="4" fillId="0" borderId="0" xfId="1" applyNumberFormat="1" applyFont="1" applyFill="1"/>
    <xf numFmtId="43" fontId="0" fillId="0" borderId="0" xfId="0" applyNumberFormat="1"/>
    <xf numFmtId="0" fontId="0" fillId="0" borderId="0" xfId="0" applyAlignment="1">
      <alignment horizontal="center"/>
    </xf>
    <xf numFmtId="0" fontId="2" fillId="0" borderId="0" xfId="0" applyFont="1" applyAlignment="1">
      <alignment horizontal="center" wrapText="1"/>
    </xf>
    <xf numFmtId="0" fontId="0" fillId="0" borderId="0" xfId="0" applyAlignment="1">
      <alignment horizontal="left" vertical="top" wrapText="1"/>
    </xf>
    <xf numFmtId="0" fontId="2" fillId="0" borderId="0" xfId="0" applyFont="1" applyAlignment="1">
      <alignment horizontal="center"/>
    </xf>
    <xf numFmtId="0" fontId="3" fillId="2" borderId="0" xfId="0" applyFont="1" applyFill="1" applyAlignment="1">
      <alignment horizont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0" xfId="0" applyAlignment="1">
      <alignment horizontal="center" vertical="top"/>
    </xf>
  </cellXfs>
  <cellStyles count="11">
    <cellStyle name="Comma" xfId="1" builtinId="3"/>
    <cellStyle name="Comma 2" xfId="8" xr:uid="{89810802-773F-42E7-B5A2-532C5AD2366F}"/>
    <cellStyle name="Currency" xfId="2" builtinId="4"/>
    <cellStyle name="Currency 2" xfId="6" xr:uid="{055C2D18-11D6-4772-AB45-A637C3BA70AB}"/>
    <cellStyle name="Currency 2 2" xfId="10" xr:uid="{9E3B60AE-396B-4924-985A-D9F5B1C94916}"/>
    <cellStyle name="Currency 3" xfId="9" xr:uid="{74EB5ED0-6C6F-49C1-82F4-FD5A4092CBBB}"/>
    <cellStyle name="Normal" xfId="0" builtinId="0"/>
    <cellStyle name="Normal 13 2" xfId="5" xr:uid="{5C14BA59-4349-4275-AE71-94D0565E61E6}"/>
    <cellStyle name="Normal 2" xfId="7" xr:uid="{216C1A4A-AF2C-4D84-AC2B-85822DBA117F}"/>
    <cellStyle name="Normal_Summary" xfId="4" xr:uid="{1293F212-96E8-433D-8ADA-5E49606EB1F5}"/>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ternal\Regulatory%20Services\2014%20Compliance%20Plan\Workpapers\Mitchell%20Environmental%20Expenses,%201-1-14%20--%209-3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213167\Downloads\PPA_2018_Annual_Upd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213167\Downloads\Revised_KPCO_2019_Annual_Update%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213167\Downloads\KPCO_PPA_2020_Annual_Update%20(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213167\Downloads\Revised_KPCo_PPA_2021_Annual_Update%2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213167\Downloads\KPCo_PPA_2022_Annual_Updat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VY"/>
      <sheetName val="FGD"/>
      <sheetName val="Non-FGD"/>
      <sheetName val="Depreciation"/>
      <sheetName val="February"/>
      <sheetName val="March"/>
      <sheetName val="April"/>
      <sheetName val="May"/>
      <sheetName val="June"/>
      <sheetName val="July"/>
      <sheetName val="August"/>
      <sheetName val="September"/>
      <sheetName val="October"/>
      <sheetName val="ADFIT"/>
      <sheetName val="S2"/>
      <sheetName val="AN"/>
      <sheetName val="NOx"/>
      <sheetName val="Cash Working Capital"/>
      <sheetName val="Property Tax"/>
      <sheetName val="Summary"/>
      <sheetName val="Precipitator O &amp; 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2">
          <cell r="B2">
            <v>2.1464E-2</v>
          </cell>
        </row>
        <row r="4">
          <cell r="B4">
            <v>0.6</v>
          </cell>
        </row>
        <row r="6">
          <cell r="B6">
            <v>0.05</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A Form 1.0"/>
      <sheetName val="PPA Form 2.0"/>
      <sheetName val="PPA Form 3.0"/>
      <sheetName val="PPA Form 3.0a"/>
      <sheetName val="PPA Form 4.0"/>
      <sheetName val="PPA Form 5.0"/>
      <sheetName val="Retail vs TO"/>
      <sheetName val="Rockport Deferral"/>
      <sheetName val="Rockport Savings-Offset"/>
      <sheetName val="Input Sheet"/>
      <sheetName val="GRCF"/>
    </sheetNames>
    <sheetDataSet>
      <sheetData sheetId="0"/>
      <sheetData sheetId="1"/>
      <sheetData sheetId="2"/>
      <sheetData sheetId="3"/>
      <sheetData sheetId="4"/>
      <sheetData sheetId="5"/>
      <sheetData sheetId="6"/>
      <sheetData sheetId="7"/>
      <sheetData sheetId="8"/>
      <sheetData sheetId="9">
        <row r="2">
          <cell r="A2" t="str">
            <v>Six-Month Period ended June 30, 2018</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A Form 1.0"/>
      <sheetName val="PPA Form 2.0"/>
      <sheetName val="PPA Form 3.0"/>
      <sheetName val="PPA Form 3.0a"/>
      <sheetName val="PPA Form 4.0"/>
      <sheetName val="PPA Form 5.0"/>
      <sheetName val="Retail vs TO"/>
      <sheetName val="Rockport Deferral"/>
      <sheetName val="Rockport Savings-Offset"/>
      <sheetName val="Input Sheet"/>
      <sheetName val="GRCF"/>
    </sheetNames>
    <sheetDataSet>
      <sheetData sheetId="0"/>
      <sheetData sheetId="1"/>
      <sheetData sheetId="2"/>
      <sheetData sheetId="3"/>
      <sheetData sheetId="4"/>
      <sheetData sheetId="5">
        <row r="15">
          <cell r="D15">
            <v>74038517.030000001</v>
          </cell>
        </row>
        <row r="22">
          <cell r="D22">
            <v>34547.333333333336</v>
          </cell>
        </row>
      </sheetData>
      <sheetData sheetId="6"/>
      <sheetData sheetId="7"/>
      <sheetData sheetId="8"/>
      <sheetData sheetId="9">
        <row r="2">
          <cell r="A2" t="str">
            <v>12 -Month Period ended June 30, 2019</v>
          </cell>
        </row>
      </sheetData>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A Form 1.0"/>
      <sheetName val="PPA Form 2.0"/>
      <sheetName val="PPA Form 3.0"/>
      <sheetName val="PPA Form 3.0a"/>
      <sheetName val="PPA Form 4.0"/>
      <sheetName val="PPA Form 5.0"/>
      <sheetName val="Retail vs TO"/>
      <sheetName val="Rockport Deferral"/>
      <sheetName val="Rockport Savings-Offset"/>
      <sheetName val="Input Sheet"/>
      <sheetName val="GRCF"/>
    </sheetNames>
    <sheetDataSet>
      <sheetData sheetId="0"/>
      <sheetData sheetId="1"/>
      <sheetData sheetId="2"/>
      <sheetData sheetId="3"/>
      <sheetData sheetId="4"/>
      <sheetData sheetId="5">
        <row r="15">
          <cell r="D15">
            <v>74038517.030000001</v>
          </cell>
        </row>
        <row r="22">
          <cell r="D22">
            <v>34547.333333333336</v>
          </cell>
        </row>
      </sheetData>
      <sheetData sheetId="6"/>
      <sheetData sheetId="7"/>
      <sheetData sheetId="8"/>
      <sheetData sheetId="9">
        <row r="2">
          <cell r="A2" t="str">
            <v>12 -Month Period ended June 30, 2020</v>
          </cell>
        </row>
      </sheetData>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A Form 1.0"/>
      <sheetName val="PPA Form 2.0"/>
      <sheetName val="PPA Form 3.0"/>
      <sheetName val="PPA Form 3.0a"/>
      <sheetName val="PPA Form 4.0"/>
      <sheetName val="PPA Form 5.0"/>
      <sheetName val="Retail vs TO"/>
      <sheetName val="Input Sheet"/>
      <sheetName val="LTD Cost Deferral"/>
      <sheetName val="GRCF"/>
      <sheetName val="Rockport Deferral"/>
      <sheetName val="Rockport Savings-Offset"/>
    </sheetNames>
    <sheetDataSet>
      <sheetData sheetId="0"/>
      <sheetData sheetId="1"/>
      <sheetData sheetId="2"/>
      <sheetData sheetId="3"/>
      <sheetData sheetId="4"/>
      <sheetData sheetId="5">
        <row r="15">
          <cell r="D15">
            <v>74038517.030000001</v>
          </cell>
        </row>
        <row r="22">
          <cell r="D22">
            <v>34547.333333333336</v>
          </cell>
        </row>
      </sheetData>
      <sheetData sheetId="6"/>
      <sheetData sheetId="7">
        <row r="2">
          <cell r="A2" t="str">
            <v>12 -Month Period ended June 30, 2021</v>
          </cell>
        </row>
      </sheetData>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A Form 1.0"/>
      <sheetName val="PPA Form 2.0"/>
      <sheetName val="PPA Form 3.0"/>
      <sheetName val="PPA Form 3.0a"/>
      <sheetName val="PPA Form 4.0"/>
      <sheetName val="PPA Form 5.0"/>
      <sheetName val="Retail vs TO"/>
      <sheetName val="Input Sheet"/>
      <sheetName val="GRCF"/>
      <sheetName val="Rockport Deferral"/>
      <sheetName val="Rockport Savings-Offset"/>
    </sheetNames>
    <sheetDataSet>
      <sheetData sheetId="0"/>
      <sheetData sheetId="1"/>
      <sheetData sheetId="2"/>
      <sheetData sheetId="3"/>
      <sheetData sheetId="4"/>
      <sheetData sheetId="5">
        <row r="61">
          <cell r="D61">
            <v>105767.06084981</v>
          </cell>
        </row>
      </sheetData>
      <sheetData sheetId="6"/>
      <sheetData sheetId="7">
        <row r="2">
          <cell r="A2" t="str">
            <v>12 -Month Period ended June 30, 2022</v>
          </cell>
        </row>
      </sheetData>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0B63E-7120-4F3B-9CF5-2EFFCE6EE5CC}">
  <dimension ref="A1:O25"/>
  <sheetViews>
    <sheetView tabSelected="1" workbookViewId="0">
      <selection activeCell="N22" sqref="N22"/>
    </sheetView>
  </sheetViews>
  <sheetFormatPr defaultRowHeight="15"/>
  <cols>
    <col min="1" max="1" width="4.7109375" style="85" customWidth="1"/>
    <col min="2" max="2" width="10.85546875" bestFit="1" customWidth="1"/>
    <col min="3" max="4" width="5.140625" bestFit="1" customWidth="1"/>
    <col min="5" max="7" width="13.28515625" bestFit="1" customWidth="1"/>
    <col min="12" max="12" width="12.42578125" bestFit="1" customWidth="1"/>
  </cols>
  <sheetData>
    <row r="1" spans="1:15">
      <c r="A1" t="s">
        <v>69</v>
      </c>
    </row>
    <row r="2" spans="1:15">
      <c r="A2" t="s">
        <v>70</v>
      </c>
    </row>
    <row r="3" spans="1:15">
      <c r="A3" t="s">
        <v>71</v>
      </c>
    </row>
    <row r="4" spans="1:15">
      <c r="A4" t="s">
        <v>72</v>
      </c>
    </row>
    <row r="5" spans="1:15">
      <c r="A5" t="s">
        <v>73</v>
      </c>
    </row>
    <row r="7" spans="1:15">
      <c r="C7" s="88" t="s">
        <v>68</v>
      </c>
      <c r="D7" s="88"/>
      <c r="E7" s="88"/>
      <c r="F7" s="88"/>
      <c r="G7" s="88"/>
    </row>
    <row r="8" spans="1:15">
      <c r="C8" s="88" t="s">
        <v>74</v>
      </c>
      <c r="D8" s="88"/>
      <c r="E8" s="88"/>
      <c r="F8" s="88"/>
      <c r="G8" s="88"/>
    </row>
    <row r="9" spans="1:15" ht="30">
      <c r="A9" s="86" t="s">
        <v>67</v>
      </c>
      <c r="B9" s="70" t="s">
        <v>66</v>
      </c>
      <c r="C9" s="72">
        <v>2018</v>
      </c>
      <c r="D9" s="72">
        <v>2019</v>
      </c>
      <c r="E9" s="72">
        <v>2020</v>
      </c>
      <c r="F9" s="72">
        <v>2021</v>
      </c>
      <c r="G9" s="72">
        <v>2022</v>
      </c>
    </row>
    <row r="10" spans="1:15">
      <c r="A10" s="85">
        <v>1</v>
      </c>
      <c r="B10" s="71" t="s">
        <v>10</v>
      </c>
      <c r="C10" s="68">
        <v>0</v>
      </c>
      <c r="D10" s="68">
        <v>0</v>
      </c>
      <c r="E10" s="68">
        <f>'PPA Form 3.0a - July19-June20'!J36</f>
        <v>416666.67</v>
      </c>
      <c r="F10" s="68">
        <f>'PPA Form 3.0a - July20-June21'!J36</f>
        <v>833333.34</v>
      </c>
      <c r="G10" s="68">
        <f>'PPA Form 3.0a - July21-June22'!J32</f>
        <v>833333.33</v>
      </c>
      <c r="L10" s="67"/>
      <c r="M10" s="67"/>
      <c r="N10" s="67"/>
      <c r="O10" s="67"/>
    </row>
    <row r="11" spans="1:15">
      <c r="A11" s="85">
        <f>A10+1</f>
        <v>2</v>
      </c>
      <c r="B11" s="71" t="s">
        <v>11</v>
      </c>
      <c r="C11" s="68">
        <v>0</v>
      </c>
      <c r="D11" s="68">
        <v>0</v>
      </c>
      <c r="E11" s="68">
        <f>'PPA Form 3.0a - July19-June20'!K36</f>
        <v>416666.67</v>
      </c>
      <c r="F11" s="68">
        <f>'PPA Form 3.0a - July20-June21'!K36</f>
        <v>833333.33</v>
      </c>
      <c r="G11" s="68">
        <f>'PPA Form 3.0a - July21-June22'!K32</f>
        <v>833333.33</v>
      </c>
    </row>
    <row r="12" spans="1:15">
      <c r="A12" s="85">
        <f t="shared" ref="A12:A25" si="0">A11+1</f>
        <v>3</v>
      </c>
      <c r="B12" s="71" t="s">
        <v>12</v>
      </c>
      <c r="C12" s="68">
        <v>0</v>
      </c>
      <c r="D12" s="68">
        <v>0</v>
      </c>
      <c r="E12" s="68">
        <f>'PPA Form 3.0a - July19-June20'!L36</f>
        <v>416666.67</v>
      </c>
      <c r="F12" s="68">
        <f>'PPA Form 3.0a - July20-June21'!L36</f>
        <v>833333.33</v>
      </c>
      <c r="G12" s="68">
        <f>'PPA Form 3.0a - July21-June22'!L32</f>
        <v>833333.33</v>
      </c>
    </row>
    <row r="13" spans="1:15">
      <c r="A13" s="85">
        <f t="shared" si="0"/>
        <v>4</v>
      </c>
      <c r="B13" s="71" t="s">
        <v>13</v>
      </c>
      <c r="C13" s="68">
        <v>0</v>
      </c>
      <c r="D13" s="68">
        <v>0</v>
      </c>
      <c r="E13" s="68">
        <f>'PPA Form 3.0a - July19-June20'!M36</f>
        <v>416666.67</v>
      </c>
      <c r="F13" s="68">
        <f>'PPA Form 3.0a - July20-June21'!M36</f>
        <v>833333.33</v>
      </c>
      <c r="G13" s="68">
        <f>'PPA Form 3.0a - July21-June22'!M32</f>
        <v>833333.33</v>
      </c>
    </row>
    <row r="14" spans="1:15">
      <c r="A14" s="85">
        <f t="shared" si="0"/>
        <v>5</v>
      </c>
      <c r="B14" s="71" t="s">
        <v>14</v>
      </c>
      <c r="C14" s="68">
        <v>0</v>
      </c>
      <c r="D14" s="68">
        <v>0</v>
      </c>
      <c r="E14" s="68">
        <f>'PPA Form 3.0a - July19-June20'!N36</f>
        <v>416666.67</v>
      </c>
      <c r="F14" s="68">
        <f>'PPA Form 3.0a - July20-June21'!N36</f>
        <v>833333.33</v>
      </c>
      <c r="G14" s="68">
        <f>'PPA Form 3.0a - July21-June22'!N32</f>
        <v>833333.33</v>
      </c>
    </row>
    <row r="15" spans="1:15">
      <c r="A15" s="85">
        <f t="shared" si="0"/>
        <v>6</v>
      </c>
      <c r="B15" s="71" t="s">
        <v>15</v>
      </c>
      <c r="C15" s="68">
        <v>0</v>
      </c>
      <c r="D15" s="68">
        <v>0</v>
      </c>
      <c r="E15" s="68">
        <f>'PPA Form 3.0a - July19-June20'!O36</f>
        <v>416666.67</v>
      </c>
      <c r="F15" s="68">
        <f>'PPA Form 3.0a - July20-June21'!O36</f>
        <v>833333.33</v>
      </c>
      <c r="G15" s="68">
        <f>'PPA Form 3.0a - July21-June22'!O32</f>
        <v>833333.33</v>
      </c>
    </row>
    <row r="16" spans="1:15">
      <c r="A16" s="85">
        <f t="shared" si="0"/>
        <v>7</v>
      </c>
      <c r="B16" s="71" t="s">
        <v>4</v>
      </c>
      <c r="C16" s="68">
        <v>0</v>
      </c>
      <c r="D16" s="68">
        <v>0</v>
      </c>
      <c r="E16" s="68">
        <f>'PPA Form 3.0a - July20-June21'!D36</f>
        <v>416666.67</v>
      </c>
      <c r="F16" s="68">
        <f>'PPA Form 3.0a - July21-June22'!D32</f>
        <v>833333.33</v>
      </c>
      <c r="G16" s="84">
        <f>$G$15</f>
        <v>833333.33</v>
      </c>
    </row>
    <row r="17" spans="1:7">
      <c r="A17" s="85">
        <f t="shared" si="0"/>
        <v>8</v>
      </c>
      <c r="B17" s="71" t="s">
        <v>5</v>
      </c>
      <c r="C17" s="68">
        <v>0</v>
      </c>
      <c r="D17" s="68">
        <v>0</v>
      </c>
      <c r="E17" s="68">
        <f>'PPA Form 3.0a - July20-June21'!E36</f>
        <v>416666.67</v>
      </c>
      <c r="F17" s="68">
        <f>'PPA Form 3.0a - July21-June22'!E32</f>
        <v>833333.33</v>
      </c>
      <c r="G17" s="84">
        <f t="shared" ref="G17:G20" si="1">$G$15</f>
        <v>833333.33</v>
      </c>
    </row>
    <row r="18" spans="1:7">
      <c r="A18" s="85">
        <f t="shared" si="0"/>
        <v>9</v>
      </c>
      <c r="B18" s="71" t="s">
        <v>6</v>
      </c>
      <c r="C18" s="68">
        <v>0</v>
      </c>
      <c r="D18" s="68">
        <v>0</v>
      </c>
      <c r="E18" s="68">
        <f>'PPA Form 3.0a - July20-June21'!F36</f>
        <v>416666.67</v>
      </c>
      <c r="F18" s="68">
        <f>'PPA Form 3.0a - July21-June22'!F32</f>
        <v>833333.33</v>
      </c>
      <c r="G18" s="84">
        <f t="shared" si="1"/>
        <v>833333.33</v>
      </c>
    </row>
    <row r="19" spans="1:7">
      <c r="A19" s="85">
        <f t="shared" si="0"/>
        <v>10</v>
      </c>
      <c r="B19" s="71" t="s">
        <v>7</v>
      </c>
      <c r="C19" s="68">
        <v>0</v>
      </c>
      <c r="D19" s="68">
        <v>0</v>
      </c>
      <c r="E19" s="68">
        <f>'PPA Form 3.0a - July20-June21'!G36</f>
        <v>416666.67</v>
      </c>
      <c r="F19" s="68">
        <f>'PPA Form 3.0a - July21-June22'!G32</f>
        <v>833333.33</v>
      </c>
      <c r="G19" s="84">
        <f t="shared" si="1"/>
        <v>833333.33</v>
      </c>
    </row>
    <row r="20" spans="1:7">
      <c r="A20" s="85">
        <f t="shared" si="0"/>
        <v>11</v>
      </c>
      <c r="B20" s="71" t="s">
        <v>8</v>
      </c>
      <c r="C20" s="68">
        <v>0</v>
      </c>
      <c r="D20" s="68">
        <v>0</v>
      </c>
      <c r="E20" s="68">
        <f>'PPA Form 3.0a - July20-June21'!H36</f>
        <v>416666.67</v>
      </c>
      <c r="F20" s="68">
        <f>'PPA Form 3.0a - July21-June22'!H32</f>
        <v>833333.33</v>
      </c>
      <c r="G20" s="84">
        <f t="shared" si="1"/>
        <v>833333.33</v>
      </c>
    </row>
    <row r="21" spans="1:7">
      <c r="A21" s="85">
        <f t="shared" si="0"/>
        <v>12</v>
      </c>
      <c r="B21" s="71" t="s">
        <v>9</v>
      </c>
      <c r="C21" s="68">
        <v>0</v>
      </c>
      <c r="D21" s="68">
        <v>0</v>
      </c>
      <c r="E21" s="68">
        <f>'PPA Form 3.0a - July20-June21'!I36</f>
        <v>416666.67</v>
      </c>
      <c r="F21" s="68">
        <f>'PPA Form 3.0a - July21-June22'!I32</f>
        <v>833333.33</v>
      </c>
      <c r="G21" s="84">
        <f>$G$15*(8/31)</f>
        <v>215053.76258064515</v>
      </c>
    </row>
    <row r="22" spans="1:7" ht="15.75" thickBot="1">
      <c r="A22" s="85">
        <f t="shared" si="0"/>
        <v>13</v>
      </c>
      <c r="B22" s="70" t="s">
        <v>63</v>
      </c>
      <c r="C22" s="69">
        <f>SUM(C10:C21)</f>
        <v>0</v>
      </c>
      <c r="D22" s="69">
        <f t="shared" ref="D22:E22" si="2">SUM(D10:D21)</f>
        <v>0</v>
      </c>
      <c r="E22" s="69">
        <f t="shared" si="2"/>
        <v>5000000.04</v>
      </c>
      <c r="F22" s="69">
        <f>SUM(F10:F21)</f>
        <v>9999999.9700000007</v>
      </c>
      <c r="G22" s="69">
        <f>SUM(G10:G21)</f>
        <v>9381720.3925806433</v>
      </c>
    </row>
    <row r="23" spans="1:7" ht="15.75" thickTop="1">
      <c r="A23" s="85">
        <f t="shared" si="0"/>
        <v>14</v>
      </c>
    </row>
    <row r="24" spans="1:7">
      <c r="A24" s="85">
        <f t="shared" si="0"/>
        <v>15</v>
      </c>
    </row>
    <row r="25" spans="1:7" ht="67.5" customHeight="1">
      <c r="A25" s="102">
        <f t="shared" si="0"/>
        <v>16</v>
      </c>
      <c r="B25" s="87" t="s">
        <v>75</v>
      </c>
      <c r="C25" s="87"/>
      <c r="D25" s="87"/>
      <c r="E25" s="87"/>
      <c r="F25" s="87"/>
      <c r="G25" s="87"/>
    </row>
  </sheetData>
  <mergeCells count="3">
    <mergeCell ref="B25:G25"/>
    <mergeCell ref="C8:G8"/>
    <mergeCell ref="C7:G7"/>
  </mergeCells>
  <phoneticPr fontId="10" type="noConversion"/>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42FCC-383A-4C9A-9F91-BBCB2A649AE9}">
  <sheetPr>
    <pageSetUpPr fitToPage="1"/>
  </sheetPr>
  <dimension ref="A1:L54"/>
  <sheetViews>
    <sheetView workbookViewId="0">
      <selection activeCell="A43" sqref="A43"/>
    </sheetView>
  </sheetViews>
  <sheetFormatPr defaultRowHeight="12.75"/>
  <cols>
    <col min="1" max="1" width="14.7109375" style="37" customWidth="1"/>
    <col min="2" max="2" width="16.85546875" style="37" customWidth="1"/>
    <col min="3" max="3" width="71.140625" style="37" customWidth="1"/>
    <col min="4" max="11" width="17" style="37" customWidth="1"/>
    <col min="12" max="16384" width="9.140625" style="37"/>
  </cols>
  <sheetData>
    <row r="1" spans="1:11" ht="15">
      <c r="A1" s="89" t="s">
        <v>0</v>
      </c>
      <c r="B1" s="89"/>
      <c r="C1" s="89"/>
      <c r="D1" s="89"/>
      <c r="E1" s="89"/>
      <c r="F1" s="89"/>
      <c r="G1" s="89"/>
      <c r="H1" s="89"/>
      <c r="I1" s="89"/>
      <c r="J1" s="89"/>
      <c r="K1" s="89"/>
    </row>
    <row r="2" spans="1:11" ht="15.75" customHeight="1">
      <c r="A2" s="89" t="s">
        <v>1</v>
      </c>
      <c r="B2" s="89"/>
      <c r="C2" s="89"/>
      <c r="D2" s="89"/>
      <c r="E2" s="89"/>
      <c r="F2" s="89"/>
      <c r="G2" s="89"/>
      <c r="H2" s="89"/>
      <c r="I2" s="89"/>
      <c r="J2" s="89"/>
      <c r="K2" s="89"/>
    </row>
    <row r="3" spans="1:11" ht="15">
      <c r="A3" s="89" t="str">
        <f>'[2]Input Sheet'!A2:D2</f>
        <v>Six-Month Period ended June 30, 2018</v>
      </c>
      <c r="B3" s="89"/>
      <c r="C3" s="89"/>
      <c r="D3" s="89"/>
      <c r="E3" s="89"/>
      <c r="F3" s="89"/>
      <c r="G3" s="89"/>
      <c r="H3" s="89"/>
      <c r="I3" s="89"/>
      <c r="J3" s="89"/>
      <c r="K3" s="89"/>
    </row>
    <row r="4" spans="1:11" ht="15">
      <c r="A4" s="38"/>
      <c r="D4" s="39"/>
      <c r="E4" s="39"/>
      <c r="F4" s="39"/>
      <c r="G4" s="39"/>
      <c r="H4" s="39"/>
      <c r="I4" s="39"/>
      <c r="J4" s="39"/>
    </row>
    <row r="5" spans="1:11">
      <c r="D5" s="40" t="s">
        <v>2</v>
      </c>
      <c r="E5" s="40" t="s">
        <v>47</v>
      </c>
      <c r="F5" s="40" t="s">
        <v>2</v>
      </c>
      <c r="G5" s="40" t="s">
        <v>2</v>
      </c>
      <c r="H5" s="40" t="s">
        <v>2</v>
      </c>
      <c r="I5" s="40" t="s">
        <v>2</v>
      </c>
      <c r="J5" s="40" t="s">
        <v>2</v>
      </c>
      <c r="K5" s="37" t="s">
        <v>3</v>
      </c>
    </row>
    <row r="6" spans="1:11">
      <c r="C6" s="41" t="s">
        <v>0</v>
      </c>
      <c r="D6" s="42" t="s">
        <v>10</v>
      </c>
      <c r="E6" s="42"/>
      <c r="F6" s="42" t="s">
        <v>11</v>
      </c>
      <c r="G6" s="42" t="s">
        <v>12</v>
      </c>
      <c r="H6" s="42" t="s">
        <v>13</v>
      </c>
      <c r="I6" s="42" t="s">
        <v>14</v>
      </c>
      <c r="J6" s="42" t="s">
        <v>15</v>
      </c>
    </row>
    <row r="7" spans="1:11" ht="13.5" thickBot="1">
      <c r="A7" s="41" t="s">
        <v>16</v>
      </c>
      <c r="C7" s="37" t="s">
        <v>48</v>
      </c>
      <c r="D7" s="43"/>
      <c r="E7" s="43"/>
      <c r="F7" s="44"/>
      <c r="G7" s="44"/>
      <c r="H7" s="44"/>
      <c r="I7" s="44"/>
      <c r="J7" s="44"/>
    </row>
    <row r="8" spans="1:11">
      <c r="A8" s="90" t="s">
        <v>49</v>
      </c>
      <c r="B8" s="91"/>
      <c r="C8" s="37" t="s">
        <v>50</v>
      </c>
      <c r="D8" s="43"/>
      <c r="E8" s="43"/>
      <c r="F8" s="44"/>
      <c r="G8" s="44"/>
      <c r="H8" s="44"/>
      <c r="I8" s="44"/>
      <c r="J8" s="44"/>
    </row>
    <row r="9" spans="1:11">
      <c r="A9" s="92"/>
      <c r="B9" s="93"/>
      <c r="C9" s="37" t="s">
        <v>51</v>
      </c>
      <c r="D9" s="43"/>
      <c r="E9" s="43"/>
      <c r="F9" s="44"/>
      <c r="G9" s="44"/>
      <c r="H9" s="44"/>
      <c r="I9" s="44"/>
      <c r="J9" s="44"/>
    </row>
    <row r="10" spans="1:11">
      <c r="A10" s="92"/>
      <c r="B10" s="93"/>
      <c r="C10" s="37" t="s">
        <v>52</v>
      </c>
      <c r="D10" s="43"/>
      <c r="E10" s="43"/>
      <c r="F10" s="45"/>
      <c r="G10" s="45"/>
      <c r="H10" s="45"/>
      <c r="I10" s="45"/>
      <c r="J10" s="45"/>
    </row>
    <row r="11" spans="1:11">
      <c r="A11" s="92"/>
      <c r="B11" s="93"/>
      <c r="C11" s="37" t="s">
        <v>53</v>
      </c>
      <c r="D11" s="43"/>
      <c r="E11" s="43"/>
      <c r="F11" s="45"/>
      <c r="G11" s="45"/>
      <c r="H11" s="45"/>
      <c r="I11" s="45"/>
      <c r="J11" s="45"/>
    </row>
    <row r="12" spans="1:11" ht="13.5" thickBot="1">
      <c r="A12" s="94"/>
      <c r="B12" s="95"/>
      <c r="C12" s="37" t="s">
        <v>18</v>
      </c>
      <c r="D12" s="43"/>
      <c r="E12" s="43"/>
      <c r="F12" s="45"/>
      <c r="G12" s="45"/>
      <c r="H12" s="45"/>
      <c r="I12" s="45"/>
      <c r="J12" s="45"/>
    </row>
    <row r="13" spans="1:11">
      <c r="C13" s="46"/>
      <c r="D13" s="47">
        <f t="shared" ref="D13:J13" si="0">SUM(D7:D12)</f>
        <v>0</v>
      </c>
      <c r="E13" s="47"/>
      <c r="F13" s="47">
        <f t="shared" si="0"/>
        <v>0</v>
      </c>
      <c r="G13" s="47">
        <f t="shared" si="0"/>
        <v>0</v>
      </c>
      <c r="H13" s="47">
        <f t="shared" si="0"/>
        <v>0</v>
      </c>
      <c r="I13" s="47">
        <f t="shared" si="0"/>
        <v>0</v>
      </c>
      <c r="J13" s="47">
        <f t="shared" si="0"/>
        <v>0</v>
      </c>
    </row>
    <row r="14" spans="1:11">
      <c r="C14" s="41"/>
      <c r="D14" s="42"/>
      <c r="E14" s="42"/>
      <c r="F14" s="42"/>
      <c r="G14" s="42"/>
      <c r="H14" s="42"/>
      <c r="I14" s="42"/>
      <c r="J14" s="42"/>
    </row>
    <row r="15" spans="1:11">
      <c r="A15" s="41" t="s">
        <v>19</v>
      </c>
      <c r="B15" s="48"/>
      <c r="C15" s="46" t="s">
        <v>20</v>
      </c>
      <c r="D15" s="49">
        <v>6169876</v>
      </c>
      <c r="E15" s="49">
        <f>(D15/31)*13</f>
        <v>2587367.3548387093</v>
      </c>
      <c r="F15" s="49">
        <f>D15</f>
        <v>6169876</v>
      </c>
      <c r="G15" s="49">
        <f>F15</f>
        <v>6169876</v>
      </c>
      <c r="H15" s="49">
        <f>G15</f>
        <v>6169876</v>
      </c>
      <c r="I15" s="49">
        <f>H15</f>
        <v>6169876</v>
      </c>
      <c r="J15" s="49">
        <f>I15</f>
        <v>6169876</v>
      </c>
      <c r="K15" s="49">
        <f>SUM(E15:J15)</f>
        <v>33436747.35483871</v>
      </c>
    </row>
    <row r="16" spans="1:11">
      <c r="C16" s="41"/>
      <c r="D16" s="42"/>
      <c r="E16" s="42"/>
      <c r="F16" s="42"/>
      <c r="G16" s="42"/>
      <c r="H16" s="50"/>
      <c r="I16" s="42"/>
      <c r="J16" s="42"/>
    </row>
    <row r="17" spans="1:11">
      <c r="A17" s="41" t="s">
        <v>21</v>
      </c>
      <c r="B17" s="42" t="s">
        <v>22</v>
      </c>
      <c r="C17" s="41" t="s">
        <v>23</v>
      </c>
      <c r="D17" s="42"/>
      <c r="E17" s="42"/>
      <c r="F17" s="42"/>
      <c r="G17" s="42"/>
      <c r="H17" s="51"/>
      <c r="I17" s="42"/>
      <c r="J17" s="42"/>
    </row>
    <row r="18" spans="1:11">
      <c r="B18" s="40">
        <v>5650021</v>
      </c>
      <c r="C18" s="52" t="s">
        <v>24</v>
      </c>
      <c r="D18" s="53">
        <v>0</v>
      </c>
      <c r="E18" s="53">
        <v>0</v>
      </c>
      <c r="F18" s="53">
        <v>35108.729999999996</v>
      </c>
      <c r="G18" s="53">
        <v>16116.8</v>
      </c>
      <c r="H18" s="53">
        <v>13241.670000000002</v>
      </c>
      <c r="I18" s="53">
        <v>16116.8</v>
      </c>
      <c r="J18" s="53">
        <v>16116.8</v>
      </c>
      <c r="K18" s="53">
        <f t="shared" ref="K18:K34" si="1">SUM(E18:J18)</f>
        <v>96700.800000000003</v>
      </c>
    </row>
    <row r="19" spans="1:11">
      <c r="B19" s="40">
        <v>5650015</v>
      </c>
      <c r="C19" s="52" t="s">
        <v>25</v>
      </c>
      <c r="D19" s="53">
        <v>0</v>
      </c>
      <c r="E19" s="53">
        <v>0</v>
      </c>
      <c r="F19" s="53">
        <v>0</v>
      </c>
      <c r="G19" s="53">
        <v>0</v>
      </c>
      <c r="H19" s="53">
        <v>0</v>
      </c>
      <c r="I19" s="53">
        <v>0</v>
      </c>
      <c r="J19" s="53">
        <v>0</v>
      </c>
      <c r="K19" s="53">
        <f t="shared" si="1"/>
        <v>0</v>
      </c>
    </row>
    <row r="20" spans="1:11">
      <c r="B20" s="40">
        <v>4561005</v>
      </c>
      <c r="C20" s="52" t="s">
        <v>26</v>
      </c>
      <c r="D20" s="53">
        <v>-54486.029999999984</v>
      </c>
      <c r="E20" s="53">
        <f>(D20/31)*13</f>
        <v>-22848.980322580639</v>
      </c>
      <c r="F20" s="53">
        <v>-37207.499999999985</v>
      </c>
      <c r="G20" s="53">
        <v>-33388.590000000011</v>
      </c>
      <c r="H20" s="53">
        <v>-24756.600000000009</v>
      </c>
      <c r="I20" s="53">
        <v>-25628.919999999995</v>
      </c>
      <c r="J20" s="53">
        <v>-31994.59</v>
      </c>
      <c r="K20" s="53">
        <f t="shared" si="1"/>
        <v>-175825.18032258062</v>
      </c>
    </row>
    <row r="21" spans="1:11">
      <c r="B21" s="40">
        <v>4561002</v>
      </c>
      <c r="C21" s="52" t="s">
        <v>27</v>
      </c>
      <c r="D21" s="53">
        <f>10474.35</f>
        <v>10474.35</v>
      </c>
      <c r="E21" s="53">
        <f t="shared" ref="E21:E27" si="2">(D21/31)*13</f>
        <v>4392.4693548387095</v>
      </c>
      <c r="F21" s="53">
        <v>9138.5</v>
      </c>
      <c r="G21" s="53">
        <v>10443.669999999998</v>
      </c>
      <c r="H21" s="53">
        <v>9382.8100000000086</v>
      </c>
      <c r="I21" s="53">
        <v>15201.749999999996</v>
      </c>
      <c r="J21" s="53">
        <v>10623.49</v>
      </c>
      <c r="K21" s="53">
        <f t="shared" si="1"/>
        <v>59182.689354838709</v>
      </c>
    </row>
    <row r="22" spans="1:11">
      <c r="B22" s="40">
        <v>4561035</v>
      </c>
      <c r="C22" s="37" t="s">
        <v>28</v>
      </c>
      <c r="D22" s="53">
        <v>3643358.22</v>
      </c>
      <c r="E22" s="53">
        <f t="shared" si="2"/>
        <v>1527859.8987096776</v>
      </c>
      <c r="F22" s="53">
        <v>3258569.75</v>
      </c>
      <c r="G22" s="53">
        <v>3627241.45</v>
      </c>
      <c r="H22" s="53">
        <v>-182573.46999999974</v>
      </c>
      <c r="I22" s="53">
        <v>3086168.22</v>
      </c>
      <c r="J22" s="53">
        <v>2973252.75</v>
      </c>
      <c r="K22" s="53">
        <f t="shared" si="1"/>
        <v>14290518.598709676</v>
      </c>
    </row>
    <row r="23" spans="1:11">
      <c r="B23" s="40">
        <v>4561036</v>
      </c>
      <c r="C23" s="52" t="s">
        <v>29</v>
      </c>
      <c r="D23" s="53">
        <v>63691.18</v>
      </c>
      <c r="E23" s="53">
        <f t="shared" si="2"/>
        <v>26709.20451612903</v>
      </c>
      <c r="F23" s="53">
        <v>44626.94</v>
      </c>
      <c r="G23" s="53">
        <v>48776.039999999994</v>
      </c>
      <c r="H23" s="53">
        <v>41458.920000000006</v>
      </c>
      <c r="I23" s="53">
        <v>43427.02</v>
      </c>
      <c r="J23" s="53">
        <v>43042.36</v>
      </c>
      <c r="K23" s="53">
        <f t="shared" si="1"/>
        <v>248040.48451612901</v>
      </c>
    </row>
    <row r="24" spans="1:11">
      <c r="B24" s="40">
        <v>4561060</v>
      </c>
      <c r="C24" s="52" t="s">
        <v>30</v>
      </c>
      <c r="D24" s="53">
        <v>98728.37</v>
      </c>
      <c r="E24" s="53">
        <f t="shared" si="2"/>
        <v>41402.219677419358</v>
      </c>
      <c r="F24" s="53">
        <v>98728.37</v>
      </c>
      <c r="G24" s="53">
        <v>98728.38</v>
      </c>
      <c r="H24" s="53">
        <v>38037.789999999994</v>
      </c>
      <c r="I24" s="53">
        <v>83555.7</v>
      </c>
      <c r="J24" s="53">
        <v>83555.72</v>
      </c>
      <c r="K24" s="53">
        <f t="shared" si="1"/>
        <v>444008.17967741936</v>
      </c>
    </row>
    <row r="25" spans="1:11">
      <c r="B25" s="40">
        <v>5650012</v>
      </c>
      <c r="C25" s="52" t="s">
        <v>30</v>
      </c>
      <c r="D25" s="53">
        <v>335366.42000000004</v>
      </c>
      <c r="E25" s="53">
        <f t="shared" si="2"/>
        <v>140637.53096774194</v>
      </c>
      <c r="F25" s="53">
        <v>339991.55000000016</v>
      </c>
      <c r="G25" s="53">
        <v>337685.57999999996</v>
      </c>
      <c r="H25" s="53">
        <v>602324.92999999993</v>
      </c>
      <c r="I25" s="53">
        <v>278719.23</v>
      </c>
      <c r="J25" s="53">
        <v>309689.12000000005</v>
      </c>
      <c r="K25" s="53">
        <f t="shared" si="1"/>
        <v>2009047.9409677421</v>
      </c>
    </row>
    <row r="26" spans="1:11">
      <c r="B26" s="40">
        <v>5650016</v>
      </c>
      <c r="C26" s="37" t="s">
        <v>31</v>
      </c>
      <c r="D26" s="53">
        <v>2548989.6500000004</v>
      </c>
      <c r="E26" s="53">
        <f t="shared" si="2"/>
        <v>1068931.1435483873</v>
      </c>
      <c r="F26" s="53">
        <v>2302313.23</v>
      </c>
      <c r="G26" s="53">
        <v>2548989.64</v>
      </c>
      <c r="H26" s="53">
        <v>201969.08799999999</v>
      </c>
      <c r="I26" s="53">
        <v>2094776.702</v>
      </c>
      <c r="J26" s="53">
        <v>2120336.21</v>
      </c>
      <c r="K26" s="53">
        <f t="shared" si="1"/>
        <v>10337316.013548385</v>
      </c>
    </row>
    <row r="27" spans="1:11">
      <c r="B27" s="40">
        <v>5650019</v>
      </c>
      <c r="C27" s="52" t="s">
        <v>30</v>
      </c>
      <c r="D27" s="53">
        <v>510142.27</v>
      </c>
      <c r="E27" s="53">
        <f t="shared" si="2"/>
        <v>213930.62935483872</v>
      </c>
      <c r="F27" s="53">
        <v>510142.26999999996</v>
      </c>
      <c r="G27" s="53">
        <v>510142.26999999996</v>
      </c>
      <c r="H27" s="53">
        <v>316832.17999999993</v>
      </c>
      <c r="I27" s="53">
        <v>461814.75999999995</v>
      </c>
      <c r="J27" s="53">
        <v>461814.74</v>
      </c>
      <c r="K27" s="53">
        <f t="shared" si="1"/>
        <v>2474676.8493548385</v>
      </c>
    </row>
    <row r="28" spans="1:11">
      <c r="B28" s="40"/>
      <c r="C28" s="54" t="s">
        <v>54</v>
      </c>
      <c r="D28" s="53">
        <v>0</v>
      </c>
      <c r="E28" s="53">
        <v>0</v>
      </c>
      <c r="F28" s="53">
        <v>0</v>
      </c>
      <c r="G28" s="53">
        <v>0</v>
      </c>
      <c r="H28" s="53">
        <v>2967112.15</v>
      </c>
      <c r="I28" s="53">
        <v>0</v>
      </c>
      <c r="J28" s="53">
        <v>0</v>
      </c>
      <c r="K28" s="53">
        <f t="shared" si="1"/>
        <v>2967112.15</v>
      </c>
    </row>
    <row r="29" spans="1:11">
      <c r="C29" s="46"/>
      <c r="D29" s="55">
        <f>SUM(D18:D28)</f>
        <v>7156264.4299999997</v>
      </c>
      <c r="E29" s="55">
        <f>SUM(E18:E28)</f>
        <v>3001014.1158064525</v>
      </c>
      <c r="F29" s="55">
        <f t="shared" ref="F29:J29" si="3">SUM(F18:F28)</f>
        <v>6561411.8399999999</v>
      </c>
      <c r="G29" s="55">
        <f t="shared" si="3"/>
        <v>7164735.2400000002</v>
      </c>
      <c r="H29" s="55">
        <f>SUM(H18:H28)</f>
        <v>3983029.4680000003</v>
      </c>
      <c r="I29" s="55">
        <f t="shared" si="3"/>
        <v>6054151.2620000001</v>
      </c>
      <c r="J29" s="55">
        <f t="shared" si="3"/>
        <v>5986436.6000000006</v>
      </c>
      <c r="K29" s="53">
        <f t="shared" si="1"/>
        <v>32750778.525806457</v>
      </c>
    </row>
    <row r="30" spans="1:11">
      <c r="B30" s="40"/>
      <c r="C30" s="56"/>
      <c r="D30" s="57"/>
      <c r="E30" s="57"/>
      <c r="F30" s="57"/>
      <c r="G30" s="57"/>
      <c r="H30" s="57"/>
      <c r="I30" s="57"/>
      <c r="J30" s="57"/>
      <c r="K30" s="49"/>
    </row>
    <row r="31" spans="1:11">
      <c r="B31" s="40"/>
      <c r="C31" s="46" t="s">
        <v>32</v>
      </c>
      <c r="D31" s="53">
        <f t="shared" ref="D31:J31" si="4">+D29-D15</f>
        <v>986388.4299999997</v>
      </c>
      <c r="E31" s="53">
        <f t="shared" si="4"/>
        <v>413646.76096774312</v>
      </c>
      <c r="F31" s="53">
        <f t="shared" si="4"/>
        <v>391535.83999999985</v>
      </c>
      <c r="G31" s="53">
        <f t="shared" si="4"/>
        <v>994859.24000000022</v>
      </c>
      <c r="H31" s="53">
        <f>+H29-H15</f>
        <v>-2186846.5319999997</v>
      </c>
      <c r="I31" s="53">
        <f t="shared" si="4"/>
        <v>-115724.7379999999</v>
      </c>
      <c r="J31" s="53">
        <f t="shared" si="4"/>
        <v>-183439.39999999944</v>
      </c>
      <c r="K31" s="53">
        <f t="shared" si="1"/>
        <v>-685968.8290322558</v>
      </c>
    </row>
    <row r="32" spans="1:11">
      <c r="A32" s="48"/>
      <c r="B32" s="48"/>
      <c r="C32" s="56" t="s">
        <v>55</v>
      </c>
      <c r="D32" s="53">
        <f>+D31*0.8</f>
        <v>789110.74399999983</v>
      </c>
      <c r="E32" s="53">
        <f>+E31*0.8</f>
        <v>330917.40877419454</v>
      </c>
      <c r="F32" s="53">
        <f>+F31*0.8</f>
        <v>313228.6719999999</v>
      </c>
      <c r="G32" s="53">
        <f>+G31*0.8</f>
        <v>795887.39200000023</v>
      </c>
      <c r="H32" s="53">
        <f>+H31*0.8</f>
        <v>-1749477.2255999998</v>
      </c>
      <c r="I32" s="53">
        <f t="shared" ref="I32" si="5">+I31*0.8</f>
        <v>-92579.790399999925</v>
      </c>
      <c r="J32" s="53">
        <f>+J31*0.8</f>
        <v>-146751.51999999955</v>
      </c>
      <c r="K32" s="53">
        <f t="shared" si="1"/>
        <v>-548775.06322580471</v>
      </c>
    </row>
    <row r="33" spans="1:11">
      <c r="A33" s="48"/>
      <c r="B33" s="48"/>
      <c r="C33" s="56"/>
      <c r="D33" s="58"/>
      <c r="E33" s="58"/>
      <c r="F33" s="58"/>
      <c r="G33" s="58"/>
      <c r="H33" s="58"/>
      <c r="I33" s="58"/>
      <c r="J33" s="58"/>
      <c r="K33" s="49"/>
    </row>
    <row r="34" spans="1:11">
      <c r="A34" s="48"/>
      <c r="B34" s="48"/>
      <c r="C34" s="46" t="s">
        <v>34</v>
      </c>
      <c r="D34" s="53">
        <v>42837.084504757833</v>
      </c>
      <c r="E34" s="53">
        <f t="shared" ref="E34" si="6">(D34/31)*13</f>
        <v>17963.938663285542</v>
      </c>
      <c r="F34" s="53">
        <v>42837.084504757833</v>
      </c>
      <c r="G34" s="53">
        <v>42837.084504757833</v>
      </c>
      <c r="H34" s="53">
        <v>-70556.009760477638</v>
      </c>
      <c r="I34" s="53">
        <v>9674.9500000000007</v>
      </c>
      <c r="J34" s="53">
        <v>9674.9500000000007</v>
      </c>
      <c r="K34" s="53">
        <f t="shared" si="1"/>
        <v>52431.997912323568</v>
      </c>
    </row>
    <row r="35" spans="1:11">
      <c r="A35" s="48"/>
      <c r="B35" s="48"/>
      <c r="C35" s="56"/>
      <c r="D35" s="58"/>
      <c r="E35" s="58"/>
      <c r="F35" s="58"/>
      <c r="G35" s="58"/>
      <c r="H35" s="58"/>
      <c r="I35" s="58"/>
      <c r="J35" s="58"/>
      <c r="K35" s="49"/>
    </row>
    <row r="36" spans="1:11">
      <c r="A36" s="48"/>
      <c r="B36" s="48"/>
      <c r="C36" s="46" t="s">
        <v>56</v>
      </c>
      <c r="D36" s="58">
        <f>+((D32-D34)/31)*13</f>
        <v>312953.47011090792</v>
      </c>
      <c r="E36" s="58">
        <f>E32-E34</f>
        <v>312953.47011090902</v>
      </c>
      <c r="F36" s="58"/>
      <c r="G36" s="58"/>
      <c r="H36" s="58"/>
      <c r="I36" s="58"/>
      <c r="J36" s="58"/>
      <c r="K36" s="53">
        <f>E36</f>
        <v>312953.47011090902</v>
      </c>
    </row>
    <row r="37" spans="1:11">
      <c r="A37" s="48"/>
      <c r="B37" s="48"/>
      <c r="C37" s="46"/>
      <c r="D37" s="58"/>
      <c r="E37" s="58"/>
      <c r="F37" s="58"/>
      <c r="G37" s="58"/>
      <c r="H37" s="58"/>
      <c r="I37" s="58"/>
      <c r="J37" s="58"/>
    </row>
    <row r="38" spans="1:11">
      <c r="A38" s="48"/>
      <c r="B38" s="48"/>
      <c r="C38" s="46" t="s">
        <v>36</v>
      </c>
      <c r="D38" s="58">
        <v>14487.451612903227</v>
      </c>
      <c r="E38" s="58">
        <f>D38</f>
        <v>14487.451612903227</v>
      </c>
      <c r="F38" s="58">
        <v>34547</v>
      </c>
      <c r="G38" s="58">
        <f t="shared" ref="G38:J38" si="7">F38</f>
        <v>34547</v>
      </c>
      <c r="H38" s="58">
        <f t="shared" si="7"/>
        <v>34547</v>
      </c>
      <c r="I38" s="58">
        <f t="shared" si="7"/>
        <v>34547</v>
      </c>
      <c r="J38" s="58">
        <f t="shared" si="7"/>
        <v>34547</v>
      </c>
      <c r="K38" s="53">
        <f>SUM(E38:J38)</f>
        <v>187222.45161290321</v>
      </c>
    </row>
    <row r="39" spans="1:11">
      <c r="A39" s="48"/>
      <c r="B39" s="48"/>
      <c r="C39" s="56"/>
      <c r="D39" s="58"/>
      <c r="E39" s="58"/>
      <c r="F39" s="58"/>
      <c r="G39" s="58"/>
      <c r="H39" s="58"/>
      <c r="I39" s="58"/>
      <c r="J39" s="58"/>
    </row>
    <row r="40" spans="1:11">
      <c r="B40" s="40"/>
      <c r="C40" s="56" t="s">
        <v>57</v>
      </c>
      <c r="D40" s="53">
        <f>671.064516129032*13</f>
        <v>8723.838709677415</v>
      </c>
      <c r="E40" s="53">
        <f>D40</f>
        <v>8723.838709677415</v>
      </c>
      <c r="F40" s="53">
        <v>277597.06</v>
      </c>
      <c r="G40" s="53">
        <v>76778.2</v>
      </c>
      <c r="H40" s="53">
        <v>271852.35692927998</v>
      </c>
      <c r="I40" s="53">
        <v>40907.216896000005</v>
      </c>
      <c r="J40" s="53">
        <v>683884.23517799994</v>
      </c>
    </row>
    <row r="41" spans="1:11">
      <c r="B41" s="40"/>
      <c r="C41" s="56" t="s">
        <v>58</v>
      </c>
      <c r="D41" s="53">
        <v>0</v>
      </c>
      <c r="E41" s="53"/>
      <c r="F41" s="53">
        <f>-D40</f>
        <v>-8723.838709677415</v>
      </c>
      <c r="G41" s="53">
        <f>-F40</f>
        <v>-277597.06</v>
      </c>
      <c r="H41" s="53">
        <f t="shared" ref="H41:J41" si="8">-G40</f>
        <v>-76778.2</v>
      </c>
      <c r="I41" s="53">
        <f t="shared" si="8"/>
        <v>-271852.35692927998</v>
      </c>
      <c r="J41" s="53">
        <f t="shared" si="8"/>
        <v>-40907.216896000005</v>
      </c>
    </row>
    <row r="42" spans="1:11">
      <c r="B42" s="40"/>
      <c r="C42" s="37" t="s">
        <v>59</v>
      </c>
      <c r="D42" s="59">
        <v>0</v>
      </c>
      <c r="E42" s="59"/>
      <c r="F42" s="59">
        <f>+(20724)*(13/31)</f>
        <v>8690.709677419356</v>
      </c>
      <c r="G42" s="59">
        <v>278489.51</v>
      </c>
      <c r="H42" s="59">
        <v>76833.071236708667</v>
      </c>
      <c r="I42" s="59">
        <v>41670.31840384</v>
      </c>
      <c r="J42" s="59">
        <v>40819.897068626422</v>
      </c>
    </row>
    <row r="43" spans="1:11">
      <c r="B43" s="40"/>
      <c r="C43" s="37" t="s">
        <v>40</v>
      </c>
      <c r="D43" s="53">
        <f>SUM(D40:D42)</f>
        <v>8723.838709677415</v>
      </c>
      <c r="E43" s="53">
        <f>D43</f>
        <v>8723.838709677415</v>
      </c>
      <c r="F43" s="53">
        <f t="shared" ref="F43:J43" si="9">SUM(F40:F42)</f>
        <v>277563.93096774194</v>
      </c>
      <c r="G43" s="53">
        <f t="shared" si="9"/>
        <v>77670.650000000023</v>
      </c>
      <c r="H43" s="53">
        <f t="shared" si="9"/>
        <v>271907.22816598864</v>
      </c>
      <c r="I43" s="53">
        <f t="shared" si="9"/>
        <v>-189274.82162943998</v>
      </c>
      <c r="J43" s="53">
        <f t="shared" si="9"/>
        <v>683796.91535062646</v>
      </c>
      <c r="K43" s="53">
        <f>SUM(E43:J43)</f>
        <v>1130387.7415645944</v>
      </c>
    </row>
    <row r="45" spans="1:11">
      <c r="C45" s="37" t="s">
        <v>41</v>
      </c>
      <c r="D45" s="53">
        <f>D43-D38</f>
        <v>-5763.6129032258123</v>
      </c>
      <c r="E45" s="53">
        <f>E43-E38</f>
        <v>-5763.6129032258123</v>
      </c>
      <c r="F45" s="53">
        <f t="shared" ref="F45:J45" si="10">F43-F38</f>
        <v>243016.93096774194</v>
      </c>
      <c r="G45" s="53">
        <f t="shared" si="10"/>
        <v>43123.650000000023</v>
      </c>
      <c r="H45" s="53">
        <f t="shared" si="10"/>
        <v>237360.22816598864</v>
      </c>
      <c r="I45" s="53">
        <f t="shared" si="10"/>
        <v>-223821.82162943998</v>
      </c>
      <c r="J45" s="53">
        <f t="shared" si="10"/>
        <v>649249.91535062646</v>
      </c>
      <c r="K45" s="53">
        <f>SUM(E45:J45)</f>
        <v>943165.28995169129</v>
      </c>
    </row>
    <row r="46" spans="1:11">
      <c r="K46" s="44"/>
    </row>
    <row r="47" spans="1:11" ht="13.5" thickBot="1">
      <c r="A47" s="48"/>
      <c r="B47" s="48"/>
      <c r="C47" s="46" t="s">
        <v>42</v>
      </c>
      <c r="D47" s="60">
        <f>+D36+D45</f>
        <v>307189.8572076821</v>
      </c>
      <c r="E47" s="60">
        <f>+E36+E45</f>
        <v>307189.85720768321</v>
      </c>
      <c r="F47" s="60">
        <f>(F32-F34)+F45</f>
        <v>513408.51846298401</v>
      </c>
      <c r="G47" s="60">
        <f t="shared" ref="G47:I47" si="11">(G32-G34)+G45</f>
        <v>796173.95749524247</v>
      </c>
      <c r="H47" s="60">
        <f t="shared" si="11"/>
        <v>-1441560.9876735336</v>
      </c>
      <c r="I47" s="60">
        <f t="shared" si="11"/>
        <v>-326076.5620294399</v>
      </c>
      <c r="J47" s="60">
        <f>(J32-J34)+J45</f>
        <v>492823.44535062689</v>
      </c>
    </row>
    <row r="48" spans="1:11" ht="13.5" thickTop="1">
      <c r="A48" s="48"/>
      <c r="B48" s="48"/>
      <c r="C48" s="46"/>
      <c r="D48" s="58"/>
      <c r="E48" s="58"/>
      <c r="F48" s="58"/>
      <c r="G48" s="58"/>
      <c r="H48" s="58"/>
      <c r="I48" s="58"/>
      <c r="J48" s="58"/>
    </row>
    <row r="49" spans="1:12">
      <c r="A49" s="48"/>
      <c r="B49" s="48"/>
      <c r="C49" s="48" t="s">
        <v>43</v>
      </c>
      <c r="D49" s="53">
        <f>D47-D13</f>
        <v>307189.8572076821</v>
      </c>
      <c r="E49" s="58"/>
      <c r="F49" s="53">
        <f>F47-F13</f>
        <v>513408.51846298401</v>
      </c>
      <c r="G49" s="53">
        <f>G47-G13</f>
        <v>796173.95749524247</v>
      </c>
      <c r="H49" s="53">
        <f>H47-H13</f>
        <v>-1441560.9876735336</v>
      </c>
      <c r="I49" s="53">
        <f t="shared" ref="I49:J49" si="12">I47-I13</f>
        <v>-326076.5620294399</v>
      </c>
      <c r="J49" s="53">
        <f t="shared" si="12"/>
        <v>492823.44535062689</v>
      </c>
    </row>
    <row r="51" spans="1:12">
      <c r="A51" s="48"/>
      <c r="B51" s="48"/>
      <c r="C51" s="46"/>
      <c r="D51" s="58"/>
      <c r="E51" s="58"/>
      <c r="F51" s="58"/>
      <c r="G51" s="58"/>
      <c r="H51" s="58"/>
      <c r="I51" s="58"/>
      <c r="J51" s="58"/>
    </row>
    <row r="52" spans="1:12">
      <c r="A52" s="61"/>
      <c r="B52" s="62"/>
      <c r="C52" s="63" t="s">
        <v>44</v>
      </c>
      <c r="D52" s="53">
        <f>+D49</f>
        <v>307189.8572076821</v>
      </c>
      <c r="E52" s="58"/>
      <c r="F52" s="53">
        <f>+F49+D52</f>
        <v>820598.37567066611</v>
      </c>
      <c r="G52" s="53">
        <f t="shared" ref="G52" si="13">+G49+F52</f>
        <v>1616772.3331659087</v>
      </c>
      <c r="H52" s="53">
        <f>+H49+G52</f>
        <v>175211.34549237508</v>
      </c>
      <c r="I52" s="53">
        <f>+I49+H52</f>
        <v>-150865.21653706481</v>
      </c>
      <c r="J52" s="53">
        <f>+J49+I52</f>
        <v>341958.22881356208</v>
      </c>
      <c r="K52" s="53">
        <f>K32-K34-K38+K43</f>
        <v>341958.22881356301</v>
      </c>
      <c r="L52" s="37" t="s">
        <v>45</v>
      </c>
    </row>
    <row r="53" spans="1:12">
      <c r="A53" s="64"/>
      <c r="C53" s="65"/>
      <c r="D53" s="43"/>
      <c r="E53" s="43"/>
      <c r="F53" s="43"/>
      <c r="G53" s="58"/>
      <c r="J53" s="66"/>
    </row>
    <row r="54" spans="1:12">
      <c r="A54" s="64" t="s">
        <v>60</v>
      </c>
      <c r="C54" s="65"/>
      <c r="D54" s="43"/>
      <c r="E54" s="43"/>
      <c r="F54" s="43"/>
      <c r="G54" s="58"/>
      <c r="J54" s="44"/>
    </row>
  </sheetData>
  <mergeCells count="4">
    <mergeCell ref="A1:K1"/>
    <mergeCell ref="A2:K2"/>
    <mergeCell ref="A3:K3"/>
    <mergeCell ref="A8:B12"/>
  </mergeCells>
  <pageMargins left="0.7" right="0.7" top="0.75" bottom="0.75" header="0.3" footer="0.3"/>
  <pageSetup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BB60B-16F8-4CD8-AEF6-7988D2094825}">
  <sheetPr>
    <pageSetUpPr fitToPage="1"/>
  </sheetPr>
  <dimension ref="A1:Q54"/>
  <sheetViews>
    <sheetView zoomScale="90" zoomScaleNormal="90" workbookViewId="0">
      <pane xSplit="3" ySplit="6" topLeftCell="D7" activePane="bottomRight" state="frozen"/>
      <selection pane="topRight" activeCell="D1" sqref="D1"/>
      <selection pane="bottomLeft" activeCell="A7" sqref="A7"/>
      <selection pane="bottomRight" activeCell="C77" sqref="C77"/>
    </sheetView>
  </sheetViews>
  <sheetFormatPr defaultColWidth="9.140625" defaultRowHeight="12.75"/>
  <cols>
    <col min="1" max="1" width="14.7109375" style="2" customWidth="1"/>
    <col min="2" max="2" width="16.85546875" style="2" customWidth="1"/>
    <col min="3" max="3" width="89.140625" style="2" customWidth="1"/>
    <col min="4" max="11" width="17.140625" style="2" customWidth="1"/>
    <col min="12" max="12" width="19.85546875" style="2" customWidth="1"/>
    <col min="13" max="14" width="16.5703125" style="2" customWidth="1"/>
    <col min="15" max="15" width="18.42578125" style="2" customWidth="1"/>
    <col min="16" max="16" width="17.42578125" style="2" bestFit="1" customWidth="1"/>
    <col min="17" max="17" width="10.140625" style="2" bestFit="1" customWidth="1"/>
    <col min="18" max="16384" width="9.140625" style="2"/>
  </cols>
  <sheetData>
    <row r="1" spans="1:16" ht="15">
      <c r="A1" s="1" t="s">
        <v>0</v>
      </c>
    </row>
    <row r="2" spans="1:16" ht="15.75">
      <c r="A2" s="1" t="s">
        <v>1</v>
      </c>
      <c r="B2" s="3"/>
      <c r="G2" s="4"/>
    </row>
    <row r="3" spans="1:16" ht="15">
      <c r="A3" s="1" t="str">
        <f>'[3]Input Sheet'!A2:D2</f>
        <v>12 -Month Period ended June 30, 2019</v>
      </c>
      <c r="B3" s="5"/>
      <c r="D3" s="6"/>
      <c r="E3" s="6"/>
      <c r="F3" s="6"/>
      <c r="G3" s="6"/>
      <c r="H3" s="6"/>
      <c r="I3" s="6"/>
      <c r="J3" s="6"/>
      <c r="K3" s="6"/>
      <c r="L3" s="6"/>
      <c r="M3" s="6"/>
      <c r="N3" s="6"/>
      <c r="O3" s="6"/>
    </row>
    <row r="4" spans="1:16" ht="15">
      <c r="A4" s="1"/>
      <c r="D4" s="6"/>
      <c r="E4" s="6"/>
      <c r="F4" s="6"/>
      <c r="G4" s="6"/>
      <c r="H4" s="6"/>
      <c r="I4" s="6"/>
      <c r="J4" s="6"/>
      <c r="K4" s="6"/>
      <c r="L4" s="6"/>
      <c r="M4" s="6"/>
      <c r="N4" s="6"/>
      <c r="O4" s="6"/>
    </row>
    <row r="5" spans="1:16">
      <c r="D5" s="7" t="s">
        <v>2</v>
      </c>
      <c r="E5" s="7" t="s">
        <v>2</v>
      </c>
      <c r="F5" s="7" t="s">
        <v>2</v>
      </c>
      <c r="G5" s="7" t="s">
        <v>2</v>
      </c>
      <c r="H5" s="7" t="s">
        <v>2</v>
      </c>
      <c r="I5" s="7" t="s">
        <v>2</v>
      </c>
      <c r="J5" s="7" t="s">
        <v>2</v>
      </c>
      <c r="K5" s="7" t="s">
        <v>2</v>
      </c>
      <c r="L5" s="7" t="s">
        <v>2</v>
      </c>
      <c r="M5" s="7" t="s">
        <v>2</v>
      </c>
      <c r="N5" s="7" t="s">
        <v>2</v>
      </c>
      <c r="O5" s="7" t="s">
        <v>2</v>
      </c>
      <c r="P5" s="2" t="s">
        <v>3</v>
      </c>
    </row>
    <row r="6" spans="1:16">
      <c r="C6" s="8" t="s">
        <v>0</v>
      </c>
      <c r="D6" s="9" t="s">
        <v>4</v>
      </c>
      <c r="E6" s="9" t="s">
        <v>5</v>
      </c>
      <c r="F6" s="9" t="s">
        <v>6</v>
      </c>
      <c r="G6" s="9" t="s">
        <v>7</v>
      </c>
      <c r="H6" s="9" t="s">
        <v>8</v>
      </c>
      <c r="I6" s="9" t="s">
        <v>9</v>
      </c>
      <c r="J6" s="9" t="s">
        <v>10</v>
      </c>
      <c r="K6" s="9" t="s">
        <v>11</v>
      </c>
      <c r="L6" s="9" t="s">
        <v>12</v>
      </c>
      <c r="M6" s="9" t="s">
        <v>13</v>
      </c>
      <c r="N6" s="9" t="s">
        <v>14</v>
      </c>
      <c r="O6" s="9" t="s">
        <v>15</v>
      </c>
    </row>
    <row r="7" spans="1:16" ht="13.5" thickBot="1">
      <c r="A7" s="8" t="s">
        <v>16</v>
      </c>
      <c r="C7" s="2" t="s">
        <v>17</v>
      </c>
      <c r="D7" s="10">
        <v>0</v>
      </c>
      <c r="E7" s="10">
        <v>0</v>
      </c>
      <c r="F7" s="10">
        <v>0</v>
      </c>
      <c r="G7" s="10">
        <v>22975.23</v>
      </c>
      <c r="H7" s="10">
        <v>35861.71</v>
      </c>
      <c r="I7" s="10">
        <v>33543.61</v>
      </c>
      <c r="J7" s="10">
        <v>36575.410000000003</v>
      </c>
      <c r="K7" s="10">
        <v>31521.68</v>
      </c>
      <c r="L7" s="10">
        <v>36149.480000000003</v>
      </c>
      <c r="M7" s="10">
        <v>25615.84</v>
      </c>
      <c r="N7" s="10">
        <v>28823.95</v>
      </c>
      <c r="O7" s="10">
        <v>28490.75</v>
      </c>
      <c r="P7" s="11">
        <f>SUM(D7:O7)</f>
        <v>279557.66000000003</v>
      </c>
    </row>
    <row r="8" spans="1:16">
      <c r="A8" s="96" t="s">
        <v>61</v>
      </c>
      <c r="B8" s="97"/>
      <c r="D8" s="10">
        <v>0</v>
      </c>
      <c r="E8" s="10">
        <v>0</v>
      </c>
      <c r="F8" s="10">
        <v>0</v>
      </c>
      <c r="G8" s="10">
        <v>0</v>
      </c>
      <c r="H8" s="10">
        <v>0</v>
      </c>
      <c r="I8" s="10">
        <v>0</v>
      </c>
      <c r="J8" s="10">
        <v>0</v>
      </c>
      <c r="K8" s="10">
        <v>0</v>
      </c>
      <c r="L8" s="10">
        <v>0</v>
      </c>
      <c r="M8" s="10">
        <v>0</v>
      </c>
      <c r="N8" s="10">
        <v>0</v>
      </c>
      <c r="O8" s="10">
        <v>0</v>
      </c>
    </row>
    <row r="9" spans="1:16">
      <c r="A9" s="98"/>
      <c r="B9" s="99"/>
      <c r="D9" s="10">
        <v>0</v>
      </c>
      <c r="E9" s="10">
        <v>0</v>
      </c>
      <c r="F9" s="10">
        <v>0</v>
      </c>
      <c r="G9" s="10">
        <v>0</v>
      </c>
      <c r="H9" s="10">
        <v>0</v>
      </c>
      <c r="I9" s="10">
        <v>0</v>
      </c>
      <c r="J9" s="10">
        <v>0</v>
      </c>
      <c r="K9" s="10">
        <v>0</v>
      </c>
      <c r="L9" s="10">
        <v>0</v>
      </c>
      <c r="M9" s="10">
        <v>0</v>
      </c>
      <c r="N9" s="10">
        <v>0</v>
      </c>
      <c r="O9" s="10">
        <v>0</v>
      </c>
    </row>
    <row r="10" spans="1:16">
      <c r="A10" s="98"/>
      <c r="B10" s="99"/>
      <c r="D10" s="10">
        <v>0</v>
      </c>
      <c r="E10" s="10">
        <v>0</v>
      </c>
      <c r="F10" s="10">
        <v>0</v>
      </c>
      <c r="G10" s="10"/>
      <c r="H10" s="10"/>
      <c r="I10" s="10"/>
      <c r="J10" s="10"/>
      <c r="K10" s="12"/>
      <c r="L10" s="12"/>
      <c r="M10" s="12"/>
      <c r="N10" s="12"/>
      <c r="O10" s="12"/>
    </row>
    <row r="11" spans="1:16">
      <c r="A11" s="98"/>
      <c r="B11" s="99"/>
      <c r="D11" s="10">
        <v>0</v>
      </c>
      <c r="E11" s="10">
        <v>0</v>
      </c>
      <c r="F11" s="10">
        <v>0</v>
      </c>
      <c r="G11" s="10">
        <v>0</v>
      </c>
      <c r="H11" s="10"/>
      <c r="I11" s="10"/>
      <c r="J11" s="10"/>
      <c r="K11" s="12"/>
      <c r="L11" s="12"/>
      <c r="M11" s="12"/>
      <c r="N11" s="12"/>
      <c r="O11" s="12"/>
    </row>
    <row r="12" spans="1:16" ht="13.5" thickBot="1">
      <c r="A12" s="100"/>
      <c r="B12" s="101"/>
      <c r="C12" s="2" t="s">
        <v>18</v>
      </c>
      <c r="D12" s="10">
        <v>0</v>
      </c>
      <c r="E12" s="10">
        <v>0</v>
      </c>
      <c r="F12" s="10">
        <v>0</v>
      </c>
      <c r="G12" s="10">
        <f>SUM(G7:G11)*-0.004952</f>
        <v>-113.77333895999999</v>
      </c>
      <c r="H12" s="10">
        <f t="shared" ref="H12:O12" si="0">SUM(H7:H11)*-0.004952</f>
        <v>-177.58718791999999</v>
      </c>
      <c r="I12" s="10">
        <f t="shared" si="0"/>
        <v>-166.10795672</v>
      </c>
      <c r="J12" s="10">
        <f t="shared" si="0"/>
        <v>-181.12143032</v>
      </c>
      <c r="K12" s="10">
        <f t="shared" si="0"/>
        <v>-156.09535936</v>
      </c>
      <c r="L12" s="10">
        <f t="shared" si="0"/>
        <v>-179.01222496</v>
      </c>
      <c r="M12" s="10">
        <f t="shared" si="0"/>
        <v>-126.84963968</v>
      </c>
      <c r="N12" s="10">
        <f t="shared" si="0"/>
        <v>-142.7362004</v>
      </c>
      <c r="O12" s="10">
        <f t="shared" si="0"/>
        <v>-141.08619400000001</v>
      </c>
      <c r="P12" s="13">
        <f>SUM(D12:O12)</f>
        <v>-1384.3695323199997</v>
      </c>
    </row>
    <row r="13" spans="1:16">
      <c r="C13" s="14"/>
      <c r="D13" s="15">
        <f t="shared" ref="D13:O13" si="1">SUM(D7:D12)</f>
        <v>0</v>
      </c>
      <c r="E13" s="15">
        <f t="shared" si="1"/>
        <v>0</v>
      </c>
      <c r="F13" s="15">
        <f t="shared" si="1"/>
        <v>0</v>
      </c>
      <c r="G13" s="15">
        <f>SUM(G7:G12)</f>
        <v>22861.45666104</v>
      </c>
      <c r="H13" s="15">
        <f t="shared" si="1"/>
        <v>35684.122812080001</v>
      </c>
      <c r="I13" s="15">
        <f t="shared" si="1"/>
        <v>33377.502043280001</v>
      </c>
      <c r="J13" s="15">
        <f t="shared" si="1"/>
        <v>36394.28856968</v>
      </c>
      <c r="K13" s="15">
        <f t="shared" si="1"/>
        <v>31365.584640640001</v>
      </c>
      <c r="L13" s="15">
        <f t="shared" si="1"/>
        <v>35970.467775040001</v>
      </c>
      <c r="M13" s="15">
        <f t="shared" si="1"/>
        <v>25488.99036032</v>
      </c>
      <c r="N13" s="15">
        <f t="shared" si="1"/>
        <v>28681.213799600002</v>
      </c>
      <c r="O13" s="15">
        <f t="shared" si="1"/>
        <v>28349.663806</v>
      </c>
      <c r="P13" s="11">
        <f>SUM(D13:O13)</f>
        <v>278173.29046768002</v>
      </c>
    </row>
    <row r="14" spans="1:16">
      <c r="C14" s="8"/>
      <c r="D14" s="9"/>
      <c r="E14" s="9"/>
      <c r="F14" s="9"/>
      <c r="G14" s="9"/>
      <c r="H14" s="9"/>
      <c r="I14" s="9"/>
      <c r="J14" s="9"/>
      <c r="K14" s="9"/>
      <c r="L14" s="9"/>
      <c r="M14" s="9"/>
      <c r="N14" s="9"/>
      <c r="O14" s="9"/>
    </row>
    <row r="15" spans="1:16">
      <c r="A15" s="8" t="s">
        <v>19</v>
      </c>
      <c r="B15" s="17"/>
      <c r="C15" s="14" t="s">
        <v>20</v>
      </c>
      <c r="D15" s="11">
        <f>'[3]PPA Form 5.0'!D15/12</f>
        <v>6169876.4191666665</v>
      </c>
      <c r="E15" s="11">
        <f>$D$15</f>
        <v>6169876.4191666665</v>
      </c>
      <c r="F15" s="11">
        <f t="shared" ref="F15:O15" si="2">$D$15</f>
        <v>6169876.4191666665</v>
      </c>
      <c r="G15" s="11">
        <f t="shared" si="2"/>
        <v>6169876.4191666665</v>
      </c>
      <c r="H15" s="11">
        <f t="shared" si="2"/>
        <v>6169876.4191666665</v>
      </c>
      <c r="I15" s="11">
        <f t="shared" si="2"/>
        <v>6169876.4191666665</v>
      </c>
      <c r="J15" s="11">
        <f t="shared" si="2"/>
        <v>6169876.4191666665</v>
      </c>
      <c r="K15" s="11">
        <f t="shared" si="2"/>
        <v>6169876.4191666665</v>
      </c>
      <c r="L15" s="11">
        <f t="shared" si="2"/>
        <v>6169876.4191666665</v>
      </c>
      <c r="M15" s="11">
        <f t="shared" si="2"/>
        <v>6169876.4191666665</v>
      </c>
      <c r="N15" s="11">
        <f t="shared" si="2"/>
        <v>6169876.4191666665</v>
      </c>
      <c r="O15" s="11">
        <f t="shared" si="2"/>
        <v>6169876.4191666665</v>
      </c>
      <c r="P15" s="11">
        <f>SUM(D15:O15)</f>
        <v>74038517.030000016</v>
      </c>
    </row>
    <row r="16" spans="1:16">
      <c r="C16" s="8"/>
      <c r="D16" s="9"/>
      <c r="E16" s="9"/>
      <c r="F16" s="9"/>
      <c r="G16" s="9"/>
      <c r="H16" s="9"/>
      <c r="I16" s="9"/>
      <c r="J16" s="9"/>
      <c r="K16" s="9"/>
      <c r="L16" s="9"/>
      <c r="M16" s="18"/>
      <c r="N16" s="9"/>
      <c r="O16" s="9"/>
    </row>
    <row r="17" spans="1:17">
      <c r="A17" s="8" t="s">
        <v>21</v>
      </c>
      <c r="B17" s="9" t="s">
        <v>22</v>
      </c>
      <c r="C17" s="8" t="s">
        <v>23</v>
      </c>
      <c r="D17" s="9"/>
      <c r="E17" s="9"/>
      <c r="F17" s="9"/>
      <c r="G17" s="9"/>
      <c r="H17" s="9"/>
      <c r="I17" s="9"/>
      <c r="J17" s="9"/>
      <c r="K17" s="9"/>
      <c r="L17" s="9"/>
      <c r="M17" s="19"/>
      <c r="N17" s="9"/>
      <c r="O17" s="9"/>
    </row>
    <row r="18" spans="1:17">
      <c r="B18" s="7">
        <v>5650021</v>
      </c>
      <c r="C18" s="5" t="s">
        <v>24</v>
      </c>
      <c r="D18" s="20">
        <v>16109.61</v>
      </c>
      <c r="E18" s="20">
        <v>16116.8</v>
      </c>
      <c r="F18" s="20">
        <v>16116.8</v>
      </c>
      <c r="G18" s="20">
        <v>16116.8</v>
      </c>
      <c r="H18" s="20">
        <v>16116.8</v>
      </c>
      <c r="I18" s="20">
        <v>16116.8</v>
      </c>
      <c r="J18" s="20">
        <v>18409.53</v>
      </c>
      <c r="K18" s="21">
        <v>18125.830000000002</v>
      </c>
      <c r="L18" s="21">
        <v>18267.68</v>
      </c>
      <c r="M18" s="21">
        <v>18267.68</v>
      </c>
      <c r="N18" s="22">
        <v>27037.38</v>
      </c>
      <c r="O18" s="22">
        <v>21190.91</v>
      </c>
      <c r="P18" s="11">
        <f>SUM(D18:O18)</f>
        <v>217992.62</v>
      </c>
    </row>
    <row r="19" spans="1:17">
      <c r="B19" s="7">
        <v>5650015</v>
      </c>
      <c r="C19" s="5" t="s">
        <v>25</v>
      </c>
      <c r="D19" s="20">
        <v>0</v>
      </c>
      <c r="E19" s="20">
        <v>0</v>
      </c>
      <c r="F19" s="20">
        <v>0</v>
      </c>
      <c r="G19" s="20">
        <v>0</v>
      </c>
      <c r="H19" s="20">
        <v>0</v>
      </c>
      <c r="I19" s="20">
        <v>0</v>
      </c>
      <c r="J19" s="20">
        <v>19975.079000000002</v>
      </c>
      <c r="K19" s="21">
        <v>15698.22</v>
      </c>
      <c r="L19" s="21">
        <v>16881.82</v>
      </c>
      <c r="M19" s="21">
        <v>13805.980000000001</v>
      </c>
      <c r="N19" s="22">
        <v>14020.19</v>
      </c>
      <c r="O19" s="22">
        <v>15583.99</v>
      </c>
      <c r="P19" s="11">
        <f t="shared" ref="P19:P26" si="3">SUM(D19:O19)</f>
        <v>95965.27900000001</v>
      </c>
    </row>
    <row r="20" spans="1:17">
      <c r="B20" s="7">
        <v>4561005</v>
      </c>
      <c r="C20" s="5" t="s">
        <v>26</v>
      </c>
      <c r="D20" s="20">
        <v>-45015.99</v>
      </c>
      <c r="E20" s="20">
        <v>-41230.43</v>
      </c>
      <c r="F20" s="20">
        <v>-41578.639999999999</v>
      </c>
      <c r="G20" s="20">
        <v>-49011.37</v>
      </c>
      <c r="H20" s="20">
        <v>-38633.89</v>
      </c>
      <c r="I20" s="20">
        <v>-52711.700000000004</v>
      </c>
      <c r="J20" s="20">
        <v>-85276.110000000015</v>
      </c>
      <c r="K20" s="21">
        <v>-44392.09</v>
      </c>
      <c r="L20" s="21">
        <v>-34159.39</v>
      </c>
      <c r="M20" s="21">
        <v>-35112.609999999986</v>
      </c>
      <c r="N20" s="22">
        <v>-31132.52</v>
      </c>
      <c r="O20" s="22">
        <v>-48192.33</v>
      </c>
      <c r="P20" s="11">
        <f t="shared" si="3"/>
        <v>-546447.06999999995</v>
      </c>
    </row>
    <row r="21" spans="1:17">
      <c r="B21" s="7">
        <v>4561002</v>
      </c>
      <c r="C21" s="5" t="s">
        <v>27</v>
      </c>
      <c r="D21" s="20">
        <v>9792.6400000000067</v>
      </c>
      <c r="E21" s="20">
        <v>10118.83</v>
      </c>
      <c r="F21" s="20">
        <v>10119.31</v>
      </c>
      <c r="G21" s="20">
        <v>9792.6400000000031</v>
      </c>
      <c r="H21" s="20">
        <v>9792.65</v>
      </c>
      <c r="I21" s="20">
        <v>10445.959999999997</v>
      </c>
      <c r="J21" s="20">
        <v>11485.54</v>
      </c>
      <c r="K21" s="21">
        <v>10005.290000000001</v>
      </c>
      <c r="L21" s="21">
        <v>10749.28</v>
      </c>
      <c r="M21" s="21">
        <v>11861.51</v>
      </c>
      <c r="N21" s="22">
        <v>11120.51</v>
      </c>
      <c r="O21" s="22">
        <v>10737.77</v>
      </c>
      <c r="P21" s="11">
        <f t="shared" si="3"/>
        <v>126021.93000000001</v>
      </c>
    </row>
    <row r="22" spans="1:17">
      <c r="B22" s="7">
        <v>4561035</v>
      </c>
      <c r="C22" s="2" t="s">
        <v>28</v>
      </c>
      <c r="D22" s="20">
        <v>3072890.8799999999</v>
      </c>
      <c r="E22" s="20">
        <v>3072890.8799999999</v>
      </c>
      <c r="F22" s="20">
        <v>2973245.47</v>
      </c>
      <c r="G22" s="20">
        <v>3072890.8799999999</v>
      </c>
      <c r="H22" s="20">
        <v>2973245.47</v>
      </c>
      <c r="I22" s="20">
        <v>3072847.98</v>
      </c>
      <c r="J22" s="20">
        <v>3289609.96</v>
      </c>
      <c r="K22" s="21">
        <v>2970138.63</v>
      </c>
      <c r="L22" s="21">
        <v>3289861.4</v>
      </c>
      <c r="M22" s="21">
        <v>3183203.33</v>
      </c>
      <c r="N22" s="22">
        <v>3281091.68</v>
      </c>
      <c r="O22" s="22">
        <v>3180280.09</v>
      </c>
      <c r="P22" s="11">
        <f t="shared" si="3"/>
        <v>37432196.649999991</v>
      </c>
    </row>
    <row r="23" spans="1:17">
      <c r="B23" s="7">
        <v>4561036</v>
      </c>
      <c r="C23" s="5" t="s">
        <v>29</v>
      </c>
      <c r="D23" s="20">
        <v>49014.15</v>
      </c>
      <c r="E23" s="20">
        <v>46982.38</v>
      </c>
      <c r="F23" s="20">
        <v>43309.45</v>
      </c>
      <c r="G23" s="20">
        <v>42077.81</v>
      </c>
      <c r="H23" s="20">
        <v>47041.97</v>
      </c>
      <c r="I23" s="20">
        <v>51901.35</v>
      </c>
      <c r="J23" s="20">
        <v>17287.3</v>
      </c>
      <c r="K23" s="21">
        <v>13606.17</v>
      </c>
      <c r="L23" s="21">
        <v>14626.22</v>
      </c>
      <c r="M23" s="21">
        <v>11965.44</v>
      </c>
      <c r="N23" s="22">
        <v>12161.99</v>
      </c>
      <c r="O23" s="22">
        <v>13502.89</v>
      </c>
      <c r="P23" s="11">
        <f t="shared" si="3"/>
        <v>363477.11999999994</v>
      </c>
    </row>
    <row r="24" spans="1:17">
      <c r="B24" s="7">
        <v>4561060</v>
      </c>
      <c r="C24" s="5" t="s">
        <v>30</v>
      </c>
      <c r="D24" s="20">
        <v>91985.38</v>
      </c>
      <c r="E24" s="20">
        <v>83555.72</v>
      </c>
      <c r="F24" s="20">
        <v>100415.04000000001</v>
      </c>
      <c r="G24" s="20">
        <v>91985.38</v>
      </c>
      <c r="H24" s="20">
        <v>91985.38</v>
      </c>
      <c r="I24" s="20">
        <v>91985.38</v>
      </c>
      <c r="J24" s="20">
        <v>82320.179999999993</v>
      </c>
      <c r="K24" s="21">
        <v>82325.64</v>
      </c>
      <c r="L24" s="21">
        <v>82322.91</v>
      </c>
      <c r="M24" s="21">
        <v>82322.91</v>
      </c>
      <c r="N24" s="22">
        <v>82322.91</v>
      </c>
      <c r="O24" s="22">
        <v>82322.91</v>
      </c>
      <c r="P24" s="11">
        <f t="shared" si="3"/>
        <v>1045849.7400000001</v>
      </c>
    </row>
    <row r="25" spans="1:17">
      <c r="B25" s="7">
        <v>5650012</v>
      </c>
      <c r="C25" s="5" t="s">
        <v>30</v>
      </c>
      <c r="D25" s="20">
        <v>161643.93000000017</v>
      </c>
      <c r="E25" s="20">
        <v>-1440836.25</v>
      </c>
      <c r="F25" s="20">
        <v>-675931.90999999968</v>
      </c>
      <c r="G25" s="20">
        <v>-414163.63000000018</v>
      </c>
      <c r="H25" s="20">
        <v>-823201.46</v>
      </c>
      <c r="I25" s="20">
        <v>-624686.38</v>
      </c>
      <c r="J25" s="20">
        <v>-687042.61000000022</v>
      </c>
      <c r="K25" s="21">
        <v>-665261.51</v>
      </c>
      <c r="L25" s="21">
        <v>-653750.44999999995</v>
      </c>
      <c r="M25" s="21">
        <v>-652364.73999999976</v>
      </c>
      <c r="N25" s="22">
        <v>-650399.37</v>
      </c>
      <c r="O25" s="22">
        <v>-636047.18999999994</v>
      </c>
      <c r="P25" s="11">
        <f t="shared" si="3"/>
        <v>-7762041.5700000003</v>
      </c>
    </row>
    <row r="26" spans="1:17">
      <c r="B26" s="7">
        <v>5650016</v>
      </c>
      <c r="C26" s="2" t="s">
        <v>31</v>
      </c>
      <c r="D26" s="20">
        <v>2191014.09</v>
      </c>
      <c r="E26" s="20">
        <v>2191014.09</v>
      </c>
      <c r="F26" s="20">
        <v>2120336.21</v>
      </c>
      <c r="G26" s="20">
        <v>2191014.1</v>
      </c>
      <c r="H26" s="20">
        <v>2120336.21</v>
      </c>
      <c r="I26" s="20">
        <v>2191014.1</v>
      </c>
      <c r="J26" s="20">
        <v>2964198.22</v>
      </c>
      <c r="K26" s="21">
        <v>2677359.9</v>
      </c>
      <c r="L26" s="21">
        <v>2964296.42</v>
      </c>
      <c r="M26" s="21">
        <v>2868618.18</v>
      </c>
      <c r="N26" s="22">
        <v>2964296.42</v>
      </c>
      <c r="O26" s="22">
        <v>2868618.18</v>
      </c>
      <c r="P26" s="11">
        <f t="shared" si="3"/>
        <v>30312116.119999997</v>
      </c>
    </row>
    <row r="27" spans="1:17">
      <c r="B27" s="7">
        <v>5650019</v>
      </c>
      <c r="C27" s="5" t="s">
        <v>30</v>
      </c>
      <c r="D27" s="20">
        <v>495271.99</v>
      </c>
      <c r="E27" s="20">
        <v>495271.99</v>
      </c>
      <c r="F27" s="20">
        <v>495271.99</v>
      </c>
      <c r="G27" s="20">
        <v>495271.99</v>
      </c>
      <c r="H27" s="20">
        <v>495271.98</v>
      </c>
      <c r="I27" s="20">
        <v>495271.98</v>
      </c>
      <c r="J27" s="20">
        <v>460108.32000000007</v>
      </c>
      <c r="K27" s="21">
        <v>460137.76</v>
      </c>
      <c r="L27" s="21">
        <v>460123.58</v>
      </c>
      <c r="M27" s="21">
        <v>460123.57000000007</v>
      </c>
      <c r="N27" s="22">
        <v>460123.56</v>
      </c>
      <c r="O27" s="22">
        <v>460123.56</v>
      </c>
      <c r="P27" s="11">
        <f>SUM(D27:O27)</f>
        <v>5732372.2699999996</v>
      </c>
    </row>
    <row r="28" spans="1:17">
      <c r="B28" s="7"/>
      <c r="C28" s="23"/>
      <c r="D28" s="20">
        <v>0</v>
      </c>
      <c r="E28" s="20">
        <v>0</v>
      </c>
      <c r="F28" s="20">
        <v>0</v>
      </c>
      <c r="G28" s="20">
        <v>0</v>
      </c>
      <c r="H28" s="20">
        <v>0</v>
      </c>
      <c r="I28" s="20">
        <v>0</v>
      </c>
      <c r="J28" s="20"/>
      <c r="K28" s="22">
        <v>0</v>
      </c>
      <c r="L28" s="22">
        <v>0</v>
      </c>
      <c r="M28" s="21"/>
      <c r="N28" s="22"/>
      <c r="O28" s="22"/>
      <c r="P28" s="11">
        <f>SUM(D28:O28)</f>
        <v>0</v>
      </c>
    </row>
    <row r="29" spans="1:17">
      <c r="C29" s="14"/>
      <c r="D29" s="24">
        <f>SUM(D18:D28)</f>
        <v>6042706.6799999997</v>
      </c>
      <c r="E29" s="24">
        <f t="shared" ref="E29:N29" si="4">SUM(E18:E28)</f>
        <v>4433884.01</v>
      </c>
      <c r="F29" s="24">
        <f t="shared" si="4"/>
        <v>5041303.7200000007</v>
      </c>
      <c r="G29" s="24">
        <f t="shared" si="4"/>
        <v>5455974.5999999996</v>
      </c>
      <c r="H29" s="24">
        <f t="shared" si="4"/>
        <v>4891955.1100000013</v>
      </c>
      <c r="I29" s="24">
        <f t="shared" si="4"/>
        <v>5252185.4700000007</v>
      </c>
      <c r="J29" s="24">
        <f t="shared" si="4"/>
        <v>6091075.409</v>
      </c>
      <c r="K29" s="24">
        <f t="shared" si="4"/>
        <v>5537743.8399999999</v>
      </c>
      <c r="L29" s="24">
        <f t="shared" si="4"/>
        <v>6169219.4700000007</v>
      </c>
      <c r="M29" s="24">
        <f>SUM(M18:M28)</f>
        <v>5962691.2500000009</v>
      </c>
      <c r="N29" s="24">
        <f t="shared" si="4"/>
        <v>6170642.75</v>
      </c>
      <c r="O29" s="24">
        <f>SUM(O18:O28)</f>
        <v>5968120.7800000003</v>
      </c>
      <c r="P29" s="11">
        <f>SUM(D29:O29)</f>
        <v>67017503.089000002</v>
      </c>
    </row>
    <row r="30" spans="1:17">
      <c r="B30" s="7"/>
      <c r="C30" s="25"/>
      <c r="D30" s="22"/>
      <c r="E30" s="22"/>
      <c r="F30" s="22"/>
      <c r="G30" s="22"/>
      <c r="H30" s="22"/>
      <c r="I30" s="22"/>
      <c r="J30" s="22"/>
      <c r="K30" s="22"/>
      <c r="L30" s="22"/>
      <c r="M30" s="22"/>
      <c r="N30" s="22"/>
      <c r="O30" s="22"/>
      <c r="P30" s="11"/>
    </row>
    <row r="31" spans="1:17">
      <c r="B31" s="7"/>
      <c r="C31" s="14" t="s">
        <v>32</v>
      </c>
      <c r="D31" s="22">
        <f>+D29-D15</f>
        <v>-127169.73916666675</v>
      </c>
      <c r="E31" s="22">
        <f>+E29-E15</f>
        <v>-1735992.4091666667</v>
      </c>
      <c r="F31" s="22">
        <f>+F29-F15</f>
        <v>-1128572.6991666658</v>
      </c>
      <c r="G31" s="22">
        <f>+G29-G15</f>
        <v>-713901.81916666683</v>
      </c>
      <c r="H31" s="22">
        <f t="shared" ref="H31:N31" si="5">+H29-H15</f>
        <v>-1277921.3091666652</v>
      </c>
      <c r="I31" s="22">
        <f t="shared" si="5"/>
        <v>-917690.94916666579</v>
      </c>
      <c r="J31" s="22">
        <f t="shared" si="5"/>
        <v>-78801.01016666647</v>
      </c>
      <c r="K31" s="22">
        <f t="shared" si="5"/>
        <v>-632132.5791666666</v>
      </c>
      <c r="L31" s="22">
        <f t="shared" si="5"/>
        <v>-656.94916666578501</v>
      </c>
      <c r="M31" s="22">
        <f>+M29-M15</f>
        <v>-207185.16916666552</v>
      </c>
      <c r="N31" s="22">
        <f t="shared" si="5"/>
        <v>766.33083333354443</v>
      </c>
      <c r="O31" s="22">
        <f>+O29-O15</f>
        <v>-201755.63916666619</v>
      </c>
      <c r="P31" s="11">
        <f>SUM(D31:O31)</f>
        <v>-7021013.9409999941</v>
      </c>
    </row>
    <row r="32" spans="1:17">
      <c r="A32" s="17"/>
      <c r="B32" s="17"/>
      <c r="C32" s="25" t="s">
        <v>62</v>
      </c>
      <c r="D32" s="16">
        <f>+D31*0.8</f>
        <v>-101735.79133333341</v>
      </c>
      <c r="E32" s="16">
        <f t="shared" ref="E32:N32" si="6">+E31*0.8</f>
        <v>-1388793.9273333335</v>
      </c>
      <c r="F32" s="16">
        <f t="shared" si="6"/>
        <v>-902858.15933333267</v>
      </c>
      <c r="G32" s="16">
        <f>+G31*0.8</f>
        <v>-571121.45533333346</v>
      </c>
      <c r="H32" s="16">
        <f t="shared" si="6"/>
        <v>-1022337.0473333322</v>
      </c>
      <c r="I32" s="16">
        <f t="shared" si="6"/>
        <v>-734152.75933333265</v>
      </c>
      <c r="J32" s="16">
        <f t="shared" si="6"/>
        <v>-63040.808133333179</v>
      </c>
      <c r="K32" s="16">
        <f t="shared" si="6"/>
        <v>-505706.0633333333</v>
      </c>
      <c r="L32" s="16">
        <f t="shared" si="6"/>
        <v>-525.55933333262806</v>
      </c>
      <c r="M32" s="16">
        <f t="shared" si="6"/>
        <v>-165748.13533333244</v>
      </c>
      <c r="N32" s="16">
        <f t="shared" si="6"/>
        <v>613.06466666683559</v>
      </c>
      <c r="O32" s="16">
        <f>+O31*0.8</f>
        <v>-161404.51133333298</v>
      </c>
      <c r="P32" s="11">
        <f>SUM(D32:O32)</f>
        <v>-5616811.1527999956</v>
      </c>
      <c r="Q32" s="11"/>
    </row>
    <row r="33" spans="1:16">
      <c r="A33" s="17"/>
      <c r="B33" s="17"/>
      <c r="C33" s="25"/>
      <c r="D33" s="16"/>
      <c r="E33" s="16"/>
      <c r="F33" s="16"/>
      <c r="G33" s="16"/>
      <c r="H33" s="16"/>
      <c r="I33" s="16"/>
      <c r="J33" s="16"/>
      <c r="K33" s="16"/>
      <c r="L33" s="16"/>
      <c r="M33" s="16"/>
      <c r="N33" s="16"/>
      <c r="O33" s="16"/>
      <c r="P33" s="11"/>
    </row>
    <row r="34" spans="1:16">
      <c r="A34" s="17"/>
      <c r="B34" s="17"/>
      <c r="C34" s="14" t="s">
        <v>34</v>
      </c>
      <c r="D34" s="11">
        <v>9674.9500000000007</v>
      </c>
      <c r="E34" s="11">
        <v>9674.9500000000007</v>
      </c>
      <c r="F34" s="11">
        <v>9674.9500000000007</v>
      </c>
      <c r="G34" s="11">
        <v>9674.9500000000007</v>
      </c>
      <c r="H34" s="11">
        <v>9674.9500000000007</v>
      </c>
      <c r="I34" s="11">
        <v>9674.9500000000007</v>
      </c>
      <c r="J34" s="26">
        <v>35940.985655316617</v>
      </c>
      <c r="K34" s="26">
        <v>35940.985655316617</v>
      </c>
      <c r="L34" s="26">
        <v>35940.985655316617</v>
      </c>
      <c r="M34" s="26">
        <v>35940.985655316617</v>
      </c>
      <c r="N34" s="26">
        <v>35940.985655316617</v>
      </c>
      <c r="O34" s="26">
        <v>35940.985655316617</v>
      </c>
      <c r="P34" s="11">
        <f>SUM(D34:O34)</f>
        <v>273695.61393189972</v>
      </c>
    </row>
    <row r="35" spans="1:16">
      <c r="A35" s="17"/>
      <c r="B35" s="17"/>
      <c r="C35" s="25"/>
      <c r="D35" s="16"/>
      <c r="E35" s="16"/>
      <c r="F35" s="16"/>
      <c r="G35" s="16"/>
      <c r="H35" s="16"/>
      <c r="I35" s="16"/>
      <c r="J35" s="16"/>
      <c r="K35" s="16"/>
      <c r="L35" s="16"/>
      <c r="M35" s="16"/>
      <c r="N35" s="16"/>
      <c r="O35" s="16"/>
      <c r="P35" s="11"/>
    </row>
    <row r="36" spans="1:16">
      <c r="A36" s="17"/>
      <c r="B36" s="17"/>
      <c r="C36" s="14"/>
      <c r="D36" s="16"/>
      <c r="E36" s="16"/>
      <c r="F36" s="16"/>
      <c r="G36" s="16"/>
      <c r="H36" s="16"/>
      <c r="I36" s="16"/>
      <c r="J36" s="16"/>
      <c r="K36" s="16"/>
      <c r="L36" s="16"/>
      <c r="M36" s="16"/>
      <c r="N36" s="16"/>
      <c r="O36" s="16"/>
      <c r="P36" s="11"/>
    </row>
    <row r="37" spans="1:16">
      <c r="A37" s="17"/>
      <c r="B37" s="17"/>
      <c r="C37" s="14"/>
      <c r="D37" s="16"/>
      <c r="E37" s="16"/>
      <c r="F37" s="16"/>
      <c r="G37" s="16"/>
      <c r="H37" s="16"/>
      <c r="I37" s="16"/>
      <c r="J37" s="16"/>
      <c r="K37" s="16"/>
      <c r="L37" s="16"/>
      <c r="M37" s="16"/>
      <c r="N37" s="16"/>
      <c r="O37" s="16"/>
    </row>
    <row r="38" spans="1:16">
      <c r="A38" s="17"/>
      <c r="B38" s="17"/>
      <c r="C38" s="14" t="s">
        <v>36</v>
      </c>
      <c r="D38" s="27">
        <f>'[3]PPA Form 5.0'!D22</f>
        <v>34547.333333333336</v>
      </c>
      <c r="E38" s="27">
        <f>$D$38</f>
        <v>34547.333333333336</v>
      </c>
      <c r="F38" s="27">
        <f t="shared" ref="F38:N38" si="7">$D$38</f>
        <v>34547.333333333336</v>
      </c>
      <c r="G38" s="27">
        <f t="shared" si="7"/>
        <v>34547.333333333336</v>
      </c>
      <c r="H38" s="27">
        <f t="shared" si="7"/>
        <v>34547.333333333336</v>
      </c>
      <c r="I38" s="27">
        <f t="shared" si="7"/>
        <v>34547.333333333336</v>
      </c>
      <c r="J38" s="27">
        <f t="shared" si="7"/>
        <v>34547.333333333336</v>
      </c>
      <c r="K38" s="27">
        <f t="shared" si="7"/>
        <v>34547.333333333336</v>
      </c>
      <c r="L38" s="27">
        <f t="shared" si="7"/>
        <v>34547.333333333336</v>
      </c>
      <c r="M38" s="27">
        <f t="shared" si="7"/>
        <v>34547.333333333336</v>
      </c>
      <c r="N38" s="27">
        <f t="shared" si="7"/>
        <v>34547.333333333336</v>
      </c>
      <c r="O38" s="27">
        <f>$D$38</f>
        <v>34547.333333333336</v>
      </c>
      <c r="P38" s="11">
        <f>SUM(D38:O38)</f>
        <v>414567.99999999994</v>
      </c>
    </row>
    <row r="39" spans="1:16">
      <c r="A39" s="17"/>
      <c r="B39" s="17"/>
      <c r="C39" s="25"/>
      <c r="D39" s="16"/>
      <c r="E39" s="16"/>
      <c r="F39" s="16"/>
      <c r="G39" s="16"/>
      <c r="H39" s="16"/>
      <c r="I39" s="16"/>
      <c r="J39" s="16"/>
      <c r="K39" s="16"/>
      <c r="L39" s="16"/>
      <c r="M39" s="16"/>
      <c r="N39" s="16"/>
      <c r="O39" s="16"/>
    </row>
    <row r="40" spans="1:16">
      <c r="B40" s="7"/>
      <c r="C40" s="25" t="s">
        <v>37</v>
      </c>
      <c r="D40" s="22">
        <v>379414.68043015635</v>
      </c>
      <c r="E40" s="22">
        <v>46169.434626239999</v>
      </c>
      <c r="F40" s="22">
        <v>37719.022375909997</v>
      </c>
      <c r="G40" s="22">
        <v>186765.51226709996</v>
      </c>
      <c r="H40" s="22">
        <v>48248.39</v>
      </c>
      <c r="I40" s="22">
        <v>107953.99</v>
      </c>
      <c r="J40" s="22">
        <v>40592.94</v>
      </c>
      <c r="K40" s="22">
        <v>39889.699999999997</v>
      </c>
      <c r="L40" s="16">
        <v>151246.39000000001</v>
      </c>
      <c r="M40" s="22">
        <v>52094.203596799998</v>
      </c>
      <c r="N40" s="22">
        <v>36517.86</v>
      </c>
      <c r="O40" s="22">
        <v>49309.27</v>
      </c>
    </row>
    <row r="41" spans="1:16">
      <c r="B41" s="7"/>
      <c r="C41" s="25" t="s">
        <v>38</v>
      </c>
      <c r="D41" s="22">
        <v>-683884.24</v>
      </c>
      <c r="E41" s="22">
        <f>-D40</f>
        <v>-379414.68043015635</v>
      </c>
      <c r="F41" s="22">
        <f>-E40</f>
        <v>-46169.434626239999</v>
      </c>
      <c r="G41" s="22">
        <f t="shared" ref="G41:O41" si="8">-F40</f>
        <v>-37719.022375909997</v>
      </c>
      <c r="H41" s="22">
        <f t="shared" si="8"/>
        <v>-186765.51226709996</v>
      </c>
      <c r="I41" s="22">
        <f t="shared" si="8"/>
        <v>-48248.39</v>
      </c>
      <c r="J41" s="22">
        <f t="shared" si="8"/>
        <v>-107953.99</v>
      </c>
      <c r="K41" s="22">
        <f t="shared" si="8"/>
        <v>-40592.94</v>
      </c>
      <c r="L41" s="22">
        <f t="shared" si="8"/>
        <v>-39889.699999999997</v>
      </c>
      <c r="M41" s="22">
        <f t="shared" si="8"/>
        <v>-151246.39000000001</v>
      </c>
      <c r="N41" s="22">
        <f t="shared" si="8"/>
        <v>-52094.203596799998</v>
      </c>
      <c r="O41" s="22">
        <f t="shared" si="8"/>
        <v>-36517.86</v>
      </c>
    </row>
    <row r="42" spans="1:16">
      <c r="B42" s="7"/>
      <c r="C42" s="2" t="s">
        <v>39</v>
      </c>
      <c r="D42" s="28">
        <v>683531.39728799998</v>
      </c>
      <c r="E42" s="28">
        <v>378792.78029054176</v>
      </c>
      <c r="F42" s="28">
        <v>112716.80234225999</v>
      </c>
      <c r="G42" s="28">
        <v>37769.323936029992</v>
      </c>
      <c r="H42" s="28">
        <v>186909.54</v>
      </c>
      <c r="I42" s="28">
        <v>48200.37</v>
      </c>
      <c r="J42" s="28">
        <v>107953.88</v>
      </c>
      <c r="K42" s="28">
        <v>-118496.24</v>
      </c>
      <c r="L42" s="28">
        <v>39994.07</v>
      </c>
      <c r="M42" s="28">
        <v>151076.18381792001</v>
      </c>
      <c r="N42" s="28">
        <v>52285.31</v>
      </c>
      <c r="O42" s="28">
        <v>36517.86</v>
      </c>
    </row>
    <row r="43" spans="1:16">
      <c r="B43" s="7"/>
      <c r="C43" s="2" t="s">
        <v>40</v>
      </c>
      <c r="D43" s="22">
        <f>SUM(D40:D42)</f>
        <v>379061.83771815634</v>
      </c>
      <c r="E43" s="22">
        <f t="shared" ref="E43:O43" si="9">SUM(E40:E42)</f>
        <v>45547.534486625402</v>
      </c>
      <c r="F43" s="22">
        <f t="shared" si="9"/>
        <v>104266.39009192999</v>
      </c>
      <c r="G43" s="22">
        <f t="shared" si="9"/>
        <v>186815.81382721994</v>
      </c>
      <c r="H43" s="22">
        <f t="shared" si="9"/>
        <v>48392.417732900038</v>
      </c>
      <c r="I43" s="22">
        <f t="shared" si="9"/>
        <v>107905.97</v>
      </c>
      <c r="J43" s="22">
        <f t="shared" si="9"/>
        <v>40592.83</v>
      </c>
      <c r="K43" s="22">
        <f t="shared" si="9"/>
        <v>-119199.48000000001</v>
      </c>
      <c r="L43" s="22">
        <f t="shared" si="9"/>
        <v>151350.76</v>
      </c>
      <c r="M43" s="22">
        <f t="shared" si="9"/>
        <v>51923.997414719997</v>
      </c>
      <c r="N43" s="22">
        <f t="shared" si="9"/>
        <v>36708.9664032</v>
      </c>
      <c r="O43" s="22">
        <f t="shared" si="9"/>
        <v>49309.27</v>
      </c>
      <c r="P43" s="11">
        <f>SUM(D43:O43)</f>
        <v>1082676.3076747516</v>
      </c>
    </row>
    <row r="45" spans="1:16">
      <c r="C45" s="2" t="s">
        <v>41</v>
      </c>
      <c r="D45" s="29">
        <f>D43-D38</f>
        <v>344514.50438482303</v>
      </c>
      <c r="E45" s="29">
        <f t="shared" ref="E45:O45" si="10">E43-E38</f>
        <v>11000.201153292066</v>
      </c>
      <c r="F45" s="29">
        <f t="shared" si="10"/>
        <v>69719.056758596649</v>
      </c>
      <c r="G45" s="29">
        <f>G43-G38</f>
        <v>152268.4804938866</v>
      </c>
      <c r="H45" s="29">
        <f t="shared" si="10"/>
        <v>13845.084399566702</v>
      </c>
      <c r="I45" s="29">
        <f t="shared" si="10"/>
        <v>73358.636666666658</v>
      </c>
      <c r="J45" s="29">
        <f t="shared" si="10"/>
        <v>6045.496666666666</v>
      </c>
      <c r="K45" s="29">
        <f t="shared" si="10"/>
        <v>-153746.81333333335</v>
      </c>
      <c r="L45" s="29">
        <f t="shared" si="10"/>
        <v>116803.42666666667</v>
      </c>
      <c r="M45" s="29">
        <f t="shared" si="10"/>
        <v>17376.664081386662</v>
      </c>
      <c r="N45" s="29">
        <f t="shared" si="10"/>
        <v>2161.6330698666643</v>
      </c>
      <c r="O45" s="29">
        <f t="shared" si="10"/>
        <v>14761.936666666661</v>
      </c>
      <c r="P45" s="11">
        <f>SUM(D45:O45)</f>
        <v>668108.30767475185</v>
      </c>
    </row>
    <row r="46" spans="1:16">
      <c r="P46" s="29"/>
    </row>
    <row r="47" spans="1:16" ht="13.5" thickBot="1">
      <c r="A47" s="17"/>
      <c r="B47" s="17"/>
      <c r="C47" s="14" t="s">
        <v>42</v>
      </c>
      <c r="D47" s="30">
        <f>(D32-D34)+D45</f>
        <v>233103.7630514896</v>
      </c>
      <c r="E47" s="30">
        <f>(E32-E34)+E45</f>
        <v>-1387468.6761800414</v>
      </c>
      <c r="F47" s="30">
        <f t="shared" ref="F47:N47" si="11">(F32-F34)+F45</f>
        <v>-842814.05257473595</v>
      </c>
      <c r="G47" s="30">
        <f>(G32-G34)+G45</f>
        <v>-428527.92483944679</v>
      </c>
      <c r="H47" s="30">
        <f t="shared" si="11"/>
        <v>-1018166.9129337654</v>
      </c>
      <c r="I47" s="30">
        <f t="shared" si="11"/>
        <v>-670469.072666666</v>
      </c>
      <c r="J47" s="30">
        <f t="shared" si="11"/>
        <v>-92936.297121983138</v>
      </c>
      <c r="K47" s="30">
        <f>(K32-K34)+K45</f>
        <v>-695393.86232198321</v>
      </c>
      <c r="L47" s="30">
        <f t="shared" si="11"/>
        <v>80336.881678017424</v>
      </c>
      <c r="M47" s="30">
        <f t="shared" si="11"/>
        <v>-184312.45690726239</v>
      </c>
      <c r="N47" s="30">
        <f t="shared" si="11"/>
        <v>-33166.28791878312</v>
      </c>
      <c r="O47" s="30">
        <f>(O32-O34)+O45</f>
        <v>-182583.56032198295</v>
      </c>
    </row>
    <row r="48" spans="1:16" ht="13.5" thickTop="1">
      <c r="A48" s="17"/>
      <c r="B48" s="17"/>
      <c r="C48" s="14"/>
      <c r="D48" s="16"/>
      <c r="E48" s="16"/>
      <c r="F48" s="16"/>
      <c r="G48" s="16"/>
      <c r="H48" s="16"/>
      <c r="I48" s="16"/>
      <c r="J48" s="16"/>
      <c r="K48" s="16"/>
      <c r="L48" s="16"/>
      <c r="M48" s="16"/>
      <c r="N48" s="16"/>
      <c r="O48" s="16"/>
    </row>
    <row r="49" spans="1:17">
      <c r="A49" s="17"/>
      <c r="B49" s="17"/>
      <c r="C49" s="17" t="s">
        <v>43</v>
      </c>
      <c r="D49" s="16">
        <f>D47-D13</f>
        <v>233103.7630514896</v>
      </c>
      <c r="E49" s="16">
        <f>E47-E13</f>
        <v>-1387468.6761800414</v>
      </c>
      <c r="F49" s="16">
        <f t="shared" ref="F49:N49" si="12">F47-F13</f>
        <v>-842814.05257473595</v>
      </c>
      <c r="G49" s="16">
        <f>G47-G13</f>
        <v>-451389.38150048681</v>
      </c>
      <c r="H49" s="16">
        <f t="shared" si="12"/>
        <v>-1053851.0357458454</v>
      </c>
      <c r="I49" s="16">
        <f t="shared" si="12"/>
        <v>-703846.57470994606</v>
      </c>
      <c r="J49" s="16">
        <f t="shared" si="12"/>
        <v>-129330.58569166315</v>
      </c>
      <c r="K49" s="16">
        <f t="shared" si="12"/>
        <v>-726759.44696262316</v>
      </c>
      <c r="L49" s="16">
        <f t="shared" si="12"/>
        <v>44366.413902977423</v>
      </c>
      <c r="M49" s="16">
        <f t="shared" si="12"/>
        <v>-209801.44726758238</v>
      </c>
      <c r="N49" s="16">
        <f t="shared" si="12"/>
        <v>-61847.501718383122</v>
      </c>
      <c r="O49" s="16">
        <f>O47-O13</f>
        <v>-210933.22412798295</v>
      </c>
    </row>
    <row r="51" spans="1:17">
      <c r="A51" s="17"/>
      <c r="B51" s="17"/>
      <c r="C51" s="14"/>
      <c r="D51" s="16"/>
      <c r="E51" s="16"/>
      <c r="F51" s="16"/>
      <c r="G51" s="16"/>
      <c r="H51" s="16"/>
      <c r="I51" s="16"/>
      <c r="J51" s="16"/>
      <c r="K51" s="16"/>
      <c r="L51" s="16"/>
      <c r="M51" s="16"/>
      <c r="N51" s="16"/>
      <c r="O51" s="16"/>
    </row>
    <row r="52" spans="1:17">
      <c r="A52" s="31"/>
      <c r="B52" s="32"/>
      <c r="C52" s="33" t="s">
        <v>44</v>
      </c>
      <c r="D52" s="10">
        <f>+D49+341958.23</f>
        <v>575061.99305148958</v>
      </c>
      <c r="E52" s="10">
        <f>+E49+D52</f>
        <v>-812406.68312855181</v>
      </c>
      <c r="F52" s="10">
        <f t="shared" ref="F52:O52" si="13">+F49+E52</f>
        <v>-1655220.7357032876</v>
      </c>
      <c r="G52" s="10">
        <f>+G49+F52</f>
        <v>-2106610.1172037744</v>
      </c>
      <c r="H52" s="10">
        <f t="shared" si="13"/>
        <v>-3160461.15294962</v>
      </c>
      <c r="I52" s="10">
        <f t="shared" si="13"/>
        <v>-3864307.7276595663</v>
      </c>
      <c r="J52" s="10">
        <f t="shared" si="13"/>
        <v>-3993638.3133512293</v>
      </c>
      <c r="K52" s="10">
        <f t="shared" si="13"/>
        <v>-4720397.7603138527</v>
      </c>
      <c r="L52" s="10">
        <f t="shared" si="13"/>
        <v>-4676031.3464108752</v>
      </c>
      <c r="M52" s="10">
        <f t="shared" si="13"/>
        <v>-4885832.7936784578</v>
      </c>
      <c r="N52" s="10">
        <f t="shared" si="13"/>
        <v>-4947680.2953968411</v>
      </c>
      <c r="O52" s="10">
        <f t="shared" si="13"/>
        <v>-5158613.5195248239</v>
      </c>
      <c r="P52" s="29">
        <f>P32-P34-P38+P43</f>
        <v>-5222398.4590571439</v>
      </c>
      <c r="Q52" s="2" t="s">
        <v>45</v>
      </c>
    </row>
    <row r="53" spans="1:17">
      <c r="A53" s="34"/>
      <c r="C53" s="4"/>
      <c r="D53" s="10"/>
      <c r="E53" s="10"/>
      <c r="F53" s="10"/>
      <c r="G53" s="10"/>
      <c r="H53" s="10"/>
      <c r="I53" s="10"/>
      <c r="J53" s="10"/>
      <c r="K53" s="10"/>
      <c r="L53" s="16"/>
      <c r="O53" s="35"/>
    </row>
    <row r="54" spans="1:17">
      <c r="A54" s="34"/>
      <c r="C54" s="4"/>
      <c r="D54" s="10"/>
      <c r="E54" s="10"/>
      <c r="F54" s="10"/>
      <c r="G54" s="10"/>
      <c r="H54" s="10"/>
      <c r="I54" s="10"/>
      <c r="J54" s="10"/>
      <c r="K54" s="10"/>
      <c r="L54" s="16"/>
      <c r="O54" s="29"/>
    </row>
  </sheetData>
  <mergeCells count="1">
    <mergeCell ref="A8:B12"/>
  </mergeCells>
  <pageMargins left="0.7" right="0.7" top="0.75" bottom="0.75" header="0.3" footer="0.3"/>
  <pageSetup scale="3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589C4-5CE5-4FFB-9ED4-E83F35950B6E}">
  <sheetPr>
    <pageSetUpPr fitToPage="1"/>
  </sheetPr>
  <dimension ref="A1:Q54"/>
  <sheetViews>
    <sheetView zoomScaleNormal="100" workbookViewId="0">
      <pane xSplit="3" ySplit="6" topLeftCell="D7" activePane="bottomRight" state="frozen"/>
      <selection pane="topRight" activeCell="D1" sqref="D1"/>
      <selection pane="bottomLeft" activeCell="A7" sqref="A7"/>
      <selection pane="bottomRight" activeCell="J36" sqref="J36"/>
    </sheetView>
  </sheetViews>
  <sheetFormatPr defaultColWidth="9.140625" defaultRowHeight="12.75"/>
  <cols>
    <col min="1" max="1" width="14.7109375" style="2" customWidth="1"/>
    <col min="2" max="2" width="16.85546875" style="2" customWidth="1"/>
    <col min="3" max="3" width="89.140625" style="2" customWidth="1"/>
    <col min="4" max="11" width="17.140625" style="2" customWidth="1"/>
    <col min="12" max="12" width="19.85546875" style="2" customWidth="1"/>
    <col min="13" max="14" width="16.5703125" style="2" customWidth="1"/>
    <col min="15" max="15" width="18.42578125" style="2" customWidth="1"/>
    <col min="16" max="16" width="17.42578125" style="2" bestFit="1" customWidth="1"/>
    <col min="17" max="17" width="10.140625" style="2" bestFit="1" customWidth="1"/>
    <col min="18" max="16384" width="9.140625" style="2"/>
  </cols>
  <sheetData>
    <row r="1" spans="1:16" ht="15">
      <c r="A1" s="1" t="s">
        <v>0</v>
      </c>
    </row>
    <row r="2" spans="1:16" ht="15.75">
      <c r="A2" s="1" t="s">
        <v>1</v>
      </c>
      <c r="B2" s="3"/>
      <c r="G2" s="4"/>
      <c r="I2" s="4"/>
    </row>
    <row r="3" spans="1:16" ht="15">
      <c r="A3" s="1" t="str">
        <f>'[4]Input Sheet'!A2:D2</f>
        <v>12 -Month Period ended June 30, 2020</v>
      </c>
      <c r="B3" s="5"/>
      <c r="D3" s="6"/>
      <c r="E3" s="6"/>
      <c r="F3" s="6"/>
      <c r="G3" s="6"/>
      <c r="H3" s="6"/>
      <c r="I3" s="6"/>
      <c r="J3" s="6"/>
      <c r="K3" s="6"/>
      <c r="L3" s="6"/>
      <c r="M3" s="6"/>
      <c r="N3" s="6"/>
      <c r="O3" s="6"/>
    </row>
    <row r="4" spans="1:16" ht="15">
      <c r="A4" s="1"/>
      <c r="D4" s="6"/>
      <c r="E4" s="6"/>
      <c r="F4" s="6"/>
      <c r="G4" s="6"/>
      <c r="H4" s="6"/>
      <c r="I4" s="6"/>
      <c r="J4" s="6"/>
      <c r="K4" s="6"/>
      <c r="L4" s="6"/>
      <c r="M4" s="6"/>
      <c r="N4" s="6"/>
      <c r="O4" s="6"/>
    </row>
    <row r="5" spans="1:16">
      <c r="D5" s="7" t="s">
        <v>2</v>
      </c>
      <c r="E5" s="7" t="s">
        <v>2</v>
      </c>
      <c r="F5" s="7" t="s">
        <v>2</v>
      </c>
      <c r="G5" s="7" t="s">
        <v>2</v>
      </c>
      <c r="H5" s="7" t="s">
        <v>2</v>
      </c>
      <c r="I5" s="7" t="s">
        <v>2</v>
      </c>
      <c r="J5" s="7" t="s">
        <v>2</v>
      </c>
      <c r="K5" s="7" t="s">
        <v>2</v>
      </c>
      <c r="L5" s="7" t="s">
        <v>2</v>
      </c>
      <c r="M5" s="7" t="s">
        <v>2</v>
      </c>
      <c r="N5" s="7" t="s">
        <v>2</v>
      </c>
      <c r="O5" s="7" t="s">
        <v>2</v>
      </c>
      <c r="P5" s="2" t="s">
        <v>3</v>
      </c>
    </row>
    <row r="6" spans="1:16">
      <c r="C6" s="8" t="s">
        <v>0</v>
      </c>
      <c r="D6" s="9" t="s">
        <v>4</v>
      </c>
      <c r="E6" s="9" t="s">
        <v>5</v>
      </c>
      <c r="F6" s="9" t="s">
        <v>6</v>
      </c>
      <c r="G6" s="9" t="s">
        <v>7</v>
      </c>
      <c r="H6" s="9" t="s">
        <v>8</v>
      </c>
      <c r="I6" s="9" t="s">
        <v>9</v>
      </c>
      <c r="J6" s="9" t="s">
        <v>10</v>
      </c>
      <c r="K6" s="9" t="s">
        <v>11</v>
      </c>
      <c r="L6" s="9" t="s">
        <v>12</v>
      </c>
      <c r="M6" s="9" t="s">
        <v>13</v>
      </c>
      <c r="N6" s="9" t="s">
        <v>14</v>
      </c>
      <c r="O6" s="9" t="s">
        <v>15</v>
      </c>
    </row>
    <row r="7" spans="1:16" ht="13.5" thickBot="1">
      <c r="A7" s="8" t="s">
        <v>16</v>
      </c>
      <c r="C7" s="2" t="s">
        <v>17</v>
      </c>
      <c r="D7" s="10">
        <v>32045.151215081009</v>
      </c>
      <c r="E7" s="10">
        <v>32039.12352930642</v>
      </c>
      <c r="F7" s="10">
        <v>28988.011855725403</v>
      </c>
      <c r="G7" s="10">
        <v>26968.966394559066</v>
      </c>
      <c r="H7" s="10">
        <f>-11995.7416352674+-252762.46</f>
        <v>-264758.20163526741</v>
      </c>
      <c r="I7" s="10">
        <v>-636179.54514457786</v>
      </c>
      <c r="J7" s="10">
        <v>-501558.83271368389</v>
      </c>
      <c r="K7" s="10">
        <v>-492800.19739556813</v>
      </c>
      <c r="L7" s="10">
        <v>-418757.19387616019</v>
      </c>
      <c r="M7" s="10">
        <v>-355349.42250878969</v>
      </c>
      <c r="N7" s="10">
        <v>-409656.37469336495</v>
      </c>
      <c r="O7" s="10">
        <v>-380103.93386824406</v>
      </c>
      <c r="P7" s="11">
        <f>SUM(D7:O7)</f>
        <v>-3339122.4488409841</v>
      </c>
    </row>
    <row r="8" spans="1:16">
      <c r="A8" s="96" t="s">
        <v>61</v>
      </c>
      <c r="B8" s="97"/>
      <c r="D8" s="10">
        <v>0</v>
      </c>
      <c r="E8" s="10">
        <v>0</v>
      </c>
      <c r="F8" s="10">
        <v>0</v>
      </c>
      <c r="G8" s="10">
        <v>0</v>
      </c>
      <c r="H8" s="10">
        <v>0</v>
      </c>
      <c r="I8" s="10">
        <v>0</v>
      </c>
      <c r="J8" s="10">
        <v>0</v>
      </c>
      <c r="K8" s="10">
        <v>0</v>
      </c>
      <c r="L8" s="10">
        <v>0</v>
      </c>
      <c r="M8" s="10">
        <v>0</v>
      </c>
      <c r="N8" s="10">
        <v>0</v>
      </c>
      <c r="O8" s="10">
        <v>0</v>
      </c>
    </row>
    <row r="9" spans="1:16">
      <c r="A9" s="98"/>
      <c r="B9" s="99"/>
      <c r="D9" s="10">
        <v>0</v>
      </c>
      <c r="E9" s="10">
        <v>0</v>
      </c>
      <c r="F9" s="10">
        <v>0</v>
      </c>
      <c r="G9" s="10">
        <v>0</v>
      </c>
      <c r="H9" s="10">
        <v>0</v>
      </c>
      <c r="I9" s="10">
        <v>0</v>
      </c>
      <c r="J9" s="10">
        <v>0</v>
      </c>
      <c r="K9" s="10">
        <v>0</v>
      </c>
      <c r="L9" s="10">
        <v>0</v>
      </c>
      <c r="M9" s="10">
        <v>0</v>
      </c>
      <c r="N9" s="10">
        <v>0</v>
      </c>
      <c r="O9" s="10">
        <v>0</v>
      </c>
    </row>
    <row r="10" spans="1:16">
      <c r="A10" s="98"/>
      <c r="B10" s="99"/>
      <c r="D10" s="10">
        <v>0</v>
      </c>
      <c r="E10" s="10">
        <v>0</v>
      </c>
      <c r="F10" s="10">
        <v>0</v>
      </c>
      <c r="G10" s="10"/>
      <c r="H10" s="10"/>
      <c r="I10" s="10"/>
      <c r="J10" s="10"/>
      <c r="K10" s="12"/>
      <c r="L10" s="12"/>
      <c r="M10" s="12"/>
      <c r="N10" s="12"/>
      <c r="O10" s="12"/>
    </row>
    <row r="11" spans="1:16">
      <c r="A11" s="98"/>
      <c r="B11" s="99"/>
      <c r="D11" s="10">
        <v>0</v>
      </c>
      <c r="E11" s="10">
        <v>0</v>
      </c>
      <c r="F11" s="10">
        <v>0</v>
      </c>
      <c r="G11" s="10">
        <v>0</v>
      </c>
      <c r="H11" s="10"/>
      <c r="I11" s="10"/>
      <c r="J11" s="10"/>
      <c r="K11" s="12"/>
      <c r="L11" s="12"/>
      <c r="M11" s="12"/>
      <c r="N11" s="12"/>
      <c r="O11" s="12"/>
    </row>
    <row r="12" spans="1:16" ht="13.5" thickBot="1">
      <c r="A12" s="100"/>
      <c r="B12" s="101"/>
      <c r="C12" s="2" t="s">
        <v>18</v>
      </c>
      <c r="D12" s="10">
        <f>SUM(D7:D11)*-0.004952</f>
        <v>-158.68758881708115</v>
      </c>
      <c r="E12" s="10">
        <f>SUM(E7:E11)*-0.004952</f>
        <v>-158.65773971712539</v>
      </c>
      <c r="F12" s="10">
        <f>SUM(F7:F11)*-0.004952</f>
        <v>-143.54863470955218</v>
      </c>
      <c r="G12" s="10">
        <f>SUM(G7:G11)*-0.004952</f>
        <v>-133.55032158585649</v>
      </c>
      <c r="H12" s="10">
        <f>-263327.56-H7</f>
        <v>1430.6416352674132</v>
      </c>
      <c r="I12" s="10">
        <f>SUM(I7:I11)*-0.005425</f>
        <v>3451.2740324093352</v>
      </c>
      <c r="J12" s="10">
        <f>-499075.11-J7</f>
        <v>2483.7227136839065</v>
      </c>
      <c r="K12" s="10">
        <f>-488964.36-K7</f>
        <v>3835.8373955681454</v>
      </c>
      <c r="L12" s="10">
        <f>-416485.88-L7</f>
        <v>2271.3138761601876</v>
      </c>
      <c r="M12" s="10">
        <f t="shared" ref="M12:O12" si="0">SUM(M7:M11)*-0.005425</f>
        <v>1927.770617110184</v>
      </c>
      <c r="N12" s="10">
        <f t="shared" si="0"/>
        <v>2222.3858327115049</v>
      </c>
      <c r="O12" s="10">
        <f t="shared" si="0"/>
        <v>2062.0638412352241</v>
      </c>
      <c r="P12" s="13">
        <f>SUM(D12:O12)</f>
        <v>19090.565659316282</v>
      </c>
    </row>
    <row r="13" spans="1:16">
      <c r="C13" s="14"/>
      <c r="D13" s="15">
        <f t="shared" ref="D13:F13" si="1">SUM(D7:D12)</f>
        <v>31886.463626263929</v>
      </c>
      <c r="E13" s="15">
        <f t="shared" si="1"/>
        <v>31880.465789589296</v>
      </c>
      <c r="F13" s="15">
        <f t="shared" si="1"/>
        <v>28844.463221015849</v>
      </c>
      <c r="G13" s="15">
        <f>SUM(G7:G12)</f>
        <v>26835.41607297321</v>
      </c>
      <c r="H13" s="15">
        <f>SUM(H7:H12)</f>
        <v>-263327.56</v>
      </c>
      <c r="I13" s="15">
        <f t="shared" ref="I13:O13" si="2">SUM(I7:I12)</f>
        <v>-632728.27111216856</v>
      </c>
      <c r="J13" s="15">
        <f t="shared" si="2"/>
        <v>-499075.11</v>
      </c>
      <c r="K13" s="15">
        <f t="shared" si="2"/>
        <v>-488964.36</v>
      </c>
      <c r="L13" s="15">
        <f t="shared" si="2"/>
        <v>-416485.88</v>
      </c>
      <c r="M13" s="15">
        <f t="shared" si="2"/>
        <v>-353421.6518916795</v>
      </c>
      <c r="N13" s="15">
        <f t="shared" si="2"/>
        <v>-407433.98886065342</v>
      </c>
      <c r="O13" s="15">
        <f t="shared" si="2"/>
        <v>-378041.87002700882</v>
      </c>
      <c r="P13" s="16">
        <f>SUM(D13:O13)</f>
        <v>-3320031.8831816679</v>
      </c>
    </row>
    <row r="14" spans="1:16">
      <c r="C14" s="8"/>
      <c r="D14" s="9"/>
      <c r="E14" s="9"/>
      <c r="F14" s="9"/>
      <c r="G14" s="9"/>
      <c r="H14" s="9"/>
      <c r="I14" s="9"/>
      <c r="J14" s="9"/>
      <c r="K14" s="9"/>
      <c r="L14" s="9"/>
      <c r="M14" s="9"/>
      <c r="N14" s="9"/>
      <c r="O14" s="9"/>
    </row>
    <row r="15" spans="1:16">
      <c r="A15" s="8" t="s">
        <v>19</v>
      </c>
      <c r="B15" s="17"/>
      <c r="C15" s="14" t="s">
        <v>20</v>
      </c>
      <c r="D15" s="11">
        <f>'[4]PPA Form 5.0'!D15/12</f>
        <v>6169876.4191666665</v>
      </c>
      <c r="E15" s="11">
        <f>$D$15</f>
        <v>6169876.4191666665</v>
      </c>
      <c r="F15" s="11">
        <f t="shared" ref="F15:O15" si="3">$D$15</f>
        <v>6169876.4191666665</v>
      </c>
      <c r="G15" s="11">
        <f t="shared" si="3"/>
        <v>6169876.4191666665</v>
      </c>
      <c r="H15" s="11">
        <f t="shared" si="3"/>
        <v>6169876.4191666665</v>
      </c>
      <c r="I15" s="11">
        <f>$D$15</f>
        <v>6169876.4191666665</v>
      </c>
      <c r="J15" s="11">
        <f t="shared" si="3"/>
        <v>6169876.4191666665</v>
      </c>
      <c r="K15" s="11">
        <f t="shared" si="3"/>
        <v>6169876.4191666665</v>
      </c>
      <c r="L15" s="11">
        <f t="shared" si="3"/>
        <v>6169876.4191666665</v>
      </c>
      <c r="M15" s="11">
        <f t="shared" si="3"/>
        <v>6169876.4191666665</v>
      </c>
      <c r="N15" s="11">
        <f t="shared" si="3"/>
        <v>6169876.4191666665</v>
      </c>
      <c r="O15" s="11">
        <f t="shared" si="3"/>
        <v>6169876.4191666665</v>
      </c>
      <c r="P15" s="11">
        <f>SUM(D15:O15)</f>
        <v>74038517.030000016</v>
      </c>
    </row>
    <row r="16" spans="1:16">
      <c r="C16" s="8"/>
      <c r="D16" s="9"/>
      <c r="E16" s="9"/>
      <c r="F16" s="9"/>
      <c r="G16" s="9"/>
      <c r="H16" s="9"/>
      <c r="I16" s="9"/>
      <c r="J16" s="9"/>
      <c r="K16" s="9"/>
      <c r="L16" s="9"/>
      <c r="M16" s="18"/>
      <c r="N16" s="9"/>
      <c r="O16" s="9"/>
    </row>
    <row r="17" spans="1:17">
      <c r="A17" s="8" t="s">
        <v>21</v>
      </c>
      <c r="B17" s="9" t="s">
        <v>22</v>
      </c>
      <c r="C17" s="8" t="s">
        <v>23</v>
      </c>
      <c r="D17" s="9"/>
      <c r="E17" s="9"/>
      <c r="F17" s="9"/>
      <c r="G17" s="9"/>
      <c r="H17" s="9"/>
      <c r="I17" s="9"/>
      <c r="J17" s="9"/>
      <c r="K17" s="9"/>
      <c r="L17" s="9"/>
      <c r="M17" s="19"/>
      <c r="N17" s="9"/>
      <c r="O17" s="9"/>
    </row>
    <row r="18" spans="1:17">
      <c r="B18" s="7">
        <v>5650021</v>
      </c>
      <c r="C18" s="5" t="s">
        <v>24</v>
      </c>
      <c r="D18" s="20">
        <v>21190.91</v>
      </c>
      <c r="E18" s="20">
        <v>21190.91</v>
      </c>
      <c r="F18" s="20">
        <v>21190.91</v>
      </c>
      <c r="G18" s="20">
        <v>21190.920000000002</v>
      </c>
      <c r="H18" s="20">
        <v>21190.899999999998</v>
      </c>
      <c r="I18" s="20">
        <v>21190.91</v>
      </c>
      <c r="J18" s="20">
        <v>26997.210000000003</v>
      </c>
      <c r="K18" s="21">
        <v>26997.210000000003</v>
      </c>
      <c r="L18" s="21">
        <v>40171.699999999997</v>
      </c>
      <c r="M18" s="21">
        <v>30290.83</v>
      </c>
      <c r="N18" s="22">
        <v>30290.83</v>
      </c>
      <c r="O18" s="22">
        <v>10047.710000000003</v>
      </c>
      <c r="P18" s="11">
        <f>SUM(D18:O18)</f>
        <v>291940.95</v>
      </c>
    </row>
    <row r="19" spans="1:17">
      <c r="B19" s="7">
        <v>5650015</v>
      </c>
      <c r="C19" s="5" t="s">
        <v>25</v>
      </c>
      <c r="D19" s="20">
        <v>16873.03</v>
      </c>
      <c r="E19" s="20">
        <v>16489.79</v>
      </c>
      <c r="F19" s="20">
        <v>15424.649999999998</v>
      </c>
      <c r="G19" s="20">
        <v>15424.64</v>
      </c>
      <c r="H19" s="20">
        <v>15140.600000000002</v>
      </c>
      <c r="I19" s="20">
        <v>17397.04</v>
      </c>
      <c r="J19" s="20">
        <v>17437.21</v>
      </c>
      <c r="K19" s="21">
        <v>21565.96</v>
      </c>
      <c r="L19" s="21">
        <v>16478.27</v>
      </c>
      <c r="M19" s="21">
        <v>14418.180000000002</v>
      </c>
      <c r="N19" s="22">
        <v>15398.65</v>
      </c>
      <c r="O19" s="22">
        <v>15867.93</v>
      </c>
      <c r="P19" s="11">
        <f t="shared" ref="P19:P26" si="4">SUM(D19:O19)</f>
        <v>197915.94999999995</v>
      </c>
    </row>
    <row r="20" spans="1:17">
      <c r="B20" s="7">
        <v>4561005</v>
      </c>
      <c r="C20" s="5" t="s">
        <v>26</v>
      </c>
      <c r="D20" s="20">
        <v>-49977.420000000006</v>
      </c>
      <c r="E20" s="20">
        <v>-60272.260000000009</v>
      </c>
      <c r="F20" s="20">
        <v>-43936.28</v>
      </c>
      <c r="G20" s="20">
        <v>-57550.979999999981</v>
      </c>
      <c r="H20" s="20">
        <v>-40974.050000000003</v>
      </c>
      <c r="I20" s="20">
        <v>-43707.16</v>
      </c>
      <c r="J20" s="20">
        <v>-167298.78999999998</v>
      </c>
      <c r="K20" s="21">
        <v>-86935.98000000001</v>
      </c>
      <c r="L20" s="21">
        <v>-101009.60000000001</v>
      </c>
      <c r="M20" s="21">
        <v>-100364.49000000002</v>
      </c>
      <c r="N20" s="22">
        <v>-91747.5</v>
      </c>
      <c r="O20" s="22">
        <v>-120812.48</v>
      </c>
      <c r="P20" s="11">
        <f t="shared" si="4"/>
        <v>-964586.99</v>
      </c>
    </row>
    <row r="21" spans="1:17">
      <c r="B21" s="7">
        <v>4561002</v>
      </c>
      <c r="C21" s="5" t="s">
        <v>27</v>
      </c>
      <c r="D21" s="20">
        <v>12218.04</v>
      </c>
      <c r="E21" s="20">
        <v>10735.21</v>
      </c>
      <c r="F21" s="20">
        <v>11845.690000000002</v>
      </c>
      <c r="G21" s="20">
        <v>11105.330000000002</v>
      </c>
      <c r="H21" s="20">
        <v>10734.52</v>
      </c>
      <c r="I21" s="20">
        <v>12058.95</v>
      </c>
      <c r="J21" s="20">
        <v>11041.02</v>
      </c>
      <c r="K21" s="21">
        <v>10151.570000000002</v>
      </c>
      <c r="L21" s="21">
        <v>11601.75</v>
      </c>
      <c r="M21" s="21">
        <v>11239.199999999999</v>
      </c>
      <c r="N21" s="22">
        <v>10151.540000000001</v>
      </c>
      <c r="O21" s="22">
        <v>1450.2200000000003</v>
      </c>
      <c r="P21" s="11">
        <f t="shared" si="4"/>
        <v>124333.04000000001</v>
      </c>
    </row>
    <row r="22" spans="1:17">
      <c r="B22" s="7">
        <v>4561035</v>
      </c>
      <c r="C22" s="2" t="s">
        <v>28</v>
      </c>
      <c r="D22" s="20">
        <v>3286938.16</v>
      </c>
      <c r="E22" s="20">
        <v>3286938.16</v>
      </c>
      <c r="F22" s="20">
        <v>3180280.09</v>
      </c>
      <c r="G22" s="20">
        <v>3286938.16</v>
      </c>
      <c r="H22" s="20">
        <v>3180280.09</v>
      </c>
      <c r="I22" s="20">
        <v>3286938.16</v>
      </c>
      <c r="J22" s="20">
        <v>3574737.82</v>
      </c>
      <c r="K22" s="21">
        <v>3342868.37</v>
      </c>
      <c r="L22" s="21">
        <v>3561563.32</v>
      </c>
      <c r="M22" s="21">
        <v>3455509.47</v>
      </c>
      <c r="N22" s="22">
        <v>3571444.19</v>
      </c>
      <c r="O22" s="22">
        <v>3475752.61</v>
      </c>
      <c r="P22" s="11">
        <f t="shared" si="4"/>
        <v>40490188.600000001</v>
      </c>
    </row>
    <row r="23" spans="1:17">
      <c r="B23" s="7">
        <v>4561036</v>
      </c>
      <c r="C23" s="5" t="s">
        <v>29</v>
      </c>
      <c r="D23" s="20">
        <v>14619.800000000001</v>
      </c>
      <c r="E23" s="20">
        <v>14287.730000000001</v>
      </c>
      <c r="F23" s="20">
        <v>13364.83</v>
      </c>
      <c r="G23" s="20">
        <v>13364.83</v>
      </c>
      <c r="H23" s="20">
        <v>13118.72</v>
      </c>
      <c r="I23" s="20">
        <v>14208.83</v>
      </c>
      <c r="J23" s="20">
        <v>17219.150000000001</v>
      </c>
      <c r="K23" s="21">
        <v>15395.06</v>
      </c>
      <c r="L23" s="21">
        <v>13413.58</v>
      </c>
      <c r="M23" s="21">
        <v>11736.630000000001</v>
      </c>
      <c r="N23" s="22">
        <v>12534.75</v>
      </c>
      <c r="O23" s="22">
        <v>12916.75</v>
      </c>
      <c r="P23" s="11">
        <f t="shared" si="4"/>
        <v>166180.66</v>
      </c>
    </row>
    <row r="24" spans="1:17">
      <c r="B24" s="7">
        <v>4561060</v>
      </c>
      <c r="C24" s="5" t="s">
        <v>30</v>
      </c>
      <c r="D24" s="20">
        <v>82322.91</v>
      </c>
      <c r="E24" s="20">
        <v>82322.91</v>
      </c>
      <c r="F24" s="20">
        <v>82322.91</v>
      </c>
      <c r="G24" s="20">
        <v>82322.91</v>
      </c>
      <c r="H24" s="20">
        <v>82322.91</v>
      </c>
      <c r="I24" s="20">
        <v>82322.91</v>
      </c>
      <c r="J24" s="20">
        <v>74282.83</v>
      </c>
      <c r="K24" s="21">
        <v>74282.83</v>
      </c>
      <c r="L24" s="21">
        <v>74282.83</v>
      </c>
      <c r="M24" s="21">
        <v>74282.83</v>
      </c>
      <c r="N24" s="22">
        <v>74282.83</v>
      </c>
      <c r="O24" s="22">
        <v>74282.83</v>
      </c>
      <c r="P24" s="11">
        <f t="shared" si="4"/>
        <v>939634.43999999983</v>
      </c>
    </row>
    <row r="25" spans="1:17">
      <c r="B25" s="7">
        <v>5650012</v>
      </c>
      <c r="C25" s="5" t="s">
        <v>30</v>
      </c>
      <c r="D25" s="20">
        <v>81488.400000000111</v>
      </c>
      <c r="E25" s="20">
        <v>47698.749999999891</v>
      </c>
      <c r="F25" s="20">
        <v>63162.970000000088</v>
      </c>
      <c r="G25" s="20">
        <v>63450.57999999998</v>
      </c>
      <c r="H25" s="20">
        <v>59965.460000000043</v>
      </c>
      <c r="I25" s="20">
        <v>65747.319999999949</v>
      </c>
      <c r="J25" s="20">
        <v>143882.96000000017</v>
      </c>
      <c r="K25" s="21">
        <v>134984.29999999993</v>
      </c>
      <c r="L25" s="21">
        <v>138332.82</v>
      </c>
      <c r="M25" s="21">
        <v>138397.43</v>
      </c>
      <c r="N25" s="22">
        <v>138538.93000000008</v>
      </c>
      <c r="O25" s="22">
        <v>125847.99999999991</v>
      </c>
      <c r="P25" s="11">
        <f t="shared" si="4"/>
        <v>1201497.9200000002</v>
      </c>
    </row>
    <row r="26" spans="1:17">
      <c r="B26" s="7">
        <v>5650016</v>
      </c>
      <c r="C26" s="2" t="s">
        <v>31</v>
      </c>
      <c r="D26" s="20">
        <v>2964296.42</v>
      </c>
      <c r="E26" s="20">
        <v>2964296.42</v>
      </c>
      <c r="F26" s="20">
        <v>2868618.18</v>
      </c>
      <c r="G26" s="20">
        <v>2964296.42</v>
      </c>
      <c r="H26" s="20">
        <v>2868618.18</v>
      </c>
      <c r="I26" s="20">
        <v>2964296.42</v>
      </c>
      <c r="J26" s="20">
        <v>3851008.48</v>
      </c>
      <c r="K26" s="21">
        <v>3602055.77</v>
      </c>
      <c r="L26" s="21">
        <v>3824585.42</v>
      </c>
      <c r="M26" s="21">
        <v>3726532.13</v>
      </c>
      <c r="N26" s="22">
        <v>3851008.48</v>
      </c>
      <c r="O26" s="22">
        <v>3726532.13</v>
      </c>
      <c r="P26" s="11">
        <f t="shared" si="4"/>
        <v>40176144.450000003</v>
      </c>
    </row>
    <row r="27" spans="1:17">
      <c r="B27" s="7">
        <v>5650019</v>
      </c>
      <c r="C27" s="5" t="s">
        <v>30</v>
      </c>
      <c r="D27" s="20">
        <v>460123.56</v>
      </c>
      <c r="E27" s="20">
        <v>460123.57999999996</v>
      </c>
      <c r="F27" s="20">
        <v>460123.57</v>
      </c>
      <c r="G27" s="20">
        <v>460123.57</v>
      </c>
      <c r="H27" s="20">
        <v>460123.55999999994</v>
      </c>
      <c r="I27" s="20">
        <v>460123.58</v>
      </c>
      <c r="J27" s="20">
        <v>469277.00000000006</v>
      </c>
      <c r="K27" s="21">
        <v>469277.03</v>
      </c>
      <c r="L27" s="21">
        <v>469277</v>
      </c>
      <c r="M27" s="21">
        <v>469277.01000000013</v>
      </c>
      <c r="N27" s="22">
        <v>469277.01</v>
      </c>
      <c r="O27" s="22">
        <v>469277.01000000013</v>
      </c>
      <c r="P27" s="11">
        <f>SUM(D27:O27)</f>
        <v>5576403.4799999995</v>
      </c>
    </row>
    <row r="28" spans="1:17">
      <c r="B28" s="7"/>
      <c r="C28" s="23"/>
      <c r="D28" s="20">
        <v>0</v>
      </c>
      <c r="E28" s="20">
        <v>0</v>
      </c>
      <c r="F28" s="20">
        <v>0</v>
      </c>
      <c r="G28" s="20">
        <v>0</v>
      </c>
      <c r="H28" s="20">
        <v>0</v>
      </c>
      <c r="I28" s="20">
        <v>0</v>
      </c>
      <c r="J28" s="20"/>
      <c r="K28" s="22">
        <v>0</v>
      </c>
      <c r="L28" s="22">
        <v>0</v>
      </c>
      <c r="M28" s="21"/>
      <c r="N28" s="22"/>
      <c r="O28" s="22"/>
      <c r="P28" s="11">
        <f>SUM(D28:O28)</f>
        <v>0</v>
      </c>
    </row>
    <row r="29" spans="1:17">
      <c r="C29" s="14"/>
      <c r="D29" s="24">
        <f>SUM(D18:D28)</f>
        <v>6890093.8099999996</v>
      </c>
      <c r="E29" s="24">
        <f t="shared" ref="E29:N29" si="5">SUM(E18:E28)</f>
        <v>6843811.2000000002</v>
      </c>
      <c r="F29" s="24">
        <f t="shared" si="5"/>
        <v>6672397.5200000014</v>
      </c>
      <c r="G29" s="24">
        <f t="shared" si="5"/>
        <v>6860666.3800000008</v>
      </c>
      <c r="H29" s="24">
        <f t="shared" si="5"/>
        <v>6670520.8899999997</v>
      </c>
      <c r="I29" s="24">
        <f t="shared" si="5"/>
        <v>6880576.9600000009</v>
      </c>
      <c r="J29" s="24">
        <f t="shared" si="5"/>
        <v>8018584.8899999997</v>
      </c>
      <c r="K29" s="24">
        <f t="shared" si="5"/>
        <v>7610642.1200000001</v>
      </c>
      <c r="L29" s="24">
        <f t="shared" si="5"/>
        <v>8048697.0899999999</v>
      </c>
      <c r="M29" s="24">
        <f>SUM(M18:M28)</f>
        <v>7831319.2200000007</v>
      </c>
      <c r="N29" s="24">
        <f t="shared" si="5"/>
        <v>8081179.71</v>
      </c>
      <c r="O29" s="24">
        <f>SUM(O18:O28)</f>
        <v>7791162.709999999</v>
      </c>
      <c r="P29" s="11">
        <f>SUM(D29:O29)</f>
        <v>88199652.499999985</v>
      </c>
    </row>
    <row r="30" spans="1:17">
      <c r="B30" s="7"/>
      <c r="C30" s="25"/>
      <c r="D30" s="22"/>
      <c r="E30" s="22"/>
      <c r="F30" s="22"/>
      <c r="G30" s="22"/>
      <c r="H30" s="22"/>
      <c r="I30" s="22"/>
      <c r="J30" s="22"/>
      <c r="K30" s="22"/>
      <c r="L30" s="22"/>
      <c r="M30" s="22"/>
      <c r="N30" s="22"/>
      <c r="O30" s="22"/>
      <c r="P30" s="11"/>
    </row>
    <row r="31" spans="1:17">
      <c r="B31" s="7"/>
      <c r="C31" s="14" t="s">
        <v>32</v>
      </c>
      <c r="D31" s="22">
        <f>+D29-D15</f>
        <v>720217.39083333313</v>
      </c>
      <c r="E31" s="22">
        <f>+E29-E15</f>
        <v>673934.78083333373</v>
      </c>
      <c r="F31" s="22">
        <f>+F29-F15</f>
        <v>502521.10083333496</v>
      </c>
      <c r="G31" s="22">
        <f>+G29-G15</f>
        <v>690789.96083333436</v>
      </c>
      <c r="H31" s="22">
        <f t="shared" ref="H31" si="6">+H29-H15</f>
        <v>500644.47083333321</v>
      </c>
      <c r="I31" s="22">
        <f>+I29-I15</f>
        <v>710700.54083333444</v>
      </c>
      <c r="J31" s="22">
        <f t="shared" ref="J31:N31" si="7">+J29-J15</f>
        <v>1848708.4708333332</v>
      </c>
      <c r="K31" s="22">
        <f t="shared" si="7"/>
        <v>1440765.7008333337</v>
      </c>
      <c r="L31" s="22">
        <f t="shared" si="7"/>
        <v>1878820.6708333334</v>
      </c>
      <c r="M31" s="22">
        <f>+M29-M15</f>
        <v>1661442.8008333342</v>
      </c>
      <c r="N31" s="22">
        <f t="shared" si="7"/>
        <v>1911303.2908333335</v>
      </c>
      <c r="O31" s="22">
        <f>+O29-O15</f>
        <v>1621286.2908333326</v>
      </c>
      <c r="P31" s="11">
        <f>SUM(D31:O31)</f>
        <v>14161135.470000006</v>
      </c>
    </row>
    <row r="32" spans="1:17">
      <c r="A32" s="17"/>
      <c r="B32" s="17"/>
      <c r="C32" s="25" t="s">
        <v>62</v>
      </c>
      <c r="D32" s="16">
        <f>+D31*0.8</f>
        <v>576173.91266666655</v>
      </c>
      <c r="E32" s="16">
        <f t="shared" ref="E32:N32" si="8">+E31*0.8</f>
        <v>539147.82466666703</v>
      </c>
      <c r="F32" s="16">
        <f t="shared" si="8"/>
        <v>402016.880666668</v>
      </c>
      <c r="G32" s="16">
        <f>+G31*0.8</f>
        <v>552631.96866666747</v>
      </c>
      <c r="H32" s="16">
        <f t="shared" si="8"/>
        <v>400515.5766666666</v>
      </c>
      <c r="I32" s="16">
        <f>+I31*0.8</f>
        <v>568560.43266666762</v>
      </c>
      <c r="J32" s="16">
        <f t="shared" si="8"/>
        <v>1478966.7766666666</v>
      </c>
      <c r="K32" s="16">
        <f t="shared" si="8"/>
        <v>1152612.5606666671</v>
      </c>
      <c r="L32" s="16">
        <f t="shared" si="8"/>
        <v>1503056.5366666669</v>
      </c>
      <c r="M32" s="16">
        <f t="shared" si="8"/>
        <v>1329154.2406666675</v>
      </c>
      <c r="N32" s="16">
        <f t="shared" si="8"/>
        <v>1529042.632666667</v>
      </c>
      <c r="O32" s="16">
        <f>+O31*0.8</f>
        <v>1297029.0326666662</v>
      </c>
      <c r="P32" s="11">
        <f>SUM(D32:O32)</f>
        <v>11328908.376000004</v>
      </c>
      <c r="Q32" s="11"/>
    </row>
    <row r="33" spans="1:16">
      <c r="A33" s="17"/>
      <c r="B33" s="17"/>
      <c r="C33" s="25"/>
      <c r="D33" s="16"/>
      <c r="E33" s="16"/>
      <c r="F33" s="16"/>
      <c r="G33" s="16"/>
      <c r="H33" s="16"/>
      <c r="I33" s="16"/>
      <c r="J33" s="16"/>
      <c r="K33" s="16"/>
      <c r="L33" s="16"/>
      <c r="M33" s="16"/>
      <c r="N33" s="16"/>
      <c r="O33" s="16"/>
      <c r="P33" s="11"/>
    </row>
    <row r="34" spans="1:16">
      <c r="A34" s="17"/>
      <c r="B34" s="17"/>
      <c r="C34" s="14" t="s">
        <v>34</v>
      </c>
      <c r="D34" s="11">
        <v>35940.985655316617</v>
      </c>
      <c r="E34" s="11">
        <v>35940.985655316617</v>
      </c>
      <c r="F34" s="11">
        <v>35940.985655316617</v>
      </c>
      <c r="G34" s="11">
        <v>35940.985655316617</v>
      </c>
      <c r="H34" s="11">
        <v>35940.985655316617</v>
      </c>
      <c r="I34" s="11">
        <v>35940.985655316617</v>
      </c>
      <c r="J34" s="26">
        <v>31560.81461519537</v>
      </c>
      <c r="K34" s="26">
        <v>31560.81461519537</v>
      </c>
      <c r="L34" s="26">
        <v>31560.81461519537</v>
      </c>
      <c r="M34" s="26">
        <v>31560.81461519537</v>
      </c>
      <c r="N34" s="26">
        <v>31560.81461519537</v>
      </c>
      <c r="O34" s="26">
        <v>31560.81461519537</v>
      </c>
      <c r="P34" s="11">
        <f>SUM(D34:O34)</f>
        <v>405010.80162307201</v>
      </c>
    </row>
    <row r="35" spans="1:16">
      <c r="A35" s="17"/>
      <c r="B35" s="17"/>
      <c r="C35" s="25"/>
      <c r="D35" s="16"/>
      <c r="E35" s="16"/>
      <c r="F35" s="16"/>
      <c r="G35" s="16"/>
      <c r="H35" s="16"/>
      <c r="I35" s="16"/>
      <c r="J35" s="16"/>
      <c r="K35" s="16"/>
      <c r="L35" s="16"/>
      <c r="M35" s="16"/>
      <c r="N35" s="16"/>
      <c r="O35" s="16"/>
      <c r="P35" s="11"/>
    </row>
    <row r="36" spans="1:16">
      <c r="A36" s="17"/>
      <c r="B36" s="17"/>
      <c r="C36" s="14" t="s">
        <v>35</v>
      </c>
      <c r="D36" s="16">
        <v>0</v>
      </c>
      <c r="E36" s="16">
        <v>0</v>
      </c>
      <c r="F36" s="16">
        <v>0</v>
      </c>
      <c r="G36" s="16">
        <v>0</v>
      </c>
      <c r="H36" s="16">
        <v>0</v>
      </c>
      <c r="I36" s="16">
        <v>0</v>
      </c>
      <c r="J36" s="16">
        <v>416666.67</v>
      </c>
      <c r="K36" s="16">
        <v>416666.67</v>
      </c>
      <c r="L36" s="16">
        <v>416666.67</v>
      </c>
      <c r="M36" s="16">
        <v>416666.67</v>
      </c>
      <c r="N36" s="16">
        <v>416666.67</v>
      </c>
      <c r="O36" s="16">
        <v>416666.67</v>
      </c>
      <c r="P36" s="11">
        <f>SUM(D36:O36)</f>
        <v>2500000.02</v>
      </c>
    </row>
    <row r="37" spans="1:16">
      <c r="A37" s="17"/>
      <c r="B37" s="17"/>
      <c r="C37" s="14"/>
      <c r="D37" s="16"/>
      <c r="E37" s="16"/>
      <c r="F37" s="16"/>
      <c r="G37" s="16"/>
      <c r="H37" s="16"/>
      <c r="I37" s="16"/>
      <c r="J37" s="16"/>
      <c r="K37" s="16"/>
      <c r="L37" s="16"/>
      <c r="M37" s="16"/>
      <c r="N37" s="16"/>
      <c r="O37" s="16"/>
    </row>
    <row r="38" spans="1:16">
      <c r="A38" s="17"/>
      <c r="B38" s="17"/>
      <c r="C38" s="14" t="s">
        <v>36</v>
      </c>
      <c r="D38" s="27">
        <f>'[4]PPA Form 5.0'!D22</f>
        <v>34547.333333333336</v>
      </c>
      <c r="E38" s="27">
        <f>$D$38</f>
        <v>34547.333333333336</v>
      </c>
      <c r="F38" s="27">
        <f t="shared" ref="F38:N38" si="9">$D$38</f>
        <v>34547.333333333336</v>
      </c>
      <c r="G38" s="27">
        <f t="shared" si="9"/>
        <v>34547.333333333336</v>
      </c>
      <c r="H38" s="27">
        <f t="shared" si="9"/>
        <v>34547.333333333336</v>
      </c>
      <c r="I38" s="27">
        <f t="shared" si="9"/>
        <v>34547.333333333336</v>
      </c>
      <c r="J38" s="27">
        <f t="shared" si="9"/>
        <v>34547.333333333336</v>
      </c>
      <c r="K38" s="27">
        <f t="shared" si="9"/>
        <v>34547.333333333336</v>
      </c>
      <c r="L38" s="27">
        <f t="shared" si="9"/>
        <v>34547.333333333336</v>
      </c>
      <c r="M38" s="27">
        <f t="shared" si="9"/>
        <v>34547.333333333336</v>
      </c>
      <c r="N38" s="27">
        <f t="shared" si="9"/>
        <v>34547.333333333336</v>
      </c>
      <c r="O38" s="27">
        <f>$D$38</f>
        <v>34547.333333333336</v>
      </c>
      <c r="P38" s="11">
        <f>SUM(D38:O38)</f>
        <v>414567.99999999994</v>
      </c>
    </row>
    <row r="39" spans="1:16">
      <c r="A39" s="17"/>
      <c r="B39" s="17"/>
      <c r="C39" s="25"/>
      <c r="D39" s="16"/>
      <c r="E39" s="16"/>
      <c r="F39" s="16"/>
      <c r="G39" s="16"/>
      <c r="H39" s="16"/>
      <c r="I39" s="16"/>
      <c r="J39" s="16"/>
      <c r="K39" s="16"/>
      <c r="L39" s="16"/>
      <c r="M39" s="16"/>
      <c r="N39" s="16"/>
      <c r="O39" s="16"/>
    </row>
    <row r="40" spans="1:16">
      <c r="B40" s="7"/>
      <c r="C40" s="25" t="s">
        <v>37</v>
      </c>
      <c r="D40" s="22">
        <v>48765.037806</v>
      </c>
      <c r="E40" s="22">
        <v>18476.189999999999</v>
      </c>
      <c r="F40" s="22">
        <v>83456.160000000003</v>
      </c>
      <c r="G40" s="22">
        <v>38788.008546240002</v>
      </c>
      <c r="H40" s="22">
        <v>61520.7</v>
      </c>
      <c r="I40" s="22">
        <v>324644.87</v>
      </c>
      <c r="J40" s="22">
        <v>472709.09</v>
      </c>
      <c r="K40" s="22">
        <v>25499.828191250002</v>
      </c>
      <c r="L40" s="16">
        <v>58065.84</v>
      </c>
      <c r="M40" s="22">
        <v>739362.14</v>
      </c>
      <c r="N40" s="22">
        <v>28355.169741150006</v>
      </c>
      <c r="O40" s="22">
        <v>18574.11</v>
      </c>
    </row>
    <row r="41" spans="1:16">
      <c r="B41" s="7"/>
      <c r="C41" s="25" t="s">
        <v>38</v>
      </c>
      <c r="D41" s="22">
        <v>-85827.13</v>
      </c>
      <c r="E41" s="22">
        <v>-48765.037806</v>
      </c>
      <c r="F41" s="22">
        <v>-18476.189999999999</v>
      </c>
      <c r="G41" s="22">
        <v>-83456.160000000003</v>
      </c>
      <c r="H41" s="22">
        <v>-38788.01</v>
      </c>
      <c r="I41" s="22">
        <v>-61520.7</v>
      </c>
      <c r="J41" s="22">
        <v>-324644.87</v>
      </c>
      <c r="K41" s="22">
        <v>-472709.09</v>
      </c>
      <c r="L41" s="22">
        <v>-25499.828191250002</v>
      </c>
      <c r="M41" s="22">
        <v>-58065.84</v>
      </c>
      <c r="N41" s="22">
        <v>-739362.14</v>
      </c>
      <c r="O41" s="22">
        <v>-28355.169741150006</v>
      </c>
    </row>
    <row r="42" spans="1:16">
      <c r="B42" s="7"/>
      <c r="C42" s="2" t="s">
        <v>39</v>
      </c>
      <c r="D42" s="28">
        <v>85812.92</v>
      </c>
      <c r="E42" s="28">
        <v>48646.58</v>
      </c>
      <c r="F42" s="28">
        <v>18497.25</v>
      </c>
      <c r="G42" s="28">
        <v>83536.632698339992</v>
      </c>
      <c r="H42" s="28">
        <v>38809.17</v>
      </c>
      <c r="I42" s="28">
        <v>61427.62</v>
      </c>
      <c r="J42" s="28">
        <v>324395.87425355997</v>
      </c>
      <c r="K42" s="28">
        <v>472378.53088166006</v>
      </c>
      <c r="L42" s="28">
        <v>25519.21</v>
      </c>
      <c r="M42" s="28">
        <v>58104.91</v>
      </c>
      <c r="N42" s="28">
        <v>739969.69030350004</v>
      </c>
      <c r="O42" s="28">
        <v>27765.759999999998</v>
      </c>
    </row>
    <row r="43" spans="1:16">
      <c r="B43" s="7"/>
      <c r="C43" s="2" t="s">
        <v>40</v>
      </c>
      <c r="D43" s="22">
        <f>SUM(D40:D42)</f>
        <v>48750.827805999994</v>
      </c>
      <c r="E43" s="22">
        <f t="shared" ref="E43:O43" si="10">SUM(E40:E42)</f>
        <v>18357.732194</v>
      </c>
      <c r="F43" s="22">
        <f t="shared" si="10"/>
        <v>83477.22</v>
      </c>
      <c r="G43" s="22">
        <f t="shared" si="10"/>
        <v>38868.481244579991</v>
      </c>
      <c r="H43" s="22">
        <f t="shared" si="10"/>
        <v>61541.859999999993</v>
      </c>
      <c r="I43" s="22">
        <f t="shared" si="10"/>
        <v>324551.78999999998</v>
      </c>
      <c r="J43" s="22">
        <f t="shared" si="10"/>
        <v>472460.09425356</v>
      </c>
      <c r="K43" s="22">
        <f t="shared" si="10"/>
        <v>25169.269072910014</v>
      </c>
      <c r="L43" s="22">
        <f t="shared" si="10"/>
        <v>58085.221808749993</v>
      </c>
      <c r="M43" s="22">
        <f t="shared" si="10"/>
        <v>739401.21000000008</v>
      </c>
      <c r="N43" s="22">
        <f t="shared" si="10"/>
        <v>28962.720044650021</v>
      </c>
      <c r="O43" s="22">
        <f t="shared" si="10"/>
        <v>17984.700258849993</v>
      </c>
      <c r="P43" s="11">
        <f>SUM(D43:O43)</f>
        <v>1917611.1266833001</v>
      </c>
    </row>
    <row r="45" spans="1:16">
      <c r="C45" s="2" t="s">
        <v>41</v>
      </c>
      <c r="D45" s="29">
        <f>D43-D38</f>
        <v>14203.494472666658</v>
      </c>
      <c r="E45" s="29">
        <f t="shared" ref="E45:N45" si="11">E43-E38</f>
        <v>-16189.601139333336</v>
      </c>
      <c r="F45" s="29">
        <f t="shared" si="11"/>
        <v>48929.886666666665</v>
      </c>
      <c r="G45" s="29">
        <f>G43-G38</f>
        <v>4321.147911246655</v>
      </c>
      <c r="H45" s="29">
        <f t="shared" si="11"/>
        <v>26994.526666666658</v>
      </c>
      <c r="I45" s="29">
        <f t="shared" si="11"/>
        <v>290004.45666666667</v>
      </c>
      <c r="J45" s="29">
        <f t="shared" si="11"/>
        <v>437912.76092022669</v>
      </c>
      <c r="K45" s="29">
        <f t="shared" si="11"/>
        <v>-9378.0642604233217</v>
      </c>
      <c r="L45" s="29">
        <f t="shared" si="11"/>
        <v>23537.888475416657</v>
      </c>
      <c r="M45" s="29">
        <f t="shared" si="11"/>
        <v>704853.87666666671</v>
      </c>
      <c r="N45" s="29">
        <f t="shared" si="11"/>
        <v>-5584.6132886833147</v>
      </c>
      <c r="O45" s="29">
        <f>O43-O38</f>
        <v>-16562.633074483343</v>
      </c>
      <c r="P45" s="11">
        <f>SUM(D45:O45)</f>
        <v>1503043.1266832999</v>
      </c>
    </row>
    <row r="46" spans="1:16">
      <c r="P46" s="29"/>
    </row>
    <row r="47" spans="1:16" ht="13.5" thickBot="1">
      <c r="A47" s="17"/>
      <c r="B47" s="17"/>
      <c r="C47" s="14" t="s">
        <v>42</v>
      </c>
      <c r="D47" s="30">
        <f>(D32-D34)+D45</f>
        <v>554436.42148401658</v>
      </c>
      <c r="E47" s="30">
        <f>(E32-E34)+E45</f>
        <v>487017.23787201708</v>
      </c>
      <c r="F47" s="30">
        <f t="shared" ref="F47:N47" si="12">(F32-F34)+F45</f>
        <v>415005.78167801804</v>
      </c>
      <c r="G47" s="30">
        <f>(G32-G34)+G45</f>
        <v>521012.13092259748</v>
      </c>
      <c r="H47" s="30">
        <f t="shared" si="12"/>
        <v>391569.11767801666</v>
      </c>
      <c r="I47" s="30">
        <f>(I32-I34)+I45</f>
        <v>822623.90367801767</v>
      </c>
      <c r="J47" s="30">
        <f t="shared" si="12"/>
        <v>1885318.7229716978</v>
      </c>
      <c r="K47" s="30">
        <f>(K32-K34)+K45</f>
        <v>1111673.6817910483</v>
      </c>
      <c r="L47" s="30">
        <f t="shared" si="12"/>
        <v>1495033.6105268882</v>
      </c>
      <c r="M47" s="30">
        <f t="shared" si="12"/>
        <v>2002447.3027181388</v>
      </c>
      <c r="N47" s="30">
        <f t="shared" si="12"/>
        <v>1491897.2047627883</v>
      </c>
      <c r="O47" s="30">
        <f>(O32-O34)+O45</f>
        <v>1248905.5849769874</v>
      </c>
      <c r="P47" s="11">
        <f>SUM(D47:O47)</f>
        <v>12426940.701060232</v>
      </c>
    </row>
    <row r="48" spans="1:16" ht="13.5" thickTop="1">
      <c r="A48" s="17"/>
      <c r="B48" s="17"/>
      <c r="C48" s="14"/>
      <c r="D48" s="16"/>
      <c r="E48" s="16"/>
      <c r="F48" s="16"/>
      <c r="G48" s="16"/>
      <c r="H48" s="16"/>
      <c r="I48" s="16"/>
      <c r="J48" s="16"/>
      <c r="K48" s="16"/>
      <c r="L48" s="16"/>
      <c r="M48" s="16"/>
      <c r="N48" s="16"/>
      <c r="O48" s="16"/>
    </row>
    <row r="49" spans="1:17">
      <c r="A49" s="17"/>
      <c r="B49" s="17"/>
      <c r="C49" s="17" t="s">
        <v>43</v>
      </c>
      <c r="D49" s="16">
        <f>D47-D13</f>
        <v>522549.95785775263</v>
      </c>
      <c r="E49" s="16">
        <f>E47-E13</f>
        <v>455136.77208242781</v>
      </c>
      <c r="F49" s="16">
        <f t="shared" ref="F49:H49" si="13">F47-F13</f>
        <v>386161.31845700217</v>
      </c>
      <c r="G49" s="16">
        <f>G47-G13</f>
        <v>494176.71484962426</v>
      </c>
      <c r="H49" s="16">
        <f t="shared" si="13"/>
        <v>654896.67767801671</v>
      </c>
      <c r="I49" s="16">
        <f>I47-I13</f>
        <v>1455352.1747901863</v>
      </c>
      <c r="J49" s="16">
        <f t="shared" ref="J49:N49" si="14">J47-J13</f>
        <v>2384393.8329716977</v>
      </c>
      <c r="K49" s="16">
        <f t="shared" si="14"/>
        <v>1600638.0417910484</v>
      </c>
      <c r="L49" s="16">
        <f t="shared" si="14"/>
        <v>1911519.4905268881</v>
      </c>
      <c r="M49" s="16">
        <f t="shared" si="14"/>
        <v>2355868.9546098183</v>
      </c>
      <c r="N49" s="16">
        <f t="shared" si="14"/>
        <v>1899331.1936234417</v>
      </c>
      <c r="O49" s="16">
        <f>O47-O13</f>
        <v>1626947.4550039964</v>
      </c>
      <c r="P49" s="11">
        <f>SUM(D49:O49)</f>
        <v>15746972.584241901</v>
      </c>
    </row>
    <row r="51" spans="1:17">
      <c r="A51" s="17"/>
      <c r="B51" s="17"/>
      <c r="C51" s="14"/>
      <c r="D51" s="16"/>
      <c r="E51" s="16"/>
      <c r="F51" s="16"/>
      <c r="G51" s="16"/>
      <c r="H51" s="16"/>
      <c r="I51" s="16"/>
      <c r="J51" s="16"/>
      <c r="K51" s="16"/>
      <c r="L51" s="16"/>
      <c r="M51" s="16"/>
      <c r="N51" s="16"/>
      <c r="O51" s="16"/>
    </row>
    <row r="52" spans="1:17">
      <c r="A52" s="31"/>
      <c r="B52" s="32"/>
      <c r="C52" s="33" t="s">
        <v>44</v>
      </c>
      <c r="D52" s="10">
        <f>+D49-5158605.5</f>
        <v>-4636055.5421422478</v>
      </c>
      <c r="E52" s="10">
        <f>+E49+D52+E36</f>
        <v>-4180918.7700598198</v>
      </c>
      <c r="F52" s="10">
        <f t="shared" ref="F52:N52" si="15">+F49+E52+F36</f>
        <v>-3794757.4516028175</v>
      </c>
      <c r="G52" s="10">
        <f t="shared" si="15"/>
        <v>-3300580.7367531932</v>
      </c>
      <c r="H52" s="10">
        <f t="shared" si="15"/>
        <v>-2645684.0590751767</v>
      </c>
      <c r="I52" s="10">
        <f t="shared" si="15"/>
        <v>-1190331.8842849904</v>
      </c>
      <c r="J52" s="10">
        <f t="shared" si="15"/>
        <v>1610728.6186867072</v>
      </c>
      <c r="K52" s="10">
        <f t="shared" si="15"/>
        <v>3628033.3304777555</v>
      </c>
      <c r="L52" s="10">
        <f t="shared" si="15"/>
        <v>5956219.491004644</v>
      </c>
      <c r="M52" s="10">
        <f t="shared" si="15"/>
        <v>8728755.1156144626</v>
      </c>
      <c r="N52" s="10">
        <f t="shared" si="15"/>
        <v>11044752.979237905</v>
      </c>
      <c r="O52" s="10">
        <f>+O49+N52+O36</f>
        <v>13088367.104241902</v>
      </c>
      <c r="P52" s="29">
        <f>P32-P34-P38+P43+P36</f>
        <v>14926940.721060231</v>
      </c>
      <c r="Q52" s="2" t="s">
        <v>45</v>
      </c>
    </row>
    <row r="53" spans="1:17">
      <c r="A53" s="34"/>
      <c r="C53" s="4"/>
      <c r="D53" s="10"/>
      <c r="E53" s="10"/>
      <c r="F53" s="10"/>
      <c r="G53" s="10"/>
      <c r="H53" s="10"/>
      <c r="I53" s="10"/>
      <c r="J53" s="10"/>
      <c r="K53" s="10"/>
      <c r="L53" s="16"/>
    </row>
    <row r="54" spans="1:17">
      <c r="A54" s="34"/>
      <c r="C54" s="4"/>
      <c r="D54" s="10"/>
      <c r="E54" s="10"/>
      <c r="F54" s="10"/>
      <c r="G54" s="10"/>
      <c r="H54" s="10"/>
      <c r="I54" s="10"/>
      <c r="J54" s="10"/>
      <c r="K54" s="10"/>
      <c r="L54" s="16"/>
    </row>
  </sheetData>
  <mergeCells count="1">
    <mergeCell ref="A8:B12"/>
  </mergeCells>
  <pageMargins left="0.7" right="0.7" top="0.75" bottom="0.75" header="0.3" footer="0.3"/>
  <pageSetup scale="3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1BBA9-209F-478D-BE0B-76B865BB2F28}">
  <sheetPr>
    <pageSetUpPr fitToPage="1"/>
  </sheetPr>
  <dimension ref="A1:Q70"/>
  <sheetViews>
    <sheetView zoomScale="90" zoomScaleNormal="90" workbookViewId="0">
      <pane xSplit="3" ySplit="6" topLeftCell="D7" activePane="bottomRight" state="frozen"/>
      <selection pane="topRight" activeCell="D1" sqref="D1"/>
      <selection pane="bottomLeft" activeCell="A7" sqref="A7"/>
      <selection pane="bottomRight" activeCell="C34" sqref="C34"/>
    </sheetView>
  </sheetViews>
  <sheetFormatPr defaultColWidth="9.140625" defaultRowHeight="12.75"/>
  <cols>
    <col min="1" max="1" width="14.7109375" style="2" customWidth="1"/>
    <col min="2" max="2" width="16.85546875" style="2" customWidth="1"/>
    <col min="3" max="3" width="89.140625" style="2" customWidth="1"/>
    <col min="4" max="11" width="17.140625" style="2" customWidth="1"/>
    <col min="12" max="12" width="19.85546875" style="2" customWidth="1"/>
    <col min="13" max="14" width="16.5703125" style="2" customWidth="1"/>
    <col min="15" max="15" width="18.42578125" style="2" customWidth="1"/>
    <col min="16" max="16" width="17.42578125" style="2" bestFit="1" customWidth="1"/>
    <col min="17" max="17" width="10.140625" style="2" bestFit="1" customWidth="1"/>
    <col min="18" max="16384" width="9.140625" style="2"/>
  </cols>
  <sheetData>
    <row r="1" spans="1:16" ht="15">
      <c r="A1" s="1" t="s">
        <v>0</v>
      </c>
    </row>
    <row r="2" spans="1:16" ht="15.75">
      <c r="A2" s="1" t="s">
        <v>1</v>
      </c>
      <c r="B2" s="3"/>
      <c r="D2" s="2">
        <v>2020</v>
      </c>
      <c r="G2" s="4"/>
      <c r="I2" s="4"/>
      <c r="J2" s="2">
        <v>2021</v>
      </c>
    </row>
    <row r="3" spans="1:16" ht="15">
      <c r="A3" s="1" t="str">
        <f>'[5]Input Sheet'!A2:D2</f>
        <v>12 -Month Period ended June 30, 2021</v>
      </c>
      <c r="B3" s="5"/>
      <c r="D3" s="6"/>
      <c r="E3" s="6"/>
      <c r="F3" s="6"/>
      <c r="G3" s="6"/>
      <c r="H3" s="6"/>
      <c r="I3" s="6"/>
      <c r="J3" s="6"/>
      <c r="K3" s="6"/>
      <c r="L3" s="6"/>
      <c r="M3" s="6"/>
      <c r="N3" s="6"/>
      <c r="O3" s="6"/>
    </row>
    <row r="4" spans="1:16" ht="15">
      <c r="A4" s="1"/>
      <c r="D4" s="6"/>
      <c r="E4" s="6"/>
      <c r="F4" s="6"/>
      <c r="G4" s="6"/>
      <c r="H4" s="6"/>
      <c r="I4" s="6"/>
      <c r="J4" s="6"/>
      <c r="K4" s="6"/>
      <c r="L4" s="6"/>
      <c r="M4" s="6"/>
      <c r="N4" s="6"/>
      <c r="O4" s="6"/>
    </row>
    <row r="5" spans="1:16">
      <c r="D5" s="7" t="s">
        <v>2</v>
      </c>
      <c r="E5" s="7" t="s">
        <v>2</v>
      </c>
      <c r="F5" s="7" t="s">
        <v>2</v>
      </c>
      <c r="G5" s="7" t="s">
        <v>2</v>
      </c>
      <c r="H5" s="7" t="s">
        <v>2</v>
      </c>
      <c r="I5" s="7" t="s">
        <v>2</v>
      </c>
      <c r="J5" s="7" t="s">
        <v>2</v>
      </c>
      <c r="K5" s="7" t="s">
        <v>2</v>
      </c>
      <c r="L5" s="7" t="s">
        <v>2</v>
      </c>
      <c r="M5" s="7" t="s">
        <v>2</v>
      </c>
      <c r="N5" s="7" t="s">
        <v>2</v>
      </c>
      <c r="O5" s="7" t="s">
        <v>2</v>
      </c>
      <c r="P5" s="2" t="s">
        <v>3</v>
      </c>
    </row>
    <row r="6" spans="1:16">
      <c r="C6" s="8" t="s">
        <v>0</v>
      </c>
      <c r="D6" s="9" t="s">
        <v>4</v>
      </c>
      <c r="E6" s="9" t="s">
        <v>5</v>
      </c>
      <c r="F6" s="9" t="s">
        <v>6</v>
      </c>
      <c r="G6" s="9" t="s">
        <v>7</v>
      </c>
      <c r="H6" s="9" t="s">
        <v>8</v>
      </c>
      <c r="I6" s="9" t="s">
        <v>9</v>
      </c>
      <c r="J6" s="9" t="s">
        <v>10</v>
      </c>
      <c r="K6" s="9" t="s">
        <v>11</v>
      </c>
      <c r="L6" s="9" t="s">
        <v>12</v>
      </c>
      <c r="M6" s="9" t="s">
        <v>13</v>
      </c>
      <c r="N6" s="9" t="s">
        <v>14</v>
      </c>
      <c r="O6" s="9" t="s">
        <v>15</v>
      </c>
    </row>
    <row r="7" spans="1:16">
      <c r="A7" s="8" t="s">
        <v>16</v>
      </c>
      <c r="C7" s="2" t="s">
        <v>17</v>
      </c>
      <c r="D7" s="10">
        <v>-469871.82760553947</v>
      </c>
      <c r="E7" s="10">
        <v>-440814.18935104797</v>
      </c>
      <c r="F7" s="10">
        <v>-331223.37294399389</v>
      </c>
      <c r="G7" s="10">
        <v>571171.16734453687</v>
      </c>
      <c r="H7" s="10">
        <v>1422647.6416558556</v>
      </c>
      <c r="I7" s="10">
        <v>1492745.6357298749</v>
      </c>
      <c r="J7" s="10">
        <v>1445061.6547844461</v>
      </c>
      <c r="K7" s="10">
        <v>1430322.3633362036</v>
      </c>
      <c r="L7" s="10">
        <v>1075446.025795921</v>
      </c>
      <c r="M7" s="10">
        <v>1035235.2461595163</v>
      </c>
      <c r="N7" s="10">
        <v>915249.65448804526</v>
      </c>
      <c r="O7" s="10">
        <v>1091953.222352593</v>
      </c>
      <c r="P7" s="11">
        <f>SUM(D7:O7)</f>
        <v>9237923.2217464093</v>
      </c>
    </row>
    <row r="8" spans="1:16" ht="12.75" customHeight="1">
      <c r="D8" s="10">
        <v>0</v>
      </c>
      <c r="E8" s="10">
        <v>0</v>
      </c>
      <c r="F8" s="10">
        <v>0</v>
      </c>
      <c r="G8" s="10">
        <v>0</v>
      </c>
      <c r="H8" s="10">
        <v>0</v>
      </c>
      <c r="I8" s="10">
        <v>0</v>
      </c>
      <c r="J8" s="10">
        <v>0</v>
      </c>
      <c r="K8" s="10">
        <v>0</v>
      </c>
      <c r="L8" s="10">
        <v>0</v>
      </c>
      <c r="M8" s="10">
        <v>0</v>
      </c>
      <c r="N8" s="10">
        <v>0</v>
      </c>
      <c r="O8" s="10">
        <v>0</v>
      </c>
    </row>
    <row r="9" spans="1:16">
      <c r="D9" s="10">
        <v>0</v>
      </c>
      <c r="E9" s="10">
        <v>0</v>
      </c>
      <c r="F9" s="10">
        <v>0</v>
      </c>
      <c r="G9" s="10">
        <v>0</v>
      </c>
      <c r="H9" s="10">
        <v>0</v>
      </c>
      <c r="I9" s="10">
        <v>0</v>
      </c>
      <c r="J9" s="10">
        <v>0</v>
      </c>
      <c r="K9" s="10">
        <v>0</v>
      </c>
      <c r="L9" s="10">
        <v>0</v>
      </c>
      <c r="M9" s="10">
        <v>0</v>
      </c>
      <c r="N9" s="10">
        <v>0</v>
      </c>
      <c r="O9" s="10">
        <v>0</v>
      </c>
    </row>
    <row r="10" spans="1:16">
      <c r="D10" s="10">
        <v>0</v>
      </c>
      <c r="E10" s="10">
        <v>0</v>
      </c>
      <c r="F10" s="10">
        <v>0</v>
      </c>
      <c r="G10" s="10"/>
      <c r="H10" s="10"/>
      <c r="I10" s="10"/>
      <c r="J10" s="10"/>
      <c r="K10" s="12"/>
      <c r="L10" s="12"/>
      <c r="M10" s="12"/>
      <c r="N10" s="12"/>
      <c r="O10" s="12"/>
    </row>
    <row r="11" spans="1:16">
      <c r="D11" s="10">
        <v>0</v>
      </c>
      <c r="E11" s="10">
        <v>0</v>
      </c>
      <c r="F11" s="10">
        <v>0</v>
      </c>
      <c r="G11" s="10">
        <v>0</v>
      </c>
      <c r="H11" s="10"/>
      <c r="I11" s="10"/>
      <c r="J11" s="10"/>
      <c r="K11" s="12"/>
      <c r="L11" s="12"/>
      <c r="M11" s="12"/>
      <c r="N11" s="12"/>
      <c r="O11" s="12"/>
    </row>
    <row r="12" spans="1:16">
      <c r="C12" s="2" t="s">
        <v>18</v>
      </c>
      <c r="D12" s="10">
        <f>-467336.6-D7</f>
        <v>2535.2276055394905</v>
      </c>
      <c r="E12" s="10">
        <f>-438435.75-E7</f>
        <v>2378.4393510479713</v>
      </c>
      <c r="F12" s="10">
        <f>-329436.23-F7</f>
        <v>1787.1429439939093</v>
      </c>
      <c r="G12" s="10">
        <f>568089.37-G7</f>
        <v>-3081.7973445368698</v>
      </c>
      <c r="H12" s="10">
        <f>1414971.65-H7</f>
        <v>-7675.9916558556724</v>
      </c>
      <c r="I12" s="10">
        <f>1484691.42-I7</f>
        <v>-8054.2157298750244</v>
      </c>
      <c r="J12" s="10">
        <f>1435778.21-J7</f>
        <v>-9283.4447844461538</v>
      </c>
      <c r="K12" s="10">
        <f>1421660.51-K7</f>
        <v>-8661.8533362036105</v>
      </c>
      <c r="L12" s="10">
        <f>1068933.26-L7</f>
        <v>-6512.7657959209755</v>
      </c>
      <c r="M12" s="10">
        <f>1028965.99-M7</f>
        <v>-6269.2561595162842</v>
      </c>
      <c r="N12" s="10">
        <f>909707.02-N7</f>
        <v>-5542.634488045238</v>
      </c>
      <c r="O12" s="10">
        <f>1085340.49-O7</f>
        <v>-6612.7323525929824</v>
      </c>
      <c r="P12" s="13">
        <f>SUM(D12:O12)</f>
        <v>-54993.88174641144</v>
      </c>
    </row>
    <row r="13" spans="1:16">
      <c r="C13" s="14"/>
      <c r="D13" s="15">
        <f t="shared" ref="D13:F13" si="0">SUM(D7:D12)</f>
        <v>-467336.6</v>
      </c>
      <c r="E13" s="15">
        <f t="shared" si="0"/>
        <v>-438435.75</v>
      </c>
      <c r="F13" s="15">
        <f t="shared" si="0"/>
        <v>-329436.23</v>
      </c>
      <c r="G13" s="15">
        <f>SUM(G7:G12)</f>
        <v>568089.37</v>
      </c>
      <c r="H13" s="15">
        <f>SUM(H7:H12)</f>
        <v>1414971.65</v>
      </c>
      <c r="I13" s="15">
        <f t="shared" ref="I13:O13" si="1">SUM(I7:I12)</f>
        <v>1484691.42</v>
      </c>
      <c r="J13" s="15">
        <f t="shared" si="1"/>
        <v>1435778.21</v>
      </c>
      <c r="K13" s="15">
        <f t="shared" si="1"/>
        <v>1421660.51</v>
      </c>
      <c r="L13" s="15">
        <f t="shared" si="1"/>
        <v>1068933.26</v>
      </c>
      <c r="M13" s="15">
        <f t="shared" si="1"/>
        <v>1028965.99</v>
      </c>
      <c r="N13" s="15">
        <f t="shared" si="1"/>
        <v>909707.02</v>
      </c>
      <c r="O13" s="15">
        <f t="shared" si="1"/>
        <v>1085340.49</v>
      </c>
      <c r="P13" s="16">
        <f>SUM(D13:O13)</f>
        <v>9182929.3399999999</v>
      </c>
    </row>
    <row r="14" spans="1:16">
      <c r="C14" s="8"/>
      <c r="D14" s="9"/>
      <c r="E14" s="9"/>
      <c r="F14" s="9"/>
      <c r="G14" s="9"/>
      <c r="H14" s="9"/>
      <c r="I14" s="9"/>
      <c r="J14" s="9"/>
      <c r="K14" s="9"/>
      <c r="L14" s="9"/>
      <c r="M14" s="9"/>
      <c r="N14" s="9"/>
      <c r="O14" s="9"/>
    </row>
    <row r="15" spans="1:16">
      <c r="A15" s="8" t="s">
        <v>19</v>
      </c>
      <c r="B15" s="17"/>
      <c r="C15" s="14" t="s">
        <v>20</v>
      </c>
      <c r="D15" s="11">
        <f>ROUND('[5]PPA Form 5.0'!D15/12,0)</f>
        <v>6169876</v>
      </c>
      <c r="E15" s="11">
        <f>$D$15</f>
        <v>6169876</v>
      </c>
      <c r="F15" s="11">
        <f t="shared" ref="F15:H15" si="2">$D$15</f>
        <v>6169876</v>
      </c>
      <c r="G15" s="11">
        <f t="shared" si="2"/>
        <v>6169876</v>
      </c>
      <c r="H15" s="11">
        <f t="shared" si="2"/>
        <v>6169876</v>
      </c>
      <c r="I15" s="11">
        <f>$D$15</f>
        <v>6169876</v>
      </c>
      <c r="J15" s="11">
        <f>2587367+4688540</f>
        <v>7275907</v>
      </c>
      <c r="K15" s="11">
        <v>8074708</v>
      </c>
      <c r="L15" s="11">
        <f>K15</f>
        <v>8074708</v>
      </c>
      <c r="M15" s="11">
        <f>L15</f>
        <v>8074708</v>
      </c>
      <c r="N15" s="11">
        <f>M15</f>
        <v>8074708</v>
      </c>
      <c r="O15" s="11">
        <f>N15</f>
        <v>8074708</v>
      </c>
      <c r="P15" s="11">
        <f>SUM(D15:O15)</f>
        <v>84668703</v>
      </c>
    </row>
    <row r="16" spans="1:16">
      <c r="C16" s="8"/>
      <c r="D16" s="9"/>
      <c r="E16" s="9"/>
      <c r="F16" s="9"/>
      <c r="G16" s="9"/>
      <c r="H16" s="9"/>
      <c r="I16" s="9"/>
      <c r="J16" s="9"/>
      <c r="K16" s="9"/>
      <c r="L16" s="9"/>
      <c r="M16" s="18"/>
      <c r="N16" s="9"/>
      <c r="O16" s="9"/>
    </row>
    <row r="17" spans="1:17">
      <c r="A17" s="8" t="s">
        <v>21</v>
      </c>
      <c r="B17" s="9" t="s">
        <v>22</v>
      </c>
      <c r="C17" s="8" t="s">
        <v>23</v>
      </c>
      <c r="D17" s="9"/>
      <c r="E17" s="9"/>
      <c r="F17" s="9"/>
      <c r="G17" s="9"/>
      <c r="H17" s="9"/>
      <c r="I17" s="9"/>
      <c r="J17" s="9"/>
      <c r="K17" s="9"/>
      <c r="L17" s="9"/>
      <c r="M17" s="19"/>
      <c r="N17" s="9"/>
      <c r="O17" s="9"/>
    </row>
    <row r="18" spans="1:17">
      <c r="B18" s="7">
        <v>5650021</v>
      </c>
      <c r="C18" s="5" t="s">
        <v>24</v>
      </c>
      <c r="D18" s="20">
        <v>36932.879999999997</v>
      </c>
      <c r="E18" s="20">
        <v>32504.85</v>
      </c>
      <c r="F18" s="20">
        <v>32504.850000000002</v>
      </c>
      <c r="G18" s="20">
        <v>32504.849999999995</v>
      </c>
      <c r="H18" s="20">
        <v>32504.850000000006</v>
      </c>
      <c r="I18" s="20">
        <v>32504.849999999995</v>
      </c>
      <c r="J18" s="20">
        <f>15558.39+21542.39</f>
        <v>37100.78</v>
      </c>
      <c r="K18" s="21">
        <v>41999.25</v>
      </c>
      <c r="L18" s="21">
        <v>41541.69</v>
      </c>
      <c r="M18" s="21">
        <v>42017.319999999992</v>
      </c>
      <c r="N18" s="22">
        <v>41858.720000000001</v>
      </c>
      <c r="O18" s="22">
        <v>42017.289999999994</v>
      </c>
      <c r="P18" s="11">
        <f>SUM(D18:O18)</f>
        <v>445992.18</v>
      </c>
    </row>
    <row r="19" spans="1:17">
      <c r="B19" s="7">
        <v>5650015</v>
      </c>
      <c r="C19" s="5" t="s">
        <v>25</v>
      </c>
      <c r="D19" s="20">
        <v>18907.689999999999</v>
      </c>
      <c r="E19" s="20">
        <v>17810.21</v>
      </c>
      <c r="F19" s="20">
        <v>15394.6</v>
      </c>
      <c r="G19" s="20">
        <v>13878.44</v>
      </c>
      <c r="H19" s="20">
        <v>15825.800000000001</v>
      </c>
      <c r="I19" s="20">
        <v>20635.120000000003</v>
      </c>
      <c r="J19" s="20">
        <f>13165.39+18229.01</f>
        <v>31394.399999999998</v>
      </c>
      <c r="K19" s="21">
        <v>28133.949999999997</v>
      </c>
      <c r="L19" s="21">
        <v>25263.79</v>
      </c>
      <c r="M19" s="21">
        <v>22016.41</v>
      </c>
      <c r="N19" s="22">
        <v>22320.260000000002</v>
      </c>
      <c r="O19" s="22">
        <v>23971.499999999996</v>
      </c>
      <c r="P19" s="11">
        <f t="shared" ref="P19:P26" si="3">SUM(D19:O19)</f>
        <v>255552.16999999998</v>
      </c>
    </row>
    <row r="20" spans="1:17">
      <c r="B20" s="7">
        <v>4561005</v>
      </c>
      <c r="C20" s="5" t="s">
        <v>26</v>
      </c>
      <c r="D20" s="20">
        <v>-160530.88</v>
      </c>
      <c r="E20" s="20">
        <v>-119216.25999999998</v>
      </c>
      <c r="F20" s="20">
        <v>-84595.88</v>
      </c>
      <c r="G20" s="20">
        <v>-69318.26999999999</v>
      </c>
      <c r="H20" s="20">
        <v>-59652.729999999996</v>
      </c>
      <c r="I20" s="20">
        <v>-92382.35</v>
      </c>
      <c r="J20" s="20">
        <f>-43968.5-60879.45</f>
        <v>-104847.95</v>
      </c>
      <c r="K20" s="21">
        <v>-107363.31000000001</v>
      </c>
      <c r="L20" s="21">
        <v>-88152.73</v>
      </c>
      <c r="M20" s="21">
        <v>-92177.37000000001</v>
      </c>
      <c r="N20" s="22">
        <v>-69813.08</v>
      </c>
      <c r="O20" s="22">
        <v>-95983.560000000027</v>
      </c>
      <c r="P20" s="11">
        <f t="shared" si="3"/>
        <v>-1144034.3699999999</v>
      </c>
    </row>
    <row r="21" spans="1:17">
      <c r="B21" s="7">
        <v>4561002</v>
      </c>
      <c r="C21" s="5" t="s">
        <v>27</v>
      </c>
      <c r="D21" s="20"/>
      <c r="E21" s="20"/>
      <c r="F21" s="20"/>
      <c r="G21" s="20"/>
      <c r="H21" s="20"/>
      <c r="I21" s="20"/>
      <c r="J21" s="20">
        <v>0</v>
      </c>
      <c r="K21" s="21">
        <v>0</v>
      </c>
      <c r="L21" s="21">
        <v>0</v>
      </c>
      <c r="M21" s="21">
        <v>0</v>
      </c>
      <c r="N21" s="22">
        <v>0</v>
      </c>
      <c r="O21" s="22">
        <v>0</v>
      </c>
      <c r="P21" s="11">
        <f t="shared" si="3"/>
        <v>0</v>
      </c>
    </row>
    <row r="22" spans="1:17">
      <c r="B22" s="7">
        <v>4561035</v>
      </c>
      <c r="C22" s="2" t="s">
        <v>28</v>
      </c>
      <c r="D22" s="20">
        <v>3564802.1500000004</v>
      </c>
      <c r="E22" s="20">
        <v>3569230.18</v>
      </c>
      <c r="F22" s="20">
        <v>3453295.46</v>
      </c>
      <c r="G22" s="20">
        <v>3569230.1800000006</v>
      </c>
      <c r="H22" s="20">
        <v>3453295.4600000004</v>
      </c>
      <c r="I22" s="20">
        <v>3569230.1800000006</v>
      </c>
      <c r="J22" s="20">
        <f>1650619.1+2285472.59</f>
        <v>3936091.69</v>
      </c>
      <c r="K22" s="21">
        <v>3552860.63</v>
      </c>
      <c r="L22" s="21">
        <v>3936112.49</v>
      </c>
      <c r="M22" s="21">
        <v>3808358.58</v>
      </c>
      <c r="N22" s="22">
        <v>3936102.62</v>
      </c>
      <c r="O22" s="22">
        <v>3808358.58</v>
      </c>
      <c r="P22" s="11">
        <f t="shared" si="3"/>
        <v>44156968.199999996</v>
      </c>
    </row>
    <row r="23" spans="1:17">
      <c r="B23" s="7">
        <v>4561036</v>
      </c>
      <c r="C23" s="5" t="s">
        <v>29</v>
      </c>
      <c r="D23" s="20">
        <v>15391.17</v>
      </c>
      <c r="E23" s="20">
        <v>14497.8</v>
      </c>
      <c r="F23" s="20">
        <v>12531.45</v>
      </c>
      <c r="G23" s="20">
        <v>11297.280000000002</v>
      </c>
      <c r="H23" s="20">
        <v>12882.449999999999</v>
      </c>
      <c r="I23" s="20">
        <v>16797.32</v>
      </c>
      <c r="J23" s="20">
        <f>-7653.74-10597.49</f>
        <v>-18251.23</v>
      </c>
      <c r="K23" s="21">
        <v>-16355.740000000002</v>
      </c>
      <c r="L23" s="21">
        <v>-14687.18</v>
      </c>
      <c r="M23" s="21">
        <v>-12799.3</v>
      </c>
      <c r="N23" s="22">
        <v>-12975.94</v>
      </c>
      <c r="O23" s="22">
        <v>-13935.9</v>
      </c>
      <c r="P23" s="11">
        <f t="shared" si="3"/>
        <v>-5607.82</v>
      </c>
    </row>
    <row r="24" spans="1:17">
      <c r="B24" s="7">
        <v>4561060</v>
      </c>
      <c r="C24" s="5" t="s">
        <v>30</v>
      </c>
      <c r="D24" s="20">
        <v>74282.83</v>
      </c>
      <c r="E24" s="20">
        <v>74282.83</v>
      </c>
      <c r="F24" s="20">
        <v>74282.83</v>
      </c>
      <c r="G24" s="20">
        <v>74282.83</v>
      </c>
      <c r="H24" s="20">
        <v>74282.83</v>
      </c>
      <c r="I24" s="20">
        <v>74282.83</v>
      </c>
      <c r="J24" s="20">
        <f>40093.47+55514.03</f>
        <v>95607.5</v>
      </c>
      <c r="K24" s="21">
        <v>95607.5</v>
      </c>
      <c r="L24" s="21">
        <v>95608.040000000008</v>
      </c>
      <c r="M24" s="21">
        <v>95607.77</v>
      </c>
      <c r="N24" s="22">
        <v>95607.77</v>
      </c>
      <c r="O24" s="22">
        <v>95607.77</v>
      </c>
      <c r="P24" s="11">
        <f t="shared" si="3"/>
        <v>1019343.3300000001</v>
      </c>
    </row>
    <row r="25" spans="1:17">
      <c r="B25" s="7">
        <v>5650012</v>
      </c>
      <c r="C25" s="5" t="s">
        <v>30</v>
      </c>
      <c r="D25" s="20">
        <v>125973.64999999997</v>
      </c>
      <c r="E25" s="20">
        <v>125942.36999999998</v>
      </c>
      <c r="F25" s="20">
        <v>135530.29000000004</v>
      </c>
      <c r="G25" s="20">
        <v>133362.14999999985</v>
      </c>
      <c r="H25" s="20">
        <v>146510.08999999985</v>
      </c>
      <c r="I25" s="20">
        <v>217340.74999999988</v>
      </c>
      <c r="J25" s="20">
        <f>111889.44+154923.85</f>
        <v>266813.29000000004</v>
      </c>
      <c r="K25" s="21">
        <v>235408.9200000001</v>
      </c>
      <c r="L25" s="21">
        <v>160828.55999999985</v>
      </c>
      <c r="M25" s="21">
        <v>165699.19000000003</v>
      </c>
      <c r="N25" s="22">
        <v>162792.55000000002</v>
      </c>
      <c r="O25" s="22">
        <v>165932.5400000001</v>
      </c>
      <c r="P25" s="11">
        <f t="shared" si="3"/>
        <v>2042134.3499999996</v>
      </c>
    </row>
    <row r="26" spans="1:17">
      <c r="B26" s="7">
        <v>5650016</v>
      </c>
      <c r="C26" s="2" t="s">
        <v>31</v>
      </c>
      <c r="D26" s="20">
        <v>3851008.48</v>
      </c>
      <c r="E26" s="20">
        <v>3851008.48</v>
      </c>
      <c r="F26" s="20">
        <v>3726532.13</v>
      </c>
      <c r="G26" s="20">
        <v>3851008.4799999995</v>
      </c>
      <c r="H26" s="20">
        <v>3726532.1299999994</v>
      </c>
      <c r="I26" s="20">
        <v>3851008.4799999995</v>
      </c>
      <c r="J26" s="20">
        <f>1802453.13+2495704.35</f>
        <v>4298157.4800000004</v>
      </c>
      <c r="K26" s="21">
        <v>3880935.3</v>
      </c>
      <c r="L26" s="21">
        <v>4298180.1800000006</v>
      </c>
      <c r="M26" s="21">
        <v>4159094.96</v>
      </c>
      <c r="N26" s="22">
        <v>4298169.4000000004</v>
      </c>
      <c r="O26" s="22">
        <v>4159094.96</v>
      </c>
      <c r="P26" s="11">
        <f t="shared" si="3"/>
        <v>47950730.460000001</v>
      </c>
    </row>
    <row r="27" spans="1:17">
      <c r="B27" s="7">
        <v>5650019</v>
      </c>
      <c r="C27" s="5" t="s">
        <v>30</v>
      </c>
      <c r="D27" s="20">
        <v>469277.01</v>
      </c>
      <c r="E27" s="20">
        <v>469277.01000000007</v>
      </c>
      <c r="F27" s="20">
        <v>469277.02000000008</v>
      </c>
      <c r="G27" s="20">
        <v>469277.01</v>
      </c>
      <c r="H27" s="20">
        <v>469277.01000000007</v>
      </c>
      <c r="I27" s="20">
        <v>469203.1500000002</v>
      </c>
      <c r="J27" s="20">
        <f>187159.75+259144.27</f>
        <v>446304.02</v>
      </c>
      <c r="K27" s="21">
        <v>446304.02</v>
      </c>
      <c r="L27" s="21">
        <v>446306.48</v>
      </c>
      <c r="M27" s="21">
        <v>446305.24999999994</v>
      </c>
      <c r="N27" s="22">
        <v>446305.24999999994</v>
      </c>
      <c r="O27" s="22">
        <v>446305.25</v>
      </c>
      <c r="P27" s="11">
        <f>SUM(D27:O27)</f>
        <v>5493418.4800000004</v>
      </c>
    </row>
    <row r="28" spans="1:17">
      <c r="B28" s="7"/>
      <c r="C28" s="23"/>
      <c r="D28" s="20">
        <v>0</v>
      </c>
      <c r="E28" s="20">
        <v>0</v>
      </c>
      <c r="F28" s="20">
        <v>0</v>
      </c>
      <c r="G28" s="20">
        <v>0</v>
      </c>
      <c r="H28" s="20">
        <v>0</v>
      </c>
      <c r="I28" s="20">
        <v>0</v>
      </c>
      <c r="J28" s="20"/>
      <c r="K28" s="22">
        <v>0</v>
      </c>
      <c r="L28" s="22">
        <v>0</v>
      </c>
      <c r="M28" s="21"/>
      <c r="N28" s="22"/>
      <c r="O28" s="22"/>
      <c r="P28" s="11">
        <f>SUM(D28:O28)</f>
        <v>0</v>
      </c>
    </row>
    <row r="29" spans="1:17">
      <c r="C29" s="14"/>
      <c r="D29" s="24">
        <f>SUM(D18:D28)</f>
        <v>7996044.9800000004</v>
      </c>
      <c r="E29" s="24">
        <f t="shared" ref="E29:N29" si="4">SUM(E18:E28)</f>
        <v>8035337.4699999997</v>
      </c>
      <c r="F29" s="24">
        <f t="shared" si="4"/>
        <v>7834752.7500000009</v>
      </c>
      <c r="G29" s="24">
        <f t="shared" si="4"/>
        <v>8085522.9499999993</v>
      </c>
      <c r="H29" s="24">
        <f t="shared" si="4"/>
        <v>7871457.8899999997</v>
      </c>
      <c r="I29" s="24">
        <f t="shared" si="4"/>
        <v>8158620.3300000001</v>
      </c>
      <c r="J29" s="24">
        <f t="shared" si="4"/>
        <v>8988369.9800000004</v>
      </c>
      <c r="K29" s="24">
        <f t="shared" si="4"/>
        <v>8157530.5199999996</v>
      </c>
      <c r="L29" s="24">
        <f t="shared" si="4"/>
        <v>8901001.3200000003</v>
      </c>
      <c r="M29" s="24">
        <f>SUM(M18:M28)</f>
        <v>8634122.8100000005</v>
      </c>
      <c r="N29" s="24">
        <f t="shared" si="4"/>
        <v>8920367.5500000007</v>
      </c>
      <c r="O29" s="24">
        <f>SUM(O18:O28)</f>
        <v>8631368.4299999997</v>
      </c>
      <c r="P29" s="11">
        <f>SUM(D29:O29)</f>
        <v>100214496.97999999</v>
      </c>
    </row>
    <row r="30" spans="1:17">
      <c r="B30" s="7"/>
      <c r="C30" s="25"/>
      <c r="D30" s="22"/>
      <c r="E30" s="22"/>
      <c r="F30" s="22"/>
      <c r="G30" s="22"/>
      <c r="H30" s="22"/>
      <c r="I30" s="22"/>
      <c r="J30" s="22"/>
      <c r="K30" s="22"/>
      <c r="L30" s="22"/>
      <c r="M30" s="22"/>
      <c r="N30" s="22"/>
      <c r="O30" s="22"/>
      <c r="P30" s="11"/>
    </row>
    <row r="31" spans="1:17">
      <c r="B31" s="7"/>
      <c r="C31" s="14" t="s">
        <v>32</v>
      </c>
      <c r="D31" s="22">
        <f>+D29-D15</f>
        <v>1826168.9800000004</v>
      </c>
      <c r="E31" s="22">
        <f>+E29-E15</f>
        <v>1865461.4699999997</v>
      </c>
      <c r="F31" s="22">
        <f>+F29-F15</f>
        <v>1664876.7500000009</v>
      </c>
      <c r="G31" s="22">
        <f>+G29-G15</f>
        <v>1915646.9499999993</v>
      </c>
      <c r="H31" s="22">
        <f t="shared" ref="H31" si="5">+H29-H15</f>
        <v>1701581.8899999997</v>
      </c>
      <c r="I31" s="22">
        <f>+I29-I15</f>
        <v>1988744.33</v>
      </c>
      <c r="J31" s="22">
        <f t="shared" ref="J31:N31" si="6">+J29-J15</f>
        <v>1712462.9800000004</v>
      </c>
      <c r="K31" s="22">
        <f>+K29-K15</f>
        <v>82822.519999999553</v>
      </c>
      <c r="L31" s="22">
        <f t="shared" si="6"/>
        <v>826293.3200000003</v>
      </c>
      <c r="M31" s="22">
        <f>+M29-M15</f>
        <v>559414.81000000052</v>
      </c>
      <c r="N31" s="22">
        <f t="shared" si="6"/>
        <v>845659.55000000075</v>
      </c>
      <c r="O31" s="22">
        <f>+O29-O15</f>
        <v>556660.4299999997</v>
      </c>
      <c r="P31" s="11">
        <f>SUM(D31:O31)</f>
        <v>15545793.98</v>
      </c>
    </row>
    <row r="32" spans="1:17">
      <c r="A32" s="17"/>
      <c r="B32" s="17"/>
      <c r="C32" s="25" t="s">
        <v>33</v>
      </c>
      <c r="D32" s="16">
        <f>+D31*0.8</f>
        <v>1460935.1840000004</v>
      </c>
      <c r="E32" s="16">
        <f t="shared" ref="E32:H32" si="7">+E31*0.8</f>
        <v>1492369.176</v>
      </c>
      <c r="F32" s="16">
        <f t="shared" si="7"/>
        <v>1331901.4000000008</v>
      </c>
      <c r="G32" s="16">
        <f>+G31*0.8</f>
        <v>1532517.5599999996</v>
      </c>
      <c r="H32" s="16">
        <f t="shared" si="7"/>
        <v>1361265.5119999999</v>
      </c>
      <c r="I32" s="16">
        <f>+I31*0.8</f>
        <v>1590995.4640000002</v>
      </c>
      <c r="J32" s="16">
        <f>945559.27+530513.4</f>
        <v>1476072.67</v>
      </c>
      <c r="K32" s="16">
        <f>+K31</f>
        <v>82822.519999999553</v>
      </c>
      <c r="L32" s="16">
        <f t="shared" ref="L32:O32" si="8">+L31</f>
        <v>826293.3200000003</v>
      </c>
      <c r="M32" s="16">
        <f t="shared" si="8"/>
        <v>559414.81000000052</v>
      </c>
      <c r="N32" s="16">
        <f t="shared" si="8"/>
        <v>845659.55000000075</v>
      </c>
      <c r="O32" s="16">
        <f t="shared" si="8"/>
        <v>556660.4299999997</v>
      </c>
      <c r="P32" s="11">
        <f>SUM(D32:O32)</f>
        <v>13116907.596000003</v>
      </c>
      <c r="Q32" s="11"/>
    </row>
    <row r="33" spans="1:16">
      <c r="A33" s="17"/>
      <c r="B33" s="17"/>
      <c r="C33" s="25"/>
      <c r="D33" s="16"/>
      <c r="E33" s="16"/>
      <c r="F33" s="16"/>
      <c r="G33" s="16"/>
      <c r="H33" s="16"/>
      <c r="I33" s="16"/>
      <c r="J33" s="16"/>
      <c r="K33" s="16"/>
      <c r="L33" s="16"/>
      <c r="M33" s="16"/>
      <c r="N33" s="16"/>
      <c r="O33" s="16"/>
      <c r="P33" s="11"/>
    </row>
    <row r="34" spans="1:16">
      <c r="A34" s="17"/>
      <c r="B34" s="17"/>
      <c r="C34" s="14" t="s">
        <v>34</v>
      </c>
      <c r="D34" s="16">
        <v>31560.81461519537</v>
      </c>
      <c r="E34" s="11">
        <v>31560.81461519537</v>
      </c>
      <c r="F34" s="11">
        <v>31560.81461519537</v>
      </c>
      <c r="G34" s="11">
        <v>31560.81461519537</v>
      </c>
      <c r="H34" s="11">
        <v>31560.81461519537</v>
      </c>
      <c r="I34" s="11">
        <v>31560.81461519537</v>
      </c>
      <c r="J34" s="26">
        <f>19031.36+10092.35</f>
        <v>29123.71</v>
      </c>
      <c r="K34" s="26">
        <v>17381.268059543643</v>
      </c>
      <c r="L34" s="26">
        <v>17381.268059543643</v>
      </c>
      <c r="M34" s="26">
        <v>17381.268059543643</v>
      </c>
      <c r="N34" s="26">
        <v>17381.268059543643</v>
      </c>
      <c r="O34" s="26">
        <v>17381.268059543643</v>
      </c>
      <c r="P34" s="11">
        <f>SUM(D34:O34)</f>
        <v>305394.93798889045</v>
      </c>
    </row>
    <row r="35" spans="1:16">
      <c r="A35" s="17"/>
      <c r="B35" s="17"/>
      <c r="C35" s="25"/>
      <c r="D35" s="16"/>
      <c r="E35" s="16"/>
      <c r="F35" s="16"/>
      <c r="G35" s="16"/>
      <c r="H35" s="16"/>
      <c r="I35" s="16"/>
      <c r="J35" s="16"/>
      <c r="K35" s="16"/>
      <c r="L35" s="16"/>
      <c r="M35" s="16"/>
      <c r="N35" s="16"/>
      <c r="O35" s="16"/>
      <c r="P35" s="11"/>
    </row>
    <row r="36" spans="1:16">
      <c r="A36" s="17"/>
      <c r="B36" s="17"/>
      <c r="C36" s="14" t="s">
        <v>35</v>
      </c>
      <c r="D36" s="16">
        <v>416666.67</v>
      </c>
      <c r="E36" s="16">
        <v>416666.67</v>
      </c>
      <c r="F36" s="16">
        <v>416666.67</v>
      </c>
      <c r="G36" s="16">
        <v>416666.67</v>
      </c>
      <c r="H36" s="16">
        <v>416666.67</v>
      </c>
      <c r="I36" s="16">
        <v>416666.67</v>
      </c>
      <c r="J36" s="16">
        <f>349462.37+483870.97</f>
        <v>833333.34</v>
      </c>
      <c r="K36" s="16">
        <v>833333.33</v>
      </c>
      <c r="L36" s="16">
        <v>833333.33</v>
      </c>
      <c r="M36" s="16">
        <v>833333.33</v>
      </c>
      <c r="N36" s="16">
        <v>833333.33</v>
      </c>
      <c r="O36" s="16">
        <v>833333.33</v>
      </c>
      <c r="P36" s="11">
        <f>SUM(D36:O36)</f>
        <v>7500000.0099999998</v>
      </c>
    </row>
    <row r="37" spans="1:16">
      <c r="A37" s="17"/>
      <c r="B37" s="17"/>
      <c r="C37" s="14"/>
      <c r="D37" s="16"/>
      <c r="E37" s="16"/>
      <c r="F37" s="16"/>
      <c r="G37" s="16"/>
      <c r="H37" s="16"/>
      <c r="I37" s="16"/>
      <c r="J37" s="16"/>
      <c r="K37" s="16"/>
      <c r="L37" s="16"/>
      <c r="M37" s="16"/>
      <c r="N37" s="16"/>
      <c r="O37" s="16"/>
    </row>
    <row r="38" spans="1:16">
      <c r="A38" s="17"/>
      <c r="B38" s="17"/>
      <c r="C38" s="14" t="s">
        <v>36</v>
      </c>
      <c r="D38" s="27">
        <f>'[5]PPA Form 5.0'!D22</f>
        <v>34547.333333333336</v>
      </c>
      <c r="E38" s="27">
        <f>$D$38</f>
        <v>34547.333333333336</v>
      </c>
      <c r="F38" s="27">
        <f t="shared" ref="F38:I38" si="9">$D$38</f>
        <v>34547.333333333336</v>
      </c>
      <c r="G38" s="27">
        <f t="shared" si="9"/>
        <v>34547.333333333336</v>
      </c>
      <c r="H38" s="27">
        <f t="shared" si="9"/>
        <v>34547.333333333336</v>
      </c>
      <c r="I38" s="27">
        <f t="shared" si="9"/>
        <v>34547.333333333336</v>
      </c>
      <c r="J38" s="27">
        <f>14487.45+61413</f>
        <v>75900.45</v>
      </c>
      <c r="K38" s="27">
        <v>105767</v>
      </c>
      <c r="L38" s="27">
        <f>K38</f>
        <v>105767</v>
      </c>
      <c r="M38" s="27">
        <f>L38</f>
        <v>105767</v>
      </c>
      <c r="N38" s="27">
        <f>M38</f>
        <v>105767</v>
      </c>
      <c r="O38" s="27">
        <f>N38</f>
        <v>105767</v>
      </c>
      <c r="P38" s="11">
        <f>SUM(D38:O38)</f>
        <v>812019.45</v>
      </c>
    </row>
    <row r="39" spans="1:16">
      <c r="A39" s="17"/>
      <c r="B39" s="17"/>
      <c r="C39" s="25"/>
      <c r="D39" s="16"/>
      <c r="E39" s="16"/>
      <c r="F39" s="16"/>
      <c r="G39" s="16"/>
      <c r="H39" s="16"/>
      <c r="I39" s="16"/>
      <c r="J39" s="16"/>
      <c r="K39" s="16"/>
      <c r="L39" s="16"/>
      <c r="M39" s="16"/>
      <c r="N39" s="16"/>
      <c r="O39" s="16"/>
    </row>
    <row r="40" spans="1:16">
      <c r="B40" s="7"/>
      <c r="C40" s="25" t="s">
        <v>37</v>
      </c>
      <c r="D40" s="22">
        <v>117533.45</v>
      </c>
      <c r="E40" s="22">
        <v>55687.9</v>
      </c>
      <c r="F40" s="22">
        <v>389093.6</v>
      </c>
      <c r="G40" s="22">
        <v>63347.83</v>
      </c>
      <c r="H40" s="22">
        <v>58795.199999999997</v>
      </c>
      <c r="I40" s="22">
        <v>55663.8</v>
      </c>
      <c r="J40" s="22">
        <f>29805.77+41269.52</f>
        <v>71075.289999999994</v>
      </c>
      <c r="K40" s="22">
        <v>37563.9</v>
      </c>
      <c r="L40" s="16">
        <v>550686.71999999997</v>
      </c>
      <c r="M40" s="22">
        <v>247835.28</v>
      </c>
      <c r="N40" s="22">
        <v>482604.42</v>
      </c>
      <c r="O40" s="22">
        <v>255254.92</v>
      </c>
    </row>
    <row r="41" spans="1:16">
      <c r="B41" s="7"/>
      <c r="C41" s="25" t="s">
        <v>38</v>
      </c>
      <c r="D41" s="22">
        <v>-18574.11</v>
      </c>
      <c r="E41" s="22">
        <v>-117533.45</v>
      </c>
      <c r="F41" s="22">
        <v>-55687.9</v>
      </c>
      <c r="G41" s="22">
        <v>-389093.6</v>
      </c>
      <c r="H41" s="22">
        <v>-63347.83</v>
      </c>
      <c r="I41" s="22">
        <v>-58795.199999999997</v>
      </c>
      <c r="J41" s="22">
        <f>-23342.88-32320.92</f>
        <v>-55663.8</v>
      </c>
      <c r="K41" s="22">
        <v>-71075.289999999994</v>
      </c>
      <c r="L41" s="22">
        <v>-37563.9</v>
      </c>
      <c r="M41" s="22">
        <v>-550686.71999999997</v>
      </c>
      <c r="N41" s="22">
        <v>-247835.28</v>
      </c>
      <c r="O41" s="22">
        <v>-482604.42</v>
      </c>
    </row>
    <row r="42" spans="1:16">
      <c r="B42" s="7"/>
      <c r="C42" s="2" t="s">
        <v>39</v>
      </c>
      <c r="D42" s="28">
        <v>18565.48</v>
      </c>
      <c r="E42" s="28">
        <v>117410.37</v>
      </c>
      <c r="F42" s="28">
        <v>55741.29</v>
      </c>
      <c r="G42" s="28">
        <v>389767.73</v>
      </c>
      <c r="H42" s="28">
        <v>63369.74</v>
      </c>
      <c r="I42" s="28">
        <v>58740.33</v>
      </c>
      <c r="J42" s="28">
        <f>23277.9+32230.93</f>
        <v>55508.83</v>
      </c>
      <c r="K42" s="28">
        <v>71081.47</v>
      </c>
      <c r="L42" s="28">
        <v>37577.31</v>
      </c>
      <c r="M42" s="28">
        <v>551670.81999999995</v>
      </c>
      <c r="N42" s="28">
        <v>247753.61</v>
      </c>
      <c r="O42" s="28">
        <v>482527.87</v>
      </c>
    </row>
    <row r="43" spans="1:16">
      <c r="B43" s="7"/>
      <c r="C43" s="2" t="s">
        <v>40</v>
      </c>
      <c r="D43" s="22">
        <f>SUM(D40:D42)</f>
        <v>117524.81999999999</v>
      </c>
      <c r="E43" s="22">
        <f t="shared" ref="E43:O43" si="10">SUM(E40:E42)</f>
        <v>55564.82</v>
      </c>
      <c r="F43" s="22">
        <f t="shared" si="10"/>
        <v>389146.98999999993</v>
      </c>
      <c r="G43" s="22">
        <f t="shared" si="10"/>
        <v>64021.960000000021</v>
      </c>
      <c r="H43" s="22">
        <f t="shared" si="10"/>
        <v>58817.109999999993</v>
      </c>
      <c r="I43" s="22">
        <f t="shared" si="10"/>
        <v>55608.930000000008</v>
      </c>
      <c r="J43" s="22">
        <f t="shared" si="10"/>
        <v>70920.319999999992</v>
      </c>
      <c r="K43" s="22">
        <f t="shared" si="10"/>
        <v>37570.080000000009</v>
      </c>
      <c r="L43" s="22">
        <f t="shared" si="10"/>
        <v>550700.12999999989</v>
      </c>
      <c r="M43" s="22">
        <f t="shared" si="10"/>
        <v>248819.38</v>
      </c>
      <c r="N43" s="22">
        <f t="shared" si="10"/>
        <v>482522.75</v>
      </c>
      <c r="O43" s="22">
        <f t="shared" si="10"/>
        <v>255178.37000000002</v>
      </c>
      <c r="P43" s="11">
        <f>SUM(D43:O43)</f>
        <v>2386395.6599999997</v>
      </c>
    </row>
    <row r="45" spans="1:16">
      <c r="C45" s="2" t="s">
        <v>41</v>
      </c>
      <c r="D45" s="29">
        <f>D43-D38</f>
        <v>82977.486666666664</v>
      </c>
      <c r="E45" s="29">
        <f t="shared" ref="E45:N45" si="11">E43-E38</f>
        <v>21017.486666666664</v>
      </c>
      <c r="F45" s="29">
        <f t="shared" si="11"/>
        <v>354599.65666666662</v>
      </c>
      <c r="G45" s="29">
        <f>G43-G38</f>
        <v>29474.626666666685</v>
      </c>
      <c r="H45" s="29">
        <f t="shared" si="11"/>
        <v>24269.776666666658</v>
      </c>
      <c r="I45" s="29">
        <f t="shared" si="11"/>
        <v>21061.596666666672</v>
      </c>
      <c r="J45" s="29">
        <f t="shared" si="11"/>
        <v>-4980.1300000000047</v>
      </c>
      <c r="K45" s="29">
        <f t="shared" si="11"/>
        <v>-68196.919999999984</v>
      </c>
      <c r="L45" s="29">
        <f t="shared" si="11"/>
        <v>444933.12999999989</v>
      </c>
      <c r="M45" s="29">
        <f t="shared" si="11"/>
        <v>143052.38</v>
      </c>
      <c r="N45" s="29">
        <f t="shared" si="11"/>
        <v>376755.75</v>
      </c>
      <c r="O45" s="29">
        <f>O43-O38</f>
        <v>149411.37000000002</v>
      </c>
      <c r="P45" s="11">
        <f>SUM(D45:O45)</f>
        <v>1574376.21</v>
      </c>
    </row>
    <row r="46" spans="1:16">
      <c r="P46" s="29"/>
    </row>
    <row r="47" spans="1:16" ht="13.5" thickBot="1">
      <c r="A47" s="17"/>
      <c r="B47" s="17"/>
      <c r="C47" s="14" t="s">
        <v>42</v>
      </c>
      <c r="D47" s="30">
        <f>(D32-D34)+D45</f>
        <v>1512351.8560514716</v>
      </c>
      <c r="E47" s="30">
        <f>(E32-E34)+E45</f>
        <v>1481825.8480514712</v>
      </c>
      <c r="F47" s="30">
        <f t="shared" ref="F47:N47" si="12">(F32-F34)+F45</f>
        <v>1654940.242051472</v>
      </c>
      <c r="G47" s="30">
        <f>(G32-G34)+G45</f>
        <v>1530431.3720514709</v>
      </c>
      <c r="H47" s="30">
        <f t="shared" si="12"/>
        <v>1353974.4740514711</v>
      </c>
      <c r="I47" s="30">
        <f>(I32-I34)+I45</f>
        <v>1580496.2460514714</v>
      </c>
      <c r="J47" s="30">
        <f t="shared" si="12"/>
        <v>1441968.83</v>
      </c>
      <c r="K47" s="30">
        <f>(K32-K34)+K45</f>
        <v>-2755.6680595440703</v>
      </c>
      <c r="L47" s="30">
        <f t="shared" si="12"/>
        <v>1253845.1819404564</v>
      </c>
      <c r="M47" s="30">
        <f t="shared" si="12"/>
        <v>685085.92194045684</v>
      </c>
      <c r="N47" s="30">
        <f t="shared" si="12"/>
        <v>1205034.0319404569</v>
      </c>
      <c r="O47" s="30">
        <f>(O32-O34)+O45</f>
        <v>688690.53194045601</v>
      </c>
      <c r="P47" s="11">
        <f>SUM(D47:O47)</f>
        <v>14385888.86801111</v>
      </c>
    </row>
    <row r="48" spans="1:16" ht="13.5" thickTop="1">
      <c r="A48" s="17"/>
      <c r="B48" s="17"/>
      <c r="C48" s="14"/>
      <c r="D48" s="16"/>
      <c r="E48" s="16"/>
      <c r="F48" s="16"/>
      <c r="G48" s="16"/>
      <c r="H48" s="16"/>
      <c r="I48" s="16"/>
      <c r="J48" s="16"/>
      <c r="K48" s="16"/>
      <c r="L48" s="16"/>
      <c r="M48" s="16"/>
      <c r="N48" s="16"/>
      <c r="O48" s="16"/>
    </row>
    <row r="49" spans="1:17">
      <c r="A49" s="17"/>
      <c r="B49" s="17"/>
      <c r="C49" s="17" t="s">
        <v>43</v>
      </c>
      <c r="D49" s="16">
        <f>D47-D13</f>
        <v>1979688.4560514716</v>
      </c>
      <c r="E49" s="16">
        <f>E47-E13</f>
        <v>1920261.5980514712</v>
      </c>
      <c r="F49" s="16">
        <f t="shared" ref="F49:H49" si="13">F47-F13</f>
        <v>1984376.4720514719</v>
      </c>
      <c r="G49" s="16">
        <f>G47-G13</f>
        <v>962342.00205147092</v>
      </c>
      <c r="H49" s="16">
        <f t="shared" si="13"/>
        <v>-60997.175948528806</v>
      </c>
      <c r="I49" s="16">
        <f>I47-I13</f>
        <v>95804.826051471522</v>
      </c>
      <c r="J49" s="16">
        <f t="shared" ref="J49:N49" si="14">J47-J13</f>
        <v>6190.6200000001118</v>
      </c>
      <c r="K49" s="16">
        <f t="shared" si="14"/>
        <v>-1424416.1780595442</v>
      </c>
      <c r="L49" s="16">
        <f t="shared" si="14"/>
        <v>184911.92194045638</v>
      </c>
      <c r="M49" s="16">
        <f t="shared" si="14"/>
        <v>-343880.06805954315</v>
      </c>
      <c r="N49" s="16">
        <f t="shared" si="14"/>
        <v>295327.01194045693</v>
      </c>
      <c r="O49" s="16">
        <f>O47-O13</f>
        <v>-396649.95805954398</v>
      </c>
      <c r="P49" s="11">
        <f>SUM(D49:O49)</f>
        <v>5202959.5280111106</v>
      </c>
    </row>
    <row r="51" spans="1:17">
      <c r="A51" s="17"/>
      <c r="B51" s="17"/>
      <c r="C51" s="14"/>
      <c r="D51" s="16"/>
      <c r="E51" s="16"/>
      <c r="F51" s="16"/>
      <c r="G51" s="16"/>
      <c r="H51" s="16"/>
      <c r="I51" s="16"/>
      <c r="J51" s="16"/>
      <c r="K51" s="16"/>
      <c r="L51" s="16"/>
      <c r="M51" s="16"/>
      <c r="N51" s="16"/>
      <c r="O51" s="16"/>
    </row>
    <row r="52" spans="1:17">
      <c r="A52" s="31"/>
      <c r="B52" s="32"/>
      <c r="C52" s="33" t="s">
        <v>44</v>
      </c>
      <c r="D52" s="10">
        <f>+D49+13088375.12+D36</f>
        <v>15484730.24605147</v>
      </c>
      <c r="E52" s="10">
        <f>D52+E36+E49</f>
        <v>17821658.51410294</v>
      </c>
      <c r="F52" s="10">
        <f t="shared" ref="F52:N52" si="15">+F49+E52+F36</f>
        <v>20222701.656154413</v>
      </c>
      <c r="G52" s="10">
        <f t="shared" si="15"/>
        <v>21601710.328205887</v>
      </c>
      <c r="H52" s="10">
        <f t="shared" si="15"/>
        <v>21957379.822257359</v>
      </c>
      <c r="I52" s="10">
        <f t="shared" si="15"/>
        <v>22469851.31830883</v>
      </c>
      <c r="J52" s="10">
        <f t="shared" si="15"/>
        <v>23309375.278308831</v>
      </c>
      <c r="K52" s="10">
        <f t="shared" si="15"/>
        <v>22718292.430249285</v>
      </c>
      <c r="L52" s="10">
        <f t="shared" si="15"/>
        <v>23736537.68218974</v>
      </c>
      <c r="M52" s="10">
        <f t="shared" si="15"/>
        <v>24225990.944130197</v>
      </c>
      <c r="N52" s="10">
        <f t="shared" si="15"/>
        <v>25354651.286070652</v>
      </c>
      <c r="O52" s="10">
        <f>+O49+N52+O36</f>
        <v>25791334.658011105</v>
      </c>
      <c r="P52" s="29">
        <f>P32-P34-P38+P43+P36</f>
        <v>21885888.878011115</v>
      </c>
      <c r="Q52" s="2" t="s">
        <v>45</v>
      </c>
    </row>
    <row r="53" spans="1:17">
      <c r="A53" s="34"/>
      <c r="C53" s="4"/>
      <c r="D53" s="10"/>
      <c r="E53" s="10"/>
      <c r="F53" s="10"/>
      <c r="G53" s="10"/>
      <c r="H53" s="10"/>
      <c r="I53" s="10"/>
      <c r="J53" s="10"/>
      <c r="K53" s="10"/>
      <c r="L53" s="16"/>
      <c r="O53" s="35"/>
    </row>
    <row r="54" spans="1:17">
      <c r="A54" s="34"/>
      <c r="C54" s="4"/>
      <c r="D54" s="10"/>
      <c r="E54" s="10"/>
      <c r="F54" s="10"/>
      <c r="G54" s="10"/>
      <c r="H54" s="10"/>
      <c r="I54" s="10"/>
      <c r="J54" s="10"/>
      <c r="K54" s="10"/>
      <c r="L54" s="16"/>
      <c r="O54" s="29">
        <v>25791336.572099376</v>
      </c>
      <c r="P54" s="2" t="s">
        <v>46</v>
      </c>
    </row>
    <row r="56" spans="1:17">
      <c r="O56" s="29"/>
    </row>
    <row r="59" spans="1:17">
      <c r="O59" s="36"/>
    </row>
    <row r="69" spans="4:15">
      <c r="D69" s="16"/>
      <c r="E69" s="16"/>
      <c r="F69" s="16"/>
      <c r="G69" s="16"/>
      <c r="H69" s="16"/>
      <c r="I69" s="16"/>
      <c r="J69" s="16"/>
      <c r="K69" s="16"/>
      <c r="L69" s="16"/>
      <c r="M69" s="16"/>
      <c r="N69" s="16"/>
      <c r="O69" s="16"/>
    </row>
    <row r="70" spans="4:15">
      <c r="D70" s="4"/>
      <c r="E70" s="4"/>
      <c r="F70" s="4"/>
      <c r="G70" s="4"/>
      <c r="H70" s="4"/>
      <c r="I70" s="4"/>
      <c r="J70" s="4"/>
      <c r="K70" s="4"/>
      <c r="L70" s="4"/>
      <c r="M70" s="4"/>
      <c r="N70" s="4"/>
      <c r="O70" s="4"/>
    </row>
  </sheetData>
  <pageMargins left="0.7" right="0.7" top="0.75" bottom="0.75" header="0.3" footer="0.3"/>
  <pageSetup scale="3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17672-33B5-4DAB-A5D4-FEAC66814C36}">
  <sheetPr>
    <pageSetUpPr fitToPage="1"/>
  </sheetPr>
  <dimension ref="A1:Q68"/>
  <sheetViews>
    <sheetView zoomScale="90" zoomScaleNormal="90" workbookViewId="0">
      <pane xSplit="3" ySplit="6" topLeftCell="D7" activePane="bottomRight" state="frozen"/>
      <selection pane="topRight" activeCell="D1" sqref="D1"/>
      <selection pane="bottomLeft" activeCell="A7" sqref="A7"/>
      <selection pane="bottomRight" activeCell="D54" sqref="D54"/>
    </sheetView>
  </sheetViews>
  <sheetFormatPr defaultColWidth="9.140625" defaultRowHeight="12.75"/>
  <cols>
    <col min="1" max="1" width="14.7109375" style="2" customWidth="1"/>
    <col min="2" max="2" width="16.85546875" style="2" customWidth="1"/>
    <col min="3" max="3" width="89.140625" style="2" customWidth="1"/>
    <col min="4" max="11" width="17.140625" style="2" customWidth="1"/>
    <col min="12" max="12" width="19.85546875" style="2" customWidth="1"/>
    <col min="13" max="14" width="16.5703125" style="2" customWidth="1"/>
    <col min="15" max="15" width="18.42578125" style="2" customWidth="1"/>
    <col min="16" max="16" width="17.42578125" style="2" bestFit="1" customWidth="1"/>
    <col min="17" max="17" width="29.28515625" style="2" customWidth="1"/>
    <col min="18" max="16384" width="9.140625" style="2"/>
  </cols>
  <sheetData>
    <row r="1" spans="1:17" ht="15">
      <c r="A1" s="1" t="s">
        <v>0</v>
      </c>
      <c r="Q1" s="73"/>
    </row>
    <row r="2" spans="1:17" ht="15.75">
      <c r="A2" s="1" t="s">
        <v>1</v>
      </c>
      <c r="B2" s="3"/>
      <c r="D2" s="2">
        <v>2021</v>
      </c>
      <c r="G2" s="4"/>
      <c r="I2" s="4"/>
      <c r="J2" s="2">
        <v>2022</v>
      </c>
    </row>
    <row r="3" spans="1:17" ht="15">
      <c r="A3" s="1" t="str">
        <f>'[6]Input Sheet'!A2:D2</f>
        <v>12 -Month Period ended June 30, 2022</v>
      </c>
      <c r="B3" s="5"/>
      <c r="D3" s="6"/>
      <c r="E3" s="6"/>
      <c r="F3" s="6"/>
      <c r="G3" s="6"/>
      <c r="H3" s="6"/>
      <c r="I3" s="6"/>
      <c r="J3" s="6"/>
      <c r="K3" s="6"/>
      <c r="L3" s="6"/>
      <c r="M3" s="6"/>
      <c r="N3" s="6"/>
      <c r="O3" s="6"/>
    </row>
    <row r="4" spans="1:17" ht="15">
      <c r="A4" s="1"/>
      <c r="D4" s="6"/>
      <c r="E4" s="6"/>
      <c r="F4" s="6"/>
      <c r="G4" s="6"/>
      <c r="H4" s="6"/>
      <c r="I4" s="6"/>
      <c r="J4" s="6"/>
      <c r="K4" s="6"/>
      <c r="L4" s="6"/>
      <c r="M4" s="6"/>
      <c r="N4" s="6"/>
      <c r="O4" s="6"/>
    </row>
    <row r="5" spans="1:17">
      <c r="D5" s="7" t="s">
        <v>2</v>
      </c>
      <c r="E5" s="7" t="s">
        <v>2</v>
      </c>
      <c r="F5" s="7" t="s">
        <v>2</v>
      </c>
      <c r="G5" s="7" t="s">
        <v>2</v>
      </c>
      <c r="H5" s="7" t="s">
        <v>2</v>
      </c>
      <c r="I5" s="7" t="s">
        <v>2</v>
      </c>
      <c r="J5" s="7" t="s">
        <v>2</v>
      </c>
      <c r="K5" s="7" t="s">
        <v>2</v>
      </c>
      <c r="L5" s="7" t="s">
        <v>2</v>
      </c>
      <c r="M5" s="7" t="s">
        <v>2</v>
      </c>
      <c r="N5" s="7" t="s">
        <v>2</v>
      </c>
      <c r="O5" s="7" t="s">
        <v>2</v>
      </c>
      <c r="P5" s="2" t="s">
        <v>3</v>
      </c>
    </row>
    <row r="6" spans="1:17">
      <c r="C6" s="8" t="s">
        <v>0</v>
      </c>
      <c r="D6" s="9" t="s">
        <v>4</v>
      </c>
      <c r="E6" s="9" t="s">
        <v>5</v>
      </c>
      <c r="F6" s="9" t="s">
        <v>6</v>
      </c>
      <c r="G6" s="9" t="s">
        <v>7</v>
      </c>
      <c r="H6" s="9" t="s">
        <v>8</v>
      </c>
      <c r="I6" s="9" t="s">
        <v>9</v>
      </c>
      <c r="J6" s="9" t="s">
        <v>10</v>
      </c>
      <c r="K6" s="9" t="s">
        <v>11</v>
      </c>
      <c r="L6" s="9" t="s">
        <v>12</v>
      </c>
      <c r="M6" s="9" t="s">
        <v>13</v>
      </c>
      <c r="N6" s="9" t="s">
        <v>14</v>
      </c>
      <c r="O6" s="9" t="s">
        <v>15</v>
      </c>
    </row>
    <row r="7" spans="1:17">
      <c r="A7" s="8" t="s">
        <v>16</v>
      </c>
      <c r="C7" s="2" t="s">
        <v>17</v>
      </c>
      <c r="D7" s="74">
        <v>1166924.1604647827</v>
      </c>
      <c r="E7" s="74">
        <v>1472358.282469555</v>
      </c>
      <c r="F7" s="74">
        <v>746151.6446300142</v>
      </c>
      <c r="G7" s="74">
        <v>1573419.9983563381</v>
      </c>
      <c r="H7" s="74">
        <v>1948275.3877240685</v>
      </c>
      <c r="I7" s="74">
        <v>2360770.7053127238</v>
      </c>
      <c r="J7" s="74">
        <v>2403181.3413040265</v>
      </c>
      <c r="K7" s="74">
        <v>2031556.4355596069</v>
      </c>
      <c r="L7" s="74">
        <v>1883397.015636832</v>
      </c>
      <c r="M7" s="74">
        <v>1683269.5499423118</v>
      </c>
      <c r="N7" s="74">
        <v>2382014.1167660132</v>
      </c>
      <c r="O7" s="74">
        <v>1304808.59191679</v>
      </c>
      <c r="P7" s="11">
        <f>SUM(D7:O7)</f>
        <v>20956127.23008306</v>
      </c>
    </row>
    <row r="8" spans="1:17">
      <c r="C8" s="2" t="s">
        <v>18</v>
      </c>
      <c r="D8" s="74">
        <v>-7066.7472598450258</v>
      </c>
      <c r="E8" s="74">
        <v>-8916.4182306481525</v>
      </c>
      <c r="F8" s="74">
        <v>-4518.6013528229669</v>
      </c>
      <c r="G8" s="74">
        <v>-9528.4353848167229</v>
      </c>
      <c r="H8" s="74">
        <v>-11798.512897478184</v>
      </c>
      <c r="I8" s="74">
        <v>-14296.533123666421</v>
      </c>
      <c r="J8" s="74">
        <v>-14553.366648786236</v>
      </c>
      <c r="K8" s="74">
        <v>-12302.852542270906</v>
      </c>
      <c r="L8" s="74">
        <v>-11405.617563141976</v>
      </c>
      <c r="M8" s="74">
        <v>-10193.670576584525</v>
      </c>
      <c r="N8" s="74">
        <v>-14425.180575457402</v>
      </c>
      <c r="O8" s="74">
        <v>-7901.7581895620096</v>
      </c>
      <c r="P8" s="13">
        <f>SUM(D8:O8)</f>
        <v>-126907.69434508053</v>
      </c>
    </row>
    <row r="9" spans="1:17">
      <c r="C9" s="14"/>
      <c r="D9" s="75">
        <f t="shared" ref="D9:O9" si="0">SUM(D7:D8)</f>
        <v>1159857.4132049377</v>
      </c>
      <c r="E9" s="75">
        <f t="shared" si="0"/>
        <v>1463441.8642389069</v>
      </c>
      <c r="F9" s="75">
        <f t="shared" si="0"/>
        <v>741633.04327719123</v>
      </c>
      <c r="G9" s="75">
        <f t="shared" si="0"/>
        <v>1563891.5629715214</v>
      </c>
      <c r="H9" s="75">
        <f t="shared" si="0"/>
        <v>1936476.8748265903</v>
      </c>
      <c r="I9" s="75">
        <f t="shared" si="0"/>
        <v>2346474.1721890573</v>
      </c>
      <c r="J9" s="75">
        <f t="shared" si="0"/>
        <v>2388627.9746552403</v>
      </c>
      <c r="K9" s="75">
        <f t="shared" si="0"/>
        <v>2019253.583017336</v>
      </c>
      <c r="L9" s="75">
        <f t="shared" si="0"/>
        <v>1871991.39807369</v>
      </c>
      <c r="M9" s="75">
        <f t="shared" si="0"/>
        <v>1673075.8793657273</v>
      </c>
      <c r="N9" s="75">
        <f t="shared" si="0"/>
        <v>2367588.9361905558</v>
      </c>
      <c r="O9" s="75">
        <f t="shared" si="0"/>
        <v>1296906.833727228</v>
      </c>
      <c r="P9" s="11">
        <f>SUM(D9:O9)</f>
        <v>20829219.535737984</v>
      </c>
    </row>
    <row r="10" spans="1:17">
      <c r="C10" s="8"/>
      <c r="D10" s="9"/>
      <c r="E10" s="9"/>
      <c r="F10" s="9"/>
      <c r="G10" s="9"/>
      <c r="H10" s="9"/>
      <c r="I10" s="9"/>
      <c r="J10" s="9"/>
      <c r="K10" s="9"/>
      <c r="L10" s="9"/>
      <c r="M10" s="9"/>
      <c r="N10" s="9"/>
      <c r="O10" s="9"/>
    </row>
    <row r="11" spans="1:17">
      <c r="A11" s="8" t="s">
        <v>19</v>
      </c>
      <c r="B11" s="17"/>
      <c r="C11" s="14" t="s">
        <v>20</v>
      </c>
      <c r="D11" s="11">
        <v>8074708</v>
      </c>
      <c r="E11" s="11">
        <v>8074708</v>
      </c>
      <c r="F11" s="11">
        <v>8074708</v>
      </c>
      <c r="G11" s="11">
        <v>8074708</v>
      </c>
      <c r="H11" s="11">
        <v>8074708</v>
      </c>
      <c r="I11" s="11">
        <v>8074708</v>
      </c>
      <c r="J11" s="11">
        <v>8074708</v>
      </c>
      <c r="K11" s="11">
        <v>8074708</v>
      </c>
      <c r="L11" s="11">
        <v>8074708</v>
      </c>
      <c r="M11" s="11">
        <v>8074708</v>
      </c>
      <c r="N11" s="11">
        <v>8074708</v>
      </c>
      <c r="O11" s="11">
        <v>8074708</v>
      </c>
      <c r="P11" s="11">
        <f>SUM(D11:O11)</f>
        <v>96896496</v>
      </c>
    </row>
    <row r="12" spans="1:17">
      <c r="C12" s="8"/>
      <c r="D12" s="9"/>
      <c r="E12" s="9"/>
      <c r="F12" s="9"/>
      <c r="G12" s="9"/>
      <c r="H12" s="9"/>
      <c r="I12" s="9"/>
      <c r="J12" s="9"/>
      <c r="K12" s="9"/>
      <c r="L12" s="9"/>
      <c r="M12" s="18"/>
      <c r="N12" s="9"/>
      <c r="O12" s="9"/>
    </row>
    <row r="13" spans="1:17">
      <c r="A13" s="8" t="s">
        <v>21</v>
      </c>
      <c r="B13" s="9" t="s">
        <v>22</v>
      </c>
      <c r="C13" s="8" t="s">
        <v>23</v>
      </c>
      <c r="D13" s="9"/>
      <c r="E13" s="9"/>
      <c r="F13" s="9"/>
      <c r="G13" s="9"/>
      <c r="H13" s="9"/>
      <c r="I13" s="9"/>
      <c r="J13" s="9"/>
      <c r="K13" s="9"/>
      <c r="L13" s="9"/>
      <c r="M13" s="19"/>
      <c r="N13" s="9"/>
      <c r="O13" s="9"/>
    </row>
    <row r="14" spans="1:17">
      <c r="B14" s="7">
        <v>5650021</v>
      </c>
      <c r="C14" s="5" t="s">
        <v>24</v>
      </c>
      <c r="D14" s="76">
        <v>41858.660000000003</v>
      </c>
      <c r="E14" s="76">
        <v>42017.24</v>
      </c>
      <c r="F14" s="76">
        <v>42017.25</v>
      </c>
      <c r="G14" s="76">
        <v>41858.74</v>
      </c>
      <c r="H14" s="76">
        <v>42017.33</v>
      </c>
      <c r="I14" s="76">
        <v>41858.740000000005</v>
      </c>
      <c r="J14" s="76">
        <v>43445.33</v>
      </c>
      <c r="K14" s="77">
        <v>43342.760000000009</v>
      </c>
      <c r="L14" s="77">
        <v>42876.89</v>
      </c>
      <c r="M14" s="77">
        <v>52467.01</v>
      </c>
      <c r="N14" s="77">
        <v>47722.450000000004</v>
      </c>
      <c r="O14" s="77">
        <v>62516.5</v>
      </c>
      <c r="P14" s="11">
        <f>SUM(D14:O14)</f>
        <v>543998.9</v>
      </c>
    </row>
    <row r="15" spans="1:17">
      <c r="B15" s="7">
        <v>5650015</v>
      </c>
      <c r="C15" s="5" t="s">
        <v>25</v>
      </c>
      <c r="D15" s="76">
        <v>26607.16</v>
      </c>
      <c r="E15" s="76">
        <v>27041.1</v>
      </c>
      <c r="F15" s="76">
        <v>22983.759999999998</v>
      </c>
      <c r="G15" s="76">
        <v>20733.930000000004</v>
      </c>
      <c r="H15" s="76">
        <v>24853.040000000001</v>
      </c>
      <c r="I15" s="76">
        <v>26697.929999999997</v>
      </c>
      <c r="J15" s="76">
        <v>12618.53</v>
      </c>
      <c r="K15" s="77">
        <v>10148.449999999999</v>
      </c>
      <c r="L15" s="77">
        <v>9645.11</v>
      </c>
      <c r="M15" s="77">
        <v>8399.619999999999</v>
      </c>
      <c r="N15" s="77">
        <v>8925.5</v>
      </c>
      <c r="O15" s="77">
        <v>9744.11</v>
      </c>
      <c r="P15" s="11">
        <f t="shared" ref="P15:P23" si="1">SUM(D15:O15)</f>
        <v>208398.24</v>
      </c>
    </row>
    <row r="16" spans="1:17">
      <c r="B16" s="7">
        <v>4561005</v>
      </c>
      <c r="C16" s="5" t="s">
        <v>26</v>
      </c>
      <c r="D16" s="76">
        <v>-110045.26999999999</v>
      </c>
      <c r="E16" s="76">
        <v>-149584.39000000001</v>
      </c>
      <c r="F16" s="76">
        <v>-82003.579999999987</v>
      </c>
      <c r="G16" s="76">
        <v>-21449.050000000007</v>
      </c>
      <c r="H16" s="76">
        <v>-109951.97</v>
      </c>
      <c r="I16" s="76">
        <v>-143452.96</v>
      </c>
      <c r="J16" s="76">
        <v>-180836.50999999998</v>
      </c>
      <c r="K16" s="77">
        <v>-174887.43000000002</v>
      </c>
      <c r="L16" s="77">
        <v>-144824.46999999997</v>
      </c>
      <c r="M16" s="77">
        <v>-111775.2</v>
      </c>
      <c r="N16" s="77">
        <v>-142778.95000000001</v>
      </c>
      <c r="O16" s="77">
        <v>-146668.54999999993</v>
      </c>
      <c r="P16" s="11">
        <f t="shared" si="1"/>
        <v>-1518258.3299999996</v>
      </c>
    </row>
    <row r="17" spans="1:17">
      <c r="B17" s="7">
        <v>4561002</v>
      </c>
      <c r="C17" s="5" t="s">
        <v>27</v>
      </c>
      <c r="D17" s="76">
        <v>0</v>
      </c>
      <c r="E17" s="76">
        <v>0</v>
      </c>
      <c r="F17" s="76">
        <v>0</v>
      </c>
      <c r="G17" s="76">
        <v>0</v>
      </c>
      <c r="H17" s="76">
        <v>0</v>
      </c>
      <c r="I17" s="76">
        <v>0</v>
      </c>
      <c r="J17" s="76">
        <v>0</v>
      </c>
      <c r="K17" s="77">
        <v>0</v>
      </c>
      <c r="L17" s="77">
        <v>0</v>
      </c>
      <c r="M17" s="77">
        <v>0</v>
      </c>
      <c r="N17" s="77">
        <v>0</v>
      </c>
      <c r="O17" s="77">
        <v>0</v>
      </c>
      <c r="P17" s="77">
        <f t="shared" si="1"/>
        <v>0</v>
      </c>
    </row>
    <row r="18" spans="1:17">
      <c r="B18" s="7">
        <v>5550155</v>
      </c>
      <c r="C18" s="5" t="s">
        <v>64</v>
      </c>
      <c r="D18" s="76">
        <v>0</v>
      </c>
      <c r="E18" s="76">
        <v>0</v>
      </c>
      <c r="F18" s="76">
        <v>0</v>
      </c>
      <c r="G18" s="76">
        <v>0</v>
      </c>
      <c r="H18" s="76">
        <v>0</v>
      </c>
      <c r="I18" s="76">
        <v>0</v>
      </c>
      <c r="J18" s="76">
        <v>0</v>
      </c>
      <c r="K18" s="77">
        <v>0</v>
      </c>
      <c r="L18" s="77">
        <v>0</v>
      </c>
      <c r="M18" s="77">
        <v>0</v>
      </c>
      <c r="N18" s="77">
        <v>0</v>
      </c>
      <c r="O18" s="77">
        <v>0</v>
      </c>
      <c r="P18" s="77">
        <f t="shared" si="1"/>
        <v>0</v>
      </c>
    </row>
    <row r="19" spans="1:17">
      <c r="B19" s="7">
        <v>4561035</v>
      </c>
      <c r="C19" s="2" t="s">
        <v>28</v>
      </c>
      <c r="D19" s="76">
        <v>3936102.62</v>
      </c>
      <c r="E19" s="76">
        <v>3936102.62</v>
      </c>
      <c r="F19" s="76">
        <v>3808358.58</v>
      </c>
      <c r="G19" s="76">
        <v>3936102.62</v>
      </c>
      <c r="H19" s="76">
        <v>3808358.58</v>
      </c>
      <c r="I19" s="76">
        <v>3936102.62</v>
      </c>
      <c r="J19" s="76">
        <v>4280809.01</v>
      </c>
      <c r="K19" s="77">
        <v>3864297.9</v>
      </c>
      <c r="L19" s="77">
        <v>4280809.01</v>
      </c>
      <c r="M19" s="77">
        <v>4119297.08</v>
      </c>
      <c r="N19" s="77">
        <v>4276274.03</v>
      </c>
      <c r="O19" s="77">
        <v>4136348.86</v>
      </c>
      <c r="P19" s="11">
        <f t="shared" si="1"/>
        <v>48318963.530000001</v>
      </c>
    </row>
    <row r="20" spans="1:17">
      <c r="B20" s="7">
        <v>4561036</v>
      </c>
      <c r="C20" s="5" t="s">
        <v>29</v>
      </c>
      <c r="D20" s="76">
        <v>-15468.15</v>
      </c>
      <c r="E20" s="76">
        <v>-15720.42</v>
      </c>
      <c r="F20" s="76">
        <v>-13361.67</v>
      </c>
      <c r="G20" s="76">
        <v>-12053.720000000001</v>
      </c>
      <c r="H20" s="76">
        <v>-14448.38</v>
      </c>
      <c r="I20" s="76">
        <v>-15520.920000000002</v>
      </c>
      <c r="J20" s="76">
        <v>-34824.67</v>
      </c>
      <c r="K20" s="77">
        <v>-28007.73</v>
      </c>
      <c r="L20" s="77">
        <v>-26618.610000000004</v>
      </c>
      <c r="M20" s="77">
        <v>-23181.29</v>
      </c>
      <c r="N20" s="77">
        <v>-24632.63</v>
      </c>
      <c r="O20" s="77">
        <v>-26891.85</v>
      </c>
      <c r="P20" s="11">
        <f t="shared" si="1"/>
        <v>-250730.04000000004</v>
      </c>
    </row>
    <row r="21" spans="1:17">
      <c r="B21" s="7">
        <v>4561060</v>
      </c>
      <c r="C21" s="5" t="s">
        <v>30</v>
      </c>
      <c r="D21" s="76">
        <v>95607.77</v>
      </c>
      <c r="E21" s="76">
        <v>95607.77</v>
      </c>
      <c r="F21" s="76">
        <v>95607.77</v>
      </c>
      <c r="G21" s="76">
        <v>95607.77</v>
      </c>
      <c r="H21" s="76">
        <v>95607.77</v>
      </c>
      <c r="I21" s="76">
        <v>95607.77</v>
      </c>
      <c r="J21" s="76">
        <v>98683.34</v>
      </c>
      <c r="K21" s="77">
        <v>98683.34</v>
      </c>
      <c r="L21" s="77">
        <v>98683.34</v>
      </c>
      <c r="M21" s="77">
        <v>98683.34</v>
      </c>
      <c r="N21" s="77">
        <v>98683.34</v>
      </c>
      <c r="O21" s="77">
        <v>98683.34</v>
      </c>
      <c r="P21" s="11">
        <f t="shared" si="1"/>
        <v>1165746.6599999999</v>
      </c>
    </row>
    <row r="22" spans="1:17">
      <c r="B22" s="7">
        <v>5650012</v>
      </c>
      <c r="C22" s="5" t="s">
        <v>30</v>
      </c>
      <c r="D22" s="76">
        <v>166447.9800000001</v>
      </c>
      <c r="E22" s="76">
        <v>165965.75000000006</v>
      </c>
      <c r="F22" s="76">
        <v>166051.85000000003</v>
      </c>
      <c r="G22" s="76">
        <v>166052.30999999997</v>
      </c>
      <c r="H22" s="76">
        <v>165965.29999999993</v>
      </c>
      <c r="I22" s="76">
        <v>141935.03999999983</v>
      </c>
      <c r="J22" s="76">
        <v>2169657.9599999995</v>
      </c>
      <c r="K22" s="77">
        <v>146209.60999999999</v>
      </c>
      <c r="L22" s="77">
        <v>-1867714.05</v>
      </c>
      <c r="M22" s="77">
        <v>146309.83000000013</v>
      </c>
      <c r="N22" s="77">
        <v>144433.91000000029</v>
      </c>
      <c r="O22" s="77">
        <v>123767.0399999994</v>
      </c>
      <c r="P22" s="11">
        <f t="shared" si="1"/>
        <v>1835082.5299999991</v>
      </c>
    </row>
    <row r="23" spans="1:17">
      <c r="B23" s="7">
        <v>5650016</v>
      </c>
      <c r="C23" s="2" t="s">
        <v>31</v>
      </c>
      <c r="D23" s="76">
        <v>4298169.4000000004</v>
      </c>
      <c r="E23" s="76">
        <v>4298169.4000000004</v>
      </c>
      <c r="F23" s="76">
        <v>4159094.9499999993</v>
      </c>
      <c r="G23" s="76">
        <v>4298169.41</v>
      </c>
      <c r="H23" s="76">
        <v>4159094.9699999997</v>
      </c>
      <c r="I23" s="76">
        <v>4298169.4000000004</v>
      </c>
      <c r="J23" s="76">
        <v>5076547.0999999996</v>
      </c>
      <c r="K23" s="77">
        <v>4583779.01</v>
      </c>
      <c r="L23" s="77">
        <v>5076547.0999999996</v>
      </c>
      <c r="M23" s="77">
        <v>4912291.07</v>
      </c>
      <c r="N23" s="77">
        <v>5076547.0999999996</v>
      </c>
      <c r="O23" s="77">
        <v>4912291.07</v>
      </c>
      <c r="P23" s="11">
        <f t="shared" si="1"/>
        <v>55148869.980000004</v>
      </c>
    </row>
    <row r="24" spans="1:17">
      <c r="B24" s="7">
        <v>5650019</v>
      </c>
      <c r="C24" s="5" t="s">
        <v>30</v>
      </c>
      <c r="D24" s="76">
        <v>446305.24999999994</v>
      </c>
      <c r="E24" s="76">
        <v>446305.24999999994</v>
      </c>
      <c r="F24" s="76">
        <v>446305.25</v>
      </c>
      <c r="G24" s="76">
        <v>446305.25</v>
      </c>
      <c r="H24" s="76">
        <v>446305.25</v>
      </c>
      <c r="I24" s="76">
        <v>446305.24</v>
      </c>
      <c r="J24" s="76">
        <v>429585.9</v>
      </c>
      <c r="K24" s="77">
        <v>429585.91000000003</v>
      </c>
      <c r="L24" s="77">
        <v>429585.89999999997</v>
      </c>
      <c r="M24" s="77">
        <v>429585.91000000003</v>
      </c>
      <c r="N24" s="77">
        <v>429585.9</v>
      </c>
      <c r="O24" s="77">
        <v>429585.9</v>
      </c>
      <c r="P24" s="11">
        <f>SUM(D24:O24)</f>
        <v>5255346.9100000011</v>
      </c>
    </row>
    <row r="25" spans="1:17">
      <c r="C25" s="14"/>
      <c r="D25" s="78">
        <f t="shared" ref="D25:O25" si="2">SUM(D14:D24)</f>
        <v>8885585.4199999999</v>
      </c>
      <c r="E25" s="78">
        <f t="shared" si="2"/>
        <v>8845904.3200000003</v>
      </c>
      <c r="F25" s="78">
        <f t="shared" si="2"/>
        <v>8645054.1600000001</v>
      </c>
      <c r="G25" s="78">
        <f t="shared" si="2"/>
        <v>8971327.2599999998</v>
      </c>
      <c r="H25" s="78">
        <f t="shared" si="2"/>
        <v>8617801.8900000006</v>
      </c>
      <c r="I25" s="78">
        <f t="shared" si="2"/>
        <v>8827702.8600000013</v>
      </c>
      <c r="J25" s="78">
        <f t="shared" si="2"/>
        <v>11895685.99</v>
      </c>
      <c r="K25" s="78">
        <f t="shared" si="2"/>
        <v>8973151.8200000003</v>
      </c>
      <c r="L25" s="78">
        <f t="shared" si="2"/>
        <v>7898990.2200000007</v>
      </c>
      <c r="M25" s="78">
        <f t="shared" si="2"/>
        <v>9632077.370000001</v>
      </c>
      <c r="N25" s="78">
        <f t="shared" si="2"/>
        <v>9914760.6500000004</v>
      </c>
      <c r="O25" s="78">
        <f t="shared" si="2"/>
        <v>9599376.4199999999</v>
      </c>
      <c r="P25" s="11">
        <f>SUM(D25:O25)</f>
        <v>110707418.38000001</v>
      </c>
    </row>
    <row r="26" spans="1:17">
      <c r="B26" s="7"/>
      <c r="C26" s="25"/>
      <c r="D26" s="22"/>
      <c r="E26" s="22"/>
      <c r="F26" s="22"/>
      <c r="G26" s="22"/>
      <c r="H26" s="22"/>
      <c r="I26" s="22"/>
      <c r="J26" s="22"/>
      <c r="K26" s="22"/>
      <c r="L26" s="22"/>
      <c r="M26" s="22"/>
      <c r="N26" s="22"/>
      <c r="O26" s="22"/>
      <c r="P26" s="11"/>
    </row>
    <row r="27" spans="1:17">
      <c r="B27" s="7"/>
      <c r="C27" s="14" t="s">
        <v>32</v>
      </c>
      <c r="D27" s="27">
        <f t="shared" ref="D27:O27" si="3">+D25-D11</f>
        <v>810877.41999999993</v>
      </c>
      <c r="E27" s="27">
        <f t="shared" si="3"/>
        <v>771196.3200000003</v>
      </c>
      <c r="F27" s="27">
        <f t="shared" si="3"/>
        <v>570346.16000000015</v>
      </c>
      <c r="G27" s="27">
        <f t="shared" si="3"/>
        <v>896619.25999999978</v>
      </c>
      <c r="H27" s="27">
        <f t="shared" si="3"/>
        <v>543093.8900000006</v>
      </c>
      <c r="I27" s="27">
        <f t="shared" si="3"/>
        <v>752994.86000000127</v>
      </c>
      <c r="J27" s="27">
        <f t="shared" si="3"/>
        <v>3820977.99</v>
      </c>
      <c r="K27" s="27">
        <f t="shared" si="3"/>
        <v>898443.8200000003</v>
      </c>
      <c r="L27" s="27">
        <f t="shared" si="3"/>
        <v>-175717.77999999933</v>
      </c>
      <c r="M27" s="27">
        <f t="shared" si="3"/>
        <v>1557369.370000001</v>
      </c>
      <c r="N27" s="27">
        <f t="shared" si="3"/>
        <v>1840052.6500000004</v>
      </c>
      <c r="O27" s="27">
        <f t="shared" si="3"/>
        <v>1524668.42</v>
      </c>
      <c r="P27" s="12">
        <f>SUM(D27:O27)</f>
        <v>13810922.380000005</v>
      </c>
    </row>
    <row r="28" spans="1:17">
      <c r="A28" s="17"/>
      <c r="B28" s="17"/>
      <c r="C28" s="25" t="s">
        <v>33</v>
      </c>
      <c r="D28" s="27">
        <f>D27*1</f>
        <v>810877.41999999993</v>
      </c>
      <c r="E28" s="27">
        <f t="shared" ref="E28:O28" si="4">E27*1</f>
        <v>771196.3200000003</v>
      </c>
      <c r="F28" s="27">
        <f t="shared" si="4"/>
        <v>570346.16000000015</v>
      </c>
      <c r="G28" s="27">
        <f t="shared" si="4"/>
        <v>896619.25999999978</v>
      </c>
      <c r="H28" s="27">
        <f t="shared" si="4"/>
        <v>543093.8900000006</v>
      </c>
      <c r="I28" s="27">
        <f t="shared" si="4"/>
        <v>752994.86000000127</v>
      </c>
      <c r="J28" s="27">
        <f t="shared" si="4"/>
        <v>3820977.99</v>
      </c>
      <c r="K28" s="27">
        <f t="shared" si="4"/>
        <v>898443.8200000003</v>
      </c>
      <c r="L28" s="27">
        <f t="shared" si="4"/>
        <v>-175717.77999999933</v>
      </c>
      <c r="M28" s="27">
        <f t="shared" si="4"/>
        <v>1557369.370000001</v>
      </c>
      <c r="N28" s="27">
        <f t="shared" si="4"/>
        <v>1840052.6500000004</v>
      </c>
      <c r="O28" s="27">
        <f t="shared" si="4"/>
        <v>1524668.42</v>
      </c>
      <c r="P28" s="12">
        <f>SUM(D28:O28)</f>
        <v>13810922.380000005</v>
      </c>
      <c r="Q28" s="11"/>
    </row>
    <row r="29" spans="1:17">
      <c r="A29" s="17"/>
      <c r="B29" s="17"/>
      <c r="C29" s="25"/>
      <c r="D29" s="79"/>
      <c r="E29" s="79"/>
      <c r="F29" s="79"/>
      <c r="G29" s="79"/>
      <c r="H29" s="79"/>
      <c r="I29" s="79"/>
      <c r="J29" s="79"/>
      <c r="K29" s="79"/>
      <c r="L29" s="79"/>
      <c r="M29" s="79"/>
      <c r="N29" s="79"/>
      <c r="O29" s="79"/>
      <c r="P29" s="11"/>
    </row>
    <row r="30" spans="1:17">
      <c r="A30" s="17"/>
      <c r="B30" s="17"/>
      <c r="C30" s="14" t="s">
        <v>34</v>
      </c>
      <c r="D30" s="79">
        <v>17381.268059543643</v>
      </c>
      <c r="E30" s="79">
        <v>17381.268059543643</v>
      </c>
      <c r="F30" s="79">
        <v>17381.268059543643</v>
      </c>
      <c r="G30" s="79">
        <v>17381.268059543643</v>
      </c>
      <c r="H30" s="79">
        <v>17381.268059543643</v>
      </c>
      <c r="I30" s="79">
        <v>17381.268059543643</v>
      </c>
      <c r="J30" s="79">
        <v>33926.342302877529</v>
      </c>
      <c r="K30" s="79">
        <v>33926.342302877529</v>
      </c>
      <c r="L30" s="79">
        <v>33926.342302877529</v>
      </c>
      <c r="M30" s="79">
        <v>33926.342302877529</v>
      </c>
      <c r="N30" s="79">
        <v>33926.342302877529</v>
      </c>
      <c r="O30" s="79">
        <v>33926.342302877529</v>
      </c>
      <c r="P30" s="11">
        <f>SUM(D30:O30)</f>
        <v>307845.66217452695</v>
      </c>
    </row>
    <row r="31" spans="1:17">
      <c r="A31" s="17"/>
      <c r="B31" s="17"/>
      <c r="C31" s="25"/>
      <c r="D31" s="79"/>
      <c r="E31" s="79"/>
      <c r="F31" s="79"/>
      <c r="G31" s="79"/>
      <c r="H31" s="79"/>
      <c r="I31" s="79"/>
      <c r="J31" s="79"/>
      <c r="K31" s="79"/>
      <c r="L31" s="79"/>
      <c r="M31" s="79"/>
      <c r="N31" s="79"/>
      <c r="O31" s="79"/>
      <c r="P31" s="11"/>
    </row>
    <row r="32" spans="1:17">
      <c r="A32" s="17"/>
      <c r="B32" s="17"/>
      <c r="C32" s="14" t="s">
        <v>35</v>
      </c>
      <c r="D32" s="79">
        <v>833333.33</v>
      </c>
      <c r="E32" s="79">
        <v>833333.33</v>
      </c>
      <c r="F32" s="79">
        <v>833333.33</v>
      </c>
      <c r="G32" s="79">
        <v>833333.33</v>
      </c>
      <c r="H32" s="79">
        <v>833333.33</v>
      </c>
      <c r="I32" s="79">
        <v>833333.33</v>
      </c>
      <c r="J32" s="79">
        <v>833333.33</v>
      </c>
      <c r="K32" s="79">
        <v>833333.33</v>
      </c>
      <c r="L32" s="79">
        <v>833333.33</v>
      </c>
      <c r="M32" s="79">
        <v>833333.33</v>
      </c>
      <c r="N32" s="79">
        <v>833333.33</v>
      </c>
      <c r="O32" s="79">
        <v>833333.33</v>
      </c>
      <c r="P32" s="11">
        <f>SUM(D32:O32)</f>
        <v>9999999.959999999</v>
      </c>
    </row>
    <row r="33" spans="1:16">
      <c r="A33" s="17"/>
      <c r="B33" s="17"/>
      <c r="C33" s="14"/>
      <c r="D33" s="79"/>
      <c r="E33" s="79"/>
      <c r="F33" s="79"/>
      <c r="G33" s="79"/>
      <c r="H33" s="79"/>
      <c r="I33" s="79"/>
      <c r="J33" s="79"/>
      <c r="K33" s="79"/>
      <c r="L33" s="79"/>
      <c r="M33" s="79"/>
      <c r="N33" s="79"/>
      <c r="O33" s="79"/>
      <c r="P33" s="11"/>
    </row>
    <row r="34" spans="1:16">
      <c r="A34" s="17"/>
      <c r="B34" s="17"/>
      <c r="C34" s="14" t="s">
        <v>65</v>
      </c>
      <c r="D34" s="79">
        <v>0</v>
      </c>
      <c r="E34" s="79">
        <v>0</v>
      </c>
      <c r="F34" s="79">
        <v>0</v>
      </c>
      <c r="G34" s="79">
        <v>54175.82</v>
      </c>
      <c r="H34" s="79">
        <v>54175.82</v>
      </c>
      <c r="I34" s="79">
        <v>54175.82</v>
      </c>
      <c r="J34" s="79">
        <v>54175.82</v>
      </c>
      <c r="K34" s="79">
        <v>54175.82</v>
      </c>
      <c r="L34" s="79">
        <v>54175.82</v>
      </c>
      <c r="M34" s="79">
        <v>54175.82</v>
      </c>
      <c r="N34" s="79">
        <v>54175.82</v>
      </c>
      <c r="O34" s="79">
        <v>54175.82</v>
      </c>
      <c r="P34" s="11">
        <f>SUM(D34:O34)</f>
        <v>487582.38</v>
      </c>
    </row>
    <row r="35" spans="1:16">
      <c r="A35" s="17"/>
      <c r="B35" s="17"/>
      <c r="C35" s="14"/>
      <c r="D35" s="79"/>
      <c r="E35" s="79"/>
      <c r="F35" s="79"/>
      <c r="G35" s="79"/>
      <c r="H35" s="79"/>
      <c r="I35" s="79"/>
      <c r="J35" s="79"/>
      <c r="K35" s="79"/>
      <c r="L35" s="79"/>
      <c r="M35" s="79"/>
      <c r="N35" s="79"/>
      <c r="O35" s="79"/>
    </row>
    <row r="36" spans="1:16">
      <c r="A36" s="17"/>
      <c r="B36" s="17"/>
      <c r="C36" s="14" t="s">
        <v>36</v>
      </c>
      <c r="D36" s="27">
        <f>'[6]PPA Form 5.0'!D61</f>
        <v>105767.06084981</v>
      </c>
      <c r="E36" s="27">
        <f>$D$36</f>
        <v>105767.06084981</v>
      </c>
      <c r="F36" s="27">
        <f t="shared" ref="F36:I36" si="5">$D$36</f>
        <v>105767.06084981</v>
      </c>
      <c r="G36" s="27">
        <f t="shared" si="5"/>
        <v>105767.06084981</v>
      </c>
      <c r="H36" s="27">
        <f t="shared" si="5"/>
        <v>105767.06084981</v>
      </c>
      <c r="I36" s="27">
        <f t="shared" si="5"/>
        <v>105767.06084981</v>
      </c>
      <c r="J36" s="27">
        <v>105767</v>
      </c>
      <c r="K36" s="27">
        <v>105767</v>
      </c>
      <c r="L36" s="27">
        <f>K36</f>
        <v>105767</v>
      </c>
      <c r="M36" s="27">
        <f>L36</f>
        <v>105767</v>
      </c>
      <c r="N36" s="27">
        <f>M36</f>
        <v>105767</v>
      </c>
      <c r="O36" s="27">
        <f>N36</f>
        <v>105767</v>
      </c>
      <c r="P36" s="11">
        <f>SUM(D36:O36)</f>
        <v>1269204.3650988601</v>
      </c>
    </row>
    <row r="37" spans="1:16">
      <c r="A37" s="17"/>
      <c r="B37" s="17"/>
      <c r="C37" s="25"/>
      <c r="D37" s="79"/>
      <c r="E37" s="79"/>
      <c r="F37" s="79"/>
      <c r="G37" s="79"/>
      <c r="H37" s="79"/>
      <c r="I37" s="79"/>
      <c r="J37" s="79"/>
      <c r="K37" s="79"/>
      <c r="L37" s="79"/>
      <c r="M37" s="79"/>
      <c r="N37" s="79"/>
      <c r="O37" s="79"/>
    </row>
    <row r="38" spans="1:16">
      <c r="B38" s="7"/>
      <c r="C38" s="25" t="s">
        <v>37</v>
      </c>
      <c r="D38" s="80">
        <v>189664.23</v>
      </c>
      <c r="E38" s="80">
        <v>54707.25</v>
      </c>
      <c r="F38" s="80">
        <v>947412.1</v>
      </c>
      <c r="G38" s="80">
        <v>1034543.13</v>
      </c>
      <c r="H38" s="80">
        <v>395806.86</v>
      </c>
      <c r="I38" s="80">
        <v>755729.37</v>
      </c>
      <c r="J38" s="80">
        <v>774443.2</v>
      </c>
      <c r="K38" s="80">
        <v>37245.32</v>
      </c>
      <c r="L38" s="79">
        <v>1471362.47</v>
      </c>
      <c r="M38" s="80">
        <v>89868.52</v>
      </c>
      <c r="N38" s="80">
        <v>426653.57</v>
      </c>
      <c r="O38" s="80">
        <v>94990.399999999994</v>
      </c>
    </row>
    <row r="39" spans="1:16">
      <c r="B39" s="7"/>
      <c r="C39" s="25" t="s">
        <v>38</v>
      </c>
      <c r="D39" s="80">
        <v>-255254.92</v>
      </c>
      <c r="E39" s="80">
        <v>-189664.23</v>
      </c>
      <c r="F39" s="80">
        <v>-54707.25</v>
      </c>
      <c r="G39" s="80">
        <v>-947412.1</v>
      </c>
      <c r="H39" s="80">
        <v>-1034543.13</v>
      </c>
      <c r="I39" s="80">
        <v>-395806.86</v>
      </c>
      <c r="J39" s="80">
        <v>-755729.37</v>
      </c>
      <c r="K39" s="80">
        <v>-774443.2</v>
      </c>
      <c r="L39" s="80">
        <v>-37245.32</v>
      </c>
      <c r="M39" s="80">
        <v>-1471362.47</v>
      </c>
      <c r="N39" s="80">
        <v>-89868.52</v>
      </c>
      <c r="O39" s="80">
        <v>-426653.57</v>
      </c>
    </row>
    <row r="40" spans="1:16">
      <c r="B40" s="7"/>
      <c r="C40" s="2" t="s">
        <v>39</v>
      </c>
      <c r="D40" s="81">
        <v>254979.79</v>
      </c>
      <c r="E40" s="81">
        <v>189598.37</v>
      </c>
      <c r="F40" s="81">
        <v>54694.68</v>
      </c>
      <c r="G40" s="81">
        <v>948940.16</v>
      </c>
      <c r="H40" s="81">
        <v>1035226.84</v>
      </c>
      <c r="I40" s="81">
        <v>394853.62</v>
      </c>
      <c r="J40" s="81">
        <v>806745.98</v>
      </c>
      <c r="K40" s="81">
        <v>772449.64</v>
      </c>
      <c r="L40" s="81">
        <v>37259.160000000003</v>
      </c>
      <c r="M40" s="81">
        <v>1472747.51</v>
      </c>
      <c r="N40" s="81">
        <v>89931.71</v>
      </c>
      <c r="O40" s="81">
        <v>427568.92</v>
      </c>
    </row>
    <row r="41" spans="1:16">
      <c r="B41" s="7"/>
      <c r="C41" s="2" t="s">
        <v>40</v>
      </c>
      <c r="D41" s="80">
        <f>SUM(D38:D40)</f>
        <v>189389.1</v>
      </c>
      <c r="E41" s="80">
        <f t="shared" ref="E41:O41" si="6">SUM(E38:E40)</f>
        <v>54641.389999999985</v>
      </c>
      <c r="F41" s="80">
        <f t="shared" si="6"/>
        <v>947399.53</v>
      </c>
      <c r="G41" s="80">
        <f t="shared" si="6"/>
        <v>1036071.1900000001</v>
      </c>
      <c r="H41" s="80">
        <f t="shared" si="6"/>
        <v>396490.56999999995</v>
      </c>
      <c r="I41" s="80">
        <f t="shared" si="6"/>
        <v>754776.13</v>
      </c>
      <c r="J41" s="80">
        <f t="shared" si="6"/>
        <v>825459.80999999994</v>
      </c>
      <c r="K41" s="80">
        <f t="shared" si="6"/>
        <v>35251.760000000009</v>
      </c>
      <c r="L41" s="80">
        <f t="shared" si="6"/>
        <v>1471376.3099999998</v>
      </c>
      <c r="M41" s="80">
        <f t="shared" si="6"/>
        <v>91253.560000000056</v>
      </c>
      <c r="N41" s="80">
        <f t="shared" si="6"/>
        <v>426716.76</v>
      </c>
      <c r="O41" s="80">
        <f t="shared" si="6"/>
        <v>95905.749999999942</v>
      </c>
      <c r="P41" s="11">
        <f>SUM(D41:O41)</f>
        <v>6324731.8599999994</v>
      </c>
    </row>
    <row r="42" spans="1:16">
      <c r="D42" s="79"/>
      <c r="E42" s="79"/>
      <c r="F42" s="79"/>
      <c r="G42" s="79"/>
      <c r="H42" s="79"/>
      <c r="I42" s="79"/>
      <c r="J42" s="79"/>
      <c r="K42" s="79"/>
      <c r="L42" s="79"/>
      <c r="M42" s="79"/>
      <c r="N42" s="79"/>
      <c r="O42" s="79"/>
    </row>
    <row r="43" spans="1:16">
      <c r="C43" s="2" t="s">
        <v>41</v>
      </c>
      <c r="D43" s="79">
        <f>D41-D36</f>
        <v>83622.039150190001</v>
      </c>
      <c r="E43" s="79">
        <f t="shared" ref="E43:N43" si="7">E41-E36</f>
        <v>-51125.67084981002</v>
      </c>
      <c r="F43" s="79">
        <f t="shared" si="7"/>
        <v>841632.46915019001</v>
      </c>
      <c r="G43" s="79">
        <f>G41-G36</f>
        <v>930304.12915019004</v>
      </c>
      <c r="H43" s="79">
        <f t="shared" si="7"/>
        <v>290723.50915018993</v>
      </c>
      <c r="I43" s="79">
        <f t="shared" si="7"/>
        <v>649009.06915018999</v>
      </c>
      <c r="J43" s="79">
        <f t="shared" si="7"/>
        <v>719692.80999999994</v>
      </c>
      <c r="K43" s="79">
        <f t="shared" si="7"/>
        <v>-70515.239999999991</v>
      </c>
      <c r="L43" s="79">
        <f t="shared" si="7"/>
        <v>1365609.3099999998</v>
      </c>
      <c r="M43" s="79">
        <f t="shared" si="7"/>
        <v>-14513.439999999944</v>
      </c>
      <c r="N43" s="79">
        <f t="shared" si="7"/>
        <v>320949.76000000001</v>
      </c>
      <c r="O43" s="79">
        <f>O41-O36</f>
        <v>-9861.2500000000582</v>
      </c>
      <c r="P43" s="11">
        <f>SUM(D43:O43)</f>
        <v>5055527.4949011393</v>
      </c>
    </row>
    <row r="44" spans="1:16">
      <c r="D44" s="79"/>
      <c r="E44" s="79"/>
      <c r="F44" s="79"/>
      <c r="G44" s="79"/>
      <c r="H44" s="79"/>
      <c r="I44" s="79"/>
      <c r="J44" s="79"/>
      <c r="K44" s="79"/>
      <c r="L44" s="79"/>
      <c r="M44" s="79"/>
      <c r="N44" s="79"/>
      <c r="O44" s="79"/>
      <c r="P44" s="29"/>
    </row>
    <row r="45" spans="1:16" ht="13.5" thickBot="1">
      <c r="A45" s="17"/>
      <c r="B45" s="17"/>
      <c r="C45" s="14" t="s">
        <v>42</v>
      </c>
      <c r="D45" s="82">
        <f>(D28-D30)+D43+D34</f>
        <v>877118.1910906462</v>
      </c>
      <c r="E45" s="82">
        <f t="shared" ref="E45:O45" si="8">(E28-E30)+E43+E34</f>
        <v>702689.38109064661</v>
      </c>
      <c r="F45" s="82">
        <f t="shared" si="8"/>
        <v>1394597.3610906466</v>
      </c>
      <c r="G45" s="82">
        <f t="shared" si="8"/>
        <v>1863717.9410906462</v>
      </c>
      <c r="H45" s="82">
        <f t="shared" si="8"/>
        <v>870611.95109064679</v>
      </c>
      <c r="I45" s="82">
        <f t="shared" si="8"/>
        <v>1438798.4810906476</v>
      </c>
      <c r="J45" s="82">
        <f t="shared" si="8"/>
        <v>4560920.2776971227</v>
      </c>
      <c r="K45" s="82">
        <f t="shared" si="8"/>
        <v>848178.05769712268</v>
      </c>
      <c r="L45" s="82">
        <f t="shared" si="8"/>
        <v>1210141.0076971231</v>
      </c>
      <c r="M45" s="82">
        <f t="shared" si="8"/>
        <v>1563105.4076971237</v>
      </c>
      <c r="N45" s="82">
        <f t="shared" si="8"/>
        <v>2181251.8876971225</v>
      </c>
      <c r="O45" s="82">
        <f t="shared" si="8"/>
        <v>1535056.6476971225</v>
      </c>
      <c r="P45" s="11">
        <f>SUM(D45:O45)</f>
        <v>19046186.592726614</v>
      </c>
    </row>
    <row r="46" spans="1:16" ht="13.5" thickTop="1">
      <c r="A46" s="17"/>
      <c r="B46" s="17"/>
      <c r="C46" s="14"/>
      <c r="D46" s="79"/>
      <c r="E46" s="79"/>
      <c r="F46" s="79"/>
      <c r="G46" s="79"/>
      <c r="H46" s="79"/>
      <c r="I46" s="79"/>
      <c r="J46" s="79"/>
      <c r="K46" s="79"/>
      <c r="L46" s="79"/>
      <c r="M46" s="79"/>
      <c r="N46" s="79"/>
      <c r="O46" s="79"/>
    </row>
    <row r="47" spans="1:16">
      <c r="A47" s="17"/>
      <c r="B47" s="17"/>
      <c r="C47" s="17" t="s">
        <v>43</v>
      </c>
      <c r="D47" s="79">
        <f t="shared" ref="D47:O47" si="9">D45-D9</f>
        <v>-282739.22211429151</v>
      </c>
      <c r="E47" s="79">
        <f t="shared" si="9"/>
        <v>-760752.48314826027</v>
      </c>
      <c r="F47" s="79">
        <f t="shared" si="9"/>
        <v>652964.31781345536</v>
      </c>
      <c r="G47" s="79">
        <f t="shared" si="9"/>
        <v>299826.3781191248</v>
      </c>
      <c r="H47" s="79">
        <f t="shared" si="9"/>
        <v>-1065864.9237359436</v>
      </c>
      <c r="I47" s="79">
        <f t="shared" si="9"/>
        <v>-907675.6910984097</v>
      </c>
      <c r="J47" s="79">
        <f t="shared" si="9"/>
        <v>2172292.3030418823</v>
      </c>
      <c r="K47" s="79">
        <f t="shared" si="9"/>
        <v>-1171075.5253202133</v>
      </c>
      <c r="L47" s="79">
        <f t="shared" si="9"/>
        <v>-661850.39037656691</v>
      </c>
      <c r="M47" s="79">
        <f t="shared" si="9"/>
        <v>-109970.4716686036</v>
      </c>
      <c r="N47" s="79">
        <f t="shared" si="9"/>
        <v>-186337.04849343328</v>
      </c>
      <c r="O47" s="79">
        <f t="shared" si="9"/>
        <v>238149.81396989455</v>
      </c>
      <c r="P47" s="11">
        <f>SUM(D47:O47)</f>
        <v>-1783032.9430113651</v>
      </c>
    </row>
    <row r="48" spans="1:16">
      <c r="D48" s="79"/>
      <c r="E48" s="79"/>
      <c r="F48" s="79"/>
      <c r="G48" s="79"/>
      <c r="H48" s="79"/>
      <c r="I48" s="79"/>
      <c r="J48" s="79"/>
      <c r="K48" s="79"/>
      <c r="L48" s="79"/>
      <c r="M48" s="79"/>
      <c r="N48" s="79"/>
      <c r="O48" s="79"/>
    </row>
    <row r="49" spans="1:17">
      <c r="A49" s="17"/>
      <c r="B49" s="17"/>
      <c r="C49" s="14"/>
      <c r="D49" s="79"/>
      <c r="E49" s="79"/>
      <c r="F49" s="79"/>
      <c r="G49" s="79"/>
      <c r="H49" s="79"/>
      <c r="I49" s="79"/>
      <c r="J49" s="79"/>
      <c r="K49" s="79"/>
      <c r="L49" s="79"/>
      <c r="M49" s="79"/>
      <c r="N49" s="79"/>
      <c r="O49" s="79"/>
    </row>
    <row r="50" spans="1:17">
      <c r="A50" s="31"/>
      <c r="B50" s="32"/>
      <c r="C50" s="33" t="s">
        <v>44</v>
      </c>
      <c r="D50" s="83">
        <f>D47+D32+25791336.57</f>
        <v>26341930.677885707</v>
      </c>
      <c r="E50" s="83">
        <f>D50+E32+E47</f>
        <v>26414511.524737444</v>
      </c>
      <c r="F50" s="83">
        <f t="shared" ref="F50:N50" si="10">+F47+E50+F32</f>
        <v>27900809.172550898</v>
      </c>
      <c r="G50" s="83">
        <f t="shared" si="10"/>
        <v>29033968.880670022</v>
      </c>
      <c r="H50" s="83">
        <f t="shared" si="10"/>
        <v>28801437.286934078</v>
      </c>
      <c r="I50" s="83">
        <f t="shared" si="10"/>
        <v>28727094.925835665</v>
      </c>
      <c r="J50" s="83">
        <f t="shared" si="10"/>
        <v>31732720.558877546</v>
      </c>
      <c r="K50" s="83">
        <f t="shared" si="10"/>
        <v>31394978.363557331</v>
      </c>
      <c r="L50" s="83">
        <f t="shared" si="10"/>
        <v>31566461.303180762</v>
      </c>
      <c r="M50" s="83">
        <f t="shared" si="10"/>
        <v>32289824.161512155</v>
      </c>
      <c r="N50" s="83">
        <f t="shared" si="10"/>
        <v>32936820.44301872</v>
      </c>
      <c r="O50" s="83">
        <f>+O47+N50+O32</f>
        <v>34008303.586988613</v>
      </c>
      <c r="P50" s="29">
        <f>P28-P30-P36+P41+P32+P34</f>
        <v>29046186.552726615</v>
      </c>
      <c r="Q50" s="2" t="s">
        <v>45</v>
      </c>
    </row>
    <row r="51" spans="1:17">
      <c r="A51" s="34"/>
      <c r="C51" s="4"/>
      <c r="D51" s="10"/>
      <c r="E51" s="10"/>
      <c r="F51" s="10"/>
      <c r="G51" s="10"/>
      <c r="H51" s="10"/>
      <c r="I51" s="10"/>
      <c r="J51" s="10"/>
      <c r="K51" s="10"/>
      <c r="L51" s="16"/>
      <c r="O51" s="35"/>
    </row>
    <row r="52" spans="1:17">
      <c r="A52" s="34"/>
      <c r="C52" s="4"/>
      <c r="D52" s="10"/>
      <c r="E52" s="10"/>
      <c r="F52" s="10"/>
      <c r="G52" s="10"/>
      <c r="H52" s="10"/>
      <c r="I52" s="10"/>
      <c r="J52" s="10"/>
      <c r="K52" s="10"/>
      <c r="L52" s="16"/>
      <c r="O52" s="79">
        <v>34008303.950000003</v>
      </c>
      <c r="P52" s="2" t="s">
        <v>46</v>
      </c>
    </row>
    <row r="54" spans="1:17">
      <c r="O54" s="29"/>
    </row>
    <row r="57" spans="1:17">
      <c r="O57" s="36"/>
    </row>
    <row r="67" spans="4:15">
      <c r="D67" s="16"/>
      <c r="E67" s="16"/>
      <c r="F67" s="16"/>
      <c r="G67" s="16"/>
      <c r="H67" s="16"/>
      <c r="I67" s="16"/>
      <c r="J67" s="16"/>
      <c r="K67" s="16"/>
      <c r="L67" s="16"/>
      <c r="M67" s="16"/>
      <c r="N67" s="16"/>
      <c r="O67" s="16"/>
    </row>
    <row r="68" spans="4:15">
      <c r="D68" s="4"/>
      <c r="E68" s="4"/>
      <c r="F68" s="4"/>
      <c r="G68" s="4"/>
      <c r="H68" s="4"/>
      <c r="I68" s="4"/>
      <c r="J68" s="4"/>
      <c r="K68" s="4"/>
      <c r="L68" s="4"/>
      <c r="M68" s="4"/>
      <c r="N68" s="4"/>
      <c r="O68" s="4"/>
    </row>
  </sheetData>
  <pageMargins left="0.7" right="0.7" top="0.75" bottom="0.75" header="0.3" footer="0.3"/>
  <pageSetup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Summary</vt:lpstr>
      <vt:lpstr>PPA Form 3.0a - Jan18-June18</vt:lpstr>
      <vt:lpstr>PPA Form 3.0a - July18-June19</vt:lpstr>
      <vt:lpstr>PPA Form 3.0a - July19-June20</vt:lpstr>
      <vt:lpstr>PPA Form 3.0a - July20-June21</vt:lpstr>
      <vt:lpstr>PPA Form 3.0a - July21-June22</vt:lpstr>
      <vt:lpstr>'PPA Form 3.0a - Jan18-June18'!Print_Area</vt:lpstr>
      <vt:lpstr>'PPA Form 3.0a - July18-June19'!Print_Area</vt:lpstr>
      <vt:lpstr>'PPA Form 3.0a - July19-June20'!Print_Area</vt:lpstr>
      <vt:lpstr>'PPA Form 3.0a - July20-June21'!Print_Area</vt:lpstr>
      <vt:lpstr>'PPA Form 3.0a - July21-June22'!Print_Area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s213167</dc:creator>
  <cp:lastModifiedBy>s213167</cp:lastModifiedBy>
  <cp:lastPrinted>2022-09-29T19:27:04Z</cp:lastPrinted>
  <dcterms:created xsi:type="dcterms:W3CDTF">2022-09-29T11:45:26Z</dcterms:created>
  <dcterms:modified xsi:type="dcterms:W3CDTF">2022-09-29T21:14:22Z</dcterms:modified>
</cp:coreProperties>
</file>