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chael.west\Documents\Matters\Case related\2022-00283 Ky Power Rockport\"/>
    </mc:Choice>
  </mc:AlternateContent>
  <bookViews>
    <workbookView xWindow="0" yWindow="0" windowWidth="19200" windowHeight="7050"/>
  </bookViews>
  <sheets>
    <sheet name="Tables for Testimony" sheetId="15" r:id="rId1"/>
    <sheet name="Net Impact" sheetId="1" r:id="rId2"/>
    <sheet name="CC" sheetId="9" r:id="rId3"/>
    <sheet name="ES" sheetId="7" r:id="rId4"/>
    <sheet name="FAC" sheetId="12" r:id="rId5"/>
    <sheet name="Errata BKWEx2" sheetId="11" r:id="rId6"/>
    <sheet name="BKWEx4" sheetId="6" r:id="rId7"/>
    <sheet name="Replacement Capacity" sheetId="13" r:id="rId8"/>
  </sheets>
  <externalReferences>
    <externalReference r:id="rId9"/>
  </externalReferences>
  <definedNames>
    <definedName name="Katy" localSheetId="5">#REF!</definedName>
    <definedName name="Katy" localSheetId="0">#REF!</definedName>
    <definedName name="Katy">#REF!</definedName>
    <definedName name="Marshall_Rate">'[1]Property Tax'!$B$2</definedName>
    <definedName name="PC_Percent">'[1]Property Tax'!$B$6</definedName>
    <definedName name="_xlnm.Print_Area" localSheetId="5">'Errata BKWEx2'!$A$2:$L$134</definedName>
    <definedName name="_xlnm.Print_Titles" localSheetId="5">'Errata BKWEx2'!$2:$9</definedName>
    <definedName name="tim" localSheetId="5">#REF!</definedName>
    <definedName name="tim" localSheetId="0">#REF!</definedName>
    <definedName name="tim">#REF!</definedName>
    <definedName name="WV_List">'[1]Property Tax'!$B$4</definedName>
    <definedName name="Z_0BD4BC22_E7A2_4140_8384_5A5B3339DEED_.wvu.PrintArea" localSheetId="5" hidden="1">'Errata BKWEx2'!$A$2:$L$134</definedName>
    <definedName name="Z_0BD4BC22_E7A2_4140_8384_5A5B3339DEED_.wvu.PrintTitles" localSheetId="5" hidden="1">'Errata BKWEx2'!$2:$9</definedName>
    <definedName name="Z_4EF176FC_448F_4BD8_8859_C810312E84E7_.wvu.PrintArea" localSheetId="5" hidden="1">'Errata BKWEx2'!$A$2:$L$134</definedName>
    <definedName name="Z_4EF176FC_448F_4BD8_8859_C810312E84E7_.wvu.PrintTitles" localSheetId="5" hidden="1">'Errata BKWEx2'!$2:$9</definedName>
    <definedName name="Z_4EF176FC_448F_4BD8_8859_C810312E84E7_.wvu.Rows" localSheetId="5" hidden="1">'Errata BKWEx2'!$81:$132</definedName>
    <definedName name="Z_567BA860_460A_4CE0_A629_0EA7372574F1_.wvu.PrintArea" localSheetId="5" hidden="1">'Errata BKWEx2'!$A$2:$L$134</definedName>
    <definedName name="Z_567BA860_460A_4CE0_A629_0EA7372574F1_.wvu.PrintTitles" localSheetId="5" hidden="1">'Errata BKWEx2'!$2:$9</definedName>
    <definedName name="Z_567BA860_460A_4CE0_A629_0EA7372574F1_.wvu.Rows" localSheetId="5" hidden="1">'Errata BKWEx2'!$81:$132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4" i="15" l="1"/>
  <c r="C8" i="15"/>
  <c r="C32" i="15"/>
  <c r="C33" i="15"/>
  <c r="C34" i="15"/>
  <c r="C36" i="15"/>
  <c r="C9" i="15"/>
  <c r="C10" i="15"/>
  <c r="C11" i="15"/>
  <c r="C12" i="15"/>
  <c r="C13" i="15"/>
  <c r="D9" i="15"/>
  <c r="D10" i="15"/>
  <c r="D11" i="15"/>
  <c r="E12" i="15"/>
  <c r="D13" i="15"/>
  <c r="E13" i="15"/>
  <c r="D36" i="15"/>
  <c r="E35" i="15"/>
  <c r="AY17" i="7" l="1"/>
  <c r="AE4" i="1" l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E33" i="15" s="1"/>
  <c r="N4" i="1"/>
  <c r="M4" i="1"/>
  <c r="L4" i="1"/>
  <c r="K4" i="1"/>
  <c r="J4" i="1"/>
  <c r="I4" i="1"/>
  <c r="H4" i="1"/>
  <c r="G4" i="1"/>
  <c r="F4" i="1"/>
  <c r="E4" i="1"/>
  <c r="D4" i="1"/>
  <c r="C4" i="1"/>
  <c r="AB8" i="1"/>
  <c r="X8" i="1"/>
  <c r="T8" i="1"/>
  <c r="P8" i="1"/>
  <c r="L8" i="1"/>
  <c r="H8" i="1"/>
  <c r="D8" i="1"/>
  <c r="AD6" i="13"/>
  <c r="AE8" i="1" s="1"/>
  <c r="AC6" i="13"/>
  <c r="AD8" i="1" s="1"/>
  <c r="AB6" i="13"/>
  <c r="AC8" i="1" s="1"/>
  <c r="AA6" i="13"/>
  <c r="Z6" i="13"/>
  <c r="AA8" i="1" s="1"/>
  <c r="Y6" i="13"/>
  <c r="Z8" i="1" s="1"/>
  <c r="X6" i="13"/>
  <c r="Y8" i="1" s="1"/>
  <c r="W6" i="13"/>
  <c r="V6" i="13"/>
  <c r="W8" i="1" s="1"/>
  <c r="U6" i="13"/>
  <c r="V8" i="1" s="1"/>
  <c r="T6" i="13"/>
  <c r="U8" i="1" s="1"/>
  <c r="S6" i="13"/>
  <c r="R6" i="13"/>
  <c r="S8" i="1" s="1"/>
  <c r="Q6" i="13"/>
  <c r="R8" i="1" s="1"/>
  <c r="P6" i="13"/>
  <c r="Q8" i="1" s="1"/>
  <c r="O6" i="13"/>
  <c r="N6" i="13"/>
  <c r="O8" i="1" s="1"/>
  <c r="M6" i="13"/>
  <c r="L6" i="13"/>
  <c r="K6" i="13"/>
  <c r="J6" i="13"/>
  <c r="I6" i="13"/>
  <c r="H6" i="13"/>
  <c r="G6" i="13"/>
  <c r="F6" i="13"/>
  <c r="E6" i="13"/>
  <c r="D6" i="13"/>
  <c r="C6" i="13"/>
  <c r="B6" i="13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B10" i="1" s="1"/>
  <c r="E10" i="1"/>
  <c r="D10" i="1"/>
  <c r="C10" i="1"/>
  <c r="Y5" i="12"/>
  <c r="AK5" i="12" s="1"/>
  <c r="T11" i="1" s="1"/>
  <c r="X5" i="12"/>
  <c r="AJ5" i="12" s="1"/>
  <c r="AV5" i="12" s="1"/>
  <c r="AE11" i="1" s="1"/>
  <c r="W5" i="12"/>
  <c r="AI5" i="12" s="1"/>
  <c r="AU5" i="12" s="1"/>
  <c r="AD11" i="1" s="1"/>
  <c r="V5" i="12"/>
  <c r="AH5" i="12" s="1"/>
  <c r="AT5" i="12" s="1"/>
  <c r="AC11" i="1" s="1"/>
  <c r="U5" i="12"/>
  <c r="AG5" i="12" s="1"/>
  <c r="AS5" i="12" s="1"/>
  <c r="AB11" i="1" s="1"/>
  <c r="T5" i="12"/>
  <c r="AF5" i="12" s="1"/>
  <c r="AR5" i="12" s="1"/>
  <c r="AA11" i="1" s="1"/>
  <c r="S5" i="12"/>
  <c r="AE5" i="12" s="1"/>
  <c r="AQ5" i="12" s="1"/>
  <c r="Z11" i="1" s="1"/>
  <c r="R5" i="12"/>
  <c r="AD5" i="12" s="1"/>
  <c r="AP5" i="12" s="1"/>
  <c r="Y11" i="1" s="1"/>
  <c r="Q5" i="12"/>
  <c r="AC5" i="12" s="1"/>
  <c r="AO5" i="12" s="1"/>
  <c r="X11" i="1" s="1"/>
  <c r="P5" i="12"/>
  <c r="AB5" i="12" s="1"/>
  <c r="AN5" i="12" s="1"/>
  <c r="W11" i="1" s="1"/>
  <c r="O5" i="12"/>
  <c r="AA5" i="12" s="1"/>
  <c r="AM5" i="12" s="1"/>
  <c r="V11" i="1" s="1"/>
  <c r="N5" i="12"/>
  <c r="Z5" i="12" s="1"/>
  <c r="AL5" i="12" s="1"/>
  <c r="U11" i="1" s="1"/>
  <c r="B4" i="1"/>
  <c r="AW14" i="7"/>
  <c r="AV14" i="7"/>
  <c r="AU14" i="7"/>
  <c r="AT14" i="7"/>
  <c r="AT17" i="7" s="1"/>
  <c r="AS14" i="7"/>
  <c r="AW17" i="7"/>
  <c r="AV17" i="7"/>
  <c r="AU17" i="7"/>
  <c r="AS17" i="7"/>
  <c r="AR14" i="7"/>
  <c r="AQ14" i="7"/>
  <c r="AP14" i="7"/>
  <c r="AO14" i="7"/>
  <c r="AN14" i="7"/>
  <c r="AM14" i="7"/>
  <c r="AL14" i="7"/>
  <c r="AK14" i="7"/>
  <c r="AJ14" i="7"/>
  <c r="AI14" i="7"/>
  <c r="AH14" i="7"/>
  <c r="AG14" i="7"/>
  <c r="AR17" i="7"/>
  <c r="AQ17" i="7"/>
  <c r="AP17" i="7"/>
  <c r="AO17" i="7"/>
  <c r="AN17" i="7"/>
  <c r="AM17" i="7"/>
  <c r="AL17" i="7"/>
  <c r="AK17" i="7"/>
  <c r="AJ17" i="7"/>
  <c r="AI17" i="7"/>
  <c r="AH17" i="7"/>
  <c r="AG17" i="7"/>
  <c r="D2" i="11"/>
  <c r="D3" i="11" s="1"/>
  <c r="D4" i="11"/>
  <c r="P5" i="11"/>
  <c r="T5" i="11"/>
  <c r="P6" i="11"/>
  <c r="T6" i="11"/>
  <c r="I10" i="11"/>
  <c r="C11" i="11"/>
  <c r="E11" i="11" s="1"/>
  <c r="G11" i="11" s="1"/>
  <c r="H11" i="11" s="1"/>
  <c r="C12" i="11"/>
  <c r="E12" i="11" s="1"/>
  <c r="C23" i="11"/>
  <c r="E23" i="11" s="1"/>
  <c r="C35" i="11"/>
  <c r="E35" i="11" s="1"/>
  <c r="C48" i="11"/>
  <c r="E48" i="11" s="1"/>
  <c r="G48" i="11" s="1"/>
  <c r="D72" i="11"/>
  <c r="E72" i="11"/>
  <c r="D73" i="11"/>
  <c r="D74" i="11"/>
  <c r="E74" i="11" s="1"/>
  <c r="D75" i="11"/>
  <c r="E75" i="11"/>
  <c r="D76" i="11"/>
  <c r="E76" i="11" s="1"/>
  <c r="D77" i="11"/>
  <c r="E77" i="11" s="1"/>
  <c r="D78" i="11"/>
  <c r="E78" i="11" s="1"/>
  <c r="D79" i="11"/>
  <c r="E79" i="11" s="1"/>
  <c r="D80" i="11"/>
  <c r="E80" i="11" s="1"/>
  <c r="D81" i="11"/>
  <c r="E81" i="11" s="1"/>
  <c r="D82" i="11"/>
  <c r="E82" i="11" s="1"/>
  <c r="D83" i="11"/>
  <c r="E83" i="11" s="1"/>
  <c r="D84" i="11"/>
  <c r="E84" i="11" s="1"/>
  <c r="D85" i="11"/>
  <c r="E85" i="11" s="1"/>
  <c r="D86" i="11"/>
  <c r="E86" i="11" s="1"/>
  <c r="D87" i="11"/>
  <c r="E87" i="11" s="1"/>
  <c r="D88" i="11"/>
  <c r="E88" i="11"/>
  <c r="D89" i="11"/>
  <c r="E89" i="11" s="1"/>
  <c r="D90" i="11"/>
  <c r="E90" i="11" s="1"/>
  <c r="D91" i="11"/>
  <c r="E91" i="11" s="1"/>
  <c r="D92" i="11"/>
  <c r="E92" i="11" s="1"/>
  <c r="D93" i="11"/>
  <c r="E93" i="11" s="1"/>
  <c r="D94" i="11"/>
  <c r="E94" i="11"/>
  <c r="D95" i="11"/>
  <c r="E95" i="11" s="1"/>
  <c r="D96" i="11"/>
  <c r="E96" i="11" s="1"/>
  <c r="D97" i="11"/>
  <c r="E97" i="11" s="1"/>
  <c r="D98" i="11"/>
  <c r="E98" i="11" s="1"/>
  <c r="D99" i="11"/>
  <c r="E99" i="11" s="1"/>
  <c r="D100" i="11"/>
  <c r="E100" i="11" s="1"/>
  <c r="D101" i="11"/>
  <c r="D102" i="11"/>
  <c r="E102" i="11" s="1"/>
  <c r="D103" i="11"/>
  <c r="E103" i="11" s="1"/>
  <c r="D104" i="11"/>
  <c r="E104" i="11"/>
  <c r="D105" i="11"/>
  <c r="E105" i="11" s="1"/>
  <c r="D106" i="11"/>
  <c r="E106" i="11"/>
  <c r="D107" i="11"/>
  <c r="E107" i="11" s="1"/>
  <c r="D108" i="11"/>
  <c r="E108" i="11" s="1"/>
  <c r="D109" i="11"/>
  <c r="E109" i="11" s="1"/>
  <c r="D110" i="11"/>
  <c r="E110" i="11" s="1"/>
  <c r="D111" i="11"/>
  <c r="E111" i="11" s="1"/>
  <c r="D112" i="11"/>
  <c r="E112" i="11" s="1"/>
  <c r="D113" i="11"/>
  <c r="E113" i="11" s="1"/>
  <c r="D114" i="11"/>
  <c r="E114" i="11" s="1"/>
  <c r="D115" i="11"/>
  <c r="E115" i="11" s="1"/>
  <c r="D116" i="11"/>
  <c r="E116" i="11" s="1"/>
  <c r="D117" i="11"/>
  <c r="E117" i="11" s="1"/>
  <c r="D118" i="11"/>
  <c r="E118" i="11" s="1"/>
  <c r="D119" i="11"/>
  <c r="E119" i="11" s="1"/>
  <c r="D120" i="11"/>
  <c r="E120" i="11"/>
  <c r="D121" i="11"/>
  <c r="E121" i="11" s="1"/>
  <c r="D122" i="11"/>
  <c r="E122" i="11"/>
  <c r="D123" i="11"/>
  <c r="E123" i="11" s="1"/>
  <c r="D124" i="11"/>
  <c r="E124" i="11" s="1"/>
  <c r="D125" i="11"/>
  <c r="E125" i="11" s="1"/>
  <c r="D126" i="11"/>
  <c r="E126" i="11" s="1"/>
  <c r="D127" i="11"/>
  <c r="E127" i="11" s="1"/>
  <c r="D128" i="11"/>
  <c r="E128" i="11" s="1"/>
  <c r="D129" i="11"/>
  <c r="E129" i="11" s="1"/>
  <c r="D130" i="11"/>
  <c r="E130" i="11"/>
  <c r="D131" i="11"/>
  <c r="E131" i="11" s="1"/>
  <c r="D132" i="11"/>
  <c r="E132" i="11" s="1"/>
  <c r="E37" i="15" l="1"/>
  <c r="C13" i="11"/>
  <c r="E13" i="11" s="1"/>
  <c r="E8" i="1"/>
  <c r="I8" i="1"/>
  <c r="M8" i="1"/>
  <c r="E73" i="11"/>
  <c r="E101" i="11"/>
  <c r="F8" i="1"/>
  <c r="J8" i="1"/>
  <c r="N8" i="1"/>
  <c r="C24" i="11"/>
  <c r="C3" i="1"/>
  <c r="C8" i="1"/>
  <c r="G8" i="1"/>
  <c r="K8" i="1"/>
  <c r="E11" i="1"/>
  <c r="I11" i="1"/>
  <c r="M11" i="1"/>
  <c r="Q11" i="1"/>
  <c r="F11" i="1"/>
  <c r="J11" i="1"/>
  <c r="N11" i="1"/>
  <c r="R11" i="1"/>
  <c r="C11" i="1"/>
  <c r="G11" i="1"/>
  <c r="K11" i="1"/>
  <c r="O11" i="1"/>
  <c r="S11" i="1"/>
  <c r="D11" i="1"/>
  <c r="H11" i="1"/>
  <c r="L11" i="1"/>
  <c r="P11" i="1"/>
  <c r="C49" i="11"/>
  <c r="E49" i="11" s="1"/>
  <c r="G49" i="11" s="1"/>
  <c r="C14" i="11"/>
  <c r="E14" i="11" s="1"/>
  <c r="G14" i="11" s="1"/>
  <c r="D133" i="11"/>
  <c r="C50" i="11"/>
  <c r="C36" i="11"/>
  <c r="G12" i="11"/>
  <c r="G35" i="11"/>
  <c r="G23" i="11"/>
  <c r="G13" i="11"/>
  <c r="F11" i="11"/>
  <c r="L11" i="11"/>
  <c r="D3" i="1" l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C37" i="15"/>
  <c r="E24" i="11"/>
  <c r="G24" i="11" s="1"/>
  <c r="C25" i="11"/>
  <c r="B8" i="1"/>
  <c r="D33" i="15"/>
  <c r="C15" i="11"/>
  <c r="E15" i="11" s="1"/>
  <c r="B11" i="1"/>
  <c r="H12" i="11"/>
  <c r="H13" i="11" s="1"/>
  <c r="H14" i="11" s="1"/>
  <c r="E36" i="11"/>
  <c r="C37" i="11"/>
  <c r="I11" i="11"/>
  <c r="J12" i="11"/>
  <c r="E50" i="11"/>
  <c r="C51" i="11"/>
  <c r="C16" i="11"/>
  <c r="F12" i="11"/>
  <c r="E25" i="11" l="1"/>
  <c r="G25" i="11" s="1"/>
  <c r="C26" i="11"/>
  <c r="D8" i="15"/>
  <c r="P3" i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E8" i="15"/>
  <c r="D37" i="15"/>
  <c r="G36" i="11"/>
  <c r="E16" i="11"/>
  <c r="C17" i="11"/>
  <c r="G50" i="11"/>
  <c r="G15" i="11"/>
  <c r="E51" i="11"/>
  <c r="C52" i="11"/>
  <c r="I12" i="11"/>
  <c r="J13" i="11" s="1"/>
  <c r="F13" i="11"/>
  <c r="L12" i="11"/>
  <c r="E37" i="11"/>
  <c r="C38" i="11"/>
  <c r="E32" i="15" l="1"/>
  <c r="D32" i="15"/>
  <c r="B3" i="1"/>
  <c r="E26" i="11"/>
  <c r="G26" i="11" s="1"/>
  <c r="C27" i="11"/>
  <c r="L13" i="11"/>
  <c r="G16" i="11"/>
  <c r="I13" i="11"/>
  <c r="J14" i="11" s="1"/>
  <c r="F14" i="11"/>
  <c r="G37" i="11"/>
  <c r="E52" i="11"/>
  <c r="C53" i="11"/>
  <c r="E17" i="11"/>
  <c r="C18" i="11"/>
  <c r="G51" i="11"/>
  <c r="E38" i="11"/>
  <c r="C39" i="11"/>
  <c r="H15" i="11"/>
  <c r="E27" i="11" l="1"/>
  <c r="G27" i="11" s="1"/>
  <c r="C28" i="11"/>
  <c r="G17" i="11"/>
  <c r="E53" i="11"/>
  <c r="C54" i="11"/>
  <c r="H16" i="11"/>
  <c r="E39" i="11"/>
  <c r="C40" i="11"/>
  <c r="G52" i="11"/>
  <c r="G38" i="11"/>
  <c r="E18" i="11"/>
  <c r="C19" i="11"/>
  <c r="I14" i="11"/>
  <c r="J15" i="11" s="1"/>
  <c r="F15" i="11"/>
  <c r="L14" i="11"/>
  <c r="L15" i="11" s="1"/>
  <c r="E28" i="11" l="1"/>
  <c r="G28" i="11" s="1"/>
  <c r="C29" i="11"/>
  <c r="G53" i="11"/>
  <c r="E40" i="11"/>
  <c r="C41" i="11"/>
  <c r="I15" i="11"/>
  <c r="J16" i="11" s="1"/>
  <c r="L16" i="11" s="1"/>
  <c r="F16" i="11"/>
  <c r="G18" i="11"/>
  <c r="H17" i="11"/>
  <c r="E54" i="11"/>
  <c r="C55" i="11"/>
  <c r="E19" i="11"/>
  <c r="C20" i="11"/>
  <c r="G39" i="11"/>
  <c r="E29" i="11" l="1"/>
  <c r="G29" i="11" s="1"/>
  <c r="C30" i="11"/>
  <c r="C56" i="11"/>
  <c r="E55" i="11"/>
  <c r="I16" i="11"/>
  <c r="J17" i="11" s="1"/>
  <c r="L17" i="11" s="1"/>
  <c r="F17" i="11"/>
  <c r="G54" i="11"/>
  <c r="G19" i="11"/>
  <c r="E20" i="11"/>
  <c r="C21" i="11"/>
  <c r="H18" i="11"/>
  <c r="E41" i="11"/>
  <c r="C42" i="11"/>
  <c r="G40" i="11"/>
  <c r="E30" i="11" l="1"/>
  <c r="G30" i="11" s="1"/>
  <c r="C31" i="11"/>
  <c r="G55" i="11"/>
  <c r="G20" i="11"/>
  <c r="G41" i="11"/>
  <c r="H19" i="11"/>
  <c r="C57" i="11"/>
  <c r="E56" i="11"/>
  <c r="E42" i="11"/>
  <c r="C43" i="11"/>
  <c r="E21" i="11"/>
  <c r="C22" i="11"/>
  <c r="E22" i="11" s="1"/>
  <c r="I17" i="11"/>
  <c r="J18" i="11" s="1"/>
  <c r="L18" i="11" s="1"/>
  <c r="F18" i="11"/>
  <c r="E31" i="11" l="1"/>
  <c r="G31" i="11" s="1"/>
  <c r="C32" i="11"/>
  <c r="G42" i="11"/>
  <c r="G56" i="11"/>
  <c r="G22" i="11"/>
  <c r="C58" i="11"/>
  <c r="E57" i="11"/>
  <c r="H20" i="11"/>
  <c r="I18" i="11"/>
  <c r="J19" i="11" s="1"/>
  <c r="L19" i="11" s="1"/>
  <c r="F19" i="11"/>
  <c r="G21" i="11"/>
  <c r="E43" i="11"/>
  <c r="C44" i="11"/>
  <c r="E32" i="11" l="1"/>
  <c r="G32" i="11" s="1"/>
  <c r="C33" i="11"/>
  <c r="G43" i="11"/>
  <c r="I19" i="11"/>
  <c r="J20" i="11" s="1"/>
  <c r="L20" i="11" s="1"/>
  <c r="F20" i="11"/>
  <c r="H21" i="11"/>
  <c r="H22" i="11" s="1"/>
  <c r="H23" i="11" s="1"/>
  <c r="H24" i="11" s="1"/>
  <c r="H25" i="11" s="1"/>
  <c r="H26" i="11" s="1"/>
  <c r="H27" i="11" s="1"/>
  <c r="H28" i="11" s="1"/>
  <c r="H29" i="11" s="1"/>
  <c r="H30" i="11" s="1"/>
  <c r="H31" i="11" s="1"/>
  <c r="H32" i="11" s="1"/>
  <c r="G57" i="11"/>
  <c r="E44" i="11"/>
  <c r="C45" i="11"/>
  <c r="C59" i="11"/>
  <c r="E58" i="11"/>
  <c r="E33" i="11" l="1"/>
  <c r="G33" i="11" s="1"/>
  <c r="C34" i="11"/>
  <c r="E34" i="11" s="1"/>
  <c r="G34" i="11" s="1"/>
  <c r="H33" i="11"/>
  <c r="H34" i="11" s="1"/>
  <c r="H35" i="11" s="1"/>
  <c r="H36" i="11" s="1"/>
  <c r="H37" i="11" s="1"/>
  <c r="H38" i="11" s="1"/>
  <c r="H39" i="11" s="1"/>
  <c r="H40" i="11" s="1"/>
  <c r="H41" i="11" s="1"/>
  <c r="H42" i="11" s="1"/>
  <c r="H43" i="11" s="1"/>
  <c r="I20" i="11"/>
  <c r="J21" i="11" s="1"/>
  <c r="L21" i="11" s="1"/>
  <c r="F21" i="11"/>
  <c r="E45" i="11"/>
  <c r="C46" i="11"/>
  <c r="E46" i="11" s="1"/>
  <c r="G44" i="11"/>
  <c r="G58" i="11"/>
  <c r="C60" i="11"/>
  <c r="E59" i="11"/>
  <c r="H44" i="11" l="1"/>
  <c r="G59" i="11"/>
  <c r="G45" i="11"/>
  <c r="C61" i="11"/>
  <c r="E60" i="11"/>
  <c r="I21" i="11"/>
  <c r="J22" i="11" s="1"/>
  <c r="L22" i="11" s="1"/>
  <c r="F22" i="11"/>
  <c r="G46" i="11"/>
  <c r="H45" i="11" l="1"/>
  <c r="H46" i="11" s="1"/>
  <c r="H48" i="11" s="1"/>
  <c r="H49" i="11" s="1"/>
  <c r="H50" i="11" s="1"/>
  <c r="H51" i="11" s="1"/>
  <c r="H52" i="11" s="1"/>
  <c r="H53" i="11" s="1"/>
  <c r="H54" i="11" s="1"/>
  <c r="H55" i="11" s="1"/>
  <c r="H56" i="11" s="1"/>
  <c r="H57" i="11" s="1"/>
  <c r="H58" i="11" s="1"/>
  <c r="H59" i="11" s="1"/>
  <c r="G60" i="11"/>
  <c r="C62" i="11"/>
  <c r="E61" i="11"/>
  <c r="I22" i="11"/>
  <c r="J23" i="11" s="1"/>
  <c r="L23" i="11" s="1"/>
  <c r="F23" i="11"/>
  <c r="I23" i="11" l="1"/>
  <c r="J24" i="11" s="1"/>
  <c r="L24" i="11" s="1"/>
  <c r="F24" i="11"/>
  <c r="H60" i="11"/>
  <c r="G61" i="11"/>
  <c r="C63" i="11"/>
  <c r="E62" i="11"/>
  <c r="G62" i="11" l="1"/>
  <c r="C64" i="11"/>
  <c r="E63" i="11"/>
  <c r="I24" i="11"/>
  <c r="J25" i="11" s="1"/>
  <c r="L25" i="11" s="1"/>
  <c r="F25" i="11"/>
  <c r="H61" i="11"/>
  <c r="C65" i="11" l="1"/>
  <c r="E64" i="11"/>
  <c r="I25" i="11"/>
  <c r="J26" i="11" s="1"/>
  <c r="L26" i="11" s="1"/>
  <c r="F26" i="11"/>
  <c r="H62" i="11"/>
  <c r="G63" i="11"/>
  <c r="H63" i="11" s="1"/>
  <c r="G64" i="11" l="1"/>
  <c r="H64" i="11" s="1"/>
  <c r="C66" i="11"/>
  <c r="E65" i="11"/>
  <c r="I26" i="11"/>
  <c r="J27" i="11" s="1"/>
  <c r="L27" i="11" s="1"/>
  <c r="F27" i="11"/>
  <c r="C67" i="11" l="1"/>
  <c r="E66" i="11"/>
  <c r="I27" i="11"/>
  <c r="J28" i="11" s="1"/>
  <c r="L28" i="11" s="1"/>
  <c r="F28" i="11"/>
  <c r="G65" i="11"/>
  <c r="H65" i="11" s="1"/>
  <c r="G66" i="11" l="1"/>
  <c r="H66" i="11" s="1"/>
  <c r="C68" i="11"/>
  <c r="E67" i="11"/>
  <c r="I28" i="11"/>
  <c r="J29" i="11" s="1"/>
  <c r="L29" i="11" s="1"/>
  <c r="F29" i="11"/>
  <c r="C69" i="11" l="1"/>
  <c r="E68" i="11"/>
  <c r="I29" i="11"/>
  <c r="J30" i="11" s="1"/>
  <c r="L30" i="11" s="1"/>
  <c r="F30" i="11"/>
  <c r="G67" i="11"/>
  <c r="H67" i="11" s="1"/>
  <c r="G68" i="11" l="1"/>
  <c r="H68" i="11" s="1"/>
  <c r="C70" i="11"/>
  <c r="E69" i="11"/>
  <c r="I30" i="11"/>
  <c r="J31" i="11" s="1"/>
  <c r="L31" i="11" s="1"/>
  <c r="F31" i="11"/>
  <c r="C71" i="11" l="1"/>
  <c r="E70" i="11"/>
  <c r="I31" i="11"/>
  <c r="J32" i="11" s="1"/>
  <c r="L32" i="11" s="1"/>
  <c r="F32" i="11"/>
  <c r="G69" i="11"/>
  <c r="H69" i="11" s="1"/>
  <c r="G70" i="11" l="1"/>
  <c r="H70" i="11" s="1"/>
  <c r="E71" i="11"/>
  <c r="C133" i="11"/>
  <c r="I32" i="11"/>
  <c r="J33" i="11" s="1"/>
  <c r="L33" i="11" s="1"/>
  <c r="F33" i="11"/>
  <c r="G71" i="11" l="1"/>
  <c r="E133" i="11"/>
  <c r="I33" i="11"/>
  <c r="J34" i="11" s="1"/>
  <c r="L34" i="11" s="1"/>
  <c r="F34" i="11"/>
  <c r="I34" i="11" l="1"/>
  <c r="J35" i="11" s="1"/>
  <c r="L35" i="11" s="1"/>
  <c r="F35" i="11"/>
  <c r="H71" i="11"/>
  <c r="G126" i="11"/>
  <c r="G91" i="11"/>
  <c r="G77" i="11"/>
  <c r="G127" i="11"/>
  <c r="G106" i="11"/>
  <c r="G79" i="11"/>
  <c r="G96" i="11"/>
  <c r="G130" i="11"/>
  <c r="G120" i="11"/>
  <c r="G132" i="11"/>
  <c r="G76" i="11"/>
  <c r="G107" i="11"/>
  <c r="G131" i="11"/>
  <c r="G119" i="11"/>
  <c r="G88" i="11"/>
  <c r="G92" i="11"/>
  <c r="G111" i="11"/>
  <c r="G80" i="11"/>
  <c r="G118" i="11"/>
  <c r="G82" i="11"/>
  <c r="G81" i="11"/>
  <c r="G116" i="11"/>
  <c r="G84" i="11"/>
  <c r="G122" i="11"/>
  <c r="G74" i="11"/>
  <c r="G90" i="11"/>
  <c r="G102" i="11"/>
  <c r="G128" i="11"/>
  <c r="G104" i="11"/>
  <c r="G93" i="11"/>
  <c r="G83" i="11"/>
  <c r="G101" i="11"/>
  <c r="G124" i="11"/>
  <c r="G87" i="11"/>
  <c r="G85" i="11"/>
  <c r="G125" i="11"/>
  <c r="G108" i="11"/>
  <c r="G95" i="11"/>
  <c r="G98" i="11"/>
  <c r="G78" i="11"/>
  <c r="G97" i="11"/>
  <c r="G99" i="11"/>
  <c r="G114" i="11"/>
  <c r="G86" i="11"/>
  <c r="G103" i="11"/>
  <c r="G129" i="11"/>
  <c r="G115" i="11"/>
  <c r="G113" i="11"/>
  <c r="G123" i="11"/>
  <c r="G110" i="11"/>
  <c r="G105" i="11"/>
  <c r="G109" i="11"/>
  <c r="G72" i="11"/>
  <c r="G121" i="11"/>
  <c r="G73" i="11"/>
  <c r="G117" i="11"/>
  <c r="G94" i="11"/>
  <c r="G100" i="11"/>
  <c r="G89" i="11"/>
  <c r="G75" i="11"/>
  <c r="G112" i="11"/>
  <c r="I35" i="11" l="1"/>
  <c r="J36" i="11" s="1"/>
  <c r="L36" i="11" s="1"/>
  <c r="F36" i="11"/>
  <c r="G133" i="11"/>
  <c r="H72" i="11"/>
  <c r="H73" i="11" s="1"/>
  <c r="H74" i="11" s="1"/>
  <c r="H75" i="11" s="1"/>
  <c r="H76" i="11" s="1"/>
  <c r="H77" i="11" s="1"/>
  <c r="H78" i="11" s="1"/>
  <c r="H79" i="11" s="1"/>
  <c r="H80" i="11" s="1"/>
  <c r="H81" i="11" s="1"/>
  <c r="H82" i="11" s="1"/>
  <c r="H83" i="11" s="1"/>
  <c r="H84" i="11" s="1"/>
  <c r="H85" i="11" s="1"/>
  <c r="H86" i="11" s="1"/>
  <c r="H87" i="11" s="1"/>
  <c r="H88" i="11" s="1"/>
  <c r="H89" i="11" s="1"/>
  <c r="H90" i="11" s="1"/>
  <c r="H91" i="11" s="1"/>
  <c r="H92" i="11" s="1"/>
  <c r="H93" i="11" s="1"/>
  <c r="H94" i="11" s="1"/>
  <c r="H95" i="11" s="1"/>
  <c r="H96" i="11" s="1"/>
  <c r="H97" i="11" s="1"/>
  <c r="H98" i="11" s="1"/>
  <c r="H99" i="11" s="1"/>
  <c r="H100" i="11" s="1"/>
  <c r="H101" i="11" s="1"/>
  <c r="H102" i="11" s="1"/>
  <c r="H103" i="11" s="1"/>
  <c r="H104" i="11" s="1"/>
  <c r="H105" i="11" s="1"/>
  <c r="H106" i="11" s="1"/>
  <c r="H107" i="11" s="1"/>
  <c r="H108" i="11" s="1"/>
  <c r="H109" i="11" s="1"/>
  <c r="H110" i="11" s="1"/>
  <c r="H111" i="11" s="1"/>
  <c r="H112" i="11" s="1"/>
  <c r="H113" i="11" s="1"/>
  <c r="H114" i="11" s="1"/>
  <c r="H115" i="11" s="1"/>
  <c r="H116" i="11" s="1"/>
  <c r="H117" i="11" s="1"/>
  <c r="H118" i="11" s="1"/>
  <c r="H119" i="11" s="1"/>
  <c r="H120" i="11" s="1"/>
  <c r="H121" i="11" s="1"/>
  <c r="H122" i="11" s="1"/>
  <c r="H123" i="11" s="1"/>
  <c r="H124" i="11" s="1"/>
  <c r="H125" i="11" s="1"/>
  <c r="H126" i="11" s="1"/>
  <c r="H127" i="11" s="1"/>
  <c r="H128" i="11" s="1"/>
  <c r="H129" i="11" s="1"/>
  <c r="H130" i="11" s="1"/>
  <c r="H131" i="11" s="1"/>
  <c r="H132" i="11" s="1"/>
  <c r="I36" i="11" l="1"/>
  <c r="J37" i="11" s="1"/>
  <c r="L37" i="11" s="1"/>
  <c r="F37" i="11"/>
  <c r="I37" i="11" l="1"/>
  <c r="J38" i="11" s="1"/>
  <c r="L38" i="11" s="1"/>
  <c r="F38" i="11"/>
  <c r="I38" i="11" l="1"/>
  <c r="J39" i="11" s="1"/>
  <c r="L39" i="11" s="1"/>
  <c r="F39" i="11"/>
  <c r="I39" i="11" l="1"/>
  <c r="J40" i="11" s="1"/>
  <c r="L40" i="11" s="1"/>
  <c r="F40" i="11"/>
  <c r="I40" i="11" l="1"/>
  <c r="J41" i="11" s="1"/>
  <c r="L41" i="11" s="1"/>
  <c r="F41" i="11"/>
  <c r="I41" i="11" l="1"/>
  <c r="J42" i="11" s="1"/>
  <c r="L42" i="11" s="1"/>
  <c r="F42" i="11"/>
  <c r="I42" i="11" l="1"/>
  <c r="J43" i="11" s="1"/>
  <c r="L43" i="11" s="1"/>
  <c r="F43" i="11"/>
  <c r="I43" i="11" l="1"/>
  <c r="J44" i="11" s="1"/>
  <c r="L44" i="11" s="1"/>
  <c r="F44" i="11"/>
  <c r="I44" i="11" l="1"/>
  <c r="J45" i="11" s="1"/>
  <c r="L45" i="11" s="1"/>
  <c r="F45" i="11"/>
  <c r="I45" i="11" l="1"/>
  <c r="J46" i="11" s="1"/>
  <c r="L46" i="11" s="1"/>
  <c r="F46" i="11"/>
  <c r="I46" i="11" l="1"/>
  <c r="F48" i="11"/>
  <c r="I48" i="11" l="1"/>
  <c r="J49" i="11" s="1"/>
  <c r="F49" i="11"/>
  <c r="J47" i="11"/>
  <c r="L47" i="11" s="1"/>
  <c r="J48" i="11"/>
  <c r="L48" i="11" l="1"/>
  <c r="L49" i="11" s="1"/>
  <c r="I49" i="11"/>
  <c r="J50" i="11" s="1"/>
  <c r="L50" i="11" s="1"/>
  <c r="F50" i="11"/>
  <c r="I50" i="11" l="1"/>
  <c r="J51" i="11" s="1"/>
  <c r="L51" i="11" s="1"/>
  <c r="F51" i="11"/>
  <c r="I51" i="11" l="1"/>
  <c r="J52" i="11" s="1"/>
  <c r="L52" i="11" s="1"/>
  <c r="F52" i="11"/>
  <c r="I52" i="11" l="1"/>
  <c r="J53" i="11" s="1"/>
  <c r="L53" i="11" s="1"/>
  <c r="F53" i="11"/>
  <c r="I53" i="11" l="1"/>
  <c r="J54" i="11" s="1"/>
  <c r="L54" i="11" s="1"/>
  <c r="F54" i="11"/>
  <c r="I54" i="11" l="1"/>
  <c r="J55" i="11" s="1"/>
  <c r="L55" i="11" s="1"/>
  <c r="F55" i="11"/>
  <c r="I55" i="11" l="1"/>
  <c r="J56" i="11" s="1"/>
  <c r="L56" i="11" s="1"/>
  <c r="F56" i="11"/>
  <c r="I56" i="11" l="1"/>
  <c r="J57" i="11" s="1"/>
  <c r="L57" i="11" s="1"/>
  <c r="F57" i="11"/>
  <c r="I57" i="11" l="1"/>
  <c r="J58" i="11" s="1"/>
  <c r="L58" i="11" s="1"/>
  <c r="F58" i="11"/>
  <c r="I58" i="11" l="1"/>
  <c r="J59" i="11" s="1"/>
  <c r="L59" i="11" s="1"/>
  <c r="F59" i="11"/>
  <c r="I59" i="11" l="1"/>
  <c r="J60" i="11" s="1"/>
  <c r="L60" i="11" s="1"/>
  <c r="F60" i="11"/>
  <c r="I60" i="11" l="1"/>
  <c r="J61" i="11" s="1"/>
  <c r="L61" i="11" s="1"/>
  <c r="F61" i="11"/>
  <c r="I61" i="11" l="1"/>
  <c r="J62" i="11" s="1"/>
  <c r="L62" i="11" s="1"/>
  <c r="F62" i="11"/>
  <c r="I62" i="11" l="1"/>
  <c r="J63" i="11" s="1"/>
  <c r="L63" i="11" s="1"/>
  <c r="F63" i="11"/>
  <c r="I63" i="11" l="1"/>
  <c r="J64" i="11" s="1"/>
  <c r="L64" i="11" s="1"/>
  <c r="F64" i="11"/>
  <c r="I64" i="11" l="1"/>
  <c r="J65" i="11" s="1"/>
  <c r="L65" i="11" s="1"/>
  <c r="F65" i="11"/>
  <c r="I65" i="11" l="1"/>
  <c r="J66" i="11" s="1"/>
  <c r="L66" i="11" s="1"/>
  <c r="F66" i="11"/>
  <c r="I66" i="11" l="1"/>
  <c r="J67" i="11" s="1"/>
  <c r="L67" i="11" s="1"/>
  <c r="F67" i="11"/>
  <c r="I67" i="11" l="1"/>
  <c r="J68" i="11" s="1"/>
  <c r="L68" i="11" s="1"/>
  <c r="F68" i="11"/>
  <c r="I68" i="11" l="1"/>
  <c r="J69" i="11" s="1"/>
  <c r="L69" i="11" s="1"/>
  <c r="F69" i="11"/>
  <c r="I69" i="11" l="1"/>
  <c r="J70" i="11" s="1"/>
  <c r="L70" i="11" s="1"/>
  <c r="F70" i="11"/>
  <c r="I70" i="11" l="1"/>
  <c r="J71" i="11" s="1"/>
  <c r="J133" i="11" s="1"/>
  <c r="F71" i="11"/>
  <c r="I71" i="11" s="1"/>
  <c r="L71" i="11" l="1"/>
  <c r="K72" i="11" l="1"/>
  <c r="L72" i="11" s="1"/>
  <c r="I72" i="11" l="1"/>
  <c r="K73" i="11"/>
  <c r="L73" i="11"/>
  <c r="I73" i="11" l="1"/>
  <c r="K74" i="11"/>
  <c r="L74" i="11" l="1"/>
  <c r="K75" i="11" l="1"/>
  <c r="I74" i="11"/>
  <c r="L75" i="11" l="1"/>
  <c r="I75" i="11" l="1"/>
  <c r="K76" i="11"/>
  <c r="L76" i="11"/>
  <c r="I76" i="11" l="1"/>
  <c r="K77" i="11"/>
  <c r="L77" i="11"/>
  <c r="I77" i="11" l="1"/>
  <c r="K78" i="11"/>
  <c r="L78" i="11"/>
  <c r="K79" i="11" l="1"/>
  <c r="I78" i="11"/>
  <c r="L79" i="11"/>
  <c r="I79" i="11" l="1"/>
  <c r="K80" i="11"/>
  <c r="L80" i="11"/>
  <c r="I80" i="11" l="1"/>
  <c r="K81" i="11"/>
  <c r="L81" i="11"/>
  <c r="K82" i="11" l="1"/>
  <c r="L82" i="11" s="1"/>
  <c r="I81" i="11"/>
  <c r="I82" i="11" l="1"/>
  <c r="K83" i="11"/>
  <c r="L83" i="11"/>
  <c r="K84" i="11" l="1"/>
  <c r="I83" i="11"/>
  <c r="L84" i="11"/>
  <c r="I84" i="11" l="1"/>
  <c r="K85" i="11"/>
  <c r="L85" i="11" s="1"/>
  <c r="I85" i="11" l="1"/>
  <c r="K86" i="11"/>
  <c r="L86" i="11" s="1"/>
  <c r="I86" i="11" l="1"/>
  <c r="K87" i="11"/>
  <c r="L87" i="11" s="1"/>
  <c r="K88" i="11" l="1"/>
  <c r="L88" i="11" s="1"/>
  <c r="I87" i="11"/>
  <c r="I88" i="11" l="1"/>
  <c r="K89" i="11"/>
  <c r="L89" i="11"/>
  <c r="I89" i="11" l="1"/>
  <c r="K90" i="11"/>
  <c r="L90" i="11" s="1"/>
  <c r="I90" i="11" l="1"/>
  <c r="K91" i="11"/>
  <c r="L91" i="11"/>
  <c r="I91" i="11" l="1"/>
  <c r="K92" i="11"/>
  <c r="L92" i="11" s="1"/>
  <c r="I92" i="11" l="1"/>
  <c r="K93" i="11"/>
  <c r="L93" i="11"/>
  <c r="I93" i="11" l="1"/>
  <c r="K94" i="11"/>
  <c r="L94" i="11" s="1"/>
  <c r="I94" i="11" l="1"/>
  <c r="K95" i="11"/>
  <c r="L95" i="11" s="1"/>
  <c r="K96" i="11" l="1"/>
  <c r="L96" i="11" s="1"/>
  <c r="I95" i="11"/>
  <c r="I96" i="11" l="1"/>
  <c r="K97" i="11"/>
  <c r="L97" i="11"/>
  <c r="I97" i="11" l="1"/>
  <c r="K98" i="11"/>
  <c r="L98" i="11" s="1"/>
  <c r="I98" i="11" l="1"/>
  <c r="K99" i="11"/>
  <c r="L99" i="11" s="1"/>
  <c r="K100" i="11" l="1"/>
  <c r="L100" i="11" s="1"/>
  <c r="I99" i="11"/>
  <c r="I100" i="11" l="1"/>
  <c r="K101" i="11"/>
  <c r="L101" i="11"/>
  <c r="I101" i="11" l="1"/>
  <c r="K102" i="11"/>
  <c r="L102" i="11" s="1"/>
  <c r="I102" i="11" l="1"/>
  <c r="K103" i="11"/>
  <c r="L103" i="11"/>
  <c r="K104" i="11" l="1"/>
  <c r="L104" i="11" s="1"/>
  <c r="I103" i="11"/>
  <c r="I104" i="11" l="1"/>
  <c r="K105" i="11"/>
  <c r="L105" i="11"/>
  <c r="I105" i="11" l="1"/>
  <c r="K106" i="11"/>
  <c r="L106" i="11" s="1"/>
  <c r="I106" i="11" l="1"/>
  <c r="K107" i="11"/>
  <c r="L107" i="11"/>
  <c r="I107" i="11" l="1"/>
  <c r="K108" i="11"/>
  <c r="L108" i="11" s="1"/>
  <c r="I108" i="11" l="1"/>
  <c r="K109" i="11"/>
  <c r="L109" i="11" s="1"/>
  <c r="I109" i="11" l="1"/>
  <c r="K110" i="11"/>
  <c r="L110" i="11" s="1"/>
  <c r="I110" i="11" l="1"/>
  <c r="K111" i="11"/>
  <c r="L111" i="11" s="1"/>
  <c r="I111" i="11" l="1"/>
  <c r="K112" i="11"/>
  <c r="L112" i="11" s="1"/>
  <c r="I112" i="11" l="1"/>
  <c r="K113" i="11"/>
  <c r="L113" i="11" s="1"/>
  <c r="I113" i="11" l="1"/>
  <c r="K114" i="11"/>
  <c r="L114" i="11" s="1"/>
  <c r="I114" i="11" l="1"/>
  <c r="K115" i="11"/>
  <c r="L115" i="11" s="1"/>
  <c r="K116" i="11" l="1"/>
  <c r="L116" i="11" s="1"/>
  <c r="I115" i="11"/>
  <c r="I116" i="11" l="1"/>
  <c r="K117" i="11"/>
  <c r="L117" i="11"/>
  <c r="I117" i="11" l="1"/>
  <c r="K118" i="11"/>
  <c r="L118" i="11" s="1"/>
  <c r="I118" i="11" l="1"/>
  <c r="K119" i="11"/>
  <c r="L119" i="11"/>
  <c r="K120" i="11" l="1"/>
  <c r="L120" i="11" s="1"/>
  <c r="I119" i="11"/>
  <c r="I120" i="11" l="1"/>
  <c r="K121" i="11"/>
  <c r="L121" i="11" s="1"/>
  <c r="K122" i="11" l="1"/>
  <c r="L122" i="11" s="1"/>
  <c r="I121" i="11"/>
  <c r="I122" i="11" l="1"/>
  <c r="K123" i="11"/>
  <c r="L123" i="11"/>
  <c r="K124" i="11" l="1"/>
  <c r="L124" i="11" s="1"/>
  <c r="I123" i="11"/>
  <c r="I124" i="11" l="1"/>
  <c r="K125" i="11"/>
  <c r="L125" i="11"/>
  <c r="I125" i="11" l="1"/>
  <c r="K126" i="11"/>
  <c r="L126" i="11" s="1"/>
  <c r="I126" i="11" l="1"/>
  <c r="K127" i="11"/>
  <c r="L127" i="11" s="1"/>
  <c r="I127" i="11" l="1"/>
  <c r="K128" i="11"/>
  <c r="L128" i="11"/>
  <c r="I128" i="11" l="1"/>
  <c r="K129" i="11"/>
  <c r="L129" i="11"/>
  <c r="I129" i="11" l="1"/>
  <c r="K130" i="11"/>
  <c r="L130" i="11" s="1"/>
  <c r="I130" i="11" l="1"/>
  <c r="K131" i="11"/>
  <c r="L131" i="11" s="1"/>
  <c r="I131" i="11" l="1"/>
  <c r="K132" i="11"/>
  <c r="K133" i="11" s="1"/>
  <c r="L132" i="11"/>
  <c r="I132" i="11" s="1"/>
  <c r="AF14" i="7" l="1"/>
  <c r="AE14" i="7"/>
  <c r="AD14" i="7"/>
  <c r="AC14" i="7"/>
  <c r="AB14" i="7"/>
  <c r="AA14" i="7"/>
  <c r="Z14" i="7"/>
  <c r="Z17" i="7" s="1"/>
  <c r="Y14" i="7"/>
  <c r="X14" i="7"/>
  <c r="W14" i="7"/>
  <c r="V14" i="7"/>
  <c r="U14" i="7"/>
  <c r="AY18" i="7" s="1"/>
  <c r="T14" i="7"/>
  <c r="S14" i="7"/>
  <c r="R14" i="7"/>
  <c r="Q14" i="7"/>
  <c r="P14" i="7"/>
  <c r="AE17" i="7"/>
  <c r="AD17" i="7"/>
  <c r="AA17" i="7"/>
  <c r="W17" i="7"/>
  <c r="V17" i="7"/>
  <c r="O13" i="7"/>
  <c r="O15" i="7" s="1"/>
  <c r="N13" i="7"/>
  <c r="N15" i="7" s="1"/>
  <c r="M13" i="7"/>
  <c r="M15" i="7" s="1"/>
  <c r="L13" i="7"/>
  <c r="L15" i="7" s="1"/>
  <c r="K13" i="7"/>
  <c r="K15" i="7" s="1"/>
  <c r="J13" i="7"/>
  <c r="J15" i="7" s="1"/>
  <c r="I13" i="7"/>
  <c r="I15" i="7" s="1"/>
  <c r="H13" i="7"/>
  <c r="H15" i="7" s="1"/>
  <c r="G13" i="7"/>
  <c r="G15" i="7" s="1"/>
  <c r="F13" i="7"/>
  <c r="F15" i="7" s="1"/>
  <c r="E13" i="7"/>
  <c r="E15" i="7" s="1"/>
  <c r="D13" i="7"/>
  <c r="D15" i="7" s="1"/>
  <c r="C13" i="7"/>
  <c r="C15" i="7" s="1"/>
  <c r="P8" i="7"/>
  <c r="Q8" i="7" s="1"/>
  <c r="R8" i="7" s="1"/>
  <c r="S8" i="7" s="1"/>
  <c r="P7" i="7"/>
  <c r="Q7" i="7" s="1"/>
  <c r="R7" i="7" s="1"/>
  <c r="S7" i="7" s="1"/>
  <c r="T7" i="7" s="1"/>
  <c r="U7" i="7" s="1"/>
  <c r="V7" i="7" s="1"/>
  <c r="W7" i="7" s="1"/>
  <c r="X7" i="7" s="1"/>
  <c r="Y7" i="7" s="1"/>
  <c r="Z7" i="7" s="1"/>
  <c r="AA7" i="7" s="1"/>
  <c r="AB7" i="7" s="1"/>
  <c r="AC7" i="7" s="1"/>
  <c r="AD7" i="7" s="1"/>
  <c r="AE7" i="7" s="1"/>
  <c r="AF7" i="7" s="1"/>
  <c r="AG7" i="7" s="1"/>
  <c r="AH7" i="7" s="1"/>
  <c r="AI7" i="7" s="1"/>
  <c r="AJ7" i="7" s="1"/>
  <c r="AK7" i="7" s="1"/>
  <c r="AL7" i="7" s="1"/>
  <c r="AM7" i="7" s="1"/>
  <c r="AN7" i="7" s="1"/>
  <c r="AO7" i="7" s="1"/>
  <c r="AP7" i="7" s="1"/>
  <c r="AQ7" i="7" s="1"/>
  <c r="AR7" i="7" s="1"/>
  <c r="AS7" i="7" s="1"/>
  <c r="AT7" i="7" s="1"/>
  <c r="AU7" i="7" s="1"/>
  <c r="AV7" i="7" s="1"/>
  <c r="AW7" i="7" s="1"/>
  <c r="P6" i="7"/>
  <c r="Q6" i="7" s="1"/>
  <c r="U17" i="7" l="1"/>
  <c r="Y17" i="7"/>
  <c r="AC17" i="7"/>
  <c r="X17" i="7"/>
  <c r="AB17" i="7"/>
  <c r="AF17" i="7"/>
  <c r="T17" i="7"/>
  <c r="T16" i="7"/>
  <c r="U16" i="7" s="1"/>
  <c r="V16" i="7" s="1"/>
  <c r="W16" i="7" s="1"/>
  <c r="X16" i="7" s="1"/>
  <c r="Y16" i="7" s="1"/>
  <c r="Z16" i="7" s="1"/>
  <c r="AA16" i="7" s="1"/>
  <c r="AB16" i="7" s="1"/>
  <c r="AC16" i="7" s="1"/>
  <c r="AD16" i="7" s="1"/>
  <c r="AE16" i="7" s="1"/>
  <c r="AF16" i="7" s="1"/>
  <c r="AG16" i="7" s="1"/>
  <c r="Q13" i="7"/>
  <c r="Q15" i="7" s="1"/>
  <c r="R6" i="7"/>
  <c r="P13" i="7"/>
  <c r="P15" i="7" s="1"/>
  <c r="AH16" i="7" l="1"/>
  <c r="AG18" i="7"/>
  <c r="O9" i="1" s="1"/>
  <c r="T18" i="7"/>
  <c r="Z18" i="7"/>
  <c r="H9" i="1" s="1"/>
  <c r="V18" i="7"/>
  <c r="D9" i="1" s="1"/>
  <c r="U18" i="7"/>
  <c r="W18" i="7"/>
  <c r="E9" i="1" s="1"/>
  <c r="X18" i="7"/>
  <c r="F9" i="1" s="1"/>
  <c r="AA18" i="7"/>
  <c r="I9" i="1" s="1"/>
  <c r="AF18" i="7"/>
  <c r="N9" i="1" s="1"/>
  <c r="AC18" i="7"/>
  <c r="K9" i="1" s="1"/>
  <c r="AD18" i="7"/>
  <c r="L9" i="1" s="1"/>
  <c r="AE18" i="7"/>
  <c r="M9" i="1" s="1"/>
  <c r="AB18" i="7"/>
  <c r="J9" i="1" s="1"/>
  <c r="Y18" i="7"/>
  <c r="G9" i="1" s="1"/>
  <c r="S6" i="7"/>
  <c r="R13" i="7"/>
  <c r="R15" i="7" s="1"/>
  <c r="C9" i="1" l="1"/>
  <c r="AX18" i="7"/>
  <c r="AI16" i="7"/>
  <c r="AH18" i="7"/>
  <c r="P9" i="1" s="1"/>
  <c r="S13" i="7"/>
  <c r="S15" i="7" s="1"/>
  <c r="T6" i="7"/>
  <c r="AJ16" i="7" l="1"/>
  <c r="AI18" i="7"/>
  <c r="Q9" i="1" s="1"/>
  <c r="U6" i="7"/>
  <c r="T13" i="7"/>
  <c r="T15" i="7" s="1"/>
  <c r="AK16" i="7" l="1"/>
  <c r="AJ18" i="7"/>
  <c r="R9" i="1" s="1"/>
  <c r="U13" i="7"/>
  <c r="U15" i="7" s="1"/>
  <c r="V6" i="7"/>
  <c r="AL16" i="7" l="1"/>
  <c r="AK18" i="7"/>
  <c r="S9" i="1" s="1"/>
  <c r="V13" i="7"/>
  <c r="V15" i="7" s="1"/>
  <c r="W6" i="7"/>
  <c r="AM16" i="7" l="1"/>
  <c r="AL18" i="7"/>
  <c r="T9" i="1" s="1"/>
  <c r="X6" i="7"/>
  <c r="W13" i="7"/>
  <c r="W15" i="7" s="1"/>
  <c r="AN16" i="7" l="1"/>
  <c r="AM18" i="7"/>
  <c r="U9" i="1" s="1"/>
  <c r="Y6" i="7"/>
  <c r="X13" i="7"/>
  <c r="X15" i="7" s="1"/>
  <c r="AO16" i="7" l="1"/>
  <c r="AN18" i="7"/>
  <c r="V9" i="1" s="1"/>
  <c r="Y13" i="7"/>
  <c r="Y15" i="7" s="1"/>
  <c r="Z6" i="7"/>
  <c r="AP16" i="7" l="1"/>
  <c r="AO18" i="7"/>
  <c r="W9" i="1" s="1"/>
  <c r="AA6" i="7"/>
  <c r="Z13" i="7"/>
  <c r="Z15" i="7" s="1"/>
  <c r="AQ16" i="7" l="1"/>
  <c r="AP18" i="7"/>
  <c r="X9" i="1" s="1"/>
  <c r="AB6" i="7"/>
  <c r="AA13" i="7"/>
  <c r="AA15" i="7" s="1"/>
  <c r="AR16" i="7" l="1"/>
  <c r="AQ18" i="7"/>
  <c r="Y9" i="1" s="1"/>
  <c r="AC6" i="7"/>
  <c r="AB13" i="7"/>
  <c r="AB15" i="7" s="1"/>
  <c r="AS16" i="7" l="1"/>
  <c r="AR18" i="7"/>
  <c r="Z9" i="1" s="1"/>
  <c r="AC13" i="7"/>
  <c r="AC15" i="7" s="1"/>
  <c r="AD6" i="7"/>
  <c r="AT16" i="7" l="1"/>
  <c r="AS18" i="7"/>
  <c r="AA9" i="1" s="1"/>
  <c r="AE6" i="7"/>
  <c r="AD13" i="7"/>
  <c r="AD15" i="7" s="1"/>
  <c r="AU16" i="7" l="1"/>
  <c r="AT18" i="7"/>
  <c r="AB9" i="1" s="1"/>
  <c r="AF6" i="7"/>
  <c r="AG6" i="7" s="1"/>
  <c r="AE13" i="7"/>
  <c r="AE15" i="7" s="1"/>
  <c r="AG13" i="7" l="1"/>
  <c r="AG15" i="7" s="1"/>
  <c r="AH6" i="7"/>
  <c r="AV16" i="7"/>
  <c r="AU18" i="7"/>
  <c r="AC9" i="1" s="1"/>
  <c r="AF13" i="7"/>
  <c r="AF15" i="7" s="1"/>
  <c r="AI6" i="7" l="1"/>
  <c r="AH13" i="7"/>
  <c r="AH15" i="7" s="1"/>
  <c r="AW16" i="7"/>
  <c r="AW18" i="7" s="1"/>
  <c r="AE9" i="1" s="1"/>
  <c r="AV18" i="7"/>
  <c r="AD9" i="1" s="1"/>
  <c r="D15" i="6"/>
  <c r="D23" i="6" s="1"/>
  <c r="D27" i="6" s="1"/>
  <c r="D29" i="6" s="1"/>
  <c r="G29" i="6" s="1"/>
  <c r="D14" i="6"/>
  <c r="D16" i="6" s="1"/>
  <c r="A11" i="6"/>
  <c r="D7" i="6"/>
  <c r="G7" i="6" s="1"/>
  <c r="M6" i="1" l="1"/>
  <c r="I6" i="1"/>
  <c r="E6" i="1"/>
  <c r="N6" i="1"/>
  <c r="F6" i="1"/>
  <c r="L6" i="1"/>
  <c r="H6" i="1"/>
  <c r="D6" i="1"/>
  <c r="B6" i="1" s="1"/>
  <c r="J6" i="1"/>
  <c r="K6" i="1"/>
  <c r="G6" i="1"/>
  <c r="C6" i="1"/>
  <c r="Q5" i="1"/>
  <c r="U5" i="1"/>
  <c r="U12" i="1" s="1"/>
  <c r="Y5" i="1"/>
  <c r="Y12" i="1" s="1"/>
  <c r="AC5" i="1"/>
  <c r="AC12" i="1" s="1"/>
  <c r="V5" i="1"/>
  <c r="V12" i="1" s="1"/>
  <c r="Z5" i="1"/>
  <c r="Z12" i="1" s="1"/>
  <c r="AD5" i="1"/>
  <c r="AA5" i="1"/>
  <c r="AA12" i="1" s="1"/>
  <c r="P5" i="1"/>
  <c r="P12" i="1" s="1"/>
  <c r="X5" i="1"/>
  <c r="X12" i="1" s="1"/>
  <c r="R5" i="1"/>
  <c r="O5" i="1"/>
  <c r="S5" i="1"/>
  <c r="AE5" i="1"/>
  <c r="T5" i="1"/>
  <c r="T12" i="1" s="1"/>
  <c r="AB5" i="1"/>
  <c r="AB12" i="1" s="1"/>
  <c r="W5" i="1"/>
  <c r="W12" i="1" s="1"/>
  <c r="S7" i="1"/>
  <c r="M5" i="1"/>
  <c r="M12" i="1" s="1"/>
  <c r="I5" i="1"/>
  <c r="I12" i="1" s="1"/>
  <c r="E5" i="1"/>
  <c r="J5" i="1"/>
  <c r="J12" i="1" s="1"/>
  <c r="R7" i="1"/>
  <c r="L5" i="1"/>
  <c r="L12" i="1" s="1"/>
  <c r="H5" i="1"/>
  <c r="H12" i="1" s="1"/>
  <c r="D5" i="1"/>
  <c r="N5" i="1"/>
  <c r="Q7" i="1"/>
  <c r="K5" i="1"/>
  <c r="K12" i="1" s="1"/>
  <c r="G5" i="1"/>
  <c r="G12" i="1" s="1"/>
  <c r="C5" i="1"/>
  <c r="F5" i="1"/>
  <c r="F12" i="1" s="1"/>
  <c r="AI13" i="7"/>
  <c r="AI15" i="7" s="1"/>
  <c r="AJ6" i="7"/>
  <c r="AD12" i="1"/>
  <c r="AE12" i="1"/>
  <c r="B9" i="1"/>
  <c r="O12" i="1" l="1"/>
  <c r="D35" i="15"/>
  <c r="C12" i="1"/>
  <c r="N12" i="1"/>
  <c r="R12" i="1"/>
  <c r="AK6" i="7"/>
  <c r="AJ13" i="7"/>
  <c r="AJ15" i="7" s="1"/>
  <c r="D12" i="1"/>
  <c r="B7" i="1"/>
  <c r="B12" i="1"/>
  <c r="B5" i="1"/>
  <c r="E12" i="1"/>
  <c r="S12" i="1"/>
  <c r="Q12" i="1"/>
  <c r="D34" i="15" l="1"/>
  <c r="D38" i="15" s="1"/>
  <c r="D14" i="15"/>
  <c r="C38" i="15"/>
  <c r="AK13" i="7"/>
  <c r="AK15" i="7" s="1"/>
  <c r="AL6" i="7"/>
  <c r="E34" i="15"/>
  <c r="E38" i="15" s="1"/>
  <c r="E14" i="15"/>
  <c r="AL13" i="7" l="1"/>
  <c r="AL15" i="7" s="1"/>
  <c r="AM6" i="7"/>
  <c r="AN6" i="7" l="1"/>
  <c r="AM13" i="7"/>
  <c r="AM15" i="7" s="1"/>
  <c r="AN13" i="7" l="1"/>
  <c r="AN15" i="7" s="1"/>
  <c r="AO6" i="7"/>
  <c r="AO13" i="7" l="1"/>
  <c r="AO15" i="7" s="1"/>
  <c r="AP6" i="7"/>
  <c r="AQ6" i="7" l="1"/>
  <c r="AP13" i="7"/>
  <c r="AP15" i="7" s="1"/>
  <c r="AR6" i="7" l="1"/>
  <c r="AQ13" i="7"/>
  <c r="AQ15" i="7" s="1"/>
  <c r="AR13" i="7" l="1"/>
  <c r="AR15" i="7" s="1"/>
  <c r="AS6" i="7"/>
  <c r="AS13" i="7" l="1"/>
  <c r="AS15" i="7" s="1"/>
  <c r="AT6" i="7"/>
  <c r="AT13" i="7" l="1"/>
  <c r="AT15" i="7" s="1"/>
  <c r="AU6" i="7"/>
  <c r="AU13" i="7" l="1"/>
  <c r="AU15" i="7" s="1"/>
  <c r="AV6" i="7"/>
  <c r="AV13" i="7" l="1"/>
  <c r="AV15" i="7" s="1"/>
  <c r="AW6" i="7"/>
  <c r="AW13" i="7" s="1"/>
  <c r="AW15" i="7" s="1"/>
</calcChain>
</file>

<file path=xl/sharedStrings.xml><?xml version="1.0" encoding="utf-8"?>
<sst xmlns="http://schemas.openxmlformats.org/spreadsheetml/2006/main" count="309" uniqueCount="131">
  <si>
    <t>Environmental Surcharge</t>
  </si>
  <si>
    <t>Capacity Charge</t>
  </si>
  <si>
    <t>Fuel Adjustment Clause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</si>
  <si>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</si>
  <si>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</si>
  <si>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</si>
  <si>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</si>
  <si>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</si>
  <si>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</si>
  <si>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</si>
  <si>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</si>
  <si>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</si>
  <si>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</si>
  <si>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</si>
  <si>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</si>
  <si>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Line</t>
  </si>
  <si>
    <t xml:space="preserve"> </t>
  </si>
  <si>
    <t xml:space="preserve">Kentucky Power Company </t>
  </si>
  <si>
    <t>BKW - Exhibit 4</t>
  </si>
  <si>
    <t>Rockport Fixed Cost Savings</t>
  </si>
  <si>
    <t>Amount of Rockport Fixed Cost in Base Rates</t>
  </si>
  <si>
    <t xml:space="preserve"> 2023 Rockport Offset Calculation</t>
  </si>
  <si>
    <t>Rockport Offset</t>
  </si>
  <si>
    <t>Calculation</t>
  </si>
  <si>
    <t>Estimated</t>
  </si>
  <si>
    <t>Actual</t>
  </si>
  <si>
    <t>Source</t>
  </si>
  <si>
    <t>a</t>
  </si>
  <si>
    <t>12 Month Net GAAP Income</t>
  </si>
  <si>
    <t>Available Q1 2024</t>
  </si>
  <si>
    <t xml:space="preserve">Estimate - Q2 2022 Per Books as Reported SEC Kentucky Power Company
Actual - Q4 2023 Per Books as Reported SEC Kentucky Power Company </t>
  </si>
  <si>
    <t>b</t>
  </si>
  <si>
    <t>13 Month Average Common Equity</t>
  </si>
  <si>
    <t>c = a/b</t>
  </si>
  <si>
    <t>Return on Common Equity</t>
  </si>
  <si>
    <t>d</t>
  </si>
  <si>
    <t>Kentucky Power Allowed Retail ROE</t>
  </si>
  <si>
    <t>Commission Order in Case No. 2020-00174</t>
  </si>
  <si>
    <t>If D &lt; C, Stop</t>
  </si>
  <si>
    <t>If D &gt; C, Continue to Part e</t>
  </si>
  <si>
    <t>e = (b*d)-a</t>
  </si>
  <si>
    <t>Net GAAP Income Increase Required to Earn Allowed Retail ROE</t>
  </si>
  <si>
    <t>f</t>
  </si>
  <si>
    <t>Gross Revenue Conversion Factor</t>
  </si>
  <si>
    <t>g = e*f</t>
  </si>
  <si>
    <t>= g</t>
  </si>
  <si>
    <t>Amount to Be Recovered Through Tariff PPA</t>
  </si>
  <si>
    <t>2024 Rockport Offset True-up (Actual - Estimate)</t>
  </si>
  <si>
    <t>Net Impact</t>
  </si>
  <si>
    <t>Actuals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</t>
  </si>
  <si>
    <t>Rockport UPA Expires December 7, 2022</t>
  </si>
  <si>
    <t>Expense Year</t>
  </si>
  <si>
    <t>Expense Month</t>
  </si>
  <si>
    <t xml:space="preserve">Mitchell Non-FGD CRR </t>
  </si>
  <si>
    <t>Mitchell FGD CRR</t>
  </si>
  <si>
    <t>Rockport CRR</t>
  </si>
  <si>
    <t>Emission Allowance Sales CRR</t>
  </si>
  <si>
    <t>Mitchell Non-FGD BRR</t>
  </si>
  <si>
    <t>Rockport BRR</t>
  </si>
  <si>
    <t>Emission Allowance Sales BRR</t>
  </si>
  <si>
    <t>Current ES</t>
  </si>
  <si>
    <t>Retail Allocation Factor</t>
  </si>
  <si>
    <t>Retail</t>
  </si>
  <si>
    <t>12 Mos Ended July 2022 Retail Rockport CRR - BRR</t>
  </si>
  <si>
    <t>Current Mo Retail RP E(m)</t>
  </si>
  <si>
    <t>Increase/(Decrease) to RP E(m)</t>
  </si>
  <si>
    <t>Estimated 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</t>
  </si>
  <si>
    <t>Declining Rockport Deferral</t>
  </si>
  <si>
    <t>Fixed Cost Credit</t>
  </si>
  <si>
    <t>ROE Offset</t>
  </si>
  <si>
    <t>WACC</t>
  </si>
  <si>
    <t>Jan 2018 - Jan 13 2021</t>
  </si>
  <si>
    <t>Jan 14 2021 - Current</t>
  </si>
  <si>
    <t>Monthly</t>
  </si>
  <si>
    <t>Monthly Payment</t>
  </si>
  <si>
    <t>Debt</t>
  </si>
  <si>
    <t>Retail Revenue Requirement</t>
  </si>
  <si>
    <t>Equity</t>
  </si>
  <si>
    <t>Monthly WACC</t>
  </si>
  <si>
    <t>Month</t>
  </si>
  <si>
    <t>Additions</t>
  </si>
  <si>
    <t>Levelized Payment</t>
  </si>
  <si>
    <t>Calculated Change in RA</t>
  </si>
  <si>
    <t>Month End Reg Asset Balance Excl. CC</t>
  </si>
  <si>
    <t>ADIT on RA</t>
  </si>
  <si>
    <t>ADIT Balance</t>
  </si>
  <si>
    <t>Balance of Components Subject to WACC</t>
  </si>
  <si>
    <t>Carrying Charges on Principal net of ADIT only</t>
  </si>
  <si>
    <t>Carrying Charges on Total Reg Asset net of ADIT</t>
  </si>
  <si>
    <t>Month End Reg Asset Balance</t>
  </si>
  <si>
    <t>Dec 1 - Dec 8, 2022</t>
  </si>
  <si>
    <t>Dec 9 - Dec 31, 2022</t>
  </si>
  <si>
    <t>Dec 1 - Dec 8, 2027</t>
  </si>
  <si>
    <t>Totals</t>
  </si>
  <si>
    <t>January  2021 Prorate</t>
  </si>
  <si>
    <t>Exhibit BKW-2 (Errata)</t>
  </si>
  <si>
    <t>Days of the Month</t>
  </si>
  <si>
    <t>MW Purchased</t>
  </si>
  <si>
    <t>$/MW-Day</t>
  </si>
  <si>
    <t>Actuals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</t>
  </si>
  <si>
    <t>Identifiable Rockport Fuel</t>
  </si>
  <si>
    <t>Recovery of Deferral*</t>
  </si>
  <si>
    <t>*Assumes a 5-year amortization</t>
  </si>
  <si>
    <t>Sum Through May 2025</t>
  </si>
  <si>
    <t>Cost</t>
  </si>
  <si>
    <t>Notes</t>
  </si>
  <si>
    <t>ROE True Up**</t>
  </si>
  <si>
    <t>Forecasted Replacement Capacity</t>
  </si>
  <si>
    <t>** ROE True-Up assumes the entirety of the Fixed Cost Savings is required for the Company to earn its Commission-authorized ROE for 2023. See 2017-00179 Settlement Agreement at pages 7 and 8.</t>
  </si>
  <si>
    <t>Check</t>
  </si>
  <si>
    <t>Analysis does not reflect any changes resulting from any base case filing or proceeding after Case No. 2017-00179.</t>
  </si>
  <si>
    <t>Analysis does not reflect an estimate for any potential future additional energy purchases required to meet load to replace Rockport energy.</t>
  </si>
  <si>
    <t>ROE Offset**</t>
  </si>
  <si>
    <t>ROE Offset True-Up***</t>
  </si>
  <si>
    <t xml:space="preserve">** ROE Offset based upon Company’s calculation using the per books results for the twelve months ended June 30, 2022.  </t>
  </si>
  <si>
    <t>Net Customer Impact</t>
  </si>
  <si>
    <t>December 8, 2022 through      December 31, 2022</t>
  </si>
  <si>
    <t>As Recommended by AG/KIUC</t>
  </si>
  <si>
    <t>Notes:</t>
  </si>
  <si>
    <t xml:space="preserve">         June 30, 2022.</t>
  </si>
  <si>
    <t>*** ROE True-Up assumes the entirety of the Fixed Cost Savings is required for the Company to earn its Commission</t>
  </si>
  <si>
    <t xml:space="preserve">        authorized ROE for 2023 based on the Company's response to Staff 2-6.</t>
  </si>
  <si>
    <t>*** ROE Offset True-Up set to zero based on setting the ROE Offset on the per books results for the twelve months ended</t>
  </si>
  <si>
    <t>Kentucky Power Company</t>
  </si>
  <si>
    <t>(Negative Amounts Reflect Savings to Customers)</t>
  </si>
  <si>
    <t>Change in Tariff PPA Due to Termination of Rockport UPA</t>
  </si>
  <si>
    <t>As Estimated by the Company in Response to Staff 2-6</t>
  </si>
  <si>
    <t>*Assumes a 5-year levelized amortization based on Company's corrected calculation in response to Staff 2-6.</t>
  </si>
  <si>
    <t>Declining Rockport Deferral****</t>
  </si>
  <si>
    <t>Fixed Cost Credit****</t>
  </si>
  <si>
    <t>****These amounts will not be included in Tariff PPA after base rates are reset on or about January 1,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</si>
</sst>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  <numFmt numFmtId="167" formatCode="0_);\(0\)"/>
    <numFmt numFmtId="168" formatCode="0.000000"/>
    <numFmt numFmtId="169" formatCode="0.00000"/>
    <numFmt numFmtId="170" formatCode="_(&quot;$&quot;* #,##0_);_(&quot;$&quot;* \(#,##0\);_(&quot;$&quot;* &quot;-&quot;????_);_(@_)"/>
    <numFmt numFmtId="171" formatCode="0.0000%"/>
    <numFmt numFmtId="172" formatCode="[$-409]mmmm\-yy;@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Arial"/>
      <family val="2"/>
    </font>
    <font>
      <sz val="10"/>
      <name val="Arial Unicode MS"/>
      <family val="2"/>
    </font>
    <font>
      <b/>
      <sz val="10"/>
      <color rgb="FFFF0000"/>
      <name val="Times New Roman"/>
      <family val="1"/>
    </font>
    <font>
      <b/>
      <i/>
      <u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44" fontId="4" fillId="0" borderId="0" applyFont="0" applyFill="0" applyBorder="0" applyAlignment="0" applyProtection="0"/>
    <xf numFmtId="0" fontId="4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</cellStyleXfs>
  <cellXfs count="119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2" applyNumberFormat="1" applyFont="1"/>
    <xf numFmtId="6" fontId="3" fillId="0" borderId="0" xfId="0" applyNumberFormat="1" applyFont="1"/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3" borderId="0" xfId="0" applyFont="1" applyFill="1"/>
    <xf numFmtId="0" fontId="6" fillId="3" borderId="0" xfId="0" applyFont="1" applyFill="1"/>
    <xf numFmtId="167" fontId="2" fillId="3" borderId="0" xfId="0" applyNumberFormat="1" applyFont="1" applyFill="1" applyAlignment="1">
      <alignment horizontal="center"/>
    </xf>
    <xf numFmtId="164" fontId="3" fillId="3" borderId="0" xfId="2" applyNumberFormat="1" applyFont="1" applyFill="1"/>
    <xf numFmtId="44" fontId="3" fillId="3" borderId="0" xfId="0" applyNumberFormat="1" applyFont="1" applyFill="1"/>
    <xf numFmtId="17" fontId="3" fillId="0" borderId="0" xfId="0" applyNumberFormat="1" applyFont="1"/>
    <xf numFmtId="0" fontId="7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top"/>
    </xf>
    <xf numFmtId="0" fontId="3" fillId="3" borderId="0" xfId="0" applyFont="1" applyFill="1" applyAlignment="1">
      <alignment horizontal="center" vertical="top"/>
    </xf>
    <xf numFmtId="0" fontId="3" fillId="3" borderId="0" xfId="0" applyFont="1" applyFill="1" applyAlignment="1">
      <alignment vertical="top"/>
    </xf>
    <xf numFmtId="164" fontId="3" fillId="3" borderId="0" xfId="2" applyNumberFormat="1" applyFont="1" applyFill="1" applyAlignment="1">
      <alignment vertical="top"/>
    </xf>
    <xf numFmtId="0" fontId="3" fillId="3" borderId="0" xfId="0" applyFont="1" applyFill="1" applyAlignment="1">
      <alignment vertical="top" wrapText="1"/>
    </xf>
    <xf numFmtId="0" fontId="3" fillId="3" borderId="2" xfId="0" applyFont="1" applyFill="1" applyBorder="1" applyAlignment="1">
      <alignment vertical="top"/>
    </xf>
    <xf numFmtId="164" fontId="3" fillId="3" borderId="2" xfId="2" applyNumberFormat="1" applyFont="1" applyFill="1" applyBorder="1" applyAlignment="1">
      <alignment vertical="top"/>
    </xf>
    <xf numFmtId="0" fontId="3" fillId="3" borderId="0" xfId="0" applyFont="1" applyFill="1" applyAlignment="1">
      <alignment horizontal="center"/>
    </xf>
    <xf numFmtId="10" fontId="3" fillId="3" borderId="0" xfId="3" applyNumberFormat="1" applyFont="1" applyFill="1"/>
    <xf numFmtId="164" fontId="3" fillId="3" borderId="0" xfId="0" applyNumberFormat="1" applyFont="1" applyFill="1"/>
    <xf numFmtId="44" fontId="3" fillId="3" borderId="0" xfId="2" applyFont="1" applyFill="1"/>
    <xf numFmtId="10" fontId="3" fillId="3" borderId="0" xfId="3" applyNumberFormat="1" applyFont="1" applyFill="1" applyBorder="1"/>
    <xf numFmtId="10" fontId="3" fillId="3" borderId="0" xfId="0" applyNumberFormat="1" applyFont="1" applyFill="1"/>
    <xf numFmtId="0" fontId="3" fillId="3" borderId="2" xfId="0" applyFont="1" applyFill="1" applyBorder="1" applyAlignment="1">
      <alignment horizontal="center" wrapText="1"/>
    </xf>
    <xf numFmtId="164" fontId="3" fillId="3" borderId="2" xfId="0" applyNumberFormat="1" applyFont="1" applyFill="1" applyBorder="1"/>
    <xf numFmtId="168" fontId="3" fillId="3" borderId="0" xfId="0" applyNumberFormat="1" applyFont="1" applyFill="1"/>
    <xf numFmtId="169" fontId="3" fillId="3" borderId="0" xfId="0" applyNumberFormat="1" applyFont="1" applyFill="1"/>
    <xf numFmtId="0" fontId="3" fillId="3" borderId="0" xfId="0" quotePrefix="1" applyFont="1" applyFill="1" applyAlignment="1">
      <alignment horizontal="center"/>
    </xf>
    <xf numFmtId="0" fontId="8" fillId="3" borderId="0" xfId="0" applyFont="1" applyFill="1"/>
    <xf numFmtId="164" fontId="8" fillId="3" borderId="0" xfId="0" applyNumberFormat="1" applyFont="1" applyFill="1"/>
    <xf numFmtId="170" fontId="3" fillId="3" borderId="0" xfId="0" applyNumberFormat="1" applyFont="1" applyFill="1"/>
    <xf numFmtId="170" fontId="2" fillId="3" borderId="0" xfId="0" applyNumberFormat="1" applyFont="1" applyFill="1"/>
    <xf numFmtId="0" fontId="8" fillId="3" borderId="2" xfId="0" applyFont="1" applyFill="1" applyBorder="1"/>
    <xf numFmtId="170" fontId="8" fillId="3" borderId="2" xfId="0" applyNumberFormat="1" applyFont="1" applyFill="1" applyBorder="1"/>
    <xf numFmtId="170" fontId="8" fillId="3" borderId="0" xfId="0" applyNumberFormat="1" applyFont="1" applyFill="1"/>
    <xf numFmtId="0" fontId="2" fillId="0" borderId="0" xfId="7" quotePrefix="1" applyFont="1" applyAlignment="1">
      <alignment horizontal="right"/>
    </xf>
    <xf numFmtId="0" fontId="2" fillId="0" borderId="0" xfId="0" applyFont="1"/>
    <xf numFmtId="0" fontId="2" fillId="0" borderId="0" xfId="7" applyFont="1" applyAlignment="1">
      <alignment horizontal="center"/>
    </xf>
    <xf numFmtId="0" fontId="2" fillId="0" borderId="1" xfId="7" quotePrefix="1" applyFont="1" applyBorder="1" applyAlignment="1">
      <alignment horizontal="right"/>
    </xf>
    <xf numFmtId="0" fontId="2" fillId="0" borderId="1" xfId="7" quotePrefix="1" applyFont="1" applyBorder="1" applyAlignment="1">
      <alignment horizontal="center"/>
    </xf>
    <xf numFmtId="0" fontId="2" fillId="0" borderId="0" xfId="7" quotePrefix="1" applyFont="1" applyAlignment="1">
      <alignment horizontal="left"/>
    </xf>
    <xf numFmtId="6" fontId="3" fillId="2" borderId="0" xfId="0" applyNumberFormat="1" applyFont="1" applyFill="1"/>
    <xf numFmtId="165" fontId="3" fillId="0" borderId="0" xfId="0" applyNumberFormat="1" applyFont="1"/>
    <xf numFmtId="165" fontId="3" fillId="2" borderId="0" xfId="0" applyNumberFormat="1" applyFont="1" applyFill="1"/>
    <xf numFmtId="0" fontId="2" fillId="4" borderId="0" xfId="7" quotePrefix="1" applyFont="1" applyFill="1" applyAlignment="1">
      <alignment horizontal="right"/>
    </xf>
    <xf numFmtId="0" fontId="3" fillId="4" borderId="0" xfId="0" applyFont="1" applyFill="1"/>
    <xf numFmtId="0" fontId="1" fillId="3" borderId="0" xfId="7" applyFill="1"/>
    <xf numFmtId="0" fontId="10" fillId="3" borderId="0" xfId="7" applyFont="1" applyFill="1"/>
    <xf numFmtId="0" fontId="11" fillId="3" borderId="0" xfId="7" applyFont="1" applyFill="1"/>
    <xf numFmtId="166" fontId="1" fillId="3" borderId="0" xfId="1" applyNumberFormat="1" applyFill="1"/>
    <xf numFmtId="10" fontId="1" fillId="3" borderId="0" xfId="8" applyNumberFormat="1" applyFont="1" applyFill="1"/>
    <xf numFmtId="171" fontId="1" fillId="3" borderId="0" xfId="8" applyNumberFormat="1" applyFont="1" applyFill="1"/>
    <xf numFmtId="10" fontId="1" fillId="3" borderId="0" xfId="3" applyNumberFormat="1" applyFill="1"/>
    <xf numFmtId="6" fontId="1" fillId="3" borderId="0" xfId="9" applyNumberFormat="1" applyFont="1" applyFill="1"/>
    <xf numFmtId="43" fontId="1" fillId="3" borderId="0" xfId="9" applyFont="1" applyFill="1"/>
    <xf numFmtId="171" fontId="1" fillId="3" borderId="0" xfId="3" applyNumberFormat="1" applyFill="1"/>
    <xf numFmtId="43" fontId="1" fillId="3" borderId="0" xfId="7" applyNumberFormat="1" applyFill="1" applyAlignment="1">
      <alignment horizontal="center"/>
    </xf>
    <xf numFmtId="166" fontId="1" fillId="3" borderId="0" xfId="7" applyNumberFormat="1" applyFill="1" applyAlignment="1">
      <alignment horizontal="center"/>
    </xf>
    <xf numFmtId="0" fontId="11" fillId="3" borderId="0" xfId="7" applyFont="1" applyFill="1" applyAlignment="1">
      <alignment horizontal="center"/>
    </xf>
    <xf numFmtId="171" fontId="1" fillId="3" borderId="0" xfId="8" applyNumberFormat="1" applyFont="1" applyFill="1" applyAlignment="1">
      <alignment horizontal="center"/>
    </xf>
    <xf numFmtId="0" fontId="1" fillId="3" borderId="0" xfId="7" applyFill="1" applyAlignment="1">
      <alignment horizontal="center"/>
    </xf>
    <xf numFmtId="0" fontId="1" fillId="3" borderId="0" xfId="7" applyFill="1" applyAlignment="1">
      <alignment horizontal="center" wrapText="1"/>
    </xf>
    <xf numFmtId="0" fontId="9" fillId="3" borderId="0" xfId="7" applyFont="1" applyFill="1" applyAlignment="1">
      <alignment horizontal="center" wrapText="1"/>
    </xf>
    <xf numFmtId="172" fontId="1" fillId="3" borderId="0" xfId="7" applyNumberFormat="1" applyFill="1"/>
    <xf numFmtId="166" fontId="1" fillId="3" borderId="0" xfId="9" applyNumberFormat="1" applyFont="1" applyFill="1"/>
    <xf numFmtId="166" fontId="9" fillId="3" borderId="0" xfId="9" applyNumberFormat="1" applyFont="1" applyFill="1"/>
    <xf numFmtId="166" fontId="1" fillId="3" borderId="0" xfId="9" applyNumberFormat="1" applyFont="1" applyFill="1" applyBorder="1"/>
    <xf numFmtId="166" fontId="1" fillId="3" borderId="0" xfId="10" applyNumberFormat="1" applyFont="1" applyFill="1"/>
    <xf numFmtId="166" fontId="1" fillId="3" borderId="0" xfId="7" applyNumberFormat="1" applyFill="1"/>
    <xf numFmtId="172" fontId="1" fillId="3" borderId="0" xfId="7" applyNumberFormat="1" applyFill="1" applyAlignment="1">
      <alignment horizontal="right"/>
    </xf>
    <xf numFmtId="0" fontId="2" fillId="0" borderId="0" xfId="0" applyFont="1" applyAlignment="1">
      <alignment wrapText="1"/>
    </xf>
    <xf numFmtId="44" fontId="0" fillId="0" borderId="0" xfId="0" applyNumberFormat="1"/>
    <xf numFmtId="0" fontId="11" fillId="3" borderId="0" xfId="7" applyFont="1" applyFill="1" applyAlignment="1">
      <alignment horizontal="right"/>
    </xf>
    <xf numFmtId="6" fontId="3" fillId="0" borderId="0" xfId="2" applyNumberFormat="1" applyFont="1"/>
    <xf numFmtId="164" fontId="3" fillId="0" borderId="0" xfId="0" applyNumberFormat="1" applyFont="1"/>
    <xf numFmtId="0" fontId="2" fillId="0" borderId="1" xfId="0" applyFont="1" applyBorder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6" fontId="2" fillId="0" borderId="0" xfId="0" applyNumberFormat="1" applyFont="1"/>
    <xf numFmtId="6" fontId="2" fillId="0" borderId="1" xfId="0" applyNumberFormat="1" applyFont="1" applyBorder="1"/>
    <xf numFmtId="6" fontId="3" fillId="0" borderId="1" xfId="0" applyNumberFormat="1" applyFont="1" applyBorder="1"/>
    <xf numFmtId="6" fontId="2" fillId="0" borderId="0" xfId="0" applyNumberFormat="1" applyFont="1" applyAlignment="1">
      <alignment wrapText="1"/>
    </xf>
    <xf numFmtId="0" fontId="3" fillId="0" borderId="0" xfId="0" applyFont="1" applyAlignment="1">
      <alignment horizontal="center" vertical="center"/>
    </xf>
    <xf numFmtId="0" fontId="13" fillId="0" borderId="0" xfId="0" applyFont="1"/>
    <xf numFmtId="0" fontId="2" fillId="0" borderId="1" xfId="0" applyFont="1" applyBorder="1" applyAlignment="1">
      <alignment wrapText="1"/>
    </xf>
    <xf numFmtId="0" fontId="3" fillId="0" borderId="0" xfId="0" applyFont="1" applyAlignment="1">
      <alignment horizontal="left"/>
    </xf>
    <xf numFmtId="6" fontId="3" fillId="0" borderId="2" xfId="0" applyNumberFormat="1" applyFont="1" applyBorder="1"/>
    <xf numFmtId="6" fontId="3" fillId="0" borderId="4" xfId="0" applyNumberFormat="1" applyFont="1" applyBorder="1"/>
    <xf numFmtId="0" fontId="3" fillId="0" borderId="5" xfId="0" applyFont="1" applyBorder="1"/>
    <xf numFmtId="0" fontId="3" fillId="0" borderId="6" xfId="0" applyFont="1" applyBorder="1" applyAlignment="1">
      <alignment wrapText="1"/>
    </xf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/>
    <xf numFmtId="0" fontId="3" fillId="0" borderId="2" xfId="0" applyFont="1" applyBorder="1" applyAlignment="1">
      <alignment wrapText="1"/>
    </xf>
    <xf numFmtId="0" fontId="3" fillId="0" borderId="2" xfId="0" applyFont="1" applyBorder="1"/>
    <xf numFmtId="0" fontId="3" fillId="0" borderId="11" xfId="0" applyFont="1" applyBorder="1"/>
    <xf numFmtId="0" fontId="3" fillId="0" borderId="0" xfId="0" quotePrefix="1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6" fontId="3" fillId="0" borderId="3" xfId="0" applyNumberFormat="1" applyFont="1" applyBorder="1" applyAlignment="1">
      <alignment wrapText="1"/>
    </xf>
    <xf numFmtId="0" fontId="3" fillId="0" borderId="0" xfId="0" applyFont="1" applyAlignment="1">
      <alignment horizontal="centerContinuous"/>
    </xf>
    <xf numFmtId="0" fontId="3" fillId="0" borderId="0" xfId="0" quotePrefix="1" applyFont="1" applyAlignment="1">
      <alignment horizontal="left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3" borderId="0" xfId="7" applyFill="1" applyAlignment="1">
      <alignment horizontal="center"/>
    </xf>
    <xf numFmtId="0" fontId="2" fillId="3" borderId="2" xfId="0" applyFont="1" applyFill="1" applyBorder="1" applyAlignment="1">
      <alignment horizontal="center"/>
    </xf>
  </cellXfs>
  <cellStyles count="12">
    <cellStyle name="Comma" xfId="1" builtinId="3"/>
    <cellStyle name="Comma 17 4" xfId="10"/>
    <cellStyle name="Comma 3" xfId="9"/>
    <cellStyle name="Currency" xfId="2" builtinId="4"/>
    <cellStyle name="Currency 2" xfId="5"/>
    <cellStyle name="Normal" xfId="0" builtinId="0"/>
    <cellStyle name="Normal 13 2" xfId="4"/>
    <cellStyle name="Normal 2" xfId="6"/>
    <cellStyle name="Normal 2 2 6" xfId="7"/>
    <cellStyle name="Normal 3" xfId="11"/>
    <cellStyle name="Percent" xfId="3" builtinId="5"/>
    <cellStyle name="Percent 2 5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17</xdr:col>
      <xdr:colOff>333375</xdr:colOff>
      <xdr:row>31</xdr:row>
      <xdr:rowOff>139749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2484444-E5E8-4367-BD45-BF1DD5D8C4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10915650" cy="60452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nal/Regulatory%20Services/2014%20Compliance%20Plan/Workpapers/Mitchell%20Environmental%20Expenses,%201-1-14%20--%209-30-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VY"/>
      <sheetName val="FGD"/>
      <sheetName val="Non-FGD"/>
      <sheetName val="Depreciation"/>
      <sheetName val="February"/>
      <sheetName val="March"/>
      <sheetName val="April"/>
      <sheetName val="May"/>
      <sheetName val="June"/>
      <sheetName val="July"/>
      <sheetName val="August"/>
      <sheetName val="September"/>
      <sheetName val="October"/>
      <sheetName val="ADFIT"/>
      <sheetName val="S2"/>
      <sheetName val="AN"/>
      <sheetName val="NOx"/>
      <sheetName val="Cash Working Capital"/>
      <sheetName val="Property Tax"/>
      <sheetName val="Summary"/>
      <sheetName val="Precipitator O &amp; 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2">
          <cell r="B2">
            <v>2.1464E-2</v>
          </cell>
        </row>
        <row r="4">
          <cell r="B4">
            <v>0.6</v>
          </cell>
        </row>
        <row r="6">
          <cell r="B6">
            <v>0.05</v>
          </cell>
        </row>
      </sheetData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showGridLines="0" tabSelected="1" topLeftCell="A12" zoomScaleNormal="100" workbookViewId="0">
      <selection activeCell="E37" sqref="E37"/>
    </sheetView>
  </sheetViews>
  <sheetFormatPr defaultColWidth="9.1796875" defaultRowHeight="13"/>
  <cols>
    <col min="1" max="1" width="8.453125" style="2" customWidth="1"/>
    <col min="2" max="2" width="28.81640625" style="1" customWidth="1"/>
    <col min="3" max="3" width="16.7265625" style="1" customWidth="1"/>
    <col min="4" max="4" width="16.7265625" style="2" customWidth="1"/>
    <col min="5" max="5" width="20.81640625" style="2" customWidth="1"/>
    <col min="6" max="6" width="10.54296875" style="2" customWidth="1"/>
    <col min="7" max="16384" width="9.1796875" style="2"/>
  </cols>
  <sheetData>
    <row r="1" spans="1:11" ht="6" customHeight="1">
      <c r="A1" s="96"/>
      <c r="B1" s="97"/>
      <c r="C1" s="97"/>
      <c r="D1" s="98"/>
      <c r="E1" s="98"/>
      <c r="F1" s="99"/>
    </row>
    <row r="2" spans="1:11" ht="15" customHeight="1">
      <c r="A2" s="100"/>
      <c r="B2" s="114" t="s">
        <v>123</v>
      </c>
      <c r="C2" s="114"/>
      <c r="D2" s="114"/>
      <c r="E2" s="114"/>
      <c r="F2" s="101"/>
    </row>
    <row r="3" spans="1:11" ht="15.5">
      <c r="A3" s="100"/>
      <c r="B3" s="114" t="s">
        <v>125</v>
      </c>
      <c r="C3" s="114"/>
      <c r="D3" s="114"/>
      <c r="E3" s="114"/>
      <c r="F3" s="101"/>
    </row>
    <row r="4" spans="1:11" ht="15.5">
      <c r="A4" s="100"/>
      <c r="B4" s="114" t="s">
        <v>126</v>
      </c>
      <c r="C4" s="114"/>
      <c r="D4" s="114"/>
      <c r="E4" s="114"/>
      <c r="F4" s="101"/>
      <c r="I4" s="112"/>
      <c r="J4" s="112"/>
      <c r="K4" s="112"/>
    </row>
    <row r="5" spans="1:11" ht="15.5">
      <c r="A5" s="100"/>
      <c r="B5" s="114" t="s">
        <v>124</v>
      </c>
      <c r="C5" s="114"/>
      <c r="D5" s="114"/>
      <c r="E5" s="114"/>
      <c r="F5" s="101"/>
    </row>
    <row r="6" spans="1:11">
      <c r="A6" s="100"/>
      <c r="F6" s="101"/>
    </row>
    <row r="7" spans="1:11" s="83" customFormat="1" ht="39.5" thickBot="1">
      <c r="A7" s="102"/>
      <c r="B7" s="109"/>
      <c r="C7" s="109" t="s">
        <v>116</v>
      </c>
      <c r="D7" s="110">
        <v>2023</v>
      </c>
      <c r="E7" s="110">
        <v>2024</v>
      </c>
      <c r="F7" s="103"/>
    </row>
    <row r="8" spans="1:11">
      <c r="A8" s="100"/>
      <c r="B8" s="2" t="s">
        <v>101</v>
      </c>
      <c r="C8" s="5">
        <f>$C$32</f>
        <v>873516.74848149216</v>
      </c>
      <c r="D8" s="5">
        <f>SUM('Net Impact'!C3:N3)</f>
        <v>13539509.601463126</v>
      </c>
      <c r="E8" s="5">
        <f>SUM('Net Impact'!O3:Z3)</f>
        <v>13539509.601463126</v>
      </c>
      <c r="F8" s="101"/>
    </row>
    <row r="9" spans="1:11">
      <c r="A9" s="100"/>
      <c r="B9" s="2" t="s">
        <v>128</v>
      </c>
      <c r="C9" s="5">
        <f t="shared" ref="C9:C13" si="0">C33</f>
        <v>-645161.29032258061</v>
      </c>
      <c r="D9" s="5">
        <f>SUM('Net Impact'!C4:N4)</f>
        <v>-10000000</v>
      </c>
      <c r="E9" s="5">
        <v>0</v>
      </c>
      <c r="F9" s="101"/>
    </row>
    <row r="10" spans="1:11">
      <c r="A10" s="100"/>
      <c r="B10" s="2" t="s">
        <v>129</v>
      </c>
      <c r="C10" s="5">
        <f t="shared" si="0"/>
        <v>-2634267.1684706514</v>
      </c>
      <c r="D10" s="5">
        <f>SUM('Net Impact'!C5:N5)</f>
        <v>-40831141.111295082</v>
      </c>
      <c r="E10" s="5">
        <v>0</v>
      </c>
      <c r="F10" s="101"/>
    </row>
    <row r="11" spans="1:11">
      <c r="A11" s="100"/>
      <c r="B11" s="2" t="s">
        <v>112</v>
      </c>
      <c r="C11" s="5">
        <f t="shared" si="0"/>
        <v>0</v>
      </c>
      <c r="D11" s="5">
        <f>SUM('Net Impact'!C6:N6)</f>
        <v>22785645.301422406</v>
      </c>
      <c r="E11" s="5">
        <v>0</v>
      </c>
      <c r="F11" s="101"/>
    </row>
    <row r="12" spans="1:11">
      <c r="A12" s="100"/>
      <c r="B12" s="2" t="s">
        <v>113</v>
      </c>
      <c r="C12" s="5">
        <f t="shared" si="0"/>
        <v>0</v>
      </c>
      <c r="D12" s="5">
        <v>0</v>
      </c>
      <c r="E12" s="5">
        <f>SUM('Net Impact'!O7:Z7)</f>
        <v>18045495.809872683</v>
      </c>
      <c r="F12" s="101"/>
    </row>
    <row r="13" spans="1:11">
      <c r="A13" s="100"/>
      <c r="B13" s="2" t="s">
        <v>107</v>
      </c>
      <c r="C13" s="5">
        <f t="shared" si="0"/>
        <v>182880.00000000003</v>
      </c>
      <c r="D13" s="5">
        <f>SUM('Net Impact'!C8:N8)</f>
        <v>1663348.1640000001</v>
      </c>
      <c r="E13" s="5">
        <f>SUM('Net Impact'!O8:Z8)</f>
        <v>1288660.7520000001</v>
      </c>
      <c r="F13" s="101"/>
    </row>
    <row r="14" spans="1:11" ht="13.5" thickBot="1">
      <c r="A14" s="100"/>
      <c r="B14" s="1" t="s">
        <v>115</v>
      </c>
      <c r="C14" s="111">
        <f t="shared" ref="C14:E14" si="1">SUM(C8:C13)</f>
        <v>-2223031.7103117397</v>
      </c>
      <c r="D14" s="111">
        <f t="shared" si="1"/>
        <v>-12842638.044409551</v>
      </c>
      <c r="E14" s="111">
        <f t="shared" si="1"/>
        <v>32873666.163335811</v>
      </c>
      <c r="F14" s="101"/>
    </row>
    <row r="15" spans="1:11" ht="13.5" thickTop="1">
      <c r="A15" s="100"/>
      <c r="F15" s="101"/>
    </row>
    <row r="16" spans="1:11">
      <c r="A16" s="100"/>
      <c r="B16" s="1" t="s">
        <v>118</v>
      </c>
      <c r="F16" s="101"/>
    </row>
    <row r="17" spans="1:6">
      <c r="A17" s="100"/>
      <c r="B17" s="115" t="s">
        <v>127</v>
      </c>
      <c r="C17" s="115"/>
      <c r="D17" s="115"/>
      <c r="E17" s="115"/>
      <c r="F17" s="101"/>
    </row>
    <row r="18" spans="1:6">
      <c r="A18" s="100"/>
      <c r="B18" s="93" t="s">
        <v>114</v>
      </c>
      <c r="C18" s="93"/>
      <c r="D18" s="93"/>
      <c r="E18" s="93"/>
      <c r="F18" s="101"/>
    </row>
    <row r="19" spans="1:6">
      <c r="A19" s="100"/>
      <c r="B19" s="2" t="s">
        <v>120</v>
      </c>
      <c r="C19" s="2"/>
      <c r="F19" s="101"/>
    </row>
    <row r="20" spans="1:6" ht="12" customHeight="1">
      <c r="A20" s="100"/>
      <c r="B20" s="2" t="s">
        <v>121</v>
      </c>
      <c r="F20" s="101"/>
    </row>
    <row r="21" spans="1:6" ht="12.75" customHeight="1">
      <c r="A21" s="100"/>
      <c r="B21" s="113" t="s">
        <v>130</v>
      </c>
      <c r="F21" s="101"/>
    </row>
    <row r="22" spans="1:6" ht="4.5" customHeight="1">
      <c r="A22" s="104"/>
      <c r="B22" s="106"/>
      <c r="C22" s="105"/>
      <c r="D22" s="106"/>
      <c r="E22" s="106"/>
      <c r="F22" s="107"/>
    </row>
    <row r="25" spans="1:6" ht="6" customHeight="1">
      <c r="A25" s="96"/>
      <c r="B25" s="97"/>
      <c r="C25" s="97"/>
      <c r="D25" s="98"/>
      <c r="E25" s="98"/>
      <c r="F25" s="99"/>
    </row>
    <row r="26" spans="1:6" ht="15.5">
      <c r="A26" s="100"/>
      <c r="B26" s="114" t="s">
        <v>123</v>
      </c>
      <c r="C26" s="114"/>
      <c r="D26" s="114"/>
      <c r="E26" s="114"/>
      <c r="F26" s="101"/>
    </row>
    <row r="27" spans="1:6" ht="15.5">
      <c r="A27" s="100"/>
      <c r="B27" s="114" t="s">
        <v>125</v>
      </c>
      <c r="C27" s="114"/>
      <c r="D27" s="114"/>
      <c r="E27" s="114"/>
      <c r="F27" s="101"/>
    </row>
    <row r="28" spans="1:6" ht="15.5">
      <c r="A28" s="100"/>
      <c r="B28" s="114" t="s">
        <v>117</v>
      </c>
      <c r="C28" s="114"/>
      <c r="D28" s="114"/>
      <c r="E28" s="114"/>
      <c r="F28" s="101"/>
    </row>
    <row r="29" spans="1:6" ht="15.5">
      <c r="A29" s="100"/>
      <c r="B29" s="114" t="s">
        <v>124</v>
      </c>
      <c r="C29" s="114"/>
      <c r="D29" s="114"/>
      <c r="E29" s="114"/>
      <c r="F29" s="101"/>
    </row>
    <row r="30" spans="1:6">
      <c r="A30" s="100"/>
      <c r="F30" s="101"/>
    </row>
    <row r="31" spans="1:6" ht="39.5" thickBot="1">
      <c r="A31" s="100"/>
      <c r="B31" s="109"/>
      <c r="C31" s="109" t="s">
        <v>116</v>
      </c>
      <c r="D31" s="110">
        <v>2023</v>
      </c>
      <c r="E31" s="110">
        <v>2024</v>
      </c>
      <c r="F31" s="101"/>
    </row>
    <row r="32" spans="1:6">
      <c r="A32" s="100"/>
      <c r="B32" s="2" t="s">
        <v>101</v>
      </c>
      <c r="C32" s="5">
        <f>'Net Impact'!C3*24/31</f>
        <v>873516.74848149216</v>
      </c>
      <c r="D32" s="95">
        <f t="shared" ref="D32:E35" si="2">D8</f>
        <v>13539509.601463126</v>
      </c>
      <c r="E32" s="95">
        <f t="shared" si="2"/>
        <v>13539509.601463126</v>
      </c>
      <c r="F32" s="101"/>
    </row>
    <row r="33" spans="1:6">
      <c r="A33" s="100"/>
      <c r="B33" s="2" t="s">
        <v>128</v>
      </c>
      <c r="C33" s="5">
        <f>'Net Impact'!C4*24/31</f>
        <v>-645161.29032258061</v>
      </c>
      <c r="D33" s="5">
        <f t="shared" si="2"/>
        <v>-10000000</v>
      </c>
      <c r="E33" s="5">
        <f t="shared" si="2"/>
        <v>0</v>
      </c>
      <c r="F33" s="101"/>
    </row>
    <row r="34" spans="1:6">
      <c r="A34" s="100"/>
      <c r="B34" s="2" t="s">
        <v>129</v>
      </c>
      <c r="C34" s="5">
        <f>'Net Impact'!C5*24/31</f>
        <v>-2634267.1684706514</v>
      </c>
      <c r="D34" s="5">
        <f t="shared" si="2"/>
        <v>-40831141.111295082</v>
      </c>
      <c r="E34" s="5">
        <f t="shared" si="2"/>
        <v>0</v>
      </c>
      <c r="F34" s="101"/>
    </row>
    <row r="35" spans="1:6">
      <c r="A35" s="100"/>
      <c r="B35" s="2" t="s">
        <v>112</v>
      </c>
      <c r="C35" s="5">
        <v>0</v>
      </c>
      <c r="D35" s="5">
        <f t="shared" si="2"/>
        <v>22785645.301422406</v>
      </c>
      <c r="E35" s="5">
        <f t="shared" si="2"/>
        <v>0</v>
      </c>
      <c r="F35" s="101"/>
    </row>
    <row r="36" spans="1:6">
      <c r="A36" s="100"/>
      <c r="B36" s="2" t="s">
        <v>113</v>
      </c>
      <c r="C36" s="5">
        <f>'Net Impact'!C7*24/31</f>
        <v>0</v>
      </c>
      <c r="D36" s="5">
        <f>D12</f>
        <v>0</v>
      </c>
      <c r="E36" s="5">
        <v>0</v>
      </c>
      <c r="F36" s="101"/>
    </row>
    <row r="37" spans="1:6">
      <c r="A37" s="100"/>
      <c r="B37" s="2" t="s">
        <v>107</v>
      </c>
      <c r="C37" s="5">
        <f>'Net Impact'!C8*24/31</f>
        <v>182880.00000000003</v>
      </c>
      <c r="D37" s="94">
        <f>D13</f>
        <v>1663348.1640000001</v>
      </c>
      <c r="E37" s="94">
        <f>E13</f>
        <v>1288660.7520000001</v>
      </c>
      <c r="F37" s="101"/>
    </row>
    <row r="38" spans="1:6" ht="13.5" thickBot="1">
      <c r="A38" s="100"/>
      <c r="B38" s="1" t="s">
        <v>115</v>
      </c>
      <c r="C38" s="111">
        <f t="shared" ref="C38:E38" si="3">SUM(C32:C37)</f>
        <v>-2223031.7103117397</v>
      </c>
      <c r="D38" s="111">
        <f t="shared" si="3"/>
        <v>-12842638.044409551</v>
      </c>
      <c r="E38" s="111">
        <f t="shared" si="3"/>
        <v>14828170.353463126</v>
      </c>
      <c r="F38" s="101"/>
    </row>
    <row r="39" spans="1:6" ht="13.5" thickTop="1">
      <c r="A39" s="100"/>
      <c r="F39" s="101"/>
    </row>
    <row r="40" spans="1:6">
      <c r="A40" s="100"/>
      <c r="B40" s="76" t="s">
        <v>118</v>
      </c>
      <c r="F40" s="101"/>
    </row>
    <row r="41" spans="1:6">
      <c r="A41" s="100"/>
      <c r="B41" s="115" t="s">
        <v>127</v>
      </c>
      <c r="C41" s="115"/>
      <c r="D41" s="115"/>
      <c r="E41" s="115"/>
      <c r="F41" s="101"/>
    </row>
    <row r="42" spans="1:6">
      <c r="A42" s="100"/>
      <c r="B42" s="93" t="s">
        <v>114</v>
      </c>
      <c r="C42" s="93"/>
      <c r="D42" s="93"/>
      <c r="E42" s="93"/>
      <c r="F42" s="101"/>
    </row>
    <row r="43" spans="1:6">
      <c r="A43" s="100"/>
      <c r="B43" s="2" t="s">
        <v>122</v>
      </c>
      <c r="C43" s="2"/>
      <c r="F43" s="101"/>
    </row>
    <row r="44" spans="1:6">
      <c r="A44" s="100"/>
      <c r="B44" s="108" t="s">
        <v>119</v>
      </c>
      <c r="F44" s="101"/>
    </row>
    <row r="45" spans="1:6">
      <c r="A45" s="100"/>
      <c r="B45" s="113" t="s">
        <v>130</v>
      </c>
      <c r="F45" s="101"/>
    </row>
    <row r="46" spans="1:6" ht="3.75" customHeight="1">
      <c r="A46" s="104"/>
      <c r="B46" s="106"/>
      <c r="C46" s="106"/>
      <c r="D46" s="106"/>
      <c r="E46" s="106"/>
      <c r="F46" s="107"/>
    </row>
  </sheetData>
  <mergeCells count="10">
    <mergeCell ref="B27:E27"/>
    <mergeCell ref="B28:E28"/>
    <mergeCell ref="B29:E29"/>
    <mergeCell ref="B41:E41"/>
    <mergeCell ref="B2:E2"/>
    <mergeCell ref="B3:E3"/>
    <mergeCell ref="B4:E4"/>
    <mergeCell ref="B5:E5"/>
    <mergeCell ref="B17:E17"/>
    <mergeCell ref="B26:E26"/>
  </mergeCells>
  <pageMargins left="0.2" right="0" top="0.75" bottom="0.25" header="0.3" footer="0.3"/>
  <pageSetup scale="61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"/>
  <sheetViews>
    <sheetView zoomScaleNormal="100" workbookViewId="0">
      <selection activeCell="C9" sqref="C9"/>
    </sheetView>
  </sheetViews>
  <sheetFormatPr defaultColWidth="9.1796875" defaultRowHeight="13"/>
  <cols>
    <col min="1" max="1" width="30.1796875" style="1" customWidth="1"/>
    <col min="2" max="2" width="15.7265625" style="1" bestFit="1" customWidth="1"/>
    <col min="3" max="3" width="13.54296875" style="2" bestFit="1" customWidth="1"/>
    <col min="4" max="31" width="12.26953125" style="2" bestFit="1" customWidth="1"/>
    <col min="32" max="16384" width="9.1796875" style="2"/>
  </cols>
  <sheetData>
    <row r="1" spans="1:31" s="83" customFormat="1">
      <c r="A1" s="82"/>
      <c r="B1" s="82"/>
      <c r="C1" s="83">
        <v>2023</v>
      </c>
      <c r="D1" s="83">
        <v>2023</v>
      </c>
      <c r="E1" s="83">
        <v>2023</v>
      </c>
      <c r="F1" s="83">
        <v>2023</v>
      </c>
      <c r="G1" s="83">
        <v>2023</v>
      </c>
      <c r="H1" s="83">
        <v>2023</v>
      </c>
      <c r="I1" s="83">
        <v>2023</v>
      </c>
      <c r="J1" s="83">
        <v>2023</v>
      </c>
      <c r="K1" s="83">
        <v>2023</v>
      </c>
      <c r="L1" s="83">
        <v>2023</v>
      </c>
      <c r="M1" s="83">
        <v>2023</v>
      </c>
      <c r="N1" s="83">
        <v>2023</v>
      </c>
      <c r="O1" s="83">
        <v>2024</v>
      </c>
      <c r="P1" s="83">
        <v>2024</v>
      </c>
      <c r="Q1" s="83">
        <v>2024</v>
      </c>
      <c r="R1" s="83">
        <v>2024</v>
      </c>
      <c r="S1" s="83">
        <v>2024</v>
      </c>
      <c r="T1" s="83">
        <v>2024</v>
      </c>
      <c r="U1" s="83">
        <v>2024</v>
      </c>
      <c r="V1" s="83">
        <v>2024</v>
      </c>
      <c r="W1" s="83">
        <v>2024</v>
      </c>
      <c r="X1" s="83">
        <v>2024</v>
      </c>
      <c r="Y1" s="83">
        <v>2024</v>
      </c>
      <c r="Z1" s="83">
        <v>2024</v>
      </c>
      <c r="AA1" s="83">
        <v>2025</v>
      </c>
      <c r="AB1" s="83">
        <v>2025</v>
      </c>
      <c r="AC1" s="83">
        <v>2025</v>
      </c>
      <c r="AD1" s="83">
        <v>2025</v>
      </c>
      <c r="AE1" s="83">
        <v>2025</v>
      </c>
    </row>
    <row r="2" spans="1:31" s="83" customFormat="1" ht="26.5" thickBot="1">
      <c r="A2" s="84"/>
      <c r="B2" s="84" t="s">
        <v>103</v>
      </c>
      <c r="C2" s="85" t="s">
        <v>9</v>
      </c>
      <c r="D2" s="85" t="s">
        <v>10</v>
      </c>
      <c r="E2" s="85" t="s">
        <v>11</v>
      </c>
      <c r="F2" s="85" t="s">
        <v>12</v>
      </c>
      <c r="G2" s="85" t="s">
        <v>13</v>
      </c>
      <c r="H2" s="85" t="s">
        <v>14</v>
      </c>
      <c r="I2" s="85" t="s">
        <v>3</v>
      </c>
      <c r="J2" s="85" t="s">
        <v>4</v>
      </c>
      <c r="K2" s="85" t="s">
        <v>5</v>
      </c>
      <c r="L2" s="85" t="s">
        <v>6</v>
      </c>
      <c r="M2" s="85" t="s">
        <v>7</v>
      </c>
      <c r="N2" s="85" t="s">
        <v>8</v>
      </c>
      <c r="O2" s="85" t="s">
        <v>9</v>
      </c>
      <c r="P2" s="85" t="s">
        <v>10</v>
      </c>
      <c r="Q2" s="85" t="s">
        <v>11</v>
      </c>
      <c r="R2" s="85" t="s">
        <v>12</v>
      </c>
      <c r="S2" s="85" t="s">
        <v>13</v>
      </c>
      <c r="T2" s="85" t="s">
        <v>14</v>
      </c>
      <c r="U2" s="85" t="s">
        <v>3</v>
      </c>
      <c r="V2" s="85" t="s">
        <v>4</v>
      </c>
      <c r="W2" s="85" t="s">
        <v>5</v>
      </c>
      <c r="X2" s="85" t="s">
        <v>6</v>
      </c>
      <c r="Y2" s="85" t="s">
        <v>7</v>
      </c>
      <c r="Z2" s="85" t="s">
        <v>8</v>
      </c>
      <c r="AA2" s="85" t="s">
        <v>9</v>
      </c>
      <c r="AB2" s="85" t="s">
        <v>10</v>
      </c>
      <c r="AC2" s="85" t="s">
        <v>11</v>
      </c>
      <c r="AD2" s="85" t="s">
        <v>12</v>
      </c>
      <c r="AE2" s="85" t="s">
        <v>13</v>
      </c>
    </row>
    <row r="3" spans="1:31">
      <c r="A3" s="42" t="s">
        <v>101</v>
      </c>
      <c r="B3" s="86">
        <f>SUM(C3:AE3)</f>
        <v>32720481.53686922</v>
      </c>
      <c r="C3" s="5">
        <f>'Errata BKWEx2'!D73</f>
        <v>1128292.4667885939</v>
      </c>
      <c r="D3" s="5">
        <f>C3</f>
        <v>1128292.4667885939</v>
      </c>
      <c r="E3" s="5">
        <f t="shared" ref="E3:AE3" si="0">D3</f>
        <v>1128292.4667885939</v>
      </c>
      <c r="F3" s="5">
        <f t="shared" si="0"/>
        <v>1128292.4667885939</v>
      </c>
      <c r="G3" s="5">
        <f t="shared" si="0"/>
        <v>1128292.4667885939</v>
      </c>
      <c r="H3" s="5">
        <f t="shared" si="0"/>
        <v>1128292.4667885939</v>
      </c>
      <c r="I3" s="5">
        <f t="shared" si="0"/>
        <v>1128292.4667885939</v>
      </c>
      <c r="J3" s="5">
        <f t="shared" si="0"/>
        <v>1128292.4667885939</v>
      </c>
      <c r="K3" s="5">
        <f t="shared" si="0"/>
        <v>1128292.4667885939</v>
      </c>
      <c r="L3" s="5">
        <f t="shared" si="0"/>
        <v>1128292.4667885939</v>
      </c>
      <c r="M3" s="5">
        <f t="shared" si="0"/>
        <v>1128292.4667885939</v>
      </c>
      <c r="N3" s="5">
        <f t="shared" si="0"/>
        <v>1128292.4667885939</v>
      </c>
      <c r="O3" s="5">
        <f t="shared" si="0"/>
        <v>1128292.4667885939</v>
      </c>
      <c r="P3" s="5">
        <f t="shared" si="0"/>
        <v>1128292.4667885939</v>
      </c>
      <c r="Q3" s="5">
        <f t="shared" si="0"/>
        <v>1128292.4667885939</v>
      </c>
      <c r="R3" s="5">
        <f t="shared" si="0"/>
        <v>1128292.4667885939</v>
      </c>
      <c r="S3" s="5">
        <f t="shared" si="0"/>
        <v>1128292.4667885939</v>
      </c>
      <c r="T3" s="5">
        <f t="shared" si="0"/>
        <v>1128292.4667885939</v>
      </c>
      <c r="U3" s="5">
        <f t="shared" si="0"/>
        <v>1128292.4667885939</v>
      </c>
      <c r="V3" s="5">
        <f t="shared" si="0"/>
        <v>1128292.4667885939</v>
      </c>
      <c r="W3" s="5">
        <f t="shared" si="0"/>
        <v>1128292.4667885939</v>
      </c>
      <c r="X3" s="5">
        <f t="shared" si="0"/>
        <v>1128292.4667885939</v>
      </c>
      <c r="Y3" s="5">
        <f t="shared" si="0"/>
        <v>1128292.4667885939</v>
      </c>
      <c r="Z3" s="5">
        <f t="shared" si="0"/>
        <v>1128292.4667885939</v>
      </c>
      <c r="AA3" s="5">
        <f t="shared" si="0"/>
        <v>1128292.4667885939</v>
      </c>
      <c r="AB3" s="5">
        <f t="shared" si="0"/>
        <v>1128292.4667885939</v>
      </c>
      <c r="AC3" s="5">
        <f t="shared" si="0"/>
        <v>1128292.4667885939</v>
      </c>
      <c r="AD3" s="5">
        <f t="shared" si="0"/>
        <v>1128292.4667885939</v>
      </c>
      <c r="AE3" s="5">
        <f t="shared" si="0"/>
        <v>1128292.4667885939</v>
      </c>
    </row>
    <row r="4" spans="1:31">
      <c r="A4" s="42" t="s">
        <v>67</v>
      </c>
      <c r="B4" s="86">
        <f t="shared" ref="B4:B11" si="1">SUM(C4:AE4)</f>
        <v>-24166666.66666666</v>
      </c>
      <c r="C4" s="5">
        <f>-10000000/12</f>
        <v>-833333.33333333337</v>
      </c>
      <c r="D4" s="5">
        <f t="shared" ref="D4:AE4" si="2">-10000000/12</f>
        <v>-833333.33333333337</v>
      </c>
      <c r="E4" s="5">
        <f t="shared" si="2"/>
        <v>-833333.33333333337</v>
      </c>
      <c r="F4" s="5">
        <f t="shared" si="2"/>
        <v>-833333.33333333337</v>
      </c>
      <c r="G4" s="5">
        <f t="shared" si="2"/>
        <v>-833333.33333333337</v>
      </c>
      <c r="H4" s="5">
        <f t="shared" si="2"/>
        <v>-833333.33333333337</v>
      </c>
      <c r="I4" s="5">
        <f t="shared" si="2"/>
        <v>-833333.33333333337</v>
      </c>
      <c r="J4" s="5">
        <f t="shared" si="2"/>
        <v>-833333.33333333337</v>
      </c>
      <c r="K4" s="5">
        <f t="shared" si="2"/>
        <v>-833333.33333333337</v>
      </c>
      <c r="L4" s="5">
        <f t="shared" si="2"/>
        <v>-833333.33333333337</v>
      </c>
      <c r="M4" s="5">
        <f t="shared" si="2"/>
        <v>-833333.33333333337</v>
      </c>
      <c r="N4" s="5">
        <f t="shared" si="2"/>
        <v>-833333.33333333337</v>
      </c>
      <c r="O4" s="5">
        <f t="shared" si="2"/>
        <v>-833333.33333333337</v>
      </c>
      <c r="P4" s="5">
        <f t="shared" si="2"/>
        <v>-833333.33333333337</v>
      </c>
      <c r="Q4" s="5">
        <f t="shared" si="2"/>
        <v>-833333.33333333337</v>
      </c>
      <c r="R4" s="5">
        <f t="shared" si="2"/>
        <v>-833333.33333333337</v>
      </c>
      <c r="S4" s="5">
        <f t="shared" si="2"/>
        <v>-833333.33333333337</v>
      </c>
      <c r="T4" s="5">
        <f t="shared" si="2"/>
        <v>-833333.33333333337</v>
      </c>
      <c r="U4" s="5">
        <f t="shared" si="2"/>
        <v>-833333.33333333337</v>
      </c>
      <c r="V4" s="5">
        <f t="shared" si="2"/>
        <v>-833333.33333333337</v>
      </c>
      <c r="W4" s="5">
        <f t="shared" si="2"/>
        <v>-833333.33333333337</v>
      </c>
      <c r="X4" s="5">
        <f t="shared" si="2"/>
        <v>-833333.33333333337</v>
      </c>
      <c r="Y4" s="5">
        <f t="shared" si="2"/>
        <v>-833333.33333333337</v>
      </c>
      <c r="Z4" s="5">
        <f t="shared" si="2"/>
        <v>-833333.33333333337</v>
      </c>
      <c r="AA4" s="5">
        <f t="shared" si="2"/>
        <v>-833333.33333333337</v>
      </c>
      <c r="AB4" s="5">
        <f t="shared" si="2"/>
        <v>-833333.33333333337</v>
      </c>
      <c r="AC4" s="5">
        <f t="shared" si="2"/>
        <v>-833333.33333333337</v>
      </c>
      <c r="AD4" s="5">
        <f t="shared" si="2"/>
        <v>-833333.33333333337</v>
      </c>
      <c r="AE4" s="5">
        <f t="shared" si="2"/>
        <v>-833333.33333333337</v>
      </c>
    </row>
    <row r="5" spans="1:31">
      <c r="A5" s="42" t="s">
        <v>68</v>
      </c>
      <c r="B5" s="86">
        <f t="shared" si="1"/>
        <v>-98675257.685629845</v>
      </c>
      <c r="C5" s="5">
        <f>-(BKWEx4!$G$7/12)</f>
        <v>-3402595.0926079247</v>
      </c>
      <c r="D5" s="5">
        <f>-(BKWEx4!$G$7/12)</f>
        <v>-3402595.0926079247</v>
      </c>
      <c r="E5" s="5">
        <f>-(BKWEx4!$G$7/12)</f>
        <v>-3402595.0926079247</v>
      </c>
      <c r="F5" s="5">
        <f>-(BKWEx4!$G$7/12)</f>
        <v>-3402595.0926079247</v>
      </c>
      <c r="G5" s="5">
        <f>-(BKWEx4!$G$7/12)</f>
        <v>-3402595.0926079247</v>
      </c>
      <c r="H5" s="5">
        <f>-(BKWEx4!$G$7/12)</f>
        <v>-3402595.0926079247</v>
      </c>
      <c r="I5" s="5">
        <f>-(BKWEx4!$G$7/12)</f>
        <v>-3402595.0926079247</v>
      </c>
      <c r="J5" s="5">
        <f>-(BKWEx4!$G$7/12)</f>
        <v>-3402595.0926079247</v>
      </c>
      <c r="K5" s="5">
        <f>-(BKWEx4!$G$7/12)</f>
        <v>-3402595.0926079247</v>
      </c>
      <c r="L5" s="5">
        <f>-(BKWEx4!$G$7/12)</f>
        <v>-3402595.0926079247</v>
      </c>
      <c r="M5" s="5">
        <f>-(BKWEx4!$G$7/12)</f>
        <v>-3402595.0926079247</v>
      </c>
      <c r="N5" s="5">
        <f>-(BKWEx4!$G$7/12)</f>
        <v>-3402595.0926079247</v>
      </c>
      <c r="O5" s="5">
        <f>-(BKWEx4!$G$7/12)</f>
        <v>-3402595.0926079247</v>
      </c>
      <c r="P5" s="5">
        <f>-(BKWEx4!$G$7/12)</f>
        <v>-3402595.0926079247</v>
      </c>
      <c r="Q5" s="5">
        <f>-(BKWEx4!$G$7/12)</f>
        <v>-3402595.0926079247</v>
      </c>
      <c r="R5" s="5">
        <f>-(BKWEx4!$G$7/12)</f>
        <v>-3402595.0926079247</v>
      </c>
      <c r="S5" s="5">
        <f>-(BKWEx4!$G$7/12)</f>
        <v>-3402595.0926079247</v>
      </c>
      <c r="T5" s="5">
        <f>-(BKWEx4!$G$7/12)</f>
        <v>-3402595.0926079247</v>
      </c>
      <c r="U5" s="5">
        <f>-(BKWEx4!$G$7/12)</f>
        <v>-3402595.0926079247</v>
      </c>
      <c r="V5" s="5">
        <f>-(BKWEx4!$G$7/12)</f>
        <v>-3402595.0926079247</v>
      </c>
      <c r="W5" s="5">
        <f>-(BKWEx4!$G$7/12)</f>
        <v>-3402595.0926079247</v>
      </c>
      <c r="X5" s="5">
        <f>-(BKWEx4!$G$7/12)</f>
        <v>-3402595.0926079247</v>
      </c>
      <c r="Y5" s="5">
        <f>-(BKWEx4!$G$7/12)</f>
        <v>-3402595.0926079247</v>
      </c>
      <c r="Z5" s="5">
        <f>-(BKWEx4!$G$7/12)</f>
        <v>-3402595.0926079247</v>
      </c>
      <c r="AA5" s="5">
        <f>-(BKWEx4!$G$7/12)</f>
        <v>-3402595.0926079247</v>
      </c>
      <c r="AB5" s="5">
        <f>-(BKWEx4!$G$7/12)</f>
        <v>-3402595.0926079247</v>
      </c>
      <c r="AC5" s="5">
        <f>-(BKWEx4!$G$7/12)</f>
        <v>-3402595.0926079247</v>
      </c>
      <c r="AD5" s="5">
        <f>-(BKWEx4!$G$7/12)</f>
        <v>-3402595.0926079247</v>
      </c>
      <c r="AE5" s="5">
        <f>-(BKWEx4!$G$7/12)</f>
        <v>-3402595.0926079247</v>
      </c>
    </row>
    <row r="6" spans="1:31">
      <c r="A6" s="42" t="s">
        <v>69</v>
      </c>
      <c r="B6" s="86">
        <f t="shared" si="1"/>
        <v>22785645.301422406</v>
      </c>
      <c r="C6" s="5">
        <f>(BKWEx4!$G$29/12)</f>
        <v>1898803.7751185345</v>
      </c>
      <c r="D6" s="5">
        <f>(BKWEx4!$G$29/12)</f>
        <v>1898803.7751185345</v>
      </c>
      <c r="E6" s="5">
        <f>(BKWEx4!$G$29/12)</f>
        <v>1898803.7751185345</v>
      </c>
      <c r="F6" s="5">
        <f>(BKWEx4!$G$29/12)</f>
        <v>1898803.7751185345</v>
      </c>
      <c r="G6" s="5">
        <f>(BKWEx4!$G$29/12)</f>
        <v>1898803.7751185345</v>
      </c>
      <c r="H6" s="5">
        <f>(BKWEx4!$G$29/12)</f>
        <v>1898803.7751185345</v>
      </c>
      <c r="I6" s="5">
        <f>(BKWEx4!$G$29/12)</f>
        <v>1898803.7751185345</v>
      </c>
      <c r="J6" s="5">
        <f>(BKWEx4!$G$29/12)</f>
        <v>1898803.7751185345</v>
      </c>
      <c r="K6" s="5">
        <f>(BKWEx4!$G$29/12)</f>
        <v>1898803.7751185345</v>
      </c>
      <c r="L6" s="5">
        <f>(BKWEx4!$G$29/12)</f>
        <v>1898803.7751185345</v>
      </c>
      <c r="M6" s="5">
        <f>(BKWEx4!$G$29/12)</f>
        <v>1898803.7751185345</v>
      </c>
      <c r="N6" s="5">
        <f>(BKWEx4!$G$29/12)</f>
        <v>1898803.7751185345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</row>
    <row r="7" spans="1:31">
      <c r="A7" s="42" t="s">
        <v>106</v>
      </c>
      <c r="B7" s="86">
        <f t="shared" si="1"/>
        <v>18045495.809872683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f>(BKWEx4!$G$7-BKWEx4!$G$29)/3</f>
        <v>6015165.269957561</v>
      </c>
      <c r="R7" s="5">
        <f>(BKWEx4!$G$7-BKWEx4!$G$29)/3</f>
        <v>6015165.269957561</v>
      </c>
      <c r="S7" s="5">
        <f>(BKWEx4!$G$7-BKWEx4!$G$29)/3</f>
        <v>6015165.269957561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</row>
    <row r="8" spans="1:31">
      <c r="A8" s="42" t="s">
        <v>107</v>
      </c>
      <c r="B8" s="86">
        <f t="shared" si="1"/>
        <v>3604328.9160000002</v>
      </c>
      <c r="C8" s="79">
        <f>'Replacement Capacity'!B6</f>
        <v>236220.00000000003</v>
      </c>
      <c r="D8" s="79">
        <f>'Replacement Capacity'!C6</f>
        <v>213360</v>
      </c>
      <c r="E8" s="79">
        <f>'Replacement Capacity'!D6</f>
        <v>236220.00000000003</v>
      </c>
      <c r="F8" s="79">
        <f>'Replacement Capacity'!E6</f>
        <v>228600</v>
      </c>
      <c r="G8" s="79">
        <f>'Replacement Capacity'!F6</f>
        <v>236220.00000000003</v>
      </c>
      <c r="H8" s="79">
        <f>'Replacement Capacity'!G6</f>
        <v>71877.78</v>
      </c>
      <c r="I8" s="79">
        <f>'Replacement Capacity'!H6</f>
        <v>74273.70600000002</v>
      </c>
      <c r="J8" s="79">
        <f>'Replacement Capacity'!I6</f>
        <v>74273.70600000002</v>
      </c>
      <c r="K8" s="79">
        <f>'Replacement Capacity'!J6</f>
        <v>71877.78</v>
      </c>
      <c r="L8" s="79">
        <f>'Replacement Capacity'!K6</f>
        <v>74273.70600000002</v>
      </c>
      <c r="M8" s="79">
        <f>'Replacement Capacity'!L6</f>
        <v>71877.78</v>
      </c>
      <c r="N8" s="79">
        <f>'Replacement Capacity'!M6</f>
        <v>74273.70600000002</v>
      </c>
      <c r="O8" s="79">
        <f>'Replacement Capacity'!N6</f>
        <v>74273.70600000002</v>
      </c>
      <c r="P8" s="79">
        <f>'Replacement Capacity'!O6</f>
        <v>69481.854000000007</v>
      </c>
      <c r="Q8" s="79">
        <f>'Replacement Capacity'!P6</f>
        <v>74273.70600000002</v>
      </c>
      <c r="R8" s="79">
        <f>'Replacement Capacity'!Q6</f>
        <v>71877.78</v>
      </c>
      <c r="S8" s="79">
        <f>'Replacement Capacity'!R6</f>
        <v>74273.70600000002</v>
      </c>
      <c r="T8" s="79">
        <f>'Replacement Capacity'!S6</f>
        <v>129600</v>
      </c>
      <c r="U8" s="79">
        <f>'Replacement Capacity'!T6</f>
        <v>133920</v>
      </c>
      <c r="V8" s="79">
        <f>'Replacement Capacity'!U6</f>
        <v>133920</v>
      </c>
      <c r="W8" s="79">
        <f>'Replacement Capacity'!V6</f>
        <v>129600</v>
      </c>
      <c r="X8" s="79">
        <f>'Replacement Capacity'!W6</f>
        <v>133920</v>
      </c>
      <c r="Y8" s="79">
        <f>'Replacement Capacity'!X6</f>
        <v>129600</v>
      </c>
      <c r="Z8" s="79">
        <f>'Replacement Capacity'!Y6</f>
        <v>133920</v>
      </c>
      <c r="AA8" s="79">
        <f>'Replacement Capacity'!Z6</f>
        <v>133920</v>
      </c>
      <c r="AB8" s="79">
        <f>'Replacement Capacity'!AA6</f>
        <v>120960</v>
      </c>
      <c r="AC8" s="79">
        <f>'Replacement Capacity'!AB6</f>
        <v>133920</v>
      </c>
      <c r="AD8" s="79">
        <f>'Replacement Capacity'!AC6</f>
        <v>129600</v>
      </c>
      <c r="AE8" s="79">
        <f>'Replacement Capacity'!AD6</f>
        <v>133920</v>
      </c>
    </row>
    <row r="9" spans="1:31">
      <c r="A9" s="42" t="s">
        <v>0</v>
      </c>
      <c r="B9" s="86">
        <f t="shared" si="1"/>
        <v>-63574406.956241727</v>
      </c>
      <c r="C9" s="5">
        <f>ES!U18</f>
        <v>-1999249.4942623421</v>
      </c>
      <c r="D9" s="5">
        <f>ES!V18</f>
        <v>-2182519.5141542163</v>
      </c>
      <c r="E9" s="5">
        <f>ES!W18</f>
        <v>-2079224.1593041255</v>
      </c>
      <c r="F9" s="5">
        <f>ES!X18</f>
        <v>-2407633.4324711873</v>
      </c>
      <c r="G9" s="5">
        <f>ES!Y18</f>
        <v>-2263423.1054293578</v>
      </c>
      <c r="H9" s="5">
        <f>ES!Z18</f>
        <v>-2131748.4069992006</v>
      </c>
      <c r="I9" s="5">
        <f>ES!AA18</f>
        <v>-2418424.7082260745</v>
      </c>
      <c r="J9" s="5">
        <f>ES!AB18</f>
        <v>-2185850.2612890601</v>
      </c>
      <c r="K9" s="5">
        <f>ES!AC18</f>
        <v>-2172657.3508453518</v>
      </c>
      <c r="L9" s="5">
        <f>ES!AD18</f>
        <v>-2212217.099729327</v>
      </c>
      <c r="M9" s="5">
        <f>ES!AE18</f>
        <v>-2190980.3221935485</v>
      </c>
      <c r="N9" s="5">
        <f>ES!AF18</f>
        <v>-2077250.7704064567</v>
      </c>
      <c r="O9" s="5">
        <f>ES!AG18</f>
        <v>-1999249.4942623421</v>
      </c>
      <c r="P9" s="5">
        <f>ES!AH18</f>
        <v>-2182519.5141542163</v>
      </c>
      <c r="Q9" s="5">
        <f>ES!AI18</f>
        <v>-2079224.1593041255</v>
      </c>
      <c r="R9" s="5">
        <f>ES!AJ18</f>
        <v>-2407633.4324711873</v>
      </c>
      <c r="S9" s="5">
        <f>ES!AK18</f>
        <v>-2263423.1054293578</v>
      </c>
      <c r="T9" s="5">
        <f>ES!AL18</f>
        <v>-2131748.4069992006</v>
      </c>
      <c r="U9" s="5">
        <f>ES!AM18</f>
        <v>-2418424.7082260745</v>
      </c>
      <c r="V9" s="5">
        <f>ES!AN18</f>
        <v>-2185850.2612890601</v>
      </c>
      <c r="W9" s="5">
        <f>ES!AO18</f>
        <v>-2172657.3508453518</v>
      </c>
      <c r="X9" s="5">
        <f>ES!AP18</f>
        <v>-2212217.099729327</v>
      </c>
      <c r="Y9" s="5">
        <f>ES!AQ18</f>
        <v>-2190980.3221935485</v>
      </c>
      <c r="Z9" s="5">
        <f>ES!AR18</f>
        <v>-2077250.7704064567</v>
      </c>
      <c r="AA9" s="5">
        <f>ES!AS18</f>
        <v>-1999249.4942623421</v>
      </c>
      <c r="AB9" s="5">
        <f>ES!AT18</f>
        <v>-2182519.5141542163</v>
      </c>
      <c r="AC9" s="5">
        <f>ES!AU18</f>
        <v>-2079224.1593041255</v>
      </c>
      <c r="AD9" s="5">
        <f>ES!AV18</f>
        <v>-2407633.4324711873</v>
      </c>
      <c r="AE9" s="5">
        <f>ES!AW18</f>
        <v>-2263423.1054293578</v>
      </c>
    </row>
    <row r="10" spans="1:31">
      <c r="A10" s="42" t="s">
        <v>1</v>
      </c>
      <c r="B10" s="86">
        <f t="shared" si="1"/>
        <v>-14983333.333333328</v>
      </c>
      <c r="C10" s="5">
        <f>-6200000/12</f>
        <v>-516666.66666666669</v>
      </c>
      <c r="D10" s="5">
        <f t="shared" ref="D10:AE10" si="3">-6200000/12</f>
        <v>-516666.66666666669</v>
      </c>
      <c r="E10" s="5">
        <f t="shared" si="3"/>
        <v>-516666.66666666669</v>
      </c>
      <c r="F10" s="5">
        <f t="shared" si="3"/>
        <v>-516666.66666666669</v>
      </c>
      <c r="G10" s="5">
        <f t="shared" si="3"/>
        <v>-516666.66666666669</v>
      </c>
      <c r="H10" s="5">
        <f t="shared" si="3"/>
        <v>-516666.66666666669</v>
      </c>
      <c r="I10" s="5">
        <f t="shared" si="3"/>
        <v>-516666.66666666669</v>
      </c>
      <c r="J10" s="5">
        <f t="shared" si="3"/>
        <v>-516666.66666666669</v>
      </c>
      <c r="K10" s="5">
        <f t="shared" si="3"/>
        <v>-516666.66666666669</v>
      </c>
      <c r="L10" s="5">
        <f t="shared" si="3"/>
        <v>-516666.66666666669</v>
      </c>
      <c r="M10" s="5">
        <f t="shared" si="3"/>
        <v>-516666.66666666669</v>
      </c>
      <c r="N10" s="5">
        <f t="shared" si="3"/>
        <v>-516666.66666666669</v>
      </c>
      <c r="O10" s="5">
        <f t="shared" si="3"/>
        <v>-516666.66666666669</v>
      </c>
      <c r="P10" s="5">
        <f t="shared" si="3"/>
        <v>-516666.66666666669</v>
      </c>
      <c r="Q10" s="5">
        <f t="shared" si="3"/>
        <v>-516666.66666666669</v>
      </c>
      <c r="R10" s="5">
        <f t="shared" si="3"/>
        <v>-516666.66666666669</v>
      </c>
      <c r="S10" s="5">
        <f t="shared" si="3"/>
        <v>-516666.66666666669</v>
      </c>
      <c r="T10" s="5">
        <f t="shared" si="3"/>
        <v>-516666.66666666669</v>
      </c>
      <c r="U10" s="5">
        <f t="shared" si="3"/>
        <v>-516666.66666666669</v>
      </c>
      <c r="V10" s="5">
        <f t="shared" si="3"/>
        <v>-516666.66666666669</v>
      </c>
      <c r="W10" s="5">
        <f t="shared" si="3"/>
        <v>-516666.66666666669</v>
      </c>
      <c r="X10" s="5">
        <f t="shared" si="3"/>
        <v>-516666.66666666669</v>
      </c>
      <c r="Y10" s="5">
        <f t="shared" si="3"/>
        <v>-516666.66666666669</v>
      </c>
      <c r="Z10" s="5">
        <f t="shared" si="3"/>
        <v>-516666.66666666669</v>
      </c>
      <c r="AA10" s="5">
        <f t="shared" si="3"/>
        <v>-516666.66666666669</v>
      </c>
      <c r="AB10" s="5">
        <f t="shared" si="3"/>
        <v>-516666.66666666669</v>
      </c>
      <c r="AC10" s="5">
        <f t="shared" si="3"/>
        <v>-516666.66666666669</v>
      </c>
      <c r="AD10" s="5">
        <f t="shared" si="3"/>
        <v>-516666.66666666669</v>
      </c>
      <c r="AE10" s="5">
        <f t="shared" si="3"/>
        <v>-516666.66666666669</v>
      </c>
    </row>
    <row r="11" spans="1:31" ht="13.5" thickBot="1">
      <c r="A11" s="81" t="s">
        <v>2</v>
      </c>
      <c r="B11" s="87">
        <f t="shared" si="1"/>
        <v>-56612632.069066837</v>
      </c>
      <c r="C11" s="88">
        <f>-FAC!T5</f>
        <v>-2941332.2563871485</v>
      </c>
      <c r="D11" s="88">
        <f>-FAC!U5</f>
        <v>-2390189.2264566394</v>
      </c>
      <c r="E11" s="88">
        <f>-FAC!V5</f>
        <v>69568.979574792378</v>
      </c>
      <c r="F11" s="88">
        <f>-FAC!W5</f>
        <v>-2516010.7008683509</v>
      </c>
      <c r="G11" s="88">
        <f>-FAC!X5</f>
        <v>-2166715.6344003291</v>
      </c>
      <c r="H11" s="88">
        <f>-FAC!Y5</f>
        <v>-3096840.7223946801</v>
      </c>
      <c r="I11" s="88">
        <f>-FAC!Z5</f>
        <v>-4072749.1496852282</v>
      </c>
      <c r="J11" s="88">
        <f>-FAC!AA5</f>
        <v>-3800223.0491656652</v>
      </c>
      <c r="K11" s="88">
        <f>-FAC!AB5</f>
        <v>-403170.91161379899</v>
      </c>
      <c r="L11" s="88">
        <f>-FAC!AC5</f>
        <v>262101.9135</v>
      </c>
      <c r="M11" s="88">
        <f>-FAC!AD5</f>
        <v>-11604.7665</v>
      </c>
      <c r="N11" s="88">
        <f>-FAC!AE5</f>
        <v>-2266811.0908675264</v>
      </c>
      <c r="O11" s="88">
        <f>-FAC!AF5</f>
        <v>-2941332.2563871485</v>
      </c>
      <c r="P11" s="88">
        <f>-FAC!AG5</f>
        <v>-2390189.2264566394</v>
      </c>
      <c r="Q11" s="88">
        <f>-FAC!AH5</f>
        <v>69568.979574792378</v>
      </c>
      <c r="R11" s="88">
        <f>-FAC!AI5</f>
        <v>-2516010.7008683509</v>
      </c>
      <c r="S11" s="88">
        <f>-FAC!AJ5</f>
        <v>-2166715.6344003291</v>
      </c>
      <c r="T11" s="88">
        <f>-FAC!AK5</f>
        <v>-3096840.7223946801</v>
      </c>
      <c r="U11" s="88">
        <f>-FAC!AL5</f>
        <v>-4072749.1496852282</v>
      </c>
      <c r="V11" s="88">
        <f>-FAC!AM5</f>
        <v>-3800223.0491656652</v>
      </c>
      <c r="W11" s="88">
        <f>-FAC!AN5</f>
        <v>-403170.91161379899</v>
      </c>
      <c r="X11" s="88">
        <f>-FAC!AO5</f>
        <v>262101.9135</v>
      </c>
      <c r="Y11" s="88">
        <f>-FAC!AP5</f>
        <v>-11604.7665</v>
      </c>
      <c r="Z11" s="88">
        <f>-FAC!AQ5</f>
        <v>-2266811.0908675264</v>
      </c>
      <c r="AA11" s="88">
        <f>-FAC!AR5</f>
        <v>-2941332.2563871485</v>
      </c>
      <c r="AB11" s="88">
        <f>-FAC!AS5</f>
        <v>-2390189.2264566394</v>
      </c>
      <c r="AC11" s="88">
        <f>-FAC!AT5</f>
        <v>69568.979574792378</v>
      </c>
      <c r="AD11" s="88">
        <f>-FAC!AU5</f>
        <v>-2516010.7008683509</v>
      </c>
      <c r="AE11" s="88">
        <f>-FAC!AV5</f>
        <v>-2166715.6344003291</v>
      </c>
    </row>
    <row r="12" spans="1:31">
      <c r="A12" s="76" t="s">
        <v>48</v>
      </c>
      <c r="B12" s="89">
        <f>SUM(B3:B11)</f>
        <v>-180856345.14677408</v>
      </c>
      <c r="C12" s="89">
        <f t="shared" ref="C12:AE12" si="4">SUM(C3:C11)</f>
        <v>-6429860.601350287</v>
      </c>
      <c r="D12" s="89">
        <f t="shared" si="4"/>
        <v>-6084847.5913116522</v>
      </c>
      <c r="E12" s="89">
        <f t="shared" si="4"/>
        <v>-3498934.0304301288</v>
      </c>
      <c r="F12" s="89">
        <f t="shared" si="4"/>
        <v>-6420542.9840403348</v>
      </c>
      <c r="G12" s="89">
        <f t="shared" si="4"/>
        <v>-5919417.5905304831</v>
      </c>
      <c r="H12" s="89">
        <f t="shared" si="4"/>
        <v>-6882210.2000946766</v>
      </c>
      <c r="I12" s="89">
        <f t="shared" si="4"/>
        <v>-8142399.0026120991</v>
      </c>
      <c r="J12" s="89">
        <f t="shared" si="4"/>
        <v>-7637298.4551555216</v>
      </c>
      <c r="K12" s="89">
        <f t="shared" si="4"/>
        <v>-4229449.3331599468</v>
      </c>
      <c r="L12" s="89">
        <f t="shared" si="4"/>
        <v>-3601340.3309301236</v>
      </c>
      <c r="M12" s="89">
        <f t="shared" si="4"/>
        <v>-3856206.1593943448</v>
      </c>
      <c r="N12" s="89">
        <f t="shared" si="4"/>
        <v>-5995287.0059747789</v>
      </c>
      <c r="O12" s="89">
        <f t="shared" si="4"/>
        <v>-8490610.6704688221</v>
      </c>
      <c r="P12" s="89">
        <f t="shared" si="4"/>
        <v>-8127529.5124301873</v>
      </c>
      <c r="Q12" s="89">
        <f t="shared" si="4"/>
        <v>455481.17040889745</v>
      </c>
      <c r="R12" s="89">
        <f t="shared" si="4"/>
        <v>-2460903.709201308</v>
      </c>
      <c r="S12" s="89">
        <f t="shared" si="4"/>
        <v>-1965002.3896914565</v>
      </c>
      <c r="T12" s="89">
        <f t="shared" si="4"/>
        <v>-8723291.7552132122</v>
      </c>
      <c r="U12" s="89">
        <f t="shared" si="4"/>
        <v>-9981556.4837306328</v>
      </c>
      <c r="V12" s="89">
        <f t="shared" si="4"/>
        <v>-9476455.9362740554</v>
      </c>
      <c r="W12" s="89">
        <f t="shared" si="4"/>
        <v>-6070530.8882784816</v>
      </c>
      <c r="X12" s="89">
        <f t="shared" si="4"/>
        <v>-5440497.8120486578</v>
      </c>
      <c r="Y12" s="89">
        <f t="shared" si="4"/>
        <v>-5697287.71451288</v>
      </c>
      <c r="Z12" s="89">
        <f t="shared" si="4"/>
        <v>-7834444.4870933145</v>
      </c>
      <c r="AA12" s="89">
        <f t="shared" si="4"/>
        <v>-8430964.3764688224</v>
      </c>
      <c r="AB12" s="89">
        <f t="shared" si="4"/>
        <v>-8076051.3664301867</v>
      </c>
      <c r="AC12" s="89">
        <f t="shared" si="4"/>
        <v>-5500037.8055486642</v>
      </c>
      <c r="AD12" s="89">
        <f t="shared" si="4"/>
        <v>-8418346.7591588683</v>
      </c>
      <c r="AE12" s="89">
        <f t="shared" si="4"/>
        <v>-7920521.3656490184</v>
      </c>
    </row>
    <row r="14" spans="1:31">
      <c r="A14" s="2"/>
      <c r="B14" s="2"/>
    </row>
    <row r="16" spans="1:31" ht="13.5" thickBot="1">
      <c r="A16" s="92" t="s">
        <v>105</v>
      </c>
    </row>
    <row r="17" spans="1:6">
      <c r="A17" s="115" t="s">
        <v>102</v>
      </c>
      <c r="B17" s="115"/>
      <c r="C17" s="115"/>
      <c r="D17" s="115"/>
      <c r="E17" s="115"/>
      <c r="F17" s="115"/>
    </row>
    <row r="18" spans="1:6">
      <c r="A18" s="2" t="s">
        <v>108</v>
      </c>
      <c r="B18" s="2"/>
    </row>
    <row r="19" spans="1:6">
      <c r="A19" s="91" t="s">
        <v>110</v>
      </c>
    </row>
    <row r="20" spans="1:6">
      <c r="A20" s="2" t="s">
        <v>111</v>
      </c>
    </row>
  </sheetData>
  <mergeCells count="1">
    <mergeCell ref="A17:F17"/>
  </mergeCells>
  <phoneticPr fontId="12" type="noConversion"/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9"/>
  <sheetViews>
    <sheetView showGridLines="0" workbookViewId="0">
      <selection activeCell="G36" sqref="G36"/>
    </sheetView>
  </sheetViews>
  <sheetFormatPr defaultRowHeight="14.5"/>
  <cols>
    <col min="2" max="2" width="12.453125" bestFit="1" customWidth="1"/>
  </cols>
  <sheetData>
    <row r="19" spans="2:2">
      <c r="B19" s="77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3"/>
  <sheetViews>
    <sheetView workbookViewId="0">
      <selection activeCell="A18" sqref="A18"/>
    </sheetView>
  </sheetViews>
  <sheetFormatPr defaultColWidth="9.1796875" defaultRowHeight="13"/>
  <cols>
    <col min="1" max="1" width="17.7265625" style="2" customWidth="1"/>
    <col min="2" max="19" width="9.1796875" style="2"/>
    <col min="20" max="20" width="9.54296875" style="2" customWidth="1"/>
    <col min="21" max="21" width="12.7265625" style="2" customWidth="1"/>
    <col min="22" max="22" width="10.81640625" style="2" customWidth="1"/>
    <col min="23" max="49" width="9.54296875" style="2" customWidth="1"/>
    <col min="50" max="50" width="10.7265625" style="2" bestFit="1" customWidth="1"/>
    <col min="51" max="51" width="12.26953125" style="2" bestFit="1" customWidth="1"/>
    <col min="52" max="16384" width="9.1796875" style="2"/>
  </cols>
  <sheetData>
    <row r="1" spans="1:51">
      <c r="A1" s="41"/>
      <c r="B1" s="41"/>
      <c r="C1" s="116" t="s">
        <v>49</v>
      </c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42" t="s">
        <v>66</v>
      </c>
    </row>
    <row r="2" spans="1:51">
      <c r="A2" s="41"/>
      <c r="B2" s="41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42"/>
      <c r="T2" s="42" t="s">
        <v>50</v>
      </c>
    </row>
    <row r="3" spans="1:51" s="6" customFormat="1">
      <c r="A3" s="41" t="s">
        <v>51</v>
      </c>
      <c r="B3" s="41"/>
      <c r="C3" s="43">
        <v>2021</v>
      </c>
      <c r="D3" s="43">
        <v>2021</v>
      </c>
      <c r="E3" s="43">
        <v>2021</v>
      </c>
      <c r="F3" s="43">
        <v>2021</v>
      </c>
      <c r="G3" s="43">
        <v>2021</v>
      </c>
      <c r="H3" s="43">
        <v>2021</v>
      </c>
      <c r="I3" s="43">
        <v>2022</v>
      </c>
      <c r="J3" s="43">
        <v>2022</v>
      </c>
      <c r="K3" s="43">
        <v>2022</v>
      </c>
      <c r="L3" s="43">
        <v>2022</v>
      </c>
      <c r="M3" s="43">
        <v>2022</v>
      </c>
      <c r="N3" s="43">
        <v>2022</v>
      </c>
      <c r="O3" s="43">
        <v>2022</v>
      </c>
      <c r="P3" s="43">
        <v>2022</v>
      </c>
      <c r="Q3" s="43">
        <v>2022</v>
      </c>
      <c r="R3" s="43">
        <v>2022</v>
      </c>
      <c r="S3" s="43">
        <v>2022</v>
      </c>
      <c r="T3" s="43">
        <v>2022</v>
      </c>
      <c r="U3" s="43">
        <v>2023</v>
      </c>
      <c r="V3" s="43">
        <v>2023</v>
      </c>
      <c r="W3" s="43">
        <v>2023</v>
      </c>
      <c r="X3" s="43">
        <v>2023</v>
      </c>
      <c r="Y3" s="43">
        <v>2023</v>
      </c>
      <c r="Z3" s="43">
        <v>2023</v>
      </c>
      <c r="AA3" s="43">
        <v>2023</v>
      </c>
      <c r="AB3" s="43">
        <v>2023</v>
      </c>
      <c r="AC3" s="43">
        <v>2023</v>
      </c>
      <c r="AD3" s="43">
        <v>2023</v>
      </c>
      <c r="AE3" s="43">
        <v>2023</v>
      </c>
      <c r="AF3" s="43">
        <v>2023</v>
      </c>
      <c r="AG3" s="43">
        <v>2024</v>
      </c>
      <c r="AH3" s="43">
        <v>2024</v>
      </c>
      <c r="AI3" s="43">
        <v>2024</v>
      </c>
      <c r="AJ3" s="43">
        <v>2024</v>
      </c>
      <c r="AK3" s="43">
        <v>2024</v>
      </c>
      <c r="AL3" s="43">
        <v>2024</v>
      </c>
      <c r="AM3" s="43">
        <v>2024</v>
      </c>
      <c r="AN3" s="43">
        <v>2024</v>
      </c>
      <c r="AO3" s="43">
        <v>2024</v>
      </c>
      <c r="AP3" s="43">
        <v>2024</v>
      </c>
      <c r="AQ3" s="43">
        <v>2024</v>
      </c>
      <c r="AR3" s="43">
        <v>2024</v>
      </c>
      <c r="AS3" s="43">
        <v>2025</v>
      </c>
      <c r="AT3" s="43">
        <v>2025</v>
      </c>
      <c r="AU3" s="43">
        <v>2025</v>
      </c>
      <c r="AV3" s="43">
        <v>2025</v>
      </c>
      <c r="AW3" s="43">
        <v>2025</v>
      </c>
    </row>
    <row r="4" spans="1:51" s="3" customFormat="1" ht="13.5" thickBot="1">
      <c r="A4" s="44" t="s">
        <v>52</v>
      </c>
      <c r="B4" s="44"/>
      <c r="C4" s="45" t="s">
        <v>3</v>
      </c>
      <c r="D4" s="45" t="s">
        <v>4</v>
      </c>
      <c r="E4" s="45" t="s">
        <v>5</v>
      </c>
      <c r="F4" s="45" t="s">
        <v>6</v>
      </c>
      <c r="G4" s="45" t="s">
        <v>7</v>
      </c>
      <c r="H4" s="45" t="s">
        <v>8</v>
      </c>
      <c r="I4" s="45" t="s">
        <v>9</v>
      </c>
      <c r="J4" s="45" t="s">
        <v>10</v>
      </c>
      <c r="K4" s="45" t="s">
        <v>11</v>
      </c>
      <c r="L4" s="45" t="s">
        <v>12</v>
      </c>
      <c r="M4" s="45" t="s">
        <v>13</v>
      </c>
      <c r="N4" s="45" t="s">
        <v>14</v>
      </c>
      <c r="O4" s="45" t="s">
        <v>3</v>
      </c>
      <c r="P4" s="45" t="s">
        <v>4</v>
      </c>
      <c r="Q4" s="45" t="s">
        <v>5</v>
      </c>
      <c r="R4" s="45" t="s">
        <v>6</v>
      </c>
      <c r="S4" s="45" t="s">
        <v>7</v>
      </c>
      <c r="T4" s="45" t="s">
        <v>8</v>
      </c>
      <c r="U4" s="45" t="s">
        <v>9</v>
      </c>
      <c r="V4" s="45" t="s">
        <v>10</v>
      </c>
      <c r="W4" s="45" t="s">
        <v>11</v>
      </c>
      <c r="X4" s="45" t="s">
        <v>12</v>
      </c>
      <c r="Y4" s="45" t="s">
        <v>13</v>
      </c>
      <c r="Z4" s="45" t="s">
        <v>14</v>
      </c>
      <c r="AA4" s="45" t="s">
        <v>3</v>
      </c>
      <c r="AB4" s="45" t="s">
        <v>4</v>
      </c>
      <c r="AC4" s="45" t="s">
        <v>5</v>
      </c>
      <c r="AD4" s="45" t="s">
        <v>6</v>
      </c>
      <c r="AE4" s="45" t="s">
        <v>7</v>
      </c>
      <c r="AF4" s="45" t="s">
        <v>8</v>
      </c>
      <c r="AG4" s="45" t="s">
        <v>9</v>
      </c>
      <c r="AH4" s="45" t="s">
        <v>10</v>
      </c>
      <c r="AI4" s="45" t="s">
        <v>11</v>
      </c>
      <c r="AJ4" s="45" t="s">
        <v>12</v>
      </c>
      <c r="AK4" s="45" t="s">
        <v>13</v>
      </c>
      <c r="AL4" s="45" t="s">
        <v>14</v>
      </c>
      <c r="AM4" s="45" t="s">
        <v>3</v>
      </c>
      <c r="AN4" s="45" t="s">
        <v>4</v>
      </c>
      <c r="AO4" s="45" t="s">
        <v>5</v>
      </c>
      <c r="AP4" s="45" t="s">
        <v>6</v>
      </c>
      <c r="AQ4" s="45" t="s">
        <v>7</v>
      </c>
      <c r="AR4" s="45" t="s">
        <v>8</v>
      </c>
      <c r="AS4" s="45" t="s">
        <v>9</v>
      </c>
      <c r="AT4" s="45" t="s">
        <v>10</v>
      </c>
      <c r="AU4" s="45" t="s">
        <v>11</v>
      </c>
      <c r="AV4" s="45" t="s">
        <v>12</v>
      </c>
      <c r="AW4" s="45" t="s">
        <v>13</v>
      </c>
    </row>
    <row r="5" spans="1:51">
      <c r="A5" s="41"/>
      <c r="B5" s="41"/>
    </row>
    <row r="6" spans="1:51">
      <c r="A6" s="46" t="s">
        <v>53</v>
      </c>
      <c r="B6" s="41"/>
      <c r="C6" s="5">
        <v>2655066.6608784646</v>
      </c>
      <c r="D6" s="5">
        <v>2585016.1519479975</v>
      </c>
      <c r="E6" s="5">
        <v>2583831.4739224818</v>
      </c>
      <c r="F6" s="5">
        <v>2542114.663787331</v>
      </c>
      <c r="G6" s="5">
        <v>2564781.5863640127</v>
      </c>
      <c r="H6" s="5">
        <v>2579760.6431040154</v>
      </c>
      <c r="I6" s="5">
        <v>2714081</v>
      </c>
      <c r="J6" s="5">
        <v>2501757.9708596347</v>
      </c>
      <c r="K6" s="5">
        <v>2554691.8335745386</v>
      </c>
      <c r="L6" s="5">
        <v>2436514.3473746264</v>
      </c>
      <c r="M6" s="5">
        <v>2641766.9187936676</v>
      </c>
      <c r="N6" s="5">
        <v>2625205.3674277281</v>
      </c>
      <c r="O6" s="5">
        <v>2578752.959496743</v>
      </c>
      <c r="P6" s="5">
        <f>O6</f>
        <v>2578752.959496743</v>
      </c>
      <c r="Q6" s="5">
        <f t="shared" ref="Q6:S8" si="0">P6</f>
        <v>2578752.959496743</v>
      </c>
      <c r="R6" s="5">
        <f t="shared" si="0"/>
        <v>2578752.959496743</v>
      </c>
      <c r="S6" s="5">
        <f t="shared" si="0"/>
        <v>2578752.959496743</v>
      </c>
      <c r="T6" s="5">
        <f>S6</f>
        <v>2578752.959496743</v>
      </c>
      <c r="U6" s="5">
        <f t="shared" ref="U6:AF7" si="1">T6</f>
        <v>2578752.959496743</v>
      </c>
      <c r="V6" s="5">
        <f t="shared" si="1"/>
        <v>2578752.959496743</v>
      </c>
      <c r="W6" s="5">
        <f t="shared" si="1"/>
        <v>2578752.959496743</v>
      </c>
      <c r="X6" s="5">
        <f t="shared" si="1"/>
        <v>2578752.959496743</v>
      </c>
      <c r="Y6" s="5">
        <f t="shared" si="1"/>
        <v>2578752.959496743</v>
      </c>
      <c r="Z6" s="5">
        <f t="shared" si="1"/>
        <v>2578752.959496743</v>
      </c>
      <c r="AA6" s="5">
        <f t="shared" si="1"/>
        <v>2578752.959496743</v>
      </c>
      <c r="AB6" s="5">
        <f t="shared" si="1"/>
        <v>2578752.959496743</v>
      </c>
      <c r="AC6" s="5">
        <f t="shared" si="1"/>
        <v>2578752.959496743</v>
      </c>
      <c r="AD6" s="5">
        <f t="shared" si="1"/>
        <v>2578752.959496743</v>
      </c>
      <c r="AE6" s="5">
        <f t="shared" si="1"/>
        <v>2578752.959496743</v>
      </c>
      <c r="AF6" s="5">
        <f t="shared" si="1"/>
        <v>2578752.959496743</v>
      </c>
      <c r="AG6" s="5">
        <f t="shared" ref="AG6:AG7" si="2">AF6</f>
        <v>2578752.959496743</v>
      </c>
      <c r="AH6" s="5">
        <f t="shared" ref="AH6:AH7" si="3">AG6</f>
        <v>2578752.959496743</v>
      </c>
      <c r="AI6" s="5">
        <f t="shared" ref="AI6:AI7" si="4">AH6</f>
        <v>2578752.959496743</v>
      </c>
      <c r="AJ6" s="5">
        <f t="shared" ref="AJ6:AJ7" si="5">AI6</f>
        <v>2578752.959496743</v>
      </c>
      <c r="AK6" s="5">
        <f t="shared" ref="AK6:AK7" si="6">AJ6</f>
        <v>2578752.959496743</v>
      </c>
      <c r="AL6" s="5">
        <f t="shared" ref="AL6:AL7" si="7">AK6</f>
        <v>2578752.959496743</v>
      </c>
      <c r="AM6" s="5">
        <f t="shared" ref="AM6:AM7" si="8">AL6</f>
        <v>2578752.959496743</v>
      </c>
      <c r="AN6" s="5">
        <f t="shared" ref="AN6:AN7" si="9">AM6</f>
        <v>2578752.959496743</v>
      </c>
      <c r="AO6" s="5">
        <f t="shared" ref="AO6:AO7" si="10">AN6</f>
        <v>2578752.959496743</v>
      </c>
      <c r="AP6" s="5">
        <f t="shared" ref="AP6:AP7" si="11">AO6</f>
        <v>2578752.959496743</v>
      </c>
      <c r="AQ6" s="5">
        <f t="shared" ref="AQ6:AQ7" si="12">AP6</f>
        <v>2578752.959496743</v>
      </c>
      <c r="AR6" s="5">
        <f t="shared" ref="AR6:AR7" si="13">AQ6</f>
        <v>2578752.959496743</v>
      </c>
      <c r="AS6" s="5">
        <f t="shared" ref="AS6:AS7" si="14">AR6</f>
        <v>2578752.959496743</v>
      </c>
      <c r="AT6" s="5">
        <f t="shared" ref="AT6:AT7" si="15">AS6</f>
        <v>2578752.959496743</v>
      </c>
      <c r="AU6" s="5">
        <f t="shared" ref="AU6:AU7" si="16">AT6</f>
        <v>2578752.959496743</v>
      </c>
      <c r="AV6" s="5">
        <f t="shared" ref="AV6:AV7" si="17">AU6</f>
        <v>2578752.959496743</v>
      </c>
      <c r="AW6" s="5">
        <f t="shared" ref="AW6:AW7" si="18">AV6</f>
        <v>2578752.959496743</v>
      </c>
    </row>
    <row r="7" spans="1:51">
      <c r="A7" s="46" t="s">
        <v>54</v>
      </c>
      <c r="B7" s="41"/>
      <c r="C7" s="5">
        <v>2300139.1598635255</v>
      </c>
      <c r="D7" s="5">
        <v>2206343.5035082162</v>
      </c>
      <c r="E7" s="5">
        <v>2356316.5533395247</v>
      </c>
      <c r="F7" s="5">
        <v>2007913.7519573055</v>
      </c>
      <c r="G7" s="5">
        <v>2037920.7172835774</v>
      </c>
      <c r="H7" s="5">
        <v>2234922.3977171825</v>
      </c>
      <c r="I7" s="5">
        <v>2181257</v>
      </c>
      <c r="J7" s="5">
        <v>1898180.3817621204</v>
      </c>
      <c r="K7" s="5">
        <v>1839159.2501621174</v>
      </c>
      <c r="L7" s="5">
        <v>2079123.9672378374</v>
      </c>
      <c r="M7" s="5">
        <v>2095068.0108224242</v>
      </c>
      <c r="N7" s="5">
        <v>1985633.7771382935</v>
      </c>
      <c r="O7" s="5">
        <v>2118434.4971603737</v>
      </c>
      <c r="P7" s="5">
        <f>O7</f>
        <v>2118434.4971603737</v>
      </c>
      <c r="Q7" s="5">
        <f t="shared" si="0"/>
        <v>2118434.4971603737</v>
      </c>
      <c r="R7" s="5">
        <f t="shared" si="0"/>
        <v>2118434.4971603737</v>
      </c>
      <c r="S7" s="5">
        <f t="shared" si="0"/>
        <v>2118434.4971603737</v>
      </c>
      <c r="T7" s="5">
        <f>S7</f>
        <v>2118434.4971603737</v>
      </c>
      <c r="U7" s="5">
        <f t="shared" si="1"/>
        <v>2118434.4971603737</v>
      </c>
      <c r="V7" s="5">
        <f t="shared" si="1"/>
        <v>2118434.4971603737</v>
      </c>
      <c r="W7" s="5">
        <f t="shared" si="1"/>
        <v>2118434.4971603737</v>
      </c>
      <c r="X7" s="5">
        <f t="shared" si="1"/>
        <v>2118434.4971603737</v>
      </c>
      <c r="Y7" s="5">
        <f t="shared" si="1"/>
        <v>2118434.4971603737</v>
      </c>
      <c r="Z7" s="5">
        <f t="shared" si="1"/>
        <v>2118434.4971603737</v>
      </c>
      <c r="AA7" s="5">
        <f t="shared" si="1"/>
        <v>2118434.4971603737</v>
      </c>
      <c r="AB7" s="5">
        <f t="shared" si="1"/>
        <v>2118434.4971603737</v>
      </c>
      <c r="AC7" s="5">
        <f t="shared" si="1"/>
        <v>2118434.4971603737</v>
      </c>
      <c r="AD7" s="5">
        <f t="shared" si="1"/>
        <v>2118434.4971603737</v>
      </c>
      <c r="AE7" s="5">
        <f t="shared" si="1"/>
        <v>2118434.4971603737</v>
      </c>
      <c r="AF7" s="5">
        <f t="shared" si="1"/>
        <v>2118434.4971603737</v>
      </c>
      <c r="AG7" s="5">
        <f t="shared" si="2"/>
        <v>2118434.4971603737</v>
      </c>
      <c r="AH7" s="5">
        <f t="shared" si="3"/>
        <v>2118434.4971603737</v>
      </c>
      <c r="AI7" s="5">
        <f t="shared" si="4"/>
        <v>2118434.4971603737</v>
      </c>
      <c r="AJ7" s="5">
        <f t="shared" si="5"/>
        <v>2118434.4971603737</v>
      </c>
      <c r="AK7" s="5">
        <f t="shared" si="6"/>
        <v>2118434.4971603737</v>
      </c>
      <c r="AL7" s="5">
        <f t="shared" si="7"/>
        <v>2118434.4971603737</v>
      </c>
      <c r="AM7" s="5">
        <f t="shared" si="8"/>
        <v>2118434.4971603737</v>
      </c>
      <c r="AN7" s="5">
        <f t="shared" si="9"/>
        <v>2118434.4971603737</v>
      </c>
      <c r="AO7" s="5">
        <f t="shared" si="10"/>
        <v>2118434.4971603737</v>
      </c>
      <c r="AP7" s="5">
        <f t="shared" si="11"/>
        <v>2118434.4971603737</v>
      </c>
      <c r="AQ7" s="5">
        <f t="shared" si="12"/>
        <v>2118434.4971603737</v>
      </c>
      <c r="AR7" s="5">
        <f t="shared" si="13"/>
        <v>2118434.4971603737</v>
      </c>
      <c r="AS7" s="5">
        <f t="shared" si="14"/>
        <v>2118434.4971603737</v>
      </c>
      <c r="AT7" s="5">
        <f t="shared" si="15"/>
        <v>2118434.4971603737</v>
      </c>
      <c r="AU7" s="5">
        <f t="shared" si="16"/>
        <v>2118434.4971603737</v>
      </c>
      <c r="AV7" s="5">
        <f t="shared" si="17"/>
        <v>2118434.4971603737</v>
      </c>
      <c r="AW7" s="5">
        <f t="shared" si="18"/>
        <v>2118434.4971603737</v>
      </c>
    </row>
    <row r="8" spans="1:51">
      <c r="A8" s="46" t="s">
        <v>55</v>
      </c>
      <c r="B8" s="41"/>
      <c r="C8" s="5">
        <v>2485201.14</v>
      </c>
      <c r="D8" s="5">
        <v>2450497.81</v>
      </c>
      <c r="E8" s="5">
        <v>2086294.02</v>
      </c>
      <c r="F8" s="5">
        <v>2084409.26</v>
      </c>
      <c r="G8" s="5">
        <v>2088635.36</v>
      </c>
      <c r="H8" s="5">
        <v>2222390.19</v>
      </c>
      <c r="I8" s="5">
        <v>2391550</v>
      </c>
      <c r="J8" s="5">
        <v>2310067.65</v>
      </c>
      <c r="K8" s="5">
        <v>2878228.52</v>
      </c>
      <c r="L8" s="5">
        <v>2586971.71</v>
      </c>
      <c r="M8" s="5">
        <v>2399670.56</v>
      </c>
      <c r="N8" s="5">
        <v>2455867.19</v>
      </c>
      <c r="O8" s="5">
        <v>2688344.24</v>
      </c>
      <c r="P8" s="5">
        <f>O8</f>
        <v>2688344.24</v>
      </c>
      <c r="Q8" s="5">
        <f t="shared" si="0"/>
        <v>2688344.24</v>
      </c>
      <c r="R8" s="5">
        <f t="shared" si="0"/>
        <v>2688344.24</v>
      </c>
      <c r="S8" s="5">
        <f t="shared" si="0"/>
        <v>2688344.24</v>
      </c>
      <c r="T8" s="5">
        <v>607045.47354838706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5">
        <v>0</v>
      </c>
      <c r="AN8" s="5">
        <v>0</v>
      </c>
      <c r="AO8" s="5">
        <v>0</v>
      </c>
      <c r="AP8" s="5">
        <v>0</v>
      </c>
      <c r="AQ8" s="5">
        <v>0</v>
      </c>
      <c r="AR8" s="5">
        <v>0</v>
      </c>
      <c r="AS8" s="5">
        <v>0</v>
      </c>
      <c r="AT8" s="5">
        <v>0</v>
      </c>
      <c r="AU8" s="5">
        <v>0</v>
      </c>
      <c r="AV8" s="5">
        <v>0</v>
      </c>
      <c r="AW8" s="5">
        <v>0</v>
      </c>
    </row>
    <row r="9" spans="1:51">
      <c r="A9" s="46" t="s">
        <v>56</v>
      </c>
      <c r="B9" s="41"/>
      <c r="C9" s="5">
        <v>8.32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572616</v>
      </c>
      <c r="L9" s="5">
        <v>0</v>
      </c>
      <c r="M9" s="5">
        <v>140184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5">
        <v>0</v>
      </c>
      <c r="AT9" s="5">
        <v>0</v>
      </c>
      <c r="AU9" s="5">
        <v>0</v>
      </c>
      <c r="AV9" s="5">
        <v>0</v>
      </c>
      <c r="AW9" s="5">
        <v>0</v>
      </c>
    </row>
    <row r="10" spans="1:51">
      <c r="A10" s="46" t="s">
        <v>57</v>
      </c>
      <c r="B10" s="41"/>
      <c r="C10" s="47">
        <v>2661909.5128942607</v>
      </c>
      <c r="D10" s="47">
        <v>2658915.9693563292</v>
      </c>
      <c r="E10" s="47">
        <v>2453545.6047362047</v>
      </c>
      <c r="F10" s="47">
        <v>2472636.3554541776</v>
      </c>
      <c r="G10" s="47">
        <v>2537445.3942151926</v>
      </c>
      <c r="H10" s="47">
        <v>2671589.8427515617</v>
      </c>
      <c r="I10" s="47">
        <v>2456888.4832011163</v>
      </c>
      <c r="J10" s="47">
        <v>2700140.5162189454</v>
      </c>
      <c r="K10" s="47">
        <v>2537799.3844642178</v>
      </c>
      <c r="L10" s="47">
        <v>3137582.6693385984</v>
      </c>
      <c r="M10" s="47">
        <v>3118696.5521931462</v>
      </c>
      <c r="N10" s="47">
        <v>2682091.0592494416</v>
      </c>
      <c r="O10" s="47">
        <v>2661909.5128942607</v>
      </c>
      <c r="P10" s="47">
        <v>2658915.9693563292</v>
      </c>
      <c r="Q10" s="47">
        <v>2453545.6047362047</v>
      </c>
      <c r="R10" s="47">
        <v>2472636.3554541776</v>
      </c>
      <c r="S10" s="47">
        <v>2537445.3942151926</v>
      </c>
      <c r="T10" s="47">
        <v>2671589.8427515617</v>
      </c>
      <c r="U10" s="47">
        <v>2456888.4832011163</v>
      </c>
      <c r="V10" s="47">
        <v>2700140.5162189454</v>
      </c>
      <c r="W10" s="47">
        <v>2537799.3844642178</v>
      </c>
      <c r="X10" s="47">
        <v>3137582.6693385984</v>
      </c>
      <c r="Y10" s="47">
        <v>3118696.5521931462</v>
      </c>
      <c r="Z10" s="47">
        <v>2682091.0592494416</v>
      </c>
      <c r="AA10" s="47">
        <v>2661909.5128942607</v>
      </c>
      <c r="AB10" s="47">
        <v>2658915.9693563292</v>
      </c>
      <c r="AC10" s="47">
        <v>2453545.6047362047</v>
      </c>
      <c r="AD10" s="47">
        <v>2472636.3554541776</v>
      </c>
      <c r="AE10" s="47">
        <v>2537445.3942151926</v>
      </c>
      <c r="AF10" s="47">
        <v>2671589.8427515617</v>
      </c>
      <c r="AG10" s="47">
        <v>2456888.4832011163</v>
      </c>
      <c r="AH10" s="47">
        <v>2700140.5162189454</v>
      </c>
      <c r="AI10" s="47">
        <v>2537799.3844642178</v>
      </c>
      <c r="AJ10" s="47">
        <v>3137582.6693385984</v>
      </c>
      <c r="AK10" s="47">
        <v>3118696.5521931462</v>
      </c>
      <c r="AL10" s="47">
        <v>2682091.0592494416</v>
      </c>
      <c r="AM10" s="47">
        <v>2661909.5128942607</v>
      </c>
      <c r="AN10" s="47">
        <v>2658915.9693563292</v>
      </c>
      <c r="AO10" s="47">
        <v>2453545.6047362047</v>
      </c>
      <c r="AP10" s="47">
        <v>2472636.3554541776</v>
      </c>
      <c r="AQ10" s="47">
        <v>2537445.3942151926</v>
      </c>
      <c r="AR10" s="47">
        <v>2671589.8427515617</v>
      </c>
      <c r="AS10" s="47">
        <v>2456888.4832011163</v>
      </c>
      <c r="AT10" s="47">
        <v>2700140.5162189454</v>
      </c>
      <c r="AU10" s="47">
        <v>2537799.3844642178</v>
      </c>
      <c r="AV10" s="47">
        <v>3137582.6693385984</v>
      </c>
      <c r="AW10" s="47">
        <v>3118696.5521931462</v>
      </c>
    </row>
    <row r="11" spans="1:51">
      <c r="A11" s="46" t="s">
        <v>58</v>
      </c>
      <c r="B11" s="41"/>
      <c r="C11" s="47">
        <v>1526868.4871057395</v>
      </c>
      <c r="D11" s="47">
        <v>1273779.0306436708</v>
      </c>
      <c r="E11" s="47">
        <v>1259422.3952637953</v>
      </c>
      <c r="F11" s="47">
        <v>1302471.6445458226</v>
      </c>
      <c r="G11" s="47">
        <v>1279361.6057848076</v>
      </c>
      <c r="H11" s="47">
        <v>1155600.1572484386</v>
      </c>
      <c r="I11" s="47">
        <v>1070718.5167988839</v>
      </c>
      <c r="J11" s="47">
        <v>1270154.4837810544</v>
      </c>
      <c r="K11" s="47">
        <v>1157747.6155357822</v>
      </c>
      <c r="L11" s="47">
        <v>1515125.3306614016</v>
      </c>
      <c r="M11" s="47">
        <v>1358194.447806854</v>
      </c>
      <c r="N11" s="47">
        <v>1214904.9407505584</v>
      </c>
      <c r="O11" s="47">
        <v>1526868.4871057395</v>
      </c>
      <c r="P11" s="47">
        <v>1273779.0306436708</v>
      </c>
      <c r="Q11" s="47">
        <v>1259422.3952637953</v>
      </c>
      <c r="R11" s="47">
        <v>1302471.6445458226</v>
      </c>
      <c r="S11" s="47">
        <v>1279361.6057848076</v>
      </c>
      <c r="T11" s="47">
        <v>1155600.1572484386</v>
      </c>
      <c r="U11" s="47">
        <v>1070718.5167988839</v>
      </c>
      <c r="V11" s="47">
        <v>1270154.4837810544</v>
      </c>
      <c r="W11" s="47">
        <v>1157747.6155357822</v>
      </c>
      <c r="X11" s="47">
        <v>1515125.3306614016</v>
      </c>
      <c r="Y11" s="47">
        <v>1358194.447806854</v>
      </c>
      <c r="Z11" s="47">
        <v>1214904.9407505584</v>
      </c>
      <c r="AA11" s="47">
        <v>1526868.4871057395</v>
      </c>
      <c r="AB11" s="47">
        <v>1273779.0306436708</v>
      </c>
      <c r="AC11" s="47">
        <v>1259422.3952637953</v>
      </c>
      <c r="AD11" s="47">
        <v>1302471.6445458226</v>
      </c>
      <c r="AE11" s="47">
        <v>1279361.6057848076</v>
      </c>
      <c r="AF11" s="47">
        <v>1155600.1572484386</v>
      </c>
      <c r="AG11" s="47">
        <v>1070718.5167988839</v>
      </c>
      <c r="AH11" s="47">
        <v>1270154.4837810544</v>
      </c>
      <c r="AI11" s="47">
        <v>1157747.6155357822</v>
      </c>
      <c r="AJ11" s="47">
        <v>1515125.3306614016</v>
      </c>
      <c r="AK11" s="47">
        <v>1358194.447806854</v>
      </c>
      <c r="AL11" s="47">
        <v>1214904.9407505584</v>
      </c>
      <c r="AM11" s="47">
        <v>1526868.4871057395</v>
      </c>
      <c r="AN11" s="47">
        <v>1273779.0306436708</v>
      </c>
      <c r="AO11" s="47">
        <v>1259422.3952637953</v>
      </c>
      <c r="AP11" s="47">
        <v>1302471.6445458226</v>
      </c>
      <c r="AQ11" s="47">
        <v>1279361.6057848076</v>
      </c>
      <c r="AR11" s="47">
        <v>1155600.1572484386</v>
      </c>
      <c r="AS11" s="47">
        <v>1070718.5167988839</v>
      </c>
      <c r="AT11" s="47">
        <v>1270154.4837810544</v>
      </c>
      <c r="AU11" s="47">
        <v>1157747.6155357822</v>
      </c>
      <c r="AV11" s="47">
        <v>1515125.3306614016</v>
      </c>
      <c r="AW11" s="47">
        <v>1358194.447806854</v>
      </c>
    </row>
    <row r="12" spans="1:51">
      <c r="A12" s="46" t="s">
        <v>59</v>
      </c>
      <c r="B12" s="41"/>
      <c r="C12" s="47">
        <v>56580</v>
      </c>
      <c r="D12" s="47">
        <v>0</v>
      </c>
      <c r="E12" s="47">
        <v>25350</v>
      </c>
      <c r="F12" s="47">
        <v>0</v>
      </c>
      <c r="G12" s="47">
        <v>0</v>
      </c>
      <c r="H12" s="47">
        <v>12800</v>
      </c>
      <c r="I12" s="47">
        <v>24400</v>
      </c>
      <c r="J12" s="47">
        <v>9000</v>
      </c>
      <c r="K12" s="47">
        <v>0</v>
      </c>
      <c r="L12" s="47">
        <v>0</v>
      </c>
      <c r="M12" s="47">
        <v>0</v>
      </c>
      <c r="N12" s="47">
        <v>0</v>
      </c>
      <c r="O12" s="47">
        <v>56580</v>
      </c>
      <c r="P12" s="47">
        <v>0</v>
      </c>
      <c r="Q12" s="47">
        <v>25350</v>
      </c>
      <c r="R12" s="47">
        <v>0</v>
      </c>
      <c r="S12" s="47">
        <v>0</v>
      </c>
      <c r="T12" s="47">
        <v>12800</v>
      </c>
      <c r="U12" s="47">
        <v>24400</v>
      </c>
      <c r="V12" s="47">
        <v>9000</v>
      </c>
      <c r="W12" s="47">
        <v>0</v>
      </c>
      <c r="X12" s="47">
        <v>0</v>
      </c>
      <c r="Y12" s="47">
        <v>0</v>
      </c>
      <c r="Z12" s="47">
        <v>0</v>
      </c>
      <c r="AA12" s="47">
        <v>56580</v>
      </c>
      <c r="AB12" s="47">
        <v>0</v>
      </c>
      <c r="AC12" s="47">
        <v>25350</v>
      </c>
      <c r="AD12" s="47">
        <v>0</v>
      </c>
      <c r="AE12" s="47">
        <v>0</v>
      </c>
      <c r="AF12" s="47">
        <v>12800</v>
      </c>
      <c r="AG12" s="47">
        <v>24400</v>
      </c>
      <c r="AH12" s="47">
        <v>9000</v>
      </c>
      <c r="AI12" s="47">
        <v>0</v>
      </c>
      <c r="AJ12" s="47">
        <v>0</v>
      </c>
      <c r="AK12" s="47">
        <v>0</v>
      </c>
      <c r="AL12" s="47">
        <v>0</v>
      </c>
      <c r="AM12" s="47">
        <v>56580</v>
      </c>
      <c r="AN12" s="47">
        <v>0</v>
      </c>
      <c r="AO12" s="47">
        <v>25350</v>
      </c>
      <c r="AP12" s="47">
        <v>0</v>
      </c>
      <c r="AQ12" s="47">
        <v>0</v>
      </c>
      <c r="AR12" s="47">
        <v>12800</v>
      </c>
      <c r="AS12" s="47">
        <v>24400</v>
      </c>
      <c r="AT12" s="47">
        <v>9000</v>
      </c>
      <c r="AU12" s="47">
        <v>0</v>
      </c>
      <c r="AV12" s="47">
        <v>0</v>
      </c>
      <c r="AW12" s="47">
        <v>0</v>
      </c>
    </row>
    <row r="13" spans="1:51">
      <c r="A13" s="46" t="s">
        <v>60</v>
      </c>
      <c r="B13" s="41"/>
      <c r="C13" s="47">
        <f>+(C6+C7+C8-C9)-C10-C11+C12</f>
        <v>3308200.6407419909</v>
      </c>
      <c r="D13" s="47">
        <f t="shared" ref="D13:AF13" si="19">+(D6+D7+D8-D9)-D10-D11+D12</f>
        <v>3309162.4654562138</v>
      </c>
      <c r="E13" s="47">
        <f t="shared" si="19"/>
        <v>3338824.047262005</v>
      </c>
      <c r="F13" s="47">
        <f t="shared" si="19"/>
        <v>2859329.675744636</v>
      </c>
      <c r="G13" s="47">
        <f t="shared" si="19"/>
        <v>2874530.6636475902</v>
      </c>
      <c r="H13" s="47">
        <f t="shared" si="19"/>
        <v>3222683.2308211979</v>
      </c>
      <c r="I13" s="47">
        <f t="shared" si="19"/>
        <v>3783681</v>
      </c>
      <c r="J13" s="47">
        <f t="shared" si="19"/>
        <v>2748711.002621755</v>
      </c>
      <c r="K13" s="47">
        <f t="shared" si="19"/>
        <v>3003916.6037366558</v>
      </c>
      <c r="L13" s="47">
        <f t="shared" si="19"/>
        <v>2449902.024612464</v>
      </c>
      <c r="M13" s="47">
        <f t="shared" si="19"/>
        <v>2519430.4896160923</v>
      </c>
      <c r="N13" s="47">
        <f t="shared" si="19"/>
        <v>3169710.3345660209</v>
      </c>
      <c r="O13" s="47">
        <f t="shared" si="19"/>
        <v>3253333.6966571175</v>
      </c>
      <c r="P13" s="47">
        <f t="shared" si="19"/>
        <v>3452836.6966571175</v>
      </c>
      <c r="Q13" s="47">
        <f t="shared" si="19"/>
        <v>3697913.696657117</v>
      </c>
      <c r="R13" s="47">
        <f t="shared" si="19"/>
        <v>3610423.6966571175</v>
      </c>
      <c r="S13" s="47">
        <f t="shared" si="19"/>
        <v>3568724.6966571175</v>
      </c>
      <c r="T13" s="47">
        <f t="shared" si="19"/>
        <v>1489842.9302055042</v>
      </c>
      <c r="U13" s="47">
        <f t="shared" si="19"/>
        <v>1193980.456657117</v>
      </c>
      <c r="V13" s="47">
        <f t="shared" si="19"/>
        <v>735892.45665711747</v>
      </c>
      <c r="W13" s="47">
        <f t="shared" si="19"/>
        <v>1001640.4566571172</v>
      </c>
      <c r="X13" s="47">
        <f t="shared" si="19"/>
        <v>44479.456657117233</v>
      </c>
      <c r="Y13" s="47">
        <f t="shared" si="19"/>
        <v>220296.456657117</v>
      </c>
      <c r="Z13" s="47">
        <f t="shared" si="19"/>
        <v>800191.45665711723</v>
      </c>
      <c r="AA13" s="47">
        <f t="shared" si="19"/>
        <v>564989.456657117</v>
      </c>
      <c r="AB13" s="47">
        <f t="shared" si="19"/>
        <v>764492.45665711723</v>
      </c>
      <c r="AC13" s="47">
        <f t="shared" si="19"/>
        <v>1009569.4566571172</v>
      </c>
      <c r="AD13" s="47">
        <f t="shared" si="19"/>
        <v>922079.456657117</v>
      </c>
      <c r="AE13" s="47">
        <f t="shared" si="19"/>
        <v>880380.456657117</v>
      </c>
      <c r="AF13" s="47">
        <f t="shared" si="19"/>
        <v>882797.456657117</v>
      </c>
      <c r="AG13" s="47">
        <f t="shared" ref="AG13:AR13" si="20">+(AG6+AG7+AG8-AG9)-AG10-AG11+AG12</f>
        <v>1193980.456657117</v>
      </c>
      <c r="AH13" s="47">
        <f t="shared" si="20"/>
        <v>735892.45665711747</v>
      </c>
      <c r="AI13" s="47">
        <f t="shared" si="20"/>
        <v>1001640.4566571172</v>
      </c>
      <c r="AJ13" s="47">
        <f t="shared" si="20"/>
        <v>44479.456657117233</v>
      </c>
      <c r="AK13" s="47">
        <f t="shared" si="20"/>
        <v>220296.456657117</v>
      </c>
      <c r="AL13" s="47">
        <f t="shared" si="20"/>
        <v>800191.45665711723</v>
      </c>
      <c r="AM13" s="47">
        <f t="shared" si="20"/>
        <v>564989.456657117</v>
      </c>
      <c r="AN13" s="47">
        <f t="shared" si="20"/>
        <v>764492.45665711723</v>
      </c>
      <c r="AO13" s="47">
        <f t="shared" si="20"/>
        <v>1009569.4566571172</v>
      </c>
      <c r="AP13" s="47">
        <f t="shared" si="20"/>
        <v>922079.456657117</v>
      </c>
      <c r="AQ13" s="47">
        <f t="shared" si="20"/>
        <v>880380.456657117</v>
      </c>
      <c r="AR13" s="47">
        <f t="shared" si="20"/>
        <v>882797.456657117</v>
      </c>
      <c r="AS13" s="47">
        <f t="shared" ref="AS13:AW13" si="21">+(AS6+AS7+AS8-AS9)-AS10-AS11+AS12</f>
        <v>1193980.456657117</v>
      </c>
      <c r="AT13" s="47">
        <f t="shared" si="21"/>
        <v>735892.45665711747</v>
      </c>
      <c r="AU13" s="47">
        <f t="shared" si="21"/>
        <v>1001640.4566571172</v>
      </c>
      <c r="AV13" s="47">
        <f t="shared" si="21"/>
        <v>44479.456657117233</v>
      </c>
      <c r="AW13" s="47">
        <f t="shared" si="21"/>
        <v>220296.456657117</v>
      </c>
    </row>
    <row r="14" spans="1:51">
      <c r="A14" s="46" t="s">
        <v>61</v>
      </c>
      <c r="B14" s="41"/>
      <c r="C14" s="48">
        <v>0.87880000000000003</v>
      </c>
      <c r="D14" s="48">
        <v>0.89410000000000001</v>
      </c>
      <c r="E14" s="48">
        <v>0.91790000000000005</v>
      </c>
      <c r="F14" s="48">
        <v>0.94189999999999996</v>
      </c>
      <c r="G14" s="48">
        <v>0.9637</v>
      </c>
      <c r="H14" s="48">
        <v>0.96340000000000003</v>
      </c>
      <c r="I14" s="48">
        <v>0.91369999999999996</v>
      </c>
      <c r="J14" s="48">
        <v>0.96020000000000005</v>
      </c>
      <c r="K14" s="48">
        <v>0.96799999999999997</v>
      </c>
      <c r="L14" s="48">
        <v>0.88160000000000005</v>
      </c>
      <c r="M14" s="48">
        <v>0.90190000000000003</v>
      </c>
      <c r="N14" s="48">
        <v>0.87109999999999999</v>
      </c>
      <c r="O14" s="48">
        <v>0.8498</v>
      </c>
      <c r="P14" s="49">
        <f>AVERAGE($D$14:$O$14)</f>
        <v>0.91894166666666666</v>
      </c>
      <c r="Q14" s="49">
        <f t="shared" ref="Q14:AW14" si="22">AVERAGE($D$14:$O$14)</f>
        <v>0.91894166666666666</v>
      </c>
      <c r="R14" s="49">
        <f t="shared" si="22"/>
        <v>0.91894166666666666</v>
      </c>
      <c r="S14" s="49">
        <f t="shared" si="22"/>
        <v>0.91894166666666666</v>
      </c>
      <c r="T14" s="49">
        <f t="shared" si="22"/>
        <v>0.91894166666666666</v>
      </c>
      <c r="U14" s="49">
        <f t="shared" si="22"/>
        <v>0.91894166666666666</v>
      </c>
      <c r="V14" s="49">
        <f t="shared" si="22"/>
        <v>0.91894166666666666</v>
      </c>
      <c r="W14" s="49">
        <f t="shared" si="22"/>
        <v>0.91894166666666666</v>
      </c>
      <c r="X14" s="49">
        <f t="shared" si="22"/>
        <v>0.91894166666666666</v>
      </c>
      <c r="Y14" s="49">
        <f t="shared" si="22"/>
        <v>0.91894166666666666</v>
      </c>
      <c r="Z14" s="49">
        <f t="shared" si="22"/>
        <v>0.91894166666666666</v>
      </c>
      <c r="AA14" s="49">
        <f t="shared" si="22"/>
        <v>0.91894166666666666</v>
      </c>
      <c r="AB14" s="49">
        <f t="shared" si="22"/>
        <v>0.91894166666666666</v>
      </c>
      <c r="AC14" s="49">
        <f t="shared" si="22"/>
        <v>0.91894166666666666</v>
      </c>
      <c r="AD14" s="49">
        <f t="shared" si="22"/>
        <v>0.91894166666666666</v>
      </c>
      <c r="AE14" s="49">
        <f t="shared" si="22"/>
        <v>0.91894166666666666</v>
      </c>
      <c r="AF14" s="49">
        <f t="shared" si="22"/>
        <v>0.91894166666666666</v>
      </c>
      <c r="AG14" s="49">
        <f t="shared" si="22"/>
        <v>0.91894166666666666</v>
      </c>
      <c r="AH14" s="49">
        <f t="shared" si="22"/>
        <v>0.91894166666666666</v>
      </c>
      <c r="AI14" s="49">
        <f t="shared" si="22"/>
        <v>0.91894166666666666</v>
      </c>
      <c r="AJ14" s="49">
        <f t="shared" si="22"/>
        <v>0.91894166666666666</v>
      </c>
      <c r="AK14" s="49">
        <f t="shared" si="22"/>
        <v>0.91894166666666666</v>
      </c>
      <c r="AL14" s="49">
        <f t="shared" si="22"/>
        <v>0.91894166666666666</v>
      </c>
      <c r="AM14" s="49">
        <f t="shared" si="22"/>
        <v>0.91894166666666666</v>
      </c>
      <c r="AN14" s="49">
        <f t="shared" si="22"/>
        <v>0.91894166666666666</v>
      </c>
      <c r="AO14" s="49">
        <f t="shared" si="22"/>
        <v>0.91894166666666666</v>
      </c>
      <c r="AP14" s="49">
        <f t="shared" si="22"/>
        <v>0.91894166666666666</v>
      </c>
      <c r="AQ14" s="49">
        <f t="shared" si="22"/>
        <v>0.91894166666666666</v>
      </c>
      <c r="AR14" s="49">
        <f t="shared" si="22"/>
        <v>0.91894166666666666</v>
      </c>
      <c r="AS14" s="49">
        <f t="shared" si="22"/>
        <v>0.91894166666666666</v>
      </c>
      <c r="AT14" s="49">
        <f t="shared" si="22"/>
        <v>0.91894166666666666</v>
      </c>
      <c r="AU14" s="49">
        <f t="shared" si="22"/>
        <v>0.91894166666666666</v>
      </c>
      <c r="AV14" s="49">
        <f t="shared" si="22"/>
        <v>0.91894166666666666</v>
      </c>
      <c r="AW14" s="49">
        <f t="shared" si="22"/>
        <v>0.91894166666666666</v>
      </c>
    </row>
    <row r="15" spans="1:51">
      <c r="A15" s="46" t="s">
        <v>62</v>
      </c>
      <c r="B15" s="41"/>
      <c r="C15" s="47">
        <f t="shared" ref="C15:AF15" si="23">C13*C14</f>
        <v>2907246.7230840619</v>
      </c>
      <c r="D15" s="47">
        <f t="shared" si="23"/>
        <v>2958722.1603644006</v>
      </c>
      <c r="E15" s="47">
        <f t="shared" si="23"/>
        <v>3064706.5929817944</v>
      </c>
      <c r="F15" s="47">
        <f t="shared" si="23"/>
        <v>2693202.6215838725</v>
      </c>
      <c r="G15" s="47">
        <f t="shared" si="23"/>
        <v>2770185.2005571825</v>
      </c>
      <c r="H15" s="47">
        <f t="shared" si="23"/>
        <v>3104733.0245731422</v>
      </c>
      <c r="I15" s="47">
        <f t="shared" si="23"/>
        <v>3457149.3296999997</v>
      </c>
      <c r="J15" s="47">
        <f t="shared" si="23"/>
        <v>2639312.3047174094</v>
      </c>
      <c r="K15" s="47">
        <f t="shared" si="23"/>
        <v>2907791.2724170829</v>
      </c>
      <c r="L15" s="47">
        <f t="shared" si="23"/>
        <v>2159833.6248983485</v>
      </c>
      <c r="M15" s="47">
        <f t="shared" si="23"/>
        <v>2272274.3585847537</v>
      </c>
      <c r="N15" s="47">
        <f t="shared" si="23"/>
        <v>2761134.6724404609</v>
      </c>
      <c r="O15" s="47">
        <f t="shared" si="23"/>
        <v>2764682.9754192182</v>
      </c>
      <c r="P15" s="47">
        <f t="shared" si="23"/>
        <v>3172955.508753919</v>
      </c>
      <c r="Q15" s="47">
        <f t="shared" si="23"/>
        <v>3398166.9755955855</v>
      </c>
      <c r="R15" s="47">
        <f t="shared" si="23"/>
        <v>3317768.769178919</v>
      </c>
      <c r="S15" s="47">
        <f t="shared" si="23"/>
        <v>3279449.8206205857</v>
      </c>
      <c r="T15" s="47">
        <f t="shared" si="23"/>
        <v>1369078.7453545963</v>
      </c>
      <c r="U15" s="47">
        <f t="shared" si="23"/>
        <v>1097198.3908079187</v>
      </c>
      <c r="V15" s="47">
        <f t="shared" si="23"/>
        <v>676242.24060791929</v>
      </c>
      <c r="W15" s="47">
        <f t="shared" si="23"/>
        <v>920449.1506412524</v>
      </c>
      <c r="X15" s="47">
        <f t="shared" si="23"/>
        <v>40874.026032919071</v>
      </c>
      <c r="Y15" s="47">
        <f t="shared" si="23"/>
        <v>202439.5930412522</v>
      </c>
      <c r="Z15" s="47">
        <f t="shared" si="23"/>
        <v>735329.27083291905</v>
      </c>
      <c r="AA15" s="47">
        <f t="shared" si="23"/>
        <v>519192.35294958553</v>
      </c>
      <c r="AB15" s="47">
        <f t="shared" si="23"/>
        <v>702523.97227458574</v>
      </c>
      <c r="AC15" s="47">
        <f t="shared" si="23"/>
        <v>927735.43911625235</v>
      </c>
      <c r="AD15" s="47">
        <f t="shared" si="23"/>
        <v>847337.2326995855</v>
      </c>
      <c r="AE15" s="47">
        <f t="shared" si="23"/>
        <v>809018.28414125217</v>
      </c>
      <c r="AF15" s="47">
        <f t="shared" si="23"/>
        <v>811239.36614958546</v>
      </c>
      <c r="AG15" s="47">
        <f t="shared" ref="AG15:AR15" si="24">AG13*AG14</f>
        <v>1097198.3908079187</v>
      </c>
      <c r="AH15" s="47">
        <f t="shared" si="24"/>
        <v>676242.24060791929</v>
      </c>
      <c r="AI15" s="47">
        <f t="shared" si="24"/>
        <v>920449.1506412524</v>
      </c>
      <c r="AJ15" s="47">
        <f t="shared" si="24"/>
        <v>40874.026032919071</v>
      </c>
      <c r="AK15" s="47">
        <f t="shared" si="24"/>
        <v>202439.5930412522</v>
      </c>
      <c r="AL15" s="47">
        <f t="shared" si="24"/>
        <v>735329.27083291905</v>
      </c>
      <c r="AM15" s="47">
        <f t="shared" si="24"/>
        <v>519192.35294958553</v>
      </c>
      <c r="AN15" s="47">
        <f t="shared" si="24"/>
        <v>702523.97227458574</v>
      </c>
      <c r="AO15" s="47">
        <f t="shared" si="24"/>
        <v>927735.43911625235</v>
      </c>
      <c r="AP15" s="47">
        <f t="shared" si="24"/>
        <v>847337.2326995855</v>
      </c>
      <c r="AQ15" s="47">
        <f t="shared" si="24"/>
        <v>809018.28414125217</v>
      </c>
      <c r="AR15" s="47">
        <f t="shared" si="24"/>
        <v>811239.36614958546</v>
      </c>
      <c r="AS15" s="47">
        <f t="shared" ref="AS15:AW15" si="25">AS13*AS14</f>
        <v>1097198.3908079187</v>
      </c>
      <c r="AT15" s="47">
        <f t="shared" si="25"/>
        <v>676242.24060791929</v>
      </c>
      <c r="AU15" s="47">
        <f t="shared" si="25"/>
        <v>920449.1506412524</v>
      </c>
      <c r="AV15" s="47">
        <f t="shared" si="25"/>
        <v>40874.026032919071</v>
      </c>
      <c r="AW15" s="47">
        <f t="shared" si="25"/>
        <v>202439.5930412522</v>
      </c>
    </row>
    <row r="16" spans="1:51">
      <c r="A16" s="46" t="s">
        <v>63</v>
      </c>
      <c r="B16" s="41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>
        <f>(SUM(D8:O8)-SUM(D11:O11))/12*P14</f>
        <v>1015321.6359043145</v>
      </c>
      <c r="U16" s="5">
        <f>T16</f>
        <v>1015321.6359043145</v>
      </c>
      <c r="V16" s="5">
        <f>U16</f>
        <v>1015321.6359043145</v>
      </c>
      <c r="W16" s="5">
        <f t="shared" ref="W16:AF16" si="26">V16</f>
        <v>1015321.6359043145</v>
      </c>
      <c r="X16" s="5">
        <f t="shared" si="26"/>
        <v>1015321.6359043145</v>
      </c>
      <c r="Y16" s="5">
        <f t="shared" si="26"/>
        <v>1015321.6359043145</v>
      </c>
      <c r="Z16" s="5">
        <f t="shared" si="26"/>
        <v>1015321.6359043145</v>
      </c>
      <c r="AA16" s="5">
        <f t="shared" si="26"/>
        <v>1015321.6359043145</v>
      </c>
      <c r="AB16" s="5">
        <f t="shared" si="26"/>
        <v>1015321.6359043145</v>
      </c>
      <c r="AC16" s="5">
        <f t="shared" si="26"/>
        <v>1015321.6359043145</v>
      </c>
      <c r="AD16" s="5">
        <f t="shared" si="26"/>
        <v>1015321.6359043145</v>
      </c>
      <c r="AE16" s="5">
        <f t="shared" si="26"/>
        <v>1015321.6359043145</v>
      </c>
      <c r="AF16" s="5">
        <f t="shared" si="26"/>
        <v>1015321.6359043145</v>
      </c>
      <c r="AG16" s="5">
        <f>AF16</f>
        <v>1015321.6359043145</v>
      </c>
      <c r="AH16" s="5">
        <f>AG16</f>
        <v>1015321.6359043145</v>
      </c>
      <c r="AI16" s="5">
        <f t="shared" ref="AI16" si="27">AH16</f>
        <v>1015321.6359043145</v>
      </c>
      <c r="AJ16" s="5">
        <f t="shared" ref="AJ16" si="28">AI16</f>
        <v>1015321.6359043145</v>
      </c>
      <c r="AK16" s="5">
        <f t="shared" ref="AK16" si="29">AJ16</f>
        <v>1015321.6359043145</v>
      </c>
      <c r="AL16" s="5">
        <f t="shared" ref="AL16" si="30">AK16</f>
        <v>1015321.6359043145</v>
      </c>
      <c r="AM16" s="5">
        <f t="shared" ref="AM16" si="31">AL16</f>
        <v>1015321.6359043145</v>
      </c>
      <c r="AN16" s="5">
        <f t="shared" ref="AN16" si="32">AM16</f>
        <v>1015321.6359043145</v>
      </c>
      <c r="AO16" s="5">
        <f t="shared" ref="AO16" si="33">AN16</f>
        <v>1015321.6359043145</v>
      </c>
      <c r="AP16" s="5">
        <f t="shared" ref="AP16" si="34">AO16</f>
        <v>1015321.6359043145</v>
      </c>
      <c r="AQ16" s="5">
        <f t="shared" ref="AQ16" si="35">AP16</f>
        <v>1015321.6359043145</v>
      </c>
      <c r="AR16" s="5">
        <f t="shared" ref="AR16" si="36">AQ16</f>
        <v>1015321.6359043145</v>
      </c>
      <c r="AS16" s="5">
        <f>AR16</f>
        <v>1015321.6359043145</v>
      </c>
      <c r="AT16" s="5">
        <f>AS16</f>
        <v>1015321.6359043145</v>
      </c>
      <c r="AU16" s="5">
        <f t="shared" ref="AU16" si="37">AT16</f>
        <v>1015321.6359043145</v>
      </c>
      <c r="AV16" s="5">
        <f t="shared" ref="AV16" si="38">AU16</f>
        <v>1015321.6359043145</v>
      </c>
      <c r="AW16" s="5">
        <f t="shared" ref="AW16" si="39">AV16</f>
        <v>1015321.6359043145</v>
      </c>
      <c r="AY16" s="2" t="s">
        <v>109</v>
      </c>
    </row>
    <row r="17" spans="1:51">
      <c r="A17" s="46" t="s">
        <v>64</v>
      </c>
      <c r="B17" s="41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>
        <f>(T8-T11)*T14</f>
        <v>-504089.75529713149</v>
      </c>
      <c r="U17" s="5">
        <f t="shared" ref="U17:AF17" si="40">(U8-U11)*U14</f>
        <v>-983927.85835802765</v>
      </c>
      <c r="V17" s="5">
        <f t="shared" si="40"/>
        <v>-1167197.8782499018</v>
      </c>
      <c r="W17" s="5">
        <f t="shared" si="40"/>
        <v>-1063902.523399811</v>
      </c>
      <c r="X17" s="5">
        <f t="shared" si="40"/>
        <v>-1392311.7965668729</v>
      </c>
      <c r="Y17" s="5">
        <f t="shared" si="40"/>
        <v>-1248101.4695250434</v>
      </c>
      <c r="Z17" s="5">
        <f t="shared" si="40"/>
        <v>-1116426.7710948861</v>
      </c>
      <c r="AA17" s="5">
        <f t="shared" si="40"/>
        <v>-1403103.07232176</v>
      </c>
      <c r="AB17" s="5">
        <f t="shared" si="40"/>
        <v>-1170528.6253847459</v>
      </c>
      <c r="AC17" s="5">
        <f t="shared" si="40"/>
        <v>-1157335.7149410374</v>
      </c>
      <c r="AD17" s="5">
        <f t="shared" si="40"/>
        <v>-1196895.4638250126</v>
      </c>
      <c r="AE17" s="5">
        <f t="shared" si="40"/>
        <v>-1175658.6862892341</v>
      </c>
      <c r="AF17" s="5">
        <f t="shared" si="40"/>
        <v>-1061929.1345021422</v>
      </c>
      <c r="AG17" s="5">
        <f t="shared" ref="AG17:AR17" si="41">(AG8-AG11)*AG14</f>
        <v>-983927.85835802765</v>
      </c>
      <c r="AH17" s="5">
        <f t="shared" si="41"/>
        <v>-1167197.8782499018</v>
      </c>
      <c r="AI17" s="5">
        <f t="shared" si="41"/>
        <v>-1063902.523399811</v>
      </c>
      <c r="AJ17" s="5">
        <f t="shared" si="41"/>
        <v>-1392311.7965668729</v>
      </c>
      <c r="AK17" s="5">
        <f t="shared" si="41"/>
        <v>-1248101.4695250434</v>
      </c>
      <c r="AL17" s="5">
        <f t="shared" si="41"/>
        <v>-1116426.7710948861</v>
      </c>
      <c r="AM17" s="5">
        <f t="shared" si="41"/>
        <v>-1403103.07232176</v>
      </c>
      <c r="AN17" s="5">
        <f t="shared" si="41"/>
        <v>-1170528.6253847459</v>
      </c>
      <c r="AO17" s="5">
        <f t="shared" si="41"/>
        <v>-1157335.7149410374</v>
      </c>
      <c r="AP17" s="5">
        <f t="shared" si="41"/>
        <v>-1196895.4638250126</v>
      </c>
      <c r="AQ17" s="5">
        <f t="shared" si="41"/>
        <v>-1175658.6862892341</v>
      </c>
      <c r="AR17" s="5">
        <f t="shared" si="41"/>
        <v>-1061929.1345021422</v>
      </c>
      <c r="AS17" s="5">
        <f t="shared" ref="AS17:AW17" si="42">(AS8-AS11)*AS14</f>
        <v>-983927.85835802765</v>
      </c>
      <c r="AT17" s="5">
        <f t="shared" si="42"/>
        <v>-1167197.8782499018</v>
      </c>
      <c r="AU17" s="5">
        <f t="shared" si="42"/>
        <v>-1063902.523399811</v>
      </c>
      <c r="AV17" s="5">
        <f t="shared" si="42"/>
        <v>-1392311.7965668729</v>
      </c>
      <c r="AW17" s="5">
        <f t="shared" si="42"/>
        <v>-1248101.4695250434</v>
      </c>
      <c r="AY17" s="5">
        <f>SUM(D8:O8)</f>
        <v>28642926.509999998</v>
      </c>
    </row>
    <row r="18" spans="1:51">
      <c r="A18" s="46" t="s">
        <v>65</v>
      </c>
      <c r="B18" s="41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>
        <f>T17-T16</f>
        <v>-1519411.3912014458</v>
      </c>
      <c r="U18" s="5">
        <f t="shared" ref="U18:AF18" si="43">U17-U16</f>
        <v>-1999249.4942623421</v>
      </c>
      <c r="V18" s="5">
        <f t="shared" si="43"/>
        <v>-2182519.5141542163</v>
      </c>
      <c r="W18" s="5">
        <f t="shared" si="43"/>
        <v>-2079224.1593041255</v>
      </c>
      <c r="X18" s="5">
        <f t="shared" si="43"/>
        <v>-2407633.4324711873</v>
      </c>
      <c r="Y18" s="5">
        <f t="shared" si="43"/>
        <v>-2263423.1054293578</v>
      </c>
      <c r="Z18" s="5">
        <f t="shared" si="43"/>
        <v>-2131748.4069992006</v>
      </c>
      <c r="AA18" s="5">
        <f t="shared" si="43"/>
        <v>-2418424.7082260745</v>
      </c>
      <c r="AB18" s="5">
        <f t="shared" si="43"/>
        <v>-2185850.2612890601</v>
      </c>
      <c r="AC18" s="5">
        <f t="shared" si="43"/>
        <v>-2172657.3508453518</v>
      </c>
      <c r="AD18" s="5">
        <f t="shared" si="43"/>
        <v>-2212217.099729327</v>
      </c>
      <c r="AE18" s="5">
        <f t="shared" si="43"/>
        <v>-2190980.3221935485</v>
      </c>
      <c r="AF18" s="5">
        <f t="shared" si="43"/>
        <v>-2077250.7704064567</v>
      </c>
      <c r="AG18" s="5">
        <f t="shared" ref="AG18:AR18" si="44">AG17-AG16</f>
        <v>-1999249.4942623421</v>
      </c>
      <c r="AH18" s="5">
        <f t="shared" si="44"/>
        <v>-2182519.5141542163</v>
      </c>
      <c r="AI18" s="5">
        <f t="shared" si="44"/>
        <v>-2079224.1593041255</v>
      </c>
      <c r="AJ18" s="5">
        <f t="shared" si="44"/>
        <v>-2407633.4324711873</v>
      </c>
      <c r="AK18" s="5">
        <f t="shared" si="44"/>
        <v>-2263423.1054293578</v>
      </c>
      <c r="AL18" s="5">
        <f t="shared" si="44"/>
        <v>-2131748.4069992006</v>
      </c>
      <c r="AM18" s="5">
        <f t="shared" si="44"/>
        <v>-2418424.7082260745</v>
      </c>
      <c r="AN18" s="5">
        <f t="shared" si="44"/>
        <v>-2185850.2612890601</v>
      </c>
      <c r="AO18" s="5">
        <f t="shared" si="44"/>
        <v>-2172657.3508453518</v>
      </c>
      <c r="AP18" s="5">
        <f t="shared" si="44"/>
        <v>-2212217.099729327</v>
      </c>
      <c r="AQ18" s="5">
        <f t="shared" si="44"/>
        <v>-2190980.3221935485</v>
      </c>
      <c r="AR18" s="5">
        <f t="shared" si="44"/>
        <v>-2077250.7704064567</v>
      </c>
      <c r="AS18" s="5">
        <f t="shared" ref="AS18:AW18" si="45">AS17-AS16</f>
        <v>-1999249.4942623421</v>
      </c>
      <c r="AT18" s="5">
        <f t="shared" si="45"/>
        <v>-2182519.5141542163</v>
      </c>
      <c r="AU18" s="5">
        <f t="shared" si="45"/>
        <v>-2079224.1593041255</v>
      </c>
      <c r="AV18" s="5">
        <f t="shared" si="45"/>
        <v>-2407633.4324711873</v>
      </c>
      <c r="AW18" s="5">
        <f t="shared" si="45"/>
        <v>-2263423.1054293578</v>
      </c>
      <c r="AX18" s="5">
        <f>SUM(U18:AF18)</f>
        <v>-26321178.625310242</v>
      </c>
      <c r="AY18" s="5">
        <f>AY17*U14</f>
        <v>26321178.62531025</v>
      </c>
    </row>
    <row r="19" spans="1:51" ht="6.75" customHeight="1">
      <c r="A19" s="50"/>
      <c r="B19" s="50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</row>
    <row r="22" spans="1:51">
      <c r="U22" s="5"/>
    </row>
    <row r="23" spans="1:51">
      <c r="U23" s="5"/>
      <c r="V23" s="5"/>
      <c r="W23" s="5"/>
    </row>
  </sheetData>
  <mergeCells count="1">
    <mergeCell ref="C1:O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"/>
  <sheetViews>
    <sheetView workbookViewId="0">
      <selection activeCell="A5" sqref="A5"/>
    </sheetView>
  </sheetViews>
  <sheetFormatPr defaultRowHeight="14.5"/>
  <cols>
    <col min="1" max="1" width="21.7265625" bestFit="1" customWidth="1"/>
    <col min="2" max="2" width="11.54296875" customWidth="1"/>
    <col min="3" max="3" width="9.81640625" bestFit="1" customWidth="1"/>
    <col min="4" max="6" width="9.26953125" bestFit="1" customWidth="1"/>
    <col min="7" max="9" width="9.81640625" bestFit="1" customWidth="1"/>
    <col min="10" max="10" width="9.26953125" bestFit="1" customWidth="1"/>
    <col min="11" max="12" width="9.81640625" bestFit="1" customWidth="1"/>
    <col min="13" max="13" width="9.81640625" customWidth="1"/>
    <col min="14" max="14" width="9.81640625" bestFit="1" customWidth="1"/>
    <col min="15" max="15" width="10.26953125" customWidth="1"/>
    <col min="19" max="48" width="9.54296875" customWidth="1"/>
  </cols>
  <sheetData>
    <row r="1" spans="1:48" s="2" customFormat="1" ht="13">
      <c r="A1" s="41"/>
      <c r="B1" s="42" t="s">
        <v>99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 t="s">
        <v>66</v>
      </c>
      <c r="O1" s="42"/>
    </row>
    <row r="2" spans="1:48" s="2" customFormat="1" ht="13">
      <c r="A2" s="4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42"/>
      <c r="S2" s="42" t="s">
        <v>50</v>
      </c>
    </row>
    <row r="3" spans="1:48" s="6" customFormat="1" ht="13">
      <c r="A3" s="41" t="s">
        <v>51</v>
      </c>
      <c r="B3" s="43">
        <v>2021</v>
      </c>
      <c r="C3" s="43">
        <v>2021</v>
      </c>
      <c r="D3" s="43">
        <v>2021</v>
      </c>
      <c r="E3" s="43">
        <v>2021</v>
      </c>
      <c r="F3" s="43">
        <v>2021</v>
      </c>
      <c r="G3" s="43">
        <v>2021</v>
      </c>
      <c r="H3" s="43">
        <v>2022</v>
      </c>
      <c r="I3" s="43">
        <v>2022</v>
      </c>
      <c r="J3" s="43">
        <v>2022</v>
      </c>
      <c r="K3" s="43">
        <v>2022</v>
      </c>
      <c r="L3" s="43">
        <v>2022</v>
      </c>
      <c r="M3" s="43">
        <v>2022</v>
      </c>
      <c r="N3" s="43">
        <v>2022</v>
      </c>
      <c r="O3" s="43">
        <v>2022</v>
      </c>
      <c r="P3" s="43">
        <v>2022</v>
      </c>
      <c r="Q3" s="43">
        <v>2022</v>
      </c>
      <c r="R3" s="43">
        <v>2022</v>
      </c>
      <c r="S3" s="43">
        <v>2022</v>
      </c>
      <c r="T3" s="43">
        <v>2023</v>
      </c>
      <c r="U3" s="43">
        <v>2023</v>
      </c>
      <c r="V3" s="43">
        <v>2023</v>
      </c>
      <c r="W3" s="43">
        <v>2023</v>
      </c>
      <c r="X3" s="43">
        <v>2023</v>
      </c>
      <c r="Y3" s="43">
        <v>2023</v>
      </c>
      <c r="Z3" s="43">
        <v>2023</v>
      </c>
      <c r="AA3" s="43">
        <v>2023</v>
      </c>
      <c r="AB3" s="43">
        <v>2023</v>
      </c>
      <c r="AC3" s="43">
        <v>2023</v>
      </c>
      <c r="AD3" s="43">
        <v>2023</v>
      </c>
      <c r="AE3" s="43">
        <v>2023</v>
      </c>
      <c r="AF3" s="43">
        <v>2024</v>
      </c>
      <c r="AG3" s="43">
        <v>2024</v>
      </c>
      <c r="AH3" s="43">
        <v>2024</v>
      </c>
      <c r="AI3" s="43">
        <v>2024</v>
      </c>
      <c r="AJ3" s="43">
        <v>2024</v>
      </c>
      <c r="AK3" s="43">
        <v>2024</v>
      </c>
      <c r="AL3" s="43">
        <v>2024</v>
      </c>
      <c r="AM3" s="43">
        <v>2024</v>
      </c>
      <c r="AN3" s="43">
        <v>2024</v>
      </c>
      <c r="AO3" s="43">
        <v>2024</v>
      </c>
      <c r="AP3" s="43">
        <v>2024</v>
      </c>
      <c r="AQ3" s="43">
        <v>2024</v>
      </c>
      <c r="AR3" s="43">
        <v>2025</v>
      </c>
      <c r="AS3" s="43">
        <v>2025</v>
      </c>
      <c r="AT3" s="43">
        <v>2025</v>
      </c>
      <c r="AU3" s="43">
        <v>2025</v>
      </c>
      <c r="AV3" s="43">
        <v>2025</v>
      </c>
    </row>
    <row r="4" spans="1:48" s="3" customFormat="1" ht="13.5" thickBot="1">
      <c r="A4" s="44" t="s">
        <v>52</v>
      </c>
      <c r="B4" s="45" t="s">
        <v>3</v>
      </c>
      <c r="C4" s="45" t="s">
        <v>4</v>
      </c>
      <c r="D4" s="45" t="s">
        <v>5</v>
      </c>
      <c r="E4" s="45" t="s">
        <v>6</v>
      </c>
      <c r="F4" s="45" t="s">
        <v>7</v>
      </c>
      <c r="G4" s="45" t="s">
        <v>8</v>
      </c>
      <c r="H4" s="45" t="s">
        <v>9</v>
      </c>
      <c r="I4" s="45" t="s">
        <v>10</v>
      </c>
      <c r="J4" s="45" t="s">
        <v>11</v>
      </c>
      <c r="K4" s="45" t="s">
        <v>12</v>
      </c>
      <c r="L4" s="45" t="s">
        <v>13</v>
      </c>
      <c r="M4" s="45" t="s">
        <v>14</v>
      </c>
      <c r="N4" s="45" t="s">
        <v>3</v>
      </c>
      <c r="O4" s="45" t="s">
        <v>4</v>
      </c>
      <c r="P4" s="45" t="s">
        <v>5</v>
      </c>
      <c r="Q4" s="45" t="s">
        <v>6</v>
      </c>
      <c r="R4" s="45" t="s">
        <v>7</v>
      </c>
      <c r="S4" s="45" t="s">
        <v>8</v>
      </c>
      <c r="T4" s="45" t="s">
        <v>9</v>
      </c>
      <c r="U4" s="45" t="s">
        <v>10</v>
      </c>
      <c r="V4" s="45" t="s">
        <v>11</v>
      </c>
      <c r="W4" s="45" t="s">
        <v>12</v>
      </c>
      <c r="X4" s="45" t="s">
        <v>13</v>
      </c>
      <c r="Y4" s="45" t="s">
        <v>14</v>
      </c>
      <c r="Z4" s="45" t="s">
        <v>3</v>
      </c>
      <c r="AA4" s="45" t="s">
        <v>4</v>
      </c>
      <c r="AB4" s="45" t="s">
        <v>5</v>
      </c>
      <c r="AC4" s="45" t="s">
        <v>6</v>
      </c>
      <c r="AD4" s="45" t="s">
        <v>7</v>
      </c>
      <c r="AE4" s="45" t="s">
        <v>8</v>
      </c>
      <c r="AF4" s="45" t="s">
        <v>9</v>
      </c>
      <c r="AG4" s="45" t="s">
        <v>10</v>
      </c>
      <c r="AH4" s="45" t="s">
        <v>11</v>
      </c>
      <c r="AI4" s="45" t="s">
        <v>12</v>
      </c>
      <c r="AJ4" s="45" t="s">
        <v>13</v>
      </c>
      <c r="AK4" s="45" t="s">
        <v>14</v>
      </c>
      <c r="AL4" s="45" t="s">
        <v>3</v>
      </c>
      <c r="AM4" s="45" t="s">
        <v>4</v>
      </c>
      <c r="AN4" s="45" t="s">
        <v>5</v>
      </c>
      <c r="AO4" s="45" t="s">
        <v>6</v>
      </c>
      <c r="AP4" s="45" t="s">
        <v>7</v>
      </c>
      <c r="AQ4" s="45" t="s">
        <v>8</v>
      </c>
      <c r="AR4" s="45" t="s">
        <v>9</v>
      </c>
      <c r="AS4" s="45" t="s">
        <v>10</v>
      </c>
      <c r="AT4" s="45" t="s">
        <v>11</v>
      </c>
      <c r="AU4" s="45" t="s">
        <v>12</v>
      </c>
      <c r="AV4" s="45" t="s">
        <v>13</v>
      </c>
    </row>
    <row r="5" spans="1:48" s="2" customFormat="1" ht="13">
      <c r="A5" s="46" t="s">
        <v>100</v>
      </c>
      <c r="B5" s="4">
        <v>4072749.1496852282</v>
      </c>
      <c r="C5" s="4">
        <v>3800223.0491656652</v>
      </c>
      <c r="D5" s="4">
        <v>403170.91161379899</v>
      </c>
      <c r="E5" s="4">
        <v>-262101.9135</v>
      </c>
      <c r="F5" s="4">
        <v>11604.7665</v>
      </c>
      <c r="G5" s="4">
        <v>2266811.0908675264</v>
      </c>
      <c r="H5" s="4">
        <v>2941332.2563871485</v>
      </c>
      <c r="I5" s="4">
        <v>2390189.2264566394</v>
      </c>
      <c r="J5" s="4">
        <v>-69568.979574792378</v>
      </c>
      <c r="K5" s="4">
        <v>2516010.7008683509</v>
      </c>
      <c r="L5" s="4">
        <v>2166715.6344003291</v>
      </c>
      <c r="M5" s="4">
        <v>3096840.7223946801</v>
      </c>
      <c r="N5" s="80">
        <f>B5</f>
        <v>4072749.1496852282</v>
      </c>
      <c r="O5" s="80">
        <f t="shared" ref="O5:AV5" si="0">C5</f>
        <v>3800223.0491656652</v>
      </c>
      <c r="P5" s="80">
        <f t="shared" si="0"/>
        <v>403170.91161379899</v>
      </c>
      <c r="Q5" s="80">
        <f t="shared" si="0"/>
        <v>-262101.9135</v>
      </c>
      <c r="R5" s="80">
        <f t="shared" si="0"/>
        <v>11604.7665</v>
      </c>
      <c r="S5" s="80">
        <f t="shared" si="0"/>
        <v>2266811.0908675264</v>
      </c>
      <c r="T5" s="80">
        <f t="shared" si="0"/>
        <v>2941332.2563871485</v>
      </c>
      <c r="U5" s="80">
        <f t="shared" si="0"/>
        <v>2390189.2264566394</v>
      </c>
      <c r="V5" s="80">
        <f t="shared" si="0"/>
        <v>-69568.979574792378</v>
      </c>
      <c r="W5" s="80">
        <f t="shared" si="0"/>
        <v>2516010.7008683509</v>
      </c>
      <c r="X5" s="80">
        <f t="shared" si="0"/>
        <v>2166715.6344003291</v>
      </c>
      <c r="Y5" s="80">
        <f t="shared" si="0"/>
        <v>3096840.7223946801</v>
      </c>
      <c r="Z5" s="80">
        <f t="shared" si="0"/>
        <v>4072749.1496852282</v>
      </c>
      <c r="AA5" s="80">
        <f t="shared" si="0"/>
        <v>3800223.0491656652</v>
      </c>
      <c r="AB5" s="80">
        <f t="shared" si="0"/>
        <v>403170.91161379899</v>
      </c>
      <c r="AC5" s="80">
        <f t="shared" si="0"/>
        <v>-262101.9135</v>
      </c>
      <c r="AD5" s="80">
        <f t="shared" si="0"/>
        <v>11604.7665</v>
      </c>
      <c r="AE5" s="80">
        <f t="shared" si="0"/>
        <v>2266811.0908675264</v>
      </c>
      <c r="AF5" s="80">
        <f t="shared" si="0"/>
        <v>2941332.2563871485</v>
      </c>
      <c r="AG5" s="80">
        <f t="shared" si="0"/>
        <v>2390189.2264566394</v>
      </c>
      <c r="AH5" s="80">
        <f t="shared" si="0"/>
        <v>-69568.979574792378</v>
      </c>
      <c r="AI5" s="80">
        <f t="shared" si="0"/>
        <v>2516010.7008683509</v>
      </c>
      <c r="AJ5" s="80">
        <f t="shared" si="0"/>
        <v>2166715.6344003291</v>
      </c>
      <c r="AK5" s="80">
        <f t="shared" si="0"/>
        <v>3096840.7223946801</v>
      </c>
      <c r="AL5" s="80">
        <f t="shared" si="0"/>
        <v>4072749.1496852282</v>
      </c>
      <c r="AM5" s="80">
        <f t="shared" si="0"/>
        <v>3800223.0491656652</v>
      </c>
      <c r="AN5" s="80">
        <f t="shared" si="0"/>
        <v>403170.91161379899</v>
      </c>
      <c r="AO5" s="80">
        <f t="shared" si="0"/>
        <v>-262101.9135</v>
      </c>
      <c r="AP5" s="80">
        <f t="shared" si="0"/>
        <v>11604.7665</v>
      </c>
      <c r="AQ5" s="80">
        <f t="shared" si="0"/>
        <v>2266811.0908675264</v>
      </c>
      <c r="AR5" s="80">
        <f t="shared" si="0"/>
        <v>2941332.2563871485</v>
      </c>
      <c r="AS5" s="80">
        <f t="shared" si="0"/>
        <v>2390189.2264566394</v>
      </c>
      <c r="AT5" s="80">
        <f t="shared" si="0"/>
        <v>-69568.979574792378</v>
      </c>
      <c r="AU5" s="80">
        <f t="shared" si="0"/>
        <v>2516010.7008683509</v>
      </c>
      <c r="AV5" s="80">
        <f t="shared" si="0"/>
        <v>2166715.6344003291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33"/>
  <sheetViews>
    <sheetView zoomScale="80" zoomScaleNormal="80" workbookViewId="0">
      <pane xSplit="2" ySplit="9" topLeftCell="C70" activePane="bottomRight" state="frozen"/>
      <selection pane="topRight" activeCell="C1" sqref="C1"/>
      <selection pane="bottomLeft" activeCell="A10" sqref="A10"/>
      <selection pane="bottomRight" activeCell="D73" sqref="D73"/>
    </sheetView>
  </sheetViews>
  <sheetFormatPr defaultRowHeight="14.5" outlineLevelRow="1"/>
  <cols>
    <col min="1" max="1" width="4.7265625" style="52" bestFit="1" customWidth="1"/>
    <col min="2" max="2" width="24.26953125" style="52" bestFit="1" customWidth="1"/>
    <col min="3" max="3" width="15.1796875" style="52" bestFit="1" customWidth="1"/>
    <col min="4" max="4" width="12.26953125" style="52" bestFit="1" customWidth="1"/>
    <col min="5" max="5" width="15.1796875" style="52" bestFit="1" customWidth="1"/>
    <col min="6" max="6" width="14.453125" style="54" bestFit="1" customWidth="1"/>
    <col min="7" max="7" width="10.7265625" style="54" bestFit="1" customWidth="1"/>
    <col min="8" max="8" width="13" style="54" bestFit="1" customWidth="1"/>
    <col min="9" max="9" width="12.453125" style="54" bestFit="1" customWidth="1"/>
    <col min="10" max="11" width="14.54296875" style="52" bestFit="1" customWidth="1"/>
    <col min="12" max="12" width="12.26953125" style="52" bestFit="1" customWidth="1"/>
    <col min="13" max="13" width="9.81640625" style="52" bestFit="1" customWidth="1"/>
    <col min="14" max="15" width="9.1796875" style="52"/>
    <col min="16" max="16" width="23.26953125" style="52" bestFit="1" customWidth="1"/>
    <col min="17" max="19" width="9.1796875" style="52"/>
    <col min="20" max="20" width="21.81640625" style="52" bestFit="1" customWidth="1"/>
    <col min="21" max="22" width="9.1796875" style="52"/>
    <col min="23" max="23" width="14.26953125" style="52" bestFit="1" customWidth="1"/>
    <col min="24" max="29" width="9.1796875" style="52"/>
    <col min="30" max="30" width="14.26953125" style="52" bestFit="1" customWidth="1"/>
    <col min="31" max="256" width="9.1796875" style="52"/>
    <col min="257" max="257" width="4.7265625" style="52" bestFit="1" customWidth="1"/>
    <col min="258" max="258" width="24.26953125" style="52" bestFit="1" customWidth="1"/>
    <col min="259" max="259" width="11.81640625" style="52" bestFit="1" customWidth="1"/>
    <col min="260" max="260" width="12.26953125" style="52" bestFit="1" customWidth="1"/>
    <col min="261" max="261" width="12.54296875" style="52" bestFit="1" customWidth="1"/>
    <col min="262" max="262" width="12.26953125" style="52" bestFit="1" customWidth="1"/>
    <col min="263" max="263" width="10.7265625" style="52" bestFit="1" customWidth="1"/>
    <col min="264" max="265" width="12.453125" style="52" bestFit="1" customWidth="1"/>
    <col min="266" max="266" width="12.1796875" style="52" customWidth="1"/>
    <col min="267" max="267" width="14.54296875" style="52" bestFit="1" customWidth="1"/>
    <col min="268" max="268" width="11.81640625" style="52" bestFit="1" customWidth="1"/>
    <col min="269" max="269" width="9.81640625" style="52" bestFit="1" customWidth="1"/>
    <col min="270" max="512" width="9.1796875" style="52"/>
    <col min="513" max="513" width="4.7265625" style="52" bestFit="1" customWidth="1"/>
    <col min="514" max="514" width="24.26953125" style="52" bestFit="1" customWidth="1"/>
    <col min="515" max="515" width="11.81640625" style="52" bestFit="1" customWidth="1"/>
    <col min="516" max="516" width="12.26953125" style="52" bestFit="1" customWidth="1"/>
    <col min="517" max="517" width="12.54296875" style="52" bestFit="1" customWidth="1"/>
    <col min="518" max="518" width="12.26953125" style="52" bestFit="1" customWidth="1"/>
    <col min="519" max="519" width="10.7265625" style="52" bestFit="1" customWidth="1"/>
    <col min="520" max="521" width="12.453125" style="52" bestFit="1" customWidth="1"/>
    <col min="522" max="522" width="12.1796875" style="52" customWidth="1"/>
    <col min="523" max="523" width="14.54296875" style="52" bestFit="1" customWidth="1"/>
    <col min="524" max="524" width="11.81640625" style="52" bestFit="1" customWidth="1"/>
    <col min="525" max="525" width="9.81640625" style="52" bestFit="1" customWidth="1"/>
    <col min="526" max="768" width="9.1796875" style="52"/>
    <col min="769" max="769" width="4.7265625" style="52" bestFit="1" customWidth="1"/>
    <col min="770" max="770" width="24.26953125" style="52" bestFit="1" customWidth="1"/>
    <col min="771" max="771" width="11.81640625" style="52" bestFit="1" customWidth="1"/>
    <col min="772" max="772" width="12.26953125" style="52" bestFit="1" customWidth="1"/>
    <col min="773" max="773" width="12.54296875" style="52" bestFit="1" customWidth="1"/>
    <col min="774" max="774" width="12.26953125" style="52" bestFit="1" customWidth="1"/>
    <col min="775" max="775" width="10.7265625" style="52" bestFit="1" customWidth="1"/>
    <col min="776" max="777" width="12.453125" style="52" bestFit="1" customWidth="1"/>
    <col min="778" max="778" width="12.1796875" style="52" customWidth="1"/>
    <col min="779" max="779" width="14.54296875" style="52" bestFit="1" customWidth="1"/>
    <col min="780" max="780" width="11.81640625" style="52" bestFit="1" customWidth="1"/>
    <col min="781" max="781" width="9.81640625" style="52" bestFit="1" customWidth="1"/>
    <col min="782" max="1024" width="9.1796875" style="52"/>
    <col min="1025" max="1025" width="4.7265625" style="52" bestFit="1" customWidth="1"/>
    <col min="1026" max="1026" width="24.26953125" style="52" bestFit="1" customWidth="1"/>
    <col min="1027" max="1027" width="11.81640625" style="52" bestFit="1" customWidth="1"/>
    <col min="1028" max="1028" width="12.26953125" style="52" bestFit="1" customWidth="1"/>
    <col min="1029" max="1029" width="12.54296875" style="52" bestFit="1" customWidth="1"/>
    <col min="1030" max="1030" width="12.26953125" style="52" bestFit="1" customWidth="1"/>
    <col min="1031" max="1031" width="10.7265625" style="52" bestFit="1" customWidth="1"/>
    <col min="1032" max="1033" width="12.453125" style="52" bestFit="1" customWidth="1"/>
    <col min="1034" max="1034" width="12.1796875" style="52" customWidth="1"/>
    <col min="1035" max="1035" width="14.54296875" style="52" bestFit="1" customWidth="1"/>
    <col min="1036" max="1036" width="11.81640625" style="52" bestFit="1" customWidth="1"/>
    <col min="1037" max="1037" width="9.81640625" style="52" bestFit="1" customWidth="1"/>
    <col min="1038" max="1280" width="9.1796875" style="52"/>
    <col min="1281" max="1281" width="4.7265625" style="52" bestFit="1" customWidth="1"/>
    <col min="1282" max="1282" width="24.26953125" style="52" bestFit="1" customWidth="1"/>
    <col min="1283" max="1283" width="11.81640625" style="52" bestFit="1" customWidth="1"/>
    <col min="1284" max="1284" width="12.26953125" style="52" bestFit="1" customWidth="1"/>
    <col min="1285" max="1285" width="12.54296875" style="52" bestFit="1" customWidth="1"/>
    <col min="1286" max="1286" width="12.26953125" style="52" bestFit="1" customWidth="1"/>
    <col min="1287" max="1287" width="10.7265625" style="52" bestFit="1" customWidth="1"/>
    <col min="1288" max="1289" width="12.453125" style="52" bestFit="1" customWidth="1"/>
    <col min="1290" max="1290" width="12.1796875" style="52" customWidth="1"/>
    <col min="1291" max="1291" width="14.54296875" style="52" bestFit="1" customWidth="1"/>
    <col min="1292" max="1292" width="11.81640625" style="52" bestFit="1" customWidth="1"/>
    <col min="1293" max="1293" width="9.81640625" style="52" bestFit="1" customWidth="1"/>
    <col min="1294" max="1536" width="9.1796875" style="52"/>
    <col min="1537" max="1537" width="4.7265625" style="52" bestFit="1" customWidth="1"/>
    <col min="1538" max="1538" width="24.26953125" style="52" bestFit="1" customWidth="1"/>
    <col min="1539" max="1539" width="11.81640625" style="52" bestFit="1" customWidth="1"/>
    <col min="1540" max="1540" width="12.26953125" style="52" bestFit="1" customWidth="1"/>
    <col min="1541" max="1541" width="12.54296875" style="52" bestFit="1" customWidth="1"/>
    <col min="1542" max="1542" width="12.26953125" style="52" bestFit="1" customWidth="1"/>
    <col min="1543" max="1543" width="10.7265625" style="52" bestFit="1" customWidth="1"/>
    <col min="1544" max="1545" width="12.453125" style="52" bestFit="1" customWidth="1"/>
    <col min="1546" max="1546" width="12.1796875" style="52" customWidth="1"/>
    <col min="1547" max="1547" width="14.54296875" style="52" bestFit="1" customWidth="1"/>
    <col min="1548" max="1548" width="11.81640625" style="52" bestFit="1" customWidth="1"/>
    <col min="1549" max="1549" width="9.81640625" style="52" bestFit="1" customWidth="1"/>
    <col min="1550" max="1792" width="9.1796875" style="52"/>
    <col min="1793" max="1793" width="4.7265625" style="52" bestFit="1" customWidth="1"/>
    <col min="1794" max="1794" width="24.26953125" style="52" bestFit="1" customWidth="1"/>
    <col min="1795" max="1795" width="11.81640625" style="52" bestFit="1" customWidth="1"/>
    <col min="1796" max="1796" width="12.26953125" style="52" bestFit="1" customWidth="1"/>
    <col min="1797" max="1797" width="12.54296875" style="52" bestFit="1" customWidth="1"/>
    <col min="1798" max="1798" width="12.26953125" style="52" bestFit="1" customWidth="1"/>
    <col min="1799" max="1799" width="10.7265625" style="52" bestFit="1" customWidth="1"/>
    <col min="1800" max="1801" width="12.453125" style="52" bestFit="1" customWidth="1"/>
    <col min="1802" max="1802" width="12.1796875" style="52" customWidth="1"/>
    <col min="1803" max="1803" width="14.54296875" style="52" bestFit="1" customWidth="1"/>
    <col min="1804" max="1804" width="11.81640625" style="52" bestFit="1" customWidth="1"/>
    <col min="1805" max="1805" width="9.81640625" style="52" bestFit="1" customWidth="1"/>
    <col min="1806" max="2048" width="9.1796875" style="52"/>
    <col min="2049" max="2049" width="4.7265625" style="52" bestFit="1" customWidth="1"/>
    <col min="2050" max="2050" width="24.26953125" style="52" bestFit="1" customWidth="1"/>
    <col min="2051" max="2051" width="11.81640625" style="52" bestFit="1" customWidth="1"/>
    <col min="2052" max="2052" width="12.26953125" style="52" bestFit="1" customWidth="1"/>
    <col min="2053" max="2053" width="12.54296875" style="52" bestFit="1" customWidth="1"/>
    <col min="2054" max="2054" width="12.26953125" style="52" bestFit="1" customWidth="1"/>
    <col min="2055" max="2055" width="10.7265625" style="52" bestFit="1" customWidth="1"/>
    <col min="2056" max="2057" width="12.453125" style="52" bestFit="1" customWidth="1"/>
    <col min="2058" max="2058" width="12.1796875" style="52" customWidth="1"/>
    <col min="2059" max="2059" width="14.54296875" style="52" bestFit="1" customWidth="1"/>
    <col min="2060" max="2060" width="11.81640625" style="52" bestFit="1" customWidth="1"/>
    <col min="2061" max="2061" width="9.81640625" style="52" bestFit="1" customWidth="1"/>
    <col min="2062" max="2304" width="9.1796875" style="52"/>
    <col min="2305" max="2305" width="4.7265625" style="52" bestFit="1" customWidth="1"/>
    <col min="2306" max="2306" width="24.26953125" style="52" bestFit="1" customWidth="1"/>
    <col min="2307" max="2307" width="11.81640625" style="52" bestFit="1" customWidth="1"/>
    <col min="2308" max="2308" width="12.26953125" style="52" bestFit="1" customWidth="1"/>
    <col min="2309" max="2309" width="12.54296875" style="52" bestFit="1" customWidth="1"/>
    <col min="2310" max="2310" width="12.26953125" style="52" bestFit="1" customWidth="1"/>
    <col min="2311" max="2311" width="10.7265625" style="52" bestFit="1" customWidth="1"/>
    <col min="2312" max="2313" width="12.453125" style="52" bestFit="1" customWidth="1"/>
    <col min="2314" max="2314" width="12.1796875" style="52" customWidth="1"/>
    <col min="2315" max="2315" width="14.54296875" style="52" bestFit="1" customWidth="1"/>
    <col min="2316" max="2316" width="11.81640625" style="52" bestFit="1" customWidth="1"/>
    <col min="2317" max="2317" width="9.81640625" style="52" bestFit="1" customWidth="1"/>
    <col min="2318" max="2560" width="9.1796875" style="52"/>
    <col min="2561" max="2561" width="4.7265625" style="52" bestFit="1" customWidth="1"/>
    <col min="2562" max="2562" width="24.26953125" style="52" bestFit="1" customWidth="1"/>
    <col min="2563" max="2563" width="11.81640625" style="52" bestFit="1" customWidth="1"/>
    <col min="2564" max="2564" width="12.26953125" style="52" bestFit="1" customWidth="1"/>
    <col min="2565" max="2565" width="12.54296875" style="52" bestFit="1" customWidth="1"/>
    <col min="2566" max="2566" width="12.26953125" style="52" bestFit="1" customWidth="1"/>
    <col min="2567" max="2567" width="10.7265625" style="52" bestFit="1" customWidth="1"/>
    <col min="2568" max="2569" width="12.453125" style="52" bestFit="1" customWidth="1"/>
    <col min="2570" max="2570" width="12.1796875" style="52" customWidth="1"/>
    <col min="2571" max="2571" width="14.54296875" style="52" bestFit="1" customWidth="1"/>
    <col min="2572" max="2572" width="11.81640625" style="52" bestFit="1" customWidth="1"/>
    <col min="2573" max="2573" width="9.81640625" style="52" bestFit="1" customWidth="1"/>
    <col min="2574" max="2816" width="9.1796875" style="52"/>
    <col min="2817" max="2817" width="4.7265625" style="52" bestFit="1" customWidth="1"/>
    <col min="2818" max="2818" width="24.26953125" style="52" bestFit="1" customWidth="1"/>
    <col min="2819" max="2819" width="11.81640625" style="52" bestFit="1" customWidth="1"/>
    <col min="2820" max="2820" width="12.26953125" style="52" bestFit="1" customWidth="1"/>
    <col min="2821" max="2821" width="12.54296875" style="52" bestFit="1" customWidth="1"/>
    <col min="2822" max="2822" width="12.26953125" style="52" bestFit="1" customWidth="1"/>
    <col min="2823" max="2823" width="10.7265625" style="52" bestFit="1" customWidth="1"/>
    <col min="2824" max="2825" width="12.453125" style="52" bestFit="1" customWidth="1"/>
    <col min="2826" max="2826" width="12.1796875" style="52" customWidth="1"/>
    <col min="2827" max="2827" width="14.54296875" style="52" bestFit="1" customWidth="1"/>
    <col min="2828" max="2828" width="11.81640625" style="52" bestFit="1" customWidth="1"/>
    <col min="2829" max="2829" width="9.81640625" style="52" bestFit="1" customWidth="1"/>
    <col min="2830" max="3072" width="9.1796875" style="52"/>
    <col min="3073" max="3073" width="4.7265625" style="52" bestFit="1" customWidth="1"/>
    <col min="3074" max="3074" width="24.26953125" style="52" bestFit="1" customWidth="1"/>
    <col min="3075" max="3075" width="11.81640625" style="52" bestFit="1" customWidth="1"/>
    <col min="3076" max="3076" width="12.26953125" style="52" bestFit="1" customWidth="1"/>
    <col min="3077" max="3077" width="12.54296875" style="52" bestFit="1" customWidth="1"/>
    <col min="3078" max="3078" width="12.26953125" style="52" bestFit="1" customWidth="1"/>
    <col min="3079" max="3079" width="10.7265625" style="52" bestFit="1" customWidth="1"/>
    <col min="3080" max="3081" width="12.453125" style="52" bestFit="1" customWidth="1"/>
    <col min="3082" max="3082" width="12.1796875" style="52" customWidth="1"/>
    <col min="3083" max="3083" width="14.54296875" style="52" bestFit="1" customWidth="1"/>
    <col min="3084" max="3084" width="11.81640625" style="52" bestFit="1" customWidth="1"/>
    <col min="3085" max="3085" width="9.81640625" style="52" bestFit="1" customWidth="1"/>
    <col min="3086" max="3328" width="9.1796875" style="52"/>
    <col min="3329" max="3329" width="4.7265625" style="52" bestFit="1" customWidth="1"/>
    <col min="3330" max="3330" width="24.26953125" style="52" bestFit="1" customWidth="1"/>
    <col min="3331" max="3331" width="11.81640625" style="52" bestFit="1" customWidth="1"/>
    <col min="3332" max="3332" width="12.26953125" style="52" bestFit="1" customWidth="1"/>
    <col min="3333" max="3333" width="12.54296875" style="52" bestFit="1" customWidth="1"/>
    <col min="3334" max="3334" width="12.26953125" style="52" bestFit="1" customWidth="1"/>
    <col min="3335" max="3335" width="10.7265625" style="52" bestFit="1" customWidth="1"/>
    <col min="3336" max="3337" width="12.453125" style="52" bestFit="1" customWidth="1"/>
    <col min="3338" max="3338" width="12.1796875" style="52" customWidth="1"/>
    <col min="3339" max="3339" width="14.54296875" style="52" bestFit="1" customWidth="1"/>
    <col min="3340" max="3340" width="11.81640625" style="52" bestFit="1" customWidth="1"/>
    <col min="3341" max="3341" width="9.81640625" style="52" bestFit="1" customWidth="1"/>
    <col min="3342" max="3584" width="9.1796875" style="52"/>
    <col min="3585" max="3585" width="4.7265625" style="52" bestFit="1" customWidth="1"/>
    <col min="3586" max="3586" width="24.26953125" style="52" bestFit="1" customWidth="1"/>
    <col min="3587" max="3587" width="11.81640625" style="52" bestFit="1" customWidth="1"/>
    <col min="3588" max="3588" width="12.26953125" style="52" bestFit="1" customWidth="1"/>
    <col min="3589" max="3589" width="12.54296875" style="52" bestFit="1" customWidth="1"/>
    <col min="3590" max="3590" width="12.26953125" style="52" bestFit="1" customWidth="1"/>
    <col min="3591" max="3591" width="10.7265625" style="52" bestFit="1" customWidth="1"/>
    <col min="3592" max="3593" width="12.453125" style="52" bestFit="1" customWidth="1"/>
    <col min="3594" max="3594" width="12.1796875" style="52" customWidth="1"/>
    <col min="3595" max="3595" width="14.54296875" style="52" bestFit="1" customWidth="1"/>
    <col min="3596" max="3596" width="11.81640625" style="52" bestFit="1" customWidth="1"/>
    <col min="3597" max="3597" width="9.81640625" style="52" bestFit="1" customWidth="1"/>
    <col min="3598" max="3840" width="9.1796875" style="52"/>
    <col min="3841" max="3841" width="4.7265625" style="52" bestFit="1" customWidth="1"/>
    <col min="3842" max="3842" width="24.26953125" style="52" bestFit="1" customWidth="1"/>
    <col min="3843" max="3843" width="11.81640625" style="52" bestFit="1" customWidth="1"/>
    <col min="3844" max="3844" width="12.26953125" style="52" bestFit="1" customWidth="1"/>
    <col min="3845" max="3845" width="12.54296875" style="52" bestFit="1" customWidth="1"/>
    <col min="3846" max="3846" width="12.26953125" style="52" bestFit="1" customWidth="1"/>
    <col min="3847" max="3847" width="10.7265625" style="52" bestFit="1" customWidth="1"/>
    <col min="3848" max="3849" width="12.453125" style="52" bestFit="1" customWidth="1"/>
    <col min="3850" max="3850" width="12.1796875" style="52" customWidth="1"/>
    <col min="3851" max="3851" width="14.54296875" style="52" bestFit="1" customWidth="1"/>
    <col min="3852" max="3852" width="11.81640625" style="52" bestFit="1" customWidth="1"/>
    <col min="3853" max="3853" width="9.81640625" style="52" bestFit="1" customWidth="1"/>
    <col min="3854" max="4096" width="9.1796875" style="52"/>
    <col min="4097" max="4097" width="4.7265625" style="52" bestFit="1" customWidth="1"/>
    <col min="4098" max="4098" width="24.26953125" style="52" bestFit="1" customWidth="1"/>
    <col min="4099" max="4099" width="11.81640625" style="52" bestFit="1" customWidth="1"/>
    <col min="4100" max="4100" width="12.26953125" style="52" bestFit="1" customWidth="1"/>
    <col min="4101" max="4101" width="12.54296875" style="52" bestFit="1" customWidth="1"/>
    <col min="4102" max="4102" width="12.26953125" style="52" bestFit="1" customWidth="1"/>
    <col min="4103" max="4103" width="10.7265625" style="52" bestFit="1" customWidth="1"/>
    <col min="4104" max="4105" width="12.453125" style="52" bestFit="1" customWidth="1"/>
    <col min="4106" max="4106" width="12.1796875" style="52" customWidth="1"/>
    <col min="4107" max="4107" width="14.54296875" style="52" bestFit="1" customWidth="1"/>
    <col min="4108" max="4108" width="11.81640625" style="52" bestFit="1" customWidth="1"/>
    <col min="4109" max="4109" width="9.81640625" style="52" bestFit="1" customWidth="1"/>
    <col min="4110" max="4352" width="9.1796875" style="52"/>
    <col min="4353" max="4353" width="4.7265625" style="52" bestFit="1" customWidth="1"/>
    <col min="4354" max="4354" width="24.26953125" style="52" bestFit="1" customWidth="1"/>
    <col min="4355" max="4355" width="11.81640625" style="52" bestFit="1" customWidth="1"/>
    <col min="4356" max="4356" width="12.26953125" style="52" bestFit="1" customWidth="1"/>
    <col min="4357" max="4357" width="12.54296875" style="52" bestFit="1" customWidth="1"/>
    <col min="4358" max="4358" width="12.26953125" style="52" bestFit="1" customWidth="1"/>
    <col min="4359" max="4359" width="10.7265625" style="52" bestFit="1" customWidth="1"/>
    <col min="4360" max="4361" width="12.453125" style="52" bestFit="1" customWidth="1"/>
    <col min="4362" max="4362" width="12.1796875" style="52" customWidth="1"/>
    <col min="4363" max="4363" width="14.54296875" style="52" bestFit="1" customWidth="1"/>
    <col min="4364" max="4364" width="11.81640625" style="52" bestFit="1" customWidth="1"/>
    <col min="4365" max="4365" width="9.81640625" style="52" bestFit="1" customWidth="1"/>
    <col min="4366" max="4608" width="9.1796875" style="52"/>
    <col min="4609" max="4609" width="4.7265625" style="52" bestFit="1" customWidth="1"/>
    <col min="4610" max="4610" width="24.26953125" style="52" bestFit="1" customWidth="1"/>
    <col min="4611" max="4611" width="11.81640625" style="52" bestFit="1" customWidth="1"/>
    <col min="4612" max="4612" width="12.26953125" style="52" bestFit="1" customWidth="1"/>
    <col min="4613" max="4613" width="12.54296875" style="52" bestFit="1" customWidth="1"/>
    <col min="4614" max="4614" width="12.26953125" style="52" bestFit="1" customWidth="1"/>
    <col min="4615" max="4615" width="10.7265625" style="52" bestFit="1" customWidth="1"/>
    <col min="4616" max="4617" width="12.453125" style="52" bestFit="1" customWidth="1"/>
    <col min="4618" max="4618" width="12.1796875" style="52" customWidth="1"/>
    <col min="4619" max="4619" width="14.54296875" style="52" bestFit="1" customWidth="1"/>
    <col min="4620" max="4620" width="11.81640625" style="52" bestFit="1" customWidth="1"/>
    <col min="4621" max="4621" width="9.81640625" style="52" bestFit="1" customWidth="1"/>
    <col min="4622" max="4864" width="9.1796875" style="52"/>
    <col min="4865" max="4865" width="4.7265625" style="52" bestFit="1" customWidth="1"/>
    <col min="4866" max="4866" width="24.26953125" style="52" bestFit="1" customWidth="1"/>
    <col min="4867" max="4867" width="11.81640625" style="52" bestFit="1" customWidth="1"/>
    <col min="4868" max="4868" width="12.26953125" style="52" bestFit="1" customWidth="1"/>
    <col min="4869" max="4869" width="12.54296875" style="52" bestFit="1" customWidth="1"/>
    <col min="4870" max="4870" width="12.26953125" style="52" bestFit="1" customWidth="1"/>
    <col min="4871" max="4871" width="10.7265625" style="52" bestFit="1" customWidth="1"/>
    <col min="4872" max="4873" width="12.453125" style="52" bestFit="1" customWidth="1"/>
    <col min="4874" max="4874" width="12.1796875" style="52" customWidth="1"/>
    <col min="4875" max="4875" width="14.54296875" style="52" bestFit="1" customWidth="1"/>
    <col min="4876" max="4876" width="11.81640625" style="52" bestFit="1" customWidth="1"/>
    <col min="4877" max="4877" width="9.81640625" style="52" bestFit="1" customWidth="1"/>
    <col min="4878" max="5120" width="9.1796875" style="52"/>
    <col min="5121" max="5121" width="4.7265625" style="52" bestFit="1" customWidth="1"/>
    <col min="5122" max="5122" width="24.26953125" style="52" bestFit="1" customWidth="1"/>
    <col min="5123" max="5123" width="11.81640625" style="52" bestFit="1" customWidth="1"/>
    <col min="5124" max="5124" width="12.26953125" style="52" bestFit="1" customWidth="1"/>
    <col min="5125" max="5125" width="12.54296875" style="52" bestFit="1" customWidth="1"/>
    <col min="5126" max="5126" width="12.26953125" style="52" bestFit="1" customWidth="1"/>
    <col min="5127" max="5127" width="10.7265625" style="52" bestFit="1" customWidth="1"/>
    <col min="5128" max="5129" width="12.453125" style="52" bestFit="1" customWidth="1"/>
    <col min="5130" max="5130" width="12.1796875" style="52" customWidth="1"/>
    <col min="5131" max="5131" width="14.54296875" style="52" bestFit="1" customWidth="1"/>
    <col min="5132" max="5132" width="11.81640625" style="52" bestFit="1" customWidth="1"/>
    <col min="5133" max="5133" width="9.81640625" style="52" bestFit="1" customWidth="1"/>
    <col min="5134" max="5376" width="9.1796875" style="52"/>
    <col min="5377" max="5377" width="4.7265625" style="52" bestFit="1" customWidth="1"/>
    <col min="5378" max="5378" width="24.26953125" style="52" bestFit="1" customWidth="1"/>
    <col min="5379" max="5379" width="11.81640625" style="52" bestFit="1" customWidth="1"/>
    <col min="5380" max="5380" width="12.26953125" style="52" bestFit="1" customWidth="1"/>
    <col min="5381" max="5381" width="12.54296875" style="52" bestFit="1" customWidth="1"/>
    <col min="5382" max="5382" width="12.26953125" style="52" bestFit="1" customWidth="1"/>
    <col min="5383" max="5383" width="10.7265625" style="52" bestFit="1" customWidth="1"/>
    <col min="5384" max="5385" width="12.453125" style="52" bestFit="1" customWidth="1"/>
    <col min="5386" max="5386" width="12.1796875" style="52" customWidth="1"/>
    <col min="5387" max="5387" width="14.54296875" style="52" bestFit="1" customWidth="1"/>
    <col min="5388" max="5388" width="11.81640625" style="52" bestFit="1" customWidth="1"/>
    <col min="5389" max="5389" width="9.81640625" style="52" bestFit="1" customWidth="1"/>
    <col min="5390" max="5632" width="9.1796875" style="52"/>
    <col min="5633" max="5633" width="4.7265625" style="52" bestFit="1" customWidth="1"/>
    <col min="5634" max="5634" width="24.26953125" style="52" bestFit="1" customWidth="1"/>
    <col min="5635" max="5635" width="11.81640625" style="52" bestFit="1" customWidth="1"/>
    <col min="5636" max="5636" width="12.26953125" style="52" bestFit="1" customWidth="1"/>
    <col min="5637" max="5637" width="12.54296875" style="52" bestFit="1" customWidth="1"/>
    <col min="5638" max="5638" width="12.26953125" style="52" bestFit="1" customWidth="1"/>
    <col min="5639" max="5639" width="10.7265625" style="52" bestFit="1" customWidth="1"/>
    <col min="5640" max="5641" width="12.453125" style="52" bestFit="1" customWidth="1"/>
    <col min="5642" max="5642" width="12.1796875" style="52" customWidth="1"/>
    <col min="5643" max="5643" width="14.54296875" style="52" bestFit="1" customWidth="1"/>
    <col min="5644" max="5644" width="11.81640625" style="52" bestFit="1" customWidth="1"/>
    <col min="5645" max="5645" width="9.81640625" style="52" bestFit="1" customWidth="1"/>
    <col min="5646" max="5888" width="9.1796875" style="52"/>
    <col min="5889" max="5889" width="4.7265625" style="52" bestFit="1" customWidth="1"/>
    <col min="5890" max="5890" width="24.26953125" style="52" bestFit="1" customWidth="1"/>
    <col min="5891" max="5891" width="11.81640625" style="52" bestFit="1" customWidth="1"/>
    <col min="5892" max="5892" width="12.26953125" style="52" bestFit="1" customWidth="1"/>
    <col min="5893" max="5893" width="12.54296875" style="52" bestFit="1" customWidth="1"/>
    <col min="5894" max="5894" width="12.26953125" style="52" bestFit="1" customWidth="1"/>
    <col min="5895" max="5895" width="10.7265625" style="52" bestFit="1" customWidth="1"/>
    <col min="5896" max="5897" width="12.453125" style="52" bestFit="1" customWidth="1"/>
    <col min="5898" max="5898" width="12.1796875" style="52" customWidth="1"/>
    <col min="5899" max="5899" width="14.54296875" style="52" bestFit="1" customWidth="1"/>
    <col min="5900" max="5900" width="11.81640625" style="52" bestFit="1" customWidth="1"/>
    <col min="5901" max="5901" width="9.81640625" style="52" bestFit="1" customWidth="1"/>
    <col min="5902" max="6144" width="9.1796875" style="52"/>
    <col min="6145" max="6145" width="4.7265625" style="52" bestFit="1" customWidth="1"/>
    <col min="6146" max="6146" width="24.26953125" style="52" bestFit="1" customWidth="1"/>
    <col min="6147" max="6147" width="11.81640625" style="52" bestFit="1" customWidth="1"/>
    <col min="6148" max="6148" width="12.26953125" style="52" bestFit="1" customWidth="1"/>
    <col min="6149" max="6149" width="12.54296875" style="52" bestFit="1" customWidth="1"/>
    <col min="6150" max="6150" width="12.26953125" style="52" bestFit="1" customWidth="1"/>
    <col min="6151" max="6151" width="10.7265625" style="52" bestFit="1" customWidth="1"/>
    <col min="6152" max="6153" width="12.453125" style="52" bestFit="1" customWidth="1"/>
    <col min="6154" max="6154" width="12.1796875" style="52" customWidth="1"/>
    <col min="6155" max="6155" width="14.54296875" style="52" bestFit="1" customWidth="1"/>
    <col min="6156" max="6156" width="11.81640625" style="52" bestFit="1" customWidth="1"/>
    <col min="6157" max="6157" width="9.81640625" style="52" bestFit="1" customWidth="1"/>
    <col min="6158" max="6400" width="9.1796875" style="52"/>
    <col min="6401" max="6401" width="4.7265625" style="52" bestFit="1" customWidth="1"/>
    <col min="6402" max="6402" width="24.26953125" style="52" bestFit="1" customWidth="1"/>
    <col min="6403" max="6403" width="11.81640625" style="52" bestFit="1" customWidth="1"/>
    <col min="6404" max="6404" width="12.26953125" style="52" bestFit="1" customWidth="1"/>
    <col min="6405" max="6405" width="12.54296875" style="52" bestFit="1" customWidth="1"/>
    <col min="6406" max="6406" width="12.26953125" style="52" bestFit="1" customWidth="1"/>
    <col min="6407" max="6407" width="10.7265625" style="52" bestFit="1" customWidth="1"/>
    <col min="6408" max="6409" width="12.453125" style="52" bestFit="1" customWidth="1"/>
    <col min="6410" max="6410" width="12.1796875" style="52" customWidth="1"/>
    <col min="6411" max="6411" width="14.54296875" style="52" bestFit="1" customWidth="1"/>
    <col min="6412" max="6412" width="11.81640625" style="52" bestFit="1" customWidth="1"/>
    <col min="6413" max="6413" width="9.81640625" style="52" bestFit="1" customWidth="1"/>
    <col min="6414" max="6656" width="9.1796875" style="52"/>
    <col min="6657" max="6657" width="4.7265625" style="52" bestFit="1" customWidth="1"/>
    <col min="6658" max="6658" width="24.26953125" style="52" bestFit="1" customWidth="1"/>
    <col min="6659" max="6659" width="11.81640625" style="52" bestFit="1" customWidth="1"/>
    <col min="6660" max="6660" width="12.26953125" style="52" bestFit="1" customWidth="1"/>
    <col min="6661" max="6661" width="12.54296875" style="52" bestFit="1" customWidth="1"/>
    <col min="6662" max="6662" width="12.26953125" style="52" bestFit="1" customWidth="1"/>
    <col min="6663" max="6663" width="10.7265625" style="52" bestFit="1" customWidth="1"/>
    <col min="6664" max="6665" width="12.453125" style="52" bestFit="1" customWidth="1"/>
    <col min="6666" max="6666" width="12.1796875" style="52" customWidth="1"/>
    <col min="6667" max="6667" width="14.54296875" style="52" bestFit="1" customWidth="1"/>
    <col min="6668" max="6668" width="11.81640625" style="52" bestFit="1" customWidth="1"/>
    <col min="6669" max="6669" width="9.81640625" style="52" bestFit="1" customWidth="1"/>
    <col min="6670" max="6912" width="9.1796875" style="52"/>
    <col min="6913" max="6913" width="4.7265625" style="52" bestFit="1" customWidth="1"/>
    <col min="6914" max="6914" width="24.26953125" style="52" bestFit="1" customWidth="1"/>
    <col min="6915" max="6915" width="11.81640625" style="52" bestFit="1" customWidth="1"/>
    <col min="6916" max="6916" width="12.26953125" style="52" bestFit="1" customWidth="1"/>
    <col min="6917" max="6917" width="12.54296875" style="52" bestFit="1" customWidth="1"/>
    <col min="6918" max="6918" width="12.26953125" style="52" bestFit="1" customWidth="1"/>
    <col min="6919" max="6919" width="10.7265625" style="52" bestFit="1" customWidth="1"/>
    <col min="6920" max="6921" width="12.453125" style="52" bestFit="1" customWidth="1"/>
    <col min="6922" max="6922" width="12.1796875" style="52" customWidth="1"/>
    <col min="6923" max="6923" width="14.54296875" style="52" bestFit="1" customWidth="1"/>
    <col min="6924" max="6924" width="11.81640625" style="52" bestFit="1" customWidth="1"/>
    <col min="6925" max="6925" width="9.81640625" style="52" bestFit="1" customWidth="1"/>
    <col min="6926" max="7168" width="9.1796875" style="52"/>
    <col min="7169" max="7169" width="4.7265625" style="52" bestFit="1" customWidth="1"/>
    <col min="7170" max="7170" width="24.26953125" style="52" bestFit="1" customWidth="1"/>
    <col min="7171" max="7171" width="11.81640625" style="52" bestFit="1" customWidth="1"/>
    <col min="7172" max="7172" width="12.26953125" style="52" bestFit="1" customWidth="1"/>
    <col min="7173" max="7173" width="12.54296875" style="52" bestFit="1" customWidth="1"/>
    <col min="7174" max="7174" width="12.26953125" style="52" bestFit="1" customWidth="1"/>
    <col min="7175" max="7175" width="10.7265625" style="52" bestFit="1" customWidth="1"/>
    <col min="7176" max="7177" width="12.453125" style="52" bestFit="1" customWidth="1"/>
    <col min="7178" max="7178" width="12.1796875" style="52" customWidth="1"/>
    <col min="7179" max="7179" width="14.54296875" style="52" bestFit="1" customWidth="1"/>
    <col min="7180" max="7180" width="11.81640625" style="52" bestFit="1" customWidth="1"/>
    <col min="7181" max="7181" width="9.81640625" style="52" bestFit="1" customWidth="1"/>
    <col min="7182" max="7424" width="9.1796875" style="52"/>
    <col min="7425" max="7425" width="4.7265625" style="52" bestFit="1" customWidth="1"/>
    <col min="7426" max="7426" width="24.26953125" style="52" bestFit="1" customWidth="1"/>
    <col min="7427" max="7427" width="11.81640625" style="52" bestFit="1" customWidth="1"/>
    <col min="7428" max="7428" width="12.26953125" style="52" bestFit="1" customWidth="1"/>
    <col min="7429" max="7429" width="12.54296875" style="52" bestFit="1" customWidth="1"/>
    <col min="7430" max="7430" width="12.26953125" style="52" bestFit="1" customWidth="1"/>
    <col min="7431" max="7431" width="10.7265625" style="52" bestFit="1" customWidth="1"/>
    <col min="7432" max="7433" width="12.453125" style="52" bestFit="1" customWidth="1"/>
    <col min="7434" max="7434" width="12.1796875" style="52" customWidth="1"/>
    <col min="7435" max="7435" width="14.54296875" style="52" bestFit="1" customWidth="1"/>
    <col min="7436" max="7436" width="11.81640625" style="52" bestFit="1" customWidth="1"/>
    <col min="7437" max="7437" width="9.81640625" style="52" bestFit="1" customWidth="1"/>
    <col min="7438" max="7680" width="9.1796875" style="52"/>
    <col min="7681" max="7681" width="4.7265625" style="52" bestFit="1" customWidth="1"/>
    <col min="7682" max="7682" width="24.26953125" style="52" bestFit="1" customWidth="1"/>
    <col min="7683" max="7683" width="11.81640625" style="52" bestFit="1" customWidth="1"/>
    <col min="7684" max="7684" width="12.26953125" style="52" bestFit="1" customWidth="1"/>
    <col min="7685" max="7685" width="12.54296875" style="52" bestFit="1" customWidth="1"/>
    <col min="7686" max="7686" width="12.26953125" style="52" bestFit="1" customWidth="1"/>
    <col min="7687" max="7687" width="10.7265625" style="52" bestFit="1" customWidth="1"/>
    <col min="7688" max="7689" width="12.453125" style="52" bestFit="1" customWidth="1"/>
    <col min="7690" max="7690" width="12.1796875" style="52" customWidth="1"/>
    <col min="7691" max="7691" width="14.54296875" style="52" bestFit="1" customWidth="1"/>
    <col min="7692" max="7692" width="11.81640625" style="52" bestFit="1" customWidth="1"/>
    <col min="7693" max="7693" width="9.81640625" style="52" bestFit="1" customWidth="1"/>
    <col min="7694" max="7936" width="9.1796875" style="52"/>
    <col min="7937" max="7937" width="4.7265625" style="52" bestFit="1" customWidth="1"/>
    <col min="7938" max="7938" width="24.26953125" style="52" bestFit="1" customWidth="1"/>
    <col min="7939" max="7939" width="11.81640625" style="52" bestFit="1" customWidth="1"/>
    <col min="7940" max="7940" width="12.26953125" style="52" bestFit="1" customWidth="1"/>
    <col min="7941" max="7941" width="12.54296875" style="52" bestFit="1" customWidth="1"/>
    <col min="7942" max="7942" width="12.26953125" style="52" bestFit="1" customWidth="1"/>
    <col min="7943" max="7943" width="10.7265625" style="52" bestFit="1" customWidth="1"/>
    <col min="7944" max="7945" width="12.453125" style="52" bestFit="1" customWidth="1"/>
    <col min="7946" max="7946" width="12.1796875" style="52" customWidth="1"/>
    <col min="7947" max="7947" width="14.54296875" style="52" bestFit="1" customWidth="1"/>
    <col min="7948" max="7948" width="11.81640625" style="52" bestFit="1" customWidth="1"/>
    <col min="7949" max="7949" width="9.81640625" style="52" bestFit="1" customWidth="1"/>
    <col min="7950" max="8192" width="9.1796875" style="52"/>
    <col min="8193" max="8193" width="4.7265625" style="52" bestFit="1" customWidth="1"/>
    <col min="8194" max="8194" width="24.26953125" style="52" bestFit="1" customWidth="1"/>
    <col min="8195" max="8195" width="11.81640625" style="52" bestFit="1" customWidth="1"/>
    <col min="8196" max="8196" width="12.26953125" style="52" bestFit="1" customWidth="1"/>
    <col min="8197" max="8197" width="12.54296875" style="52" bestFit="1" customWidth="1"/>
    <col min="8198" max="8198" width="12.26953125" style="52" bestFit="1" customWidth="1"/>
    <col min="8199" max="8199" width="10.7265625" style="52" bestFit="1" customWidth="1"/>
    <col min="8200" max="8201" width="12.453125" style="52" bestFit="1" customWidth="1"/>
    <col min="8202" max="8202" width="12.1796875" style="52" customWidth="1"/>
    <col min="8203" max="8203" width="14.54296875" style="52" bestFit="1" customWidth="1"/>
    <col min="8204" max="8204" width="11.81640625" style="52" bestFit="1" customWidth="1"/>
    <col min="8205" max="8205" width="9.81640625" style="52" bestFit="1" customWidth="1"/>
    <col min="8206" max="8448" width="9.1796875" style="52"/>
    <col min="8449" max="8449" width="4.7265625" style="52" bestFit="1" customWidth="1"/>
    <col min="8450" max="8450" width="24.26953125" style="52" bestFit="1" customWidth="1"/>
    <col min="8451" max="8451" width="11.81640625" style="52" bestFit="1" customWidth="1"/>
    <col min="8452" max="8452" width="12.26953125" style="52" bestFit="1" customWidth="1"/>
    <col min="8453" max="8453" width="12.54296875" style="52" bestFit="1" customWidth="1"/>
    <col min="8454" max="8454" width="12.26953125" style="52" bestFit="1" customWidth="1"/>
    <col min="8455" max="8455" width="10.7265625" style="52" bestFit="1" customWidth="1"/>
    <col min="8456" max="8457" width="12.453125" style="52" bestFit="1" customWidth="1"/>
    <col min="8458" max="8458" width="12.1796875" style="52" customWidth="1"/>
    <col min="8459" max="8459" width="14.54296875" style="52" bestFit="1" customWidth="1"/>
    <col min="8460" max="8460" width="11.81640625" style="52" bestFit="1" customWidth="1"/>
    <col min="8461" max="8461" width="9.81640625" style="52" bestFit="1" customWidth="1"/>
    <col min="8462" max="8704" width="9.1796875" style="52"/>
    <col min="8705" max="8705" width="4.7265625" style="52" bestFit="1" customWidth="1"/>
    <col min="8706" max="8706" width="24.26953125" style="52" bestFit="1" customWidth="1"/>
    <col min="8707" max="8707" width="11.81640625" style="52" bestFit="1" customWidth="1"/>
    <col min="8708" max="8708" width="12.26953125" style="52" bestFit="1" customWidth="1"/>
    <col min="8709" max="8709" width="12.54296875" style="52" bestFit="1" customWidth="1"/>
    <col min="8710" max="8710" width="12.26953125" style="52" bestFit="1" customWidth="1"/>
    <col min="8711" max="8711" width="10.7265625" style="52" bestFit="1" customWidth="1"/>
    <col min="8712" max="8713" width="12.453125" style="52" bestFit="1" customWidth="1"/>
    <col min="8714" max="8714" width="12.1796875" style="52" customWidth="1"/>
    <col min="8715" max="8715" width="14.54296875" style="52" bestFit="1" customWidth="1"/>
    <col min="8716" max="8716" width="11.81640625" style="52" bestFit="1" customWidth="1"/>
    <col min="8717" max="8717" width="9.81640625" style="52" bestFit="1" customWidth="1"/>
    <col min="8718" max="8960" width="9.1796875" style="52"/>
    <col min="8961" max="8961" width="4.7265625" style="52" bestFit="1" customWidth="1"/>
    <col min="8962" max="8962" width="24.26953125" style="52" bestFit="1" customWidth="1"/>
    <col min="8963" max="8963" width="11.81640625" style="52" bestFit="1" customWidth="1"/>
    <col min="8964" max="8964" width="12.26953125" style="52" bestFit="1" customWidth="1"/>
    <col min="8965" max="8965" width="12.54296875" style="52" bestFit="1" customWidth="1"/>
    <col min="8966" max="8966" width="12.26953125" style="52" bestFit="1" customWidth="1"/>
    <col min="8967" max="8967" width="10.7265625" style="52" bestFit="1" customWidth="1"/>
    <col min="8968" max="8969" width="12.453125" style="52" bestFit="1" customWidth="1"/>
    <col min="8970" max="8970" width="12.1796875" style="52" customWidth="1"/>
    <col min="8971" max="8971" width="14.54296875" style="52" bestFit="1" customWidth="1"/>
    <col min="8972" max="8972" width="11.81640625" style="52" bestFit="1" customWidth="1"/>
    <col min="8973" max="8973" width="9.81640625" style="52" bestFit="1" customWidth="1"/>
    <col min="8974" max="9216" width="9.1796875" style="52"/>
    <col min="9217" max="9217" width="4.7265625" style="52" bestFit="1" customWidth="1"/>
    <col min="9218" max="9218" width="24.26953125" style="52" bestFit="1" customWidth="1"/>
    <col min="9219" max="9219" width="11.81640625" style="52" bestFit="1" customWidth="1"/>
    <col min="9220" max="9220" width="12.26953125" style="52" bestFit="1" customWidth="1"/>
    <col min="9221" max="9221" width="12.54296875" style="52" bestFit="1" customWidth="1"/>
    <col min="9222" max="9222" width="12.26953125" style="52" bestFit="1" customWidth="1"/>
    <col min="9223" max="9223" width="10.7265625" style="52" bestFit="1" customWidth="1"/>
    <col min="9224" max="9225" width="12.453125" style="52" bestFit="1" customWidth="1"/>
    <col min="9226" max="9226" width="12.1796875" style="52" customWidth="1"/>
    <col min="9227" max="9227" width="14.54296875" style="52" bestFit="1" customWidth="1"/>
    <col min="9228" max="9228" width="11.81640625" style="52" bestFit="1" customWidth="1"/>
    <col min="9229" max="9229" width="9.81640625" style="52" bestFit="1" customWidth="1"/>
    <col min="9230" max="9472" width="9.1796875" style="52"/>
    <col min="9473" max="9473" width="4.7265625" style="52" bestFit="1" customWidth="1"/>
    <col min="9474" max="9474" width="24.26953125" style="52" bestFit="1" customWidth="1"/>
    <col min="9475" max="9475" width="11.81640625" style="52" bestFit="1" customWidth="1"/>
    <col min="9476" max="9476" width="12.26953125" style="52" bestFit="1" customWidth="1"/>
    <col min="9477" max="9477" width="12.54296875" style="52" bestFit="1" customWidth="1"/>
    <col min="9478" max="9478" width="12.26953125" style="52" bestFit="1" customWidth="1"/>
    <col min="9479" max="9479" width="10.7265625" style="52" bestFit="1" customWidth="1"/>
    <col min="9480" max="9481" width="12.453125" style="52" bestFit="1" customWidth="1"/>
    <col min="9482" max="9482" width="12.1796875" style="52" customWidth="1"/>
    <col min="9483" max="9483" width="14.54296875" style="52" bestFit="1" customWidth="1"/>
    <col min="9484" max="9484" width="11.81640625" style="52" bestFit="1" customWidth="1"/>
    <col min="9485" max="9485" width="9.81640625" style="52" bestFit="1" customWidth="1"/>
    <col min="9486" max="9728" width="9.1796875" style="52"/>
    <col min="9729" max="9729" width="4.7265625" style="52" bestFit="1" customWidth="1"/>
    <col min="9730" max="9730" width="24.26953125" style="52" bestFit="1" customWidth="1"/>
    <col min="9731" max="9731" width="11.81640625" style="52" bestFit="1" customWidth="1"/>
    <col min="9732" max="9732" width="12.26953125" style="52" bestFit="1" customWidth="1"/>
    <col min="9733" max="9733" width="12.54296875" style="52" bestFit="1" customWidth="1"/>
    <col min="9734" max="9734" width="12.26953125" style="52" bestFit="1" customWidth="1"/>
    <col min="9735" max="9735" width="10.7265625" style="52" bestFit="1" customWidth="1"/>
    <col min="9736" max="9737" width="12.453125" style="52" bestFit="1" customWidth="1"/>
    <col min="9738" max="9738" width="12.1796875" style="52" customWidth="1"/>
    <col min="9739" max="9739" width="14.54296875" style="52" bestFit="1" customWidth="1"/>
    <col min="9740" max="9740" width="11.81640625" style="52" bestFit="1" customWidth="1"/>
    <col min="9741" max="9741" width="9.81640625" style="52" bestFit="1" customWidth="1"/>
    <col min="9742" max="9984" width="9.1796875" style="52"/>
    <col min="9985" max="9985" width="4.7265625" style="52" bestFit="1" customWidth="1"/>
    <col min="9986" max="9986" width="24.26953125" style="52" bestFit="1" customWidth="1"/>
    <col min="9987" max="9987" width="11.81640625" style="52" bestFit="1" customWidth="1"/>
    <col min="9988" max="9988" width="12.26953125" style="52" bestFit="1" customWidth="1"/>
    <col min="9989" max="9989" width="12.54296875" style="52" bestFit="1" customWidth="1"/>
    <col min="9990" max="9990" width="12.26953125" style="52" bestFit="1" customWidth="1"/>
    <col min="9991" max="9991" width="10.7265625" style="52" bestFit="1" customWidth="1"/>
    <col min="9992" max="9993" width="12.453125" style="52" bestFit="1" customWidth="1"/>
    <col min="9994" max="9994" width="12.1796875" style="52" customWidth="1"/>
    <col min="9995" max="9995" width="14.54296875" style="52" bestFit="1" customWidth="1"/>
    <col min="9996" max="9996" width="11.81640625" style="52" bestFit="1" customWidth="1"/>
    <col min="9997" max="9997" width="9.81640625" style="52" bestFit="1" customWidth="1"/>
    <col min="9998" max="10240" width="9.1796875" style="52"/>
    <col min="10241" max="10241" width="4.7265625" style="52" bestFit="1" customWidth="1"/>
    <col min="10242" max="10242" width="24.26953125" style="52" bestFit="1" customWidth="1"/>
    <col min="10243" max="10243" width="11.81640625" style="52" bestFit="1" customWidth="1"/>
    <col min="10244" max="10244" width="12.26953125" style="52" bestFit="1" customWidth="1"/>
    <col min="10245" max="10245" width="12.54296875" style="52" bestFit="1" customWidth="1"/>
    <col min="10246" max="10246" width="12.26953125" style="52" bestFit="1" customWidth="1"/>
    <col min="10247" max="10247" width="10.7265625" style="52" bestFit="1" customWidth="1"/>
    <col min="10248" max="10249" width="12.453125" style="52" bestFit="1" customWidth="1"/>
    <col min="10250" max="10250" width="12.1796875" style="52" customWidth="1"/>
    <col min="10251" max="10251" width="14.54296875" style="52" bestFit="1" customWidth="1"/>
    <col min="10252" max="10252" width="11.81640625" style="52" bestFit="1" customWidth="1"/>
    <col min="10253" max="10253" width="9.81640625" style="52" bestFit="1" customWidth="1"/>
    <col min="10254" max="10496" width="9.1796875" style="52"/>
    <col min="10497" max="10497" width="4.7265625" style="52" bestFit="1" customWidth="1"/>
    <col min="10498" max="10498" width="24.26953125" style="52" bestFit="1" customWidth="1"/>
    <col min="10499" max="10499" width="11.81640625" style="52" bestFit="1" customWidth="1"/>
    <col min="10500" max="10500" width="12.26953125" style="52" bestFit="1" customWidth="1"/>
    <col min="10501" max="10501" width="12.54296875" style="52" bestFit="1" customWidth="1"/>
    <col min="10502" max="10502" width="12.26953125" style="52" bestFit="1" customWidth="1"/>
    <col min="10503" max="10503" width="10.7265625" style="52" bestFit="1" customWidth="1"/>
    <col min="10504" max="10505" width="12.453125" style="52" bestFit="1" customWidth="1"/>
    <col min="10506" max="10506" width="12.1796875" style="52" customWidth="1"/>
    <col min="10507" max="10507" width="14.54296875" style="52" bestFit="1" customWidth="1"/>
    <col min="10508" max="10508" width="11.81640625" style="52" bestFit="1" customWidth="1"/>
    <col min="10509" max="10509" width="9.81640625" style="52" bestFit="1" customWidth="1"/>
    <col min="10510" max="10752" width="9.1796875" style="52"/>
    <col min="10753" max="10753" width="4.7265625" style="52" bestFit="1" customWidth="1"/>
    <col min="10754" max="10754" width="24.26953125" style="52" bestFit="1" customWidth="1"/>
    <col min="10755" max="10755" width="11.81640625" style="52" bestFit="1" customWidth="1"/>
    <col min="10756" max="10756" width="12.26953125" style="52" bestFit="1" customWidth="1"/>
    <col min="10757" max="10757" width="12.54296875" style="52" bestFit="1" customWidth="1"/>
    <col min="10758" max="10758" width="12.26953125" style="52" bestFit="1" customWidth="1"/>
    <col min="10759" max="10759" width="10.7265625" style="52" bestFit="1" customWidth="1"/>
    <col min="10760" max="10761" width="12.453125" style="52" bestFit="1" customWidth="1"/>
    <col min="10762" max="10762" width="12.1796875" style="52" customWidth="1"/>
    <col min="10763" max="10763" width="14.54296875" style="52" bestFit="1" customWidth="1"/>
    <col min="10764" max="10764" width="11.81640625" style="52" bestFit="1" customWidth="1"/>
    <col min="10765" max="10765" width="9.81640625" style="52" bestFit="1" customWidth="1"/>
    <col min="10766" max="11008" width="9.1796875" style="52"/>
    <col min="11009" max="11009" width="4.7265625" style="52" bestFit="1" customWidth="1"/>
    <col min="11010" max="11010" width="24.26953125" style="52" bestFit="1" customWidth="1"/>
    <col min="11011" max="11011" width="11.81640625" style="52" bestFit="1" customWidth="1"/>
    <col min="11012" max="11012" width="12.26953125" style="52" bestFit="1" customWidth="1"/>
    <col min="11013" max="11013" width="12.54296875" style="52" bestFit="1" customWidth="1"/>
    <col min="11014" max="11014" width="12.26953125" style="52" bestFit="1" customWidth="1"/>
    <col min="11015" max="11015" width="10.7265625" style="52" bestFit="1" customWidth="1"/>
    <col min="11016" max="11017" width="12.453125" style="52" bestFit="1" customWidth="1"/>
    <col min="11018" max="11018" width="12.1796875" style="52" customWidth="1"/>
    <col min="11019" max="11019" width="14.54296875" style="52" bestFit="1" customWidth="1"/>
    <col min="11020" max="11020" width="11.81640625" style="52" bestFit="1" customWidth="1"/>
    <col min="11021" max="11021" width="9.81640625" style="52" bestFit="1" customWidth="1"/>
    <col min="11022" max="11264" width="9.1796875" style="52"/>
    <col min="11265" max="11265" width="4.7265625" style="52" bestFit="1" customWidth="1"/>
    <col min="11266" max="11266" width="24.26953125" style="52" bestFit="1" customWidth="1"/>
    <col min="11267" max="11267" width="11.81640625" style="52" bestFit="1" customWidth="1"/>
    <col min="11268" max="11268" width="12.26953125" style="52" bestFit="1" customWidth="1"/>
    <col min="11269" max="11269" width="12.54296875" style="52" bestFit="1" customWidth="1"/>
    <col min="11270" max="11270" width="12.26953125" style="52" bestFit="1" customWidth="1"/>
    <col min="11271" max="11271" width="10.7265625" style="52" bestFit="1" customWidth="1"/>
    <col min="11272" max="11273" width="12.453125" style="52" bestFit="1" customWidth="1"/>
    <col min="11274" max="11274" width="12.1796875" style="52" customWidth="1"/>
    <col min="11275" max="11275" width="14.54296875" style="52" bestFit="1" customWidth="1"/>
    <col min="11276" max="11276" width="11.81640625" style="52" bestFit="1" customWidth="1"/>
    <col min="11277" max="11277" width="9.81640625" style="52" bestFit="1" customWidth="1"/>
    <col min="11278" max="11520" width="9.1796875" style="52"/>
    <col min="11521" max="11521" width="4.7265625" style="52" bestFit="1" customWidth="1"/>
    <col min="11522" max="11522" width="24.26953125" style="52" bestFit="1" customWidth="1"/>
    <col min="11523" max="11523" width="11.81640625" style="52" bestFit="1" customWidth="1"/>
    <col min="11524" max="11524" width="12.26953125" style="52" bestFit="1" customWidth="1"/>
    <col min="11525" max="11525" width="12.54296875" style="52" bestFit="1" customWidth="1"/>
    <col min="11526" max="11526" width="12.26953125" style="52" bestFit="1" customWidth="1"/>
    <col min="11527" max="11527" width="10.7265625" style="52" bestFit="1" customWidth="1"/>
    <col min="11528" max="11529" width="12.453125" style="52" bestFit="1" customWidth="1"/>
    <col min="11530" max="11530" width="12.1796875" style="52" customWidth="1"/>
    <col min="11531" max="11531" width="14.54296875" style="52" bestFit="1" customWidth="1"/>
    <col min="11532" max="11532" width="11.81640625" style="52" bestFit="1" customWidth="1"/>
    <col min="11533" max="11533" width="9.81640625" style="52" bestFit="1" customWidth="1"/>
    <col min="11534" max="11776" width="9.1796875" style="52"/>
    <col min="11777" max="11777" width="4.7265625" style="52" bestFit="1" customWidth="1"/>
    <col min="11778" max="11778" width="24.26953125" style="52" bestFit="1" customWidth="1"/>
    <col min="11779" max="11779" width="11.81640625" style="52" bestFit="1" customWidth="1"/>
    <col min="11780" max="11780" width="12.26953125" style="52" bestFit="1" customWidth="1"/>
    <col min="11781" max="11781" width="12.54296875" style="52" bestFit="1" customWidth="1"/>
    <col min="11782" max="11782" width="12.26953125" style="52" bestFit="1" customWidth="1"/>
    <col min="11783" max="11783" width="10.7265625" style="52" bestFit="1" customWidth="1"/>
    <col min="11784" max="11785" width="12.453125" style="52" bestFit="1" customWidth="1"/>
    <col min="11786" max="11786" width="12.1796875" style="52" customWidth="1"/>
    <col min="11787" max="11787" width="14.54296875" style="52" bestFit="1" customWidth="1"/>
    <col min="11788" max="11788" width="11.81640625" style="52" bestFit="1" customWidth="1"/>
    <col min="11789" max="11789" width="9.81640625" style="52" bestFit="1" customWidth="1"/>
    <col min="11790" max="12032" width="9.1796875" style="52"/>
    <col min="12033" max="12033" width="4.7265625" style="52" bestFit="1" customWidth="1"/>
    <col min="12034" max="12034" width="24.26953125" style="52" bestFit="1" customWidth="1"/>
    <col min="12035" max="12035" width="11.81640625" style="52" bestFit="1" customWidth="1"/>
    <col min="12036" max="12036" width="12.26953125" style="52" bestFit="1" customWidth="1"/>
    <col min="12037" max="12037" width="12.54296875" style="52" bestFit="1" customWidth="1"/>
    <col min="12038" max="12038" width="12.26953125" style="52" bestFit="1" customWidth="1"/>
    <col min="12039" max="12039" width="10.7265625" style="52" bestFit="1" customWidth="1"/>
    <col min="12040" max="12041" width="12.453125" style="52" bestFit="1" customWidth="1"/>
    <col min="12042" max="12042" width="12.1796875" style="52" customWidth="1"/>
    <col min="12043" max="12043" width="14.54296875" style="52" bestFit="1" customWidth="1"/>
    <col min="12044" max="12044" width="11.81640625" style="52" bestFit="1" customWidth="1"/>
    <col min="12045" max="12045" width="9.81640625" style="52" bestFit="1" customWidth="1"/>
    <col min="12046" max="12288" width="9.1796875" style="52"/>
    <col min="12289" max="12289" width="4.7265625" style="52" bestFit="1" customWidth="1"/>
    <col min="12290" max="12290" width="24.26953125" style="52" bestFit="1" customWidth="1"/>
    <col min="12291" max="12291" width="11.81640625" style="52" bestFit="1" customWidth="1"/>
    <col min="12292" max="12292" width="12.26953125" style="52" bestFit="1" customWidth="1"/>
    <col min="12293" max="12293" width="12.54296875" style="52" bestFit="1" customWidth="1"/>
    <col min="12294" max="12294" width="12.26953125" style="52" bestFit="1" customWidth="1"/>
    <col min="12295" max="12295" width="10.7265625" style="52" bestFit="1" customWidth="1"/>
    <col min="12296" max="12297" width="12.453125" style="52" bestFit="1" customWidth="1"/>
    <col min="12298" max="12298" width="12.1796875" style="52" customWidth="1"/>
    <col min="12299" max="12299" width="14.54296875" style="52" bestFit="1" customWidth="1"/>
    <col min="12300" max="12300" width="11.81640625" style="52" bestFit="1" customWidth="1"/>
    <col min="12301" max="12301" width="9.81640625" style="52" bestFit="1" customWidth="1"/>
    <col min="12302" max="12544" width="9.1796875" style="52"/>
    <col min="12545" max="12545" width="4.7265625" style="52" bestFit="1" customWidth="1"/>
    <col min="12546" max="12546" width="24.26953125" style="52" bestFit="1" customWidth="1"/>
    <col min="12547" max="12547" width="11.81640625" style="52" bestFit="1" customWidth="1"/>
    <col min="12548" max="12548" width="12.26953125" style="52" bestFit="1" customWidth="1"/>
    <col min="12549" max="12549" width="12.54296875" style="52" bestFit="1" customWidth="1"/>
    <col min="12550" max="12550" width="12.26953125" style="52" bestFit="1" customWidth="1"/>
    <col min="12551" max="12551" width="10.7265625" style="52" bestFit="1" customWidth="1"/>
    <col min="12552" max="12553" width="12.453125" style="52" bestFit="1" customWidth="1"/>
    <col min="12554" max="12554" width="12.1796875" style="52" customWidth="1"/>
    <col min="12555" max="12555" width="14.54296875" style="52" bestFit="1" customWidth="1"/>
    <col min="12556" max="12556" width="11.81640625" style="52" bestFit="1" customWidth="1"/>
    <col min="12557" max="12557" width="9.81640625" style="52" bestFit="1" customWidth="1"/>
    <col min="12558" max="12800" width="9.1796875" style="52"/>
    <col min="12801" max="12801" width="4.7265625" style="52" bestFit="1" customWidth="1"/>
    <col min="12802" max="12802" width="24.26953125" style="52" bestFit="1" customWidth="1"/>
    <col min="12803" max="12803" width="11.81640625" style="52" bestFit="1" customWidth="1"/>
    <col min="12804" max="12804" width="12.26953125" style="52" bestFit="1" customWidth="1"/>
    <col min="12805" max="12805" width="12.54296875" style="52" bestFit="1" customWidth="1"/>
    <col min="12806" max="12806" width="12.26953125" style="52" bestFit="1" customWidth="1"/>
    <col min="12807" max="12807" width="10.7265625" style="52" bestFit="1" customWidth="1"/>
    <col min="12808" max="12809" width="12.453125" style="52" bestFit="1" customWidth="1"/>
    <col min="12810" max="12810" width="12.1796875" style="52" customWidth="1"/>
    <col min="12811" max="12811" width="14.54296875" style="52" bestFit="1" customWidth="1"/>
    <col min="12812" max="12812" width="11.81640625" style="52" bestFit="1" customWidth="1"/>
    <col min="12813" max="12813" width="9.81640625" style="52" bestFit="1" customWidth="1"/>
    <col min="12814" max="13056" width="9.1796875" style="52"/>
    <col min="13057" max="13057" width="4.7265625" style="52" bestFit="1" customWidth="1"/>
    <col min="13058" max="13058" width="24.26953125" style="52" bestFit="1" customWidth="1"/>
    <col min="13059" max="13059" width="11.81640625" style="52" bestFit="1" customWidth="1"/>
    <col min="13060" max="13060" width="12.26953125" style="52" bestFit="1" customWidth="1"/>
    <col min="13061" max="13061" width="12.54296875" style="52" bestFit="1" customWidth="1"/>
    <col min="13062" max="13062" width="12.26953125" style="52" bestFit="1" customWidth="1"/>
    <col min="13063" max="13063" width="10.7265625" style="52" bestFit="1" customWidth="1"/>
    <col min="13064" max="13065" width="12.453125" style="52" bestFit="1" customWidth="1"/>
    <col min="13066" max="13066" width="12.1796875" style="52" customWidth="1"/>
    <col min="13067" max="13067" width="14.54296875" style="52" bestFit="1" customWidth="1"/>
    <col min="13068" max="13068" width="11.81640625" style="52" bestFit="1" customWidth="1"/>
    <col min="13069" max="13069" width="9.81640625" style="52" bestFit="1" customWidth="1"/>
    <col min="13070" max="13312" width="9.1796875" style="52"/>
    <col min="13313" max="13313" width="4.7265625" style="52" bestFit="1" customWidth="1"/>
    <col min="13314" max="13314" width="24.26953125" style="52" bestFit="1" customWidth="1"/>
    <col min="13315" max="13315" width="11.81640625" style="52" bestFit="1" customWidth="1"/>
    <col min="13316" max="13316" width="12.26953125" style="52" bestFit="1" customWidth="1"/>
    <col min="13317" max="13317" width="12.54296875" style="52" bestFit="1" customWidth="1"/>
    <col min="13318" max="13318" width="12.26953125" style="52" bestFit="1" customWidth="1"/>
    <col min="13319" max="13319" width="10.7265625" style="52" bestFit="1" customWidth="1"/>
    <col min="13320" max="13321" width="12.453125" style="52" bestFit="1" customWidth="1"/>
    <col min="13322" max="13322" width="12.1796875" style="52" customWidth="1"/>
    <col min="13323" max="13323" width="14.54296875" style="52" bestFit="1" customWidth="1"/>
    <col min="13324" max="13324" width="11.81640625" style="52" bestFit="1" customWidth="1"/>
    <col min="13325" max="13325" width="9.81640625" style="52" bestFit="1" customWidth="1"/>
    <col min="13326" max="13568" width="9.1796875" style="52"/>
    <col min="13569" max="13569" width="4.7265625" style="52" bestFit="1" customWidth="1"/>
    <col min="13570" max="13570" width="24.26953125" style="52" bestFit="1" customWidth="1"/>
    <col min="13571" max="13571" width="11.81640625" style="52" bestFit="1" customWidth="1"/>
    <col min="13572" max="13572" width="12.26953125" style="52" bestFit="1" customWidth="1"/>
    <col min="13573" max="13573" width="12.54296875" style="52" bestFit="1" customWidth="1"/>
    <col min="13574" max="13574" width="12.26953125" style="52" bestFit="1" customWidth="1"/>
    <col min="13575" max="13575" width="10.7265625" style="52" bestFit="1" customWidth="1"/>
    <col min="13576" max="13577" width="12.453125" style="52" bestFit="1" customWidth="1"/>
    <col min="13578" max="13578" width="12.1796875" style="52" customWidth="1"/>
    <col min="13579" max="13579" width="14.54296875" style="52" bestFit="1" customWidth="1"/>
    <col min="13580" max="13580" width="11.81640625" style="52" bestFit="1" customWidth="1"/>
    <col min="13581" max="13581" width="9.81640625" style="52" bestFit="1" customWidth="1"/>
    <col min="13582" max="13824" width="9.1796875" style="52"/>
    <col min="13825" max="13825" width="4.7265625" style="52" bestFit="1" customWidth="1"/>
    <col min="13826" max="13826" width="24.26953125" style="52" bestFit="1" customWidth="1"/>
    <col min="13827" max="13827" width="11.81640625" style="52" bestFit="1" customWidth="1"/>
    <col min="13828" max="13828" width="12.26953125" style="52" bestFit="1" customWidth="1"/>
    <col min="13829" max="13829" width="12.54296875" style="52" bestFit="1" customWidth="1"/>
    <col min="13830" max="13830" width="12.26953125" style="52" bestFit="1" customWidth="1"/>
    <col min="13831" max="13831" width="10.7265625" style="52" bestFit="1" customWidth="1"/>
    <col min="13832" max="13833" width="12.453125" style="52" bestFit="1" customWidth="1"/>
    <col min="13834" max="13834" width="12.1796875" style="52" customWidth="1"/>
    <col min="13835" max="13835" width="14.54296875" style="52" bestFit="1" customWidth="1"/>
    <col min="13836" max="13836" width="11.81640625" style="52" bestFit="1" customWidth="1"/>
    <col min="13837" max="13837" width="9.81640625" style="52" bestFit="1" customWidth="1"/>
    <col min="13838" max="14080" width="9.1796875" style="52"/>
    <col min="14081" max="14081" width="4.7265625" style="52" bestFit="1" customWidth="1"/>
    <col min="14082" max="14082" width="24.26953125" style="52" bestFit="1" customWidth="1"/>
    <col min="14083" max="14083" width="11.81640625" style="52" bestFit="1" customWidth="1"/>
    <col min="14084" max="14084" width="12.26953125" style="52" bestFit="1" customWidth="1"/>
    <col min="14085" max="14085" width="12.54296875" style="52" bestFit="1" customWidth="1"/>
    <col min="14086" max="14086" width="12.26953125" style="52" bestFit="1" customWidth="1"/>
    <col min="14087" max="14087" width="10.7265625" style="52" bestFit="1" customWidth="1"/>
    <col min="14088" max="14089" width="12.453125" style="52" bestFit="1" customWidth="1"/>
    <col min="14090" max="14090" width="12.1796875" style="52" customWidth="1"/>
    <col min="14091" max="14091" width="14.54296875" style="52" bestFit="1" customWidth="1"/>
    <col min="14092" max="14092" width="11.81640625" style="52" bestFit="1" customWidth="1"/>
    <col min="14093" max="14093" width="9.81640625" style="52" bestFit="1" customWidth="1"/>
    <col min="14094" max="14336" width="9.1796875" style="52"/>
    <col min="14337" max="14337" width="4.7265625" style="52" bestFit="1" customWidth="1"/>
    <col min="14338" max="14338" width="24.26953125" style="52" bestFit="1" customWidth="1"/>
    <col min="14339" max="14339" width="11.81640625" style="52" bestFit="1" customWidth="1"/>
    <col min="14340" max="14340" width="12.26953125" style="52" bestFit="1" customWidth="1"/>
    <col min="14341" max="14341" width="12.54296875" style="52" bestFit="1" customWidth="1"/>
    <col min="14342" max="14342" width="12.26953125" style="52" bestFit="1" customWidth="1"/>
    <col min="14343" max="14343" width="10.7265625" style="52" bestFit="1" customWidth="1"/>
    <col min="14344" max="14345" width="12.453125" style="52" bestFit="1" customWidth="1"/>
    <col min="14346" max="14346" width="12.1796875" style="52" customWidth="1"/>
    <col min="14347" max="14347" width="14.54296875" style="52" bestFit="1" customWidth="1"/>
    <col min="14348" max="14348" width="11.81640625" style="52" bestFit="1" customWidth="1"/>
    <col min="14349" max="14349" width="9.81640625" style="52" bestFit="1" customWidth="1"/>
    <col min="14350" max="14592" width="9.1796875" style="52"/>
    <col min="14593" max="14593" width="4.7265625" style="52" bestFit="1" customWidth="1"/>
    <col min="14594" max="14594" width="24.26953125" style="52" bestFit="1" customWidth="1"/>
    <col min="14595" max="14595" width="11.81640625" style="52" bestFit="1" customWidth="1"/>
    <col min="14596" max="14596" width="12.26953125" style="52" bestFit="1" customWidth="1"/>
    <col min="14597" max="14597" width="12.54296875" style="52" bestFit="1" customWidth="1"/>
    <col min="14598" max="14598" width="12.26953125" style="52" bestFit="1" customWidth="1"/>
    <col min="14599" max="14599" width="10.7265625" style="52" bestFit="1" customWidth="1"/>
    <col min="14600" max="14601" width="12.453125" style="52" bestFit="1" customWidth="1"/>
    <col min="14602" max="14602" width="12.1796875" style="52" customWidth="1"/>
    <col min="14603" max="14603" width="14.54296875" style="52" bestFit="1" customWidth="1"/>
    <col min="14604" max="14604" width="11.81640625" style="52" bestFit="1" customWidth="1"/>
    <col min="14605" max="14605" width="9.81640625" style="52" bestFit="1" customWidth="1"/>
    <col min="14606" max="14848" width="9.1796875" style="52"/>
    <col min="14849" max="14849" width="4.7265625" style="52" bestFit="1" customWidth="1"/>
    <col min="14850" max="14850" width="24.26953125" style="52" bestFit="1" customWidth="1"/>
    <col min="14851" max="14851" width="11.81640625" style="52" bestFit="1" customWidth="1"/>
    <col min="14852" max="14852" width="12.26953125" style="52" bestFit="1" customWidth="1"/>
    <col min="14853" max="14853" width="12.54296875" style="52" bestFit="1" customWidth="1"/>
    <col min="14854" max="14854" width="12.26953125" style="52" bestFit="1" customWidth="1"/>
    <col min="14855" max="14855" width="10.7265625" style="52" bestFit="1" customWidth="1"/>
    <col min="14856" max="14857" width="12.453125" style="52" bestFit="1" customWidth="1"/>
    <col min="14858" max="14858" width="12.1796875" style="52" customWidth="1"/>
    <col min="14859" max="14859" width="14.54296875" style="52" bestFit="1" customWidth="1"/>
    <col min="14860" max="14860" width="11.81640625" style="52" bestFit="1" customWidth="1"/>
    <col min="14861" max="14861" width="9.81640625" style="52" bestFit="1" customWidth="1"/>
    <col min="14862" max="15104" width="9.1796875" style="52"/>
    <col min="15105" max="15105" width="4.7265625" style="52" bestFit="1" customWidth="1"/>
    <col min="15106" max="15106" width="24.26953125" style="52" bestFit="1" customWidth="1"/>
    <col min="15107" max="15107" width="11.81640625" style="52" bestFit="1" customWidth="1"/>
    <col min="15108" max="15108" width="12.26953125" style="52" bestFit="1" customWidth="1"/>
    <col min="15109" max="15109" width="12.54296875" style="52" bestFit="1" customWidth="1"/>
    <col min="15110" max="15110" width="12.26953125" style="52" bestFit="1" customWidth="1"/>
    <col min="15111" max="15111" width="10.7265625" style="52" bestFit="1" customWidth="1"/>
    <col min="15112" max="15113" width="12.453125" style="52" bestFit="1" customWidth="1"/>
    <col min="15114" max="15114" width="12.1796875" style="52" customWidth="1"/>
    <col min="15115" max="15115" width="14.54296875" style="52" bestFit="1" customWidth="1"/>
    <col min="15116" max="15116" width="11.81640625" style="52" bestFit="1" customWidth="1"/>
    <col min="15117" max="15117" width="9.81640625" style="52" bestFit="1" customWidth="1"/>
    <col min="15118" max="15360" width="9.1796875" style="52"/>
    <col min="15361" max="15361" width="4.7265625" style="52" bestFit="1" customWidth="1"/>
    <col min="15362" max="15362" width="24.26953125" style="52" bestFit="1" customWidth="1"/>
    <col min="15363" max="15363" width="11.81640625" style="52" bestFit="1" customWidth="1"/>
    <col min="15364" max="15364" width="12.26953125" style="52" bestFit="1" customWidth="1"/>
    <col min="15365" max="15365" width="12.54296875" style="52" bestFit="1" customWidth="1"/>
    <col min="15366" max="15366" width="12.26953125" style="52" bestFit="1" customWidth="1"/>
    <col min="15367" max="15367" width="10.7265625" style="52" bestFit="1" customWidth="1"/>
    <col min="15368" max="15369" width="12.453125" style="52" bestFit="1" customWidth="1"/>
    <col min="15370" max="15370" width="12.1796875" style="52" customWidth="1"/>
    <col min="15371" max="15371" width="14.54296875" style="52" bestFit="1" customWidth="1"/>
    <col min="15372" max="15372" width="11.81640625" style="52" bestFit="1" customWidth="1"/>
    <col min="15373" max="15373" width="9.81640625" style="52" bestFit="1" customWidth="1"/>
    <col min="15374" max="15616" width="9.1796875" style="52"/>
    <col min="15617" max="15617" width="4.7265625" style="52" bestFit="1" customWidth="1"/>
    <col min="15618" max="15618" width="24.26953125" style="52" bestFit="1" customWidth="1"/>
    <col min="15619" max="15619" width="11.81640625" style="52" bestFit="1" customWidth="1"/>
    <col min="15620" max="15620" width="12.26953125" style="52" bestFit="1" customWidth="1"/>
    <col min="15621" max="15621" width="12.54296875" style="52" bestFit="1" customWidth="1"/>
    <col min="15622" max="15622" width="12.26953125" style="52" bestFit="1" customWidth="1"/>
    <col min="15623" max="15623" width="10.7265625" style="52" bestFit="1" customWidth="1"/>
    <col min="15624" max="15625" width="12.453125" style="52" bestFit="1" customWidth="1"/>
    <col min="15626" max="15626" width="12.1796875" style="52" customWidth="1"/>
    <col min="15627" max="15627" width="14.54296875" style="52" bestFit="1" customWidth="1"/>
    <col min="15628" max="15628" width="11.81640625" style="52" bestFit="1" customWidth="1"/>
    <col min="15629" max="15629" width="9.81640625" style="52" bestFit="1" customWidth="1"/>
    <col min="15630" max="15872" width="9.1796875" style="52"/>
    <col min="15873" max="15873" width="4.7265625" style="52" bestFit="1" customWidth="1"/>
    <col min="15874" max="15874" width="24.26953125" style="52" bestFit="1" customWidth="1"/>
    <col min="15875" max="15875" width="11.81640625" style="52" bestFit="1" customWidth="1"/>
    <col min="15876" max="15876" width="12.26953125" style="52" bestFit="1" customWidth="1"/>
    <col min="15877" max="15877" width="12.54296875" style="52" bestFit="1" customWidth="1"/>
    <col min="15878" max="15878" width="12.26953125" style="52" bestFit="1" customWidth="1"/>
    <col min="15879" max="15879" width="10.7265625" style="52" bestFit="1" customWidth="1"/>
    <col min="15880" max="15881" width="12.453125" style="52" bestFit="1" customWidth="1"/>
    <col min="15882" max="15882" width="12.1796875" style="52" customWidth="1"/>
    <col min="15883" max="15883" width="14.54296875" style="52" bestFit="1" customWidth="1"/>
    <col min="15884" max="15884" width="11.81640625" style="52" bestFit="1" customWidth="1"/>
    <col min="15885" max="15885" width="9.81640625" style="52" bestFit="1" customWidth="1"/>
    <col min="15886" max="16128" width="9.1796875" style="52"/>
    <col min="16129" max="16129" width="4.7265625" style="52" bestFit="1" customWidth="1"/>
    <col min="16130" max="16130" width="24.26953125" style="52" bestFit="1" customWidth="1"/>
    <col min="16131" max="16131" width="11.81640625" style="52" bestFit="1" customWidth="1"/>
    <col min="16132" max="16132" width="12.26953125" style="52" bestFit="1" customWidth="1"/>
    <col min="16133" max="16133" width="12.54296875" style="52" bestFit="1" customWidth="1"/>
    <col min="16134" max="16134" width="12.26953125" style="52" bestFit="1" customWidth="1"/>
    <col min="16135" max="16135" width="10.7265625" style="52" bestFit="1" customWidth="1"/>
    <col min="16136" max="16137" width="12.453125" style="52" bestFit="1" customWidth="1"/>
    <col min="16138" max="16138" width="12.1796875" style="52" customWidth="1"/>
    <col min="16139" max="16139" width="14.54296875" style="52" bestFit="1" customWidth="1"/>
    <col min="16140" max="16140" width="11.81640625" style="52" bestFit="1" customWidth="1"/>
    <col min="16141" max="16141" width="9.81640625" style="52" bestFit="1" customWidth="1"/>
    <col min="16142" max="16384" width="9.1796875" style="52"/>
  </cols>
  <sheetData>
    <row r="1" spans="1:23" ht="18.5">
      <c r="B1" s="53"/>
      <c r="L1" s="78" t="s">
        <v>95</v>
      </c>
      <c r="W1" s="55"/>
    </row>
    <row r="2" spans="1:23">
      <c r="B2" s="52" t="s">
        <v>70</v>
      </c>
      <c r="D2" s="56">
        <f>T3</f>
        <v>7.6200000000000004E-2</v>
      </c>
      <c r="P2" s="52" t="s">
        <v>71</v>
      </c>
      <c r="T2" s="52" t="s">
        <v>72</v>
      </c>
    </row>
    <row r="3" spans="1:23">
      <c r="B3" s="52" t="s">
        <v>73</v>
      </c>
      <c r="D3" s="57">
        <f>D2/12</f>
        <v>6.3500000000000006E-3</v>
      </c>
      <c r="P3" s="58">
        <v>7.8799999999999995E-2</v>
      </c>
      <c r="Q3" s="52" t="s">
        <v>70</v>
      </c>
      <c r="T3" s="58">
        <v>7.6200000000000004E-2</v>
      </c>
      <c r="U3" s="52" t="s">
        <v>70</v>
      </c>
    </row>
    <row r="4" spans="1:23">
      <c r="B4" s="52" t="s">
        <v>74</v>
      </c>
      <c r="D4" s="59">
        <f>D5/12</f>
        <v>1128292.4667885939</v>
      </c>
      <c r="P4" s="58">
        <v>4.1200000000000001E-2</v>
      </c>
      <c r="Q4" s="52" t="s">
        <v>75</v>
      </c>
      <c r="T4" s="58">
        <v>3.8300000000000001E-2</v>
      </c>
      <c r="U4" s="52" t="s">
        <v>75</v>
      </c>
    </row>
    <row r="5" spans="1:23">
      <c r="B5" s="52" t="s">
        <v>76</v>
      </c>
      <c r="D5" s="59">
        <v>13539509.601463126</v>
      </c>
      <c r="P5" s="58">
        <f>P3-P4</f>
        <v>3.7599999999999995E-2</v>
      </c>
      <c r="Q5" s="52" t="s">
        <v>77</v>
      </c>
      <c r="T5" s="58">
        <f>T3-T4</f>
        <v>3.7900000000000003E-2</v>
      </c>
      <c r="U5" s="52" t="s">
        <v>77</v>
      </c>
    </row>
    <row r="6" spans="1:23">
      <c r="D6" s="60"/>
      <c r="P6" s="61">
        <f>P3/12</f>
        <v>6.566666666666666E-3</v>
      </c>
      <c r="Q6" s="52" t="s">
        <v>78</v>
      </c>
      <c r="T6" s="61">
        <f>T3/12</f>
        <v>6.3500000000000006E-3</v>
      </c>
      <c r="U6" s="52" t="s">
        <v>78</v>
      </c>
    </row>
    <row r="7" spans="1:23">
      <c r="C7" s="62"/>
      <c r="D7" s="63"/>
      <c r="E7" s="66"/>
      <c r="F7" s="64"/>
      <c r="G7" s="64"/>
      <c r="H7" s="64"/>
      <c r="I7" s="64"/>
      <c r="J7" s="65"/>
      <c r="K7" s="65"/>
    </row>
    <row r="8" spans="1:23">
      <c r="C8" s="117"/>
      <c r="D8" s="117"/>
      <c r="E8" s="117"/>
      <c r="F8" s="117"/>
      <c r="G8" s="117"/>
      <c r="H8" s="64"/>
      <c r="I8" s="64"/>
      <c r="J8" s="65"/>
      <c r="K8" s="65"/>
    </row>
    <row r="9" spans="1:23" ht="58">
      <c r="A9" s="66" t="s">
        <v>15</v>
      </c>
      <c r="B9" s="67" t="s">
        <v>79</v>
      </c>
      <c r="C9" s="67" t="s">
        <v>80</v>
      </c>
      <c r="D9" s="67" t="s">
        <v>81</v>
      </c>
      <c r="E9" s="68" t="s">
        <v>82</v>
      </c>
      <c r="F9" s="68" t="s">
        <v>83</v>
      </c>
      <c r="G9" s="68" t="s">
        <v>84</v>
      </c>
      <c r="H9" s="68" t="s">
        <v>85</v>
      </c>
      <c r="I9" s="67" t="s">
        <v>86</v>
      </c>
      <c r="J9" s="67" t="s">
        <v>87</v>
      </c>
      <c r="K9" s="67" t="s">
        <v>88</v>
      </c>
      <c r="L9" s="68" t="s">
        <v>89</v>
      </c>
    </row>
    <row r="10" spans="1:23">
      <c r="A10" s="66"/>
      <c r="B10" s="69"/>
      <c r="C10" s="70"/>
      <c r="D10" s="70"/>
      <c r="E10" s="71"/>
      <c r="F10" s="71">
        <v>0</v>
      </c>
      <c r="G10" s="71"/>
      <c r="H10" s="71">
        <v>0</v>
      </c>
      <c r="I10" s="72">
        <f>L10+H10</f>
        <v>0</v>
      </c>
      <c r="J10" s="70"/>
      <c r="K10" s="70"/>
      <c r="L10" s="71">
        <v>0</v>
      </c>
    </row>
    <row r="11" spans="1:23">
      <c r="A11" s="66">
        <v>1</v>
      </c>
      <c r="B11" s="69">
        <v>43101</v>
      </c>
      <c r="C11" s="73">
        <f>ROUND((15000000/12)*(13/31),2)</f>
        <v>524193.55</v>
      </c>
      <c r="D11" s="70"/>
      <c r="E11" s="71">
        <f t="shared" ref="E11:E46" si="0">C11-D11</f>
        <v>524193.55</v>
      </c>
      <c r="F11" s="71">
        <f t="shared" ref="F11:F46" si="1">E11+F10</f>
        <v>524193.55</v>
      </c>
      <c r="G11" s="71">
        <f t="shared" ref="G11:G46" si="2">-E11*0.21</f>
        <v>-110080.6455</v>
      </c>
      <c r="H11" s="71">
        <f t="shared" ref="H11:H46" si="3">G11+H10</f>
        <v>-110080.6455</v>
      </c>
      <c r="I11" s="72">
        <f t="shared" ref="I11:I46" si="4">F11+H11</f>
        <v>414112.9045</v>
      </c>
      <c r="J11" s="70"/>
      <c r="K11" s="70"/>
      <c r="L11" s="71">
        <f t="shared" ref="L11:L46" si="5">L10+E11+J11+K11</f>
        <v>524193.55</v>
      </c>
    </row>
    <row r="12" spans="1:23">
      <c r="A12" s="66">
        <v>2</v>
      </c>
      <c r="B12" s="69">
        <v>43132</v>
      </c>
      <c r="C12" s="73">
        <f>15000000/12</f>
        <v>1250000</v>
      </c>
      <c r="D12" s="70"/>
      <c r="E12" s="71">
        <f t="shared" si="0"/>
        <v>1250000</v>
      </c>
      <c r="F12" s="71">
        <f t="shared" si="1"/>
        <v>1774193.55</v>
      </c>
      <c r="G12" s="71">
        <f t="shared" si="2"/>
        <v>-262500</v>
      </c>
      <c r="H12" s="71">
        <f t="shared" si="3"/>
        <v>-372580.64549999998</v>
      </c>
      <c r="I12" s="72">
        <f t="shared" si="4"/>
        <v>1401612.9045000002</v>
      </c>
      <c r="J12" s="70">
        <f>ROUND(F11*$P$6,2)</f>
        <v>3442.2</v>
      </c>
      <c r="K12" s="70"/>
      <c r="L12" s="71">
        <f t="shared" si="5"/>
        <v>1777635.75</v>
      </c>
    </row>
    <row r="13" spans="1:23">
      <c r="A13" s="66">
        <v>3</v>
      </c>
      <c r="B13" s="69">
        <v>43160</v>
      </c>
      <c r="C13" s="73">
        <f t="shared" ref="C13:C22" si="6">C12</f>
        <v>1250000</v>
      </c>
      <c r="D13" s="70"/>
      <c r="E13" s="71">
        <f t="shared" si="0"/>
        <v>1250000</v>
      </c>
      <c r="F13" s="71">
        <f t="shared" si="1"/>
        <v>3024193.55</v>
      </c>
      <c r="G13" s="71">
        <f t="shared" si="2"/>
        <v>-262500</v>
      </c>
      <c r="H13" s="71">
        <f t="shared" si="3"/>
        <v>-635080.64549999998</v>
      </c>
      <c r="I13" s="72">
        <f t="shared" si="4"/>
        <v>2389112.9044999997</v>
      </c>
      <c r="J13" s="70">
        <f t="shared" ref="J13:J46" si="7">ROUND(I12*$P$6,2)</f>
        <v>9203.92</v>
      </c>
      <c r="K13" s="70"/>
      <c r="L13" s="71">
        <f t="shared" si="5"/>
        <v>3036839.67</v>
      </c>
    </row>
    <row r="14" spans="1:23">
      <c r="A14" s="66">
        <v>4</v>
      </c>
      <c r="B14" s="69">
        <v>43191</v>
      </c>
      <c r="C14" s="73">
        <f t="shared" si="6"/>
        <v>1250000</v>
      </c>
      <c r="D14" s="70"/>
      <c r="E14" s="71">
        <f t="shared" si="0"/>
        <v>1250000</v>
      </c>
      <c r="F14" s="71">
        <f t="shared" si="1"/>
        <v>4274193.55</v>
      </c>
      <c r="G14" s="71">
        <f t="shared" si="2"/>
        <v>-262500</v>
      </c>
      <c r="H14" s="71">
        <f t="shared" si="3"/>
        <v>-897580.64549999998</v>
      </c>
      <c r="I14" s="72">
        <f t="shared" si="4"/>
        <v>3376612.9044999997</v>
      </c>
      <c r="J14" s="70">
        <f t="shared" si="7"/>
        <v>15688.51</v>
      </c>
      <c r="K14" s="70"/>
      <c r="L14" s="71">
        <f t="shared" si="5"/>
        <v>4302528.18</v>
      </c>
    </row>
    <row r="15" spans="1:23">
      <c r="A15" s="66">
        <v>5</v>
      </c>
      <c r="B15" s="69">
        <v>43221</v>
      </c>
      <c r="C15" s="73">
        <f t="shared" si="6"/>
        <v>1250000</v>
      </c>
      <c r="D15" s="70"/>
      <c r="E15" s="71">
        <f t="shared" si="0"/>
        <v>1250000</v>
      </c>
      <c r="F15" s="71">
        <f t="shared" si="1"/>
        <v>5524193.5499999998</v>
      </c>
      <c r="G15" s="71">
        <f t="shared" si="2"/>
        <v>-262500</v>
      </c>
      <c r="H15" s="71">
        <f t="shared" si="3"/>
        <v>-1160080.6455000001</v>
      </c>
      <c r="I15" s="72">
        <f t="shared" si="4"/>
        <v>4364112.9045000002</v>
      </c>
      <c r="J15" s="70">
        <f t="shared" si="7"/>
        <v>22173.09</v>
      </c>
      <c r="K15" s="70"/>
      <c r="L15" s="71">
        <f t="shared" si="5"/>
        <v>5574701.2699999996</v>
      </c>
    </row>
    <row r="16" spans="1:23">
      <c r="A16" s="66">
        <v>6</v>
      </c>
      <c r="B16" s="69">
        <v>43252</v>
      </c>
      <c r="C16" s="73">
        <f t="shared" si="6"/>
        <v>1250000</v>
      </c>
      <c r="D16" s="70"/>
      <c r="E16" s="71">
        <f t="shared" si="0"/>
        <v>1250000</v>
      </c>
      <c r="F16" s="71">
        <f t="shared" si="1"/>
        <v>6774193.5499999998</v>
      </c>
      <c r="G16" s="71">
        <f t="shared" si="2"/>
        <v>-262500</v>
      </c>
      <c r="H16" s="71">
        <f t="shared" si="3"/>
        <v>-1422580.6455000001</v>
      </c>
      <c r="I16" s="72">
        <f t="shared" si="4"/>
        <v>5351612.9045000002</v>
      </c>
      <c r="J16" s="70">
        <f t="shared" si="7"/>
        <v>28657.67</v>
      </c>
      <c r="K16" s="70"/>
      <c r="L16" s="71">
        <f t="shared" si="5"/>
        <v>6853358.9399999995</v>
      </c>
    </row>
    <row r="17" spans="1:12">
      <c r="A17" s="66">
        <v>7</v>
      </c>
      <c r="B17" s="69">
        <v>43282</v>
      </c>
      <c r="C17" s="73">
        <f t="shared" si="6"/>
        <v>1250000</v>
      </c>
      <c r="D17" s="70"/>
      <c r="E17" s="71">
        <f t="shared" si="0"/>
        <v>1250000</v>
      </c>
      <c r="F17" s="71">
        <f t="shared" si="1"/>
        <v>8024193.5499999998</v>
      </c>
      <c r="G17" s="71">
        <f t="shared" si="2"/>
        <v>-262500</v>
      </c>
      <c r="H17" s="71">
        <f t="shared" si="3"/>
        <v>-1685080.6455000001</v>
      </c>
      <c r="I17" s="72">
        <f t="shared" si="4"/>
        <v>6339112.9045000002</v>
      </c>
      <c r="J17" s="70">
        <f t="shared" si="7"/>
        <v>35142.26</v>
      </c>
      <c r="K17" s="70"/>
      <c r="L17" s="71">
        <f t="shared" si="5"/>
        <v>8138501.1999999993</v>
      </c>
    </row>
    <row r="18" spans="1:12">
      <c r="A18" s="66">
        <v>8</v>
      </c>
      <c r="B18" s="69">
        <v>43313</v>
      </c>
      <c r="C18" s="73">
        <f t="shared" si="6"/>
        <v>1250000</v>
      </c>
      <c r="D18" s="70"/>
      <c r="E18" s="71">
        <f t="shared" si="0"/>
        <v>1250000</v>
      </c>
      <c r="F18" s="71">
        <f t="shared" si="1"/>
        <v>9274193.5500000007</v>
      </c>
      <c r="G18" s="71">
        <f t="shared" si="2"/>
        <v>-262500</v>
      </c>
      <c r="H18" s="71">
        <f t="shared" si="3"/>
        <v>-1947580.6455000001</v>
      </c>
      <c r="I18" s="72">
        <f t="shared" si="4"/>
        <v>7326612.9045000002</v>
      </c>
      <c r="J18" s="70">
        <f t="shared" si="7"/>
        <v>41626.839999999997</v>
      </c>
      <c r="K18" s="70"/>
      <c r="L18" s="71">
        <f t="shared" si="5"/>
        <v>9430128.0399999991</v>
      </c>
    </row>
    <row r="19" spans="1:12">
      <c r="A19" s="66">
        <v>9</v>
      </c>
      <c r="B19" s="69">
        <v>43344</v>
      </c>
      <c r="C19" s="73">
        <f t="shared" si="6"/>
        <v>1250000</v>
      </c>
      <c r="D19" s="70"/>
      <c r="E19" s="71">
        <f t="shared" si="0"/>
        <v>1250000</v>
      </c>
      <c r="F19" s="71">
        <f t="shared" si="1"/>
        <v>10524193.550000001</v>
      </c>
      <c r="G19" s="71">
        <f t="shared" si="2"/>
        <v>-262500</v>
      </c>
      <c r="H19" s="71">
        <f t="shared" si="3"/>
        <v>-2210080.6455000001</v>
      </c>
      <c r="I19" s="72">
        <f t="shared" si="4"/>
        <v>8314112.9045000002</v>
      </c>
      <c r="J19" s="70">
        <f t="shared" si="7"/>
        <v>48111.42</v>
      </c>
      <c r="K19" s="70"/>
      <c r="L19" s="71">
        <f t="shared" si="5"/>
        <v>10728239.459999999</v>
      </c>
    </row>
    <row r="20" spans="1:12">
      <c r="A20" s="66">
        <v>10</v>
      </c>
      <c r="B20" s="69">
        <v>43374</v>
      </c>
      <c r="C20" s="73">
        <f t="shared" si="6"/>
        <v>1250000</v>
      </c>
      <c r="D20" s="70"/>
      <c r="E20" s="71">
        <f t="shared" si="0"/>
        <v>1250000</v>
      </c>
      <c r="F20" s="71">
        <f t="shared" si="1"/>
        <v>11774193.550000001</v>
      </c>
      <c r="G20" s="71">
        <f t="shared" si="2"/>
        <v>-262500</v>
      </c>
      <c r="H20" s="71">
        <f t="shared" si="3"/>
        <v>-2472580.6455000001</v>
      </c>
      <c r="I20" s="72">
        <f t="shared" si="4"/>
        <v>9301612.9045000002</v>
      </c>
      <c r="J20" s="70">
        <f t="shared" si="7"/>
        <v>54596.01</v>
      </c>
      <c r="K20" s="70"/>
      <c r="L20" s="71">
        <f t="shared" si="5"/>
        <v>12032835.469999999</v>
      </c>
    </row>
    <row r="21" spans="1:12">
      <c r="A21" s="66">
        <v>11</v>
      </c>
      <c r="B21" s="69">
        <v>43405</v>
      </c>
      <c r="C21" s="73">
        <f t="shared" si="6"/>
        <v>1250000</v>
      </c>
      <c r="D21" s="70"/>
      <c r="E21" s="71">
        <f t="shared" si="0"/>
        <v>1250000</v>
      </c>
      <c r="F21" s="71">
        <f t="shared" si="1"/>
        <v>13024193.550000001</v>
      </c>
      <c r="G21" s="71">
        <f t="shared" si="2"/>
        <v>-262500</v>
      </c>
      <c r="H21" s="71">
        <f t="shared" si="3"/>
        <v>-2735080.6455000001</v>
      </c>
      <c r="I21" s="72">
        <f t="shared" si="4"/>
        <v>10289112.9045</v>
      </c>
      <c r="J21" s="70">
        <f t="shared" si="7"/>
        <v>61080.59</v>
      </c>
      <c r="K21" s="70"/>
      <c r="L21" s="71">
        <f t="shared" si="5"/>
        <v>13343916.059999999</v>
      </c>
    </row>
    <row r="22" spans="1:12">
      <c r="A22" s="66">
        <v>12</v>
      </c>
      <c r="B22" s="69">
        <v>43435</v>
      </c>
      <c r="C22" s="73">
        <f t="shared" si="6"/>
        <v>1250000</v>
      </c>
      <c r="D22" s="70"/>
      <c r="E22" s="71">
        <f t="shared" si="0"/>
        <v>1250000</v>
      </c>
      <c r="F22" s="71">
        <f t="shared" si="1"/>
        <v>14274193.550000001</v>
      </c>
      <c r="G22" s="71">
        <f t="shared" si="2"/>
        <v>-262500</v>
      </c>
      <c r="H22" s="71">
        <f t="shared" si="3"/>
        <v>-2997580.6455000001</v>
      </c>
      <c r="I22" s="72">
        <f t="shared" si="4"/>
        <v>11276612.9045</v>
      </c>
      <c r="J22" s="70">
        <f t="shared" si="7"/>
        <v>67565.17</v>
      </c>
      <c r="K22" s="70"/>
      <c r="L22" s="71">
        <f t="shared" si="5"/>
        <v>14661481.229999999</v>
      </c>
    </row>
    <row r="23" spans="1:12">
      <c r="A23" s="66">
        <v>13</v>
      </c>
      <c r="B23" s="69">
        <v>43466</v>
      </c>
      <c r="C23" s="73">
        <f>15000000/12</f>
        <v>1250000</v>
      </c>
      <c r="D23" s="70"/>
      <c r="E23" s="71">
        <f t="shared" si="0"/>
        <v>1250000</v>
      </c>
      <c r="F23" s="71">
        <f t="shared" si="1"/>
        <v>15524193.550000001</v>
      </c>
      <c r="G23" s="71">
        <f t="shared" si="2"/>
        <v>-262500</v>
      </c>
      <c r="H23" s="71">
        <f t="shared" si="3"/>
        <v>-3260080.6455000001</v>
      </c>
      <c r="I23" s="72">
        <f t="shared" si="4"/>
        <v>12264112.9045</v>
      </c>
      <c r="J23" s="70">
        <f t="shared" si="7"/>
        <v>74049.759999999995</v>
      </c>
      <c r="K23" s="70"/>
      <c r="L23" s="71">
        <f t="shared" si="5"/>
        <v>15985530.989999998</v>
      </c>
    </row>
    <row r="24" spans="1:12">
      <c r="A24" s="66">
        <v>14</v>
      </c>
      <c r="B24" s="69">
        <v>43497</v>
      </c>
      <c r="C24" s="73">
        <f t="shared" ref="C24:C34" si="8">C23</f>
        <v>1250000</v>
      </c>
      <c r="D24" s="70"/>
      <c r="E24" s="71">
        <f t="shared" si="0"/>
        <v>1250000</v>
      </c>
      <c r="F24" s="71">
        <f t="shared" si="1"/>
        <v>16774193.550000001</v>
      </c>
      <c r="G24" s="71">
        <f t="shared" si="2"/>
        <v>-262500</v>
      </c>
      <c r="H24" s="71">
        <f t="shared" si="3"/>
        <v>-3522580.6455000001</v>
      </c>
      <c r="I24" s="72">
        <f t="shared" si="4"/>
        <v>13251612.9045</v>
      </c>
      <c r="J24" s="70">
        <f t="shared" si="7"/>
        <v>80534.34</v>
      </c>
      <c r="K24" s="70"/>
      <c r="L24" s="71">
        <f t="shared" si="5"/>
        <v>17316065.329999998</v>
      </c>
    </row>
    <row r="25" spans="1:12">
      <c r="A25" s="66">
        <v>15</v>
      </c>
      <c r="B25" s="69">
        <v>43525</v>
      </c>
      <c r="C25" s="73">
        <f t="shared" si="8"/>
        <v>1250000</v>
      </c>
      <c r="D25" s="70"/>
      <c r="E25" s="71">
        <f t="shared" si="0"/>
        <v>1250000</v>
      </c>
      <c r="F25" s="71">
        <f t="shared" si="1"/>
        <v>18024193.550000001</v>
      </c>
      <c r="G25" s="71">
        <f t="shared" si="2"/>
        <v>-262500</v>
      </c>
      <c r="H25" s="71">
        <f t="shared" si="3"/>
        <v>-3785080.6455000001</v>
      </c>
      <c r="I25" s="72">
        <f t="shared" si="4"/>
        <v>14239112.9045</v>
      </c>
      <c r="J25" s="70">
        <f t="shared" si="7"/>
        <v>87018.92</v>
      </c>
      <c r="K25" s="70"/>
      <c r="L25" s="71">
        <f t="shared" si="5"/>
        <v>18653084.25</v>
      </c>
    </row>
    <row r="26" spans="1:12">
      <c r="A26" s="66">
        <v>16</v>
      </c>
      <c r="B26" s="69">
        <v>43556</v>
      </c>
      <c r="C26" s="73">
        <f t="shared" si="8"/>
        <v>1250000</v>
      </c>
      <c r="D26" s="70"/>
      <c r="E26" s="71">
        <f t="shared" si="0"/>
        <v>1250000</v>
      </c>
      <c r="F26" s="71">
        <f t="shared" si="1"/>
        <v>19274193.550000001</v>
      </c>
      <c r="G26" s="71">
        <f t="shared" si="2"/>
        <v>-262500</v>
      </c>
      <c r="H26" s="71">
        <f t="shared" si="3"/>
        <v>-4047580.6455000001</v>
      </c>
      <c r="I26" s="72">
        <f t="shared" si="4"/>
        <v>15226612.9045</v>
      </c>
      <c r="J26" s="70">
        <f t="shared" si="7"/>
        <v>93503.51</v>
      </c>
      <c r="K26" s="70"/>
      <c r="L26" s="71">
        <f t="shared" si="5"/>
        <v>19996587.760000002</v>
      </c>
    </row>
    <row r="27" spans="1:12">
      <c r="A27" s="66">
        <v>17</v>
      </c>
      <c r="B27" s="69">
        <v>43586</v>
      </c>
      <c r="C27" s="73">
        <f t="shared" si="8"/>
        <v>1250000</v>
      </c>
      <c r="D27" s="70"/>
      <c r="E27" s="71">
        <f t="shared" si="0"/>
        <v>1250000</v>
      </c>
      <c r="F27" s="71">
        <f t="shared" si="1"/>
        <v>20524193.550000001</v>
      </c>
      <c r="G27" s="71">
        <f t="shared" si="2"/>
        <v>-262500</v>
      </c>
      <c r="H27" s="71">
        <f t="shared" si="3"/>
        <v>-4310080.6455000006</v>
      </c>
      <c r="I27" s="72">
        <f t="shared" si="4"/>
        <v>16214112.9045</v>
      </c>
      <c r="J27" s="70">
        <f t="shared" si="7"/>
        <v>99988.09</v>
      </c>
      <c r="K27" s="70"/>
      <c r="L27" s="71">
        <f t="shared" si="5"/>
        <v>21346575.850000001</v>
      </c>
    </row>
    <row r="28" spans="1:12">
      <c r="A28" s="66">
        <v>18</v>
      </c>
      <c r="B28" s="69">
        <v>43617</v>
      </c>
      <c r="C28" s="73">
        <f t="shared" si="8"/>
        <v>1250000</v>
      </c>
      <c r="D28" s="70"/>
      <c r="E28" s="71">
        <f t="shared" si="0"/>
        <v>1250000</v>
      </c>
      <c r="F28" s="71">
        <f t="shared" si="1"/>
        <v>21774193.550000001</v>
      </c>
      <c r="G28" s="71">
        <f t="shared" si="2"/>
        <v>-262500</v>
      </c>
      <c r="H28" s="71">
        <f t="shared" si="3"/>
        <v>-4572580.6455000006</v>
      </c>
      <c r="I28" s="72">
        <f t="shared" si="4"/>
        <v>17201612.9045</v>
      </c>
      <c r="J28" s="70">
        <f t="shared" si="7"/>
        <v>106472.67</v>
      </c>
      <c r="K28" s="70"/>
      <c r="L28" s="71">
        <f t="shared" si="5"/>
        <v>22703048.520000003</v>
      </c>
    </row>
    <row r="29" spans="1:12">
      <c r="A29" s="66">
        <v>19</v>
      </c>
      <c r="B29" s="69">
        <v>43647</v>
      </c>
      <c r="C29" s="73">
        <f t="shared" si="8"/>
        <v>1250000</v>
      </c>
      <c r="D29" s="70"/>
      <c r="E29" s="71">
        <f t="shared" si="0"/>
        <v>1250000</v>
      </c>
      <c r="F29" s="71">
        <f t="shared" si="1"/>
        <v>23024193.550000001</v>
      </c>
      <c r="G29" s="71">
        <f t="shared" si="2"/>
        <v>-262500</v>
      </c>
      <c r="H29" s="71">
        <f t="shared" si="3"/>
        <v>-4835080.6455000006</v>
      </c>
      <c r="I29" s="72">
        <f t="shared" si="4"/>
        <v>18189112.9045</v>
      </c>
      <c r="J29" s="70">
        <f t="shared" si="7"/>
        <v>112957.26</v>
      </c>
      <c r="K29" s="70"/>
      <c r="L29" s="71">
        <f t="shared" si="5"/>
        <v>24066005.780000005</v>
      </c>
    </row>
    <row r="30" spans="1:12">
      <c r="A30" s="66">
        <v>20</v>
      </c>
      <c r="B30" s="69">
        <v>43678</v>
      </c>
      <c r="C30" s="73">
        <f t="shared" si="8"/>
        <v>1250000</v>
      </c>
      <c r="D30" s="70"/>
      <c r="E30" s="71">
        <f t="shared" si="0"/>
        <v>1250000</v>
      </c>
      <c r="F30" s="71">
        <f t="shared" si="1"/>
        <v>24274193.550000001</v>
      </c>
      <c r="G30" s="71">
        <f t="shared" si="2"/>
        <v>-262500</v>
      </c>
      <c r="H30" s="71">
        <f t="shared" si="3"/>
        <v>-5097580.6455000006</v>
      </c>
      <c r="I30" s="72">
        <f t="shared" si="4"/>
        <v>19176612.9045</v>
      </c>
      <c r="J30" s="70">
        <f t="shared" si="7"/>
        <v>119441.84</v>
      </c>
      <c r="K30" s="70"/>
      <c r="L30" s="71">
        <f t="shared" si="5"/>
        <v>25435447.620000005</v>
      </c>
    </row>
    <row r="31" spans="1:12">
      <c r="A31" s="66">
        <v>21</v>
      </c>
      <c r="B31" s="69">
        <v>43709</v>
      </c>
      <c r="C31" s="73">
        <f t="shared" si="8"/>
        <v>1250000</v>
      </c>
      <c r="D31" s="70"/>
      <c r="E31" s="71">
        <f t="shared" si="0"/>
        <v>1250000</v>
      </c>
      <c r="F31" s="71">
        <f t="shared" si="1"/>
        <v>25524193.550000001</v>
      </c>
      <c r="G31" s="71">
        <f t="shared" si="2"/>
        <v>-262500</v>
      </c>
      <c r="H31" s="71">
        <f t="shared" si="3"/>
        <v>-5360080.6455000006</v>
      </c>
      <c r="I31" s="72">
        <f t="shared" si="4"/>
        <v>20164112.9045</v>
      </c>
      <c r="J31" s="70">
        <f t="shared" si="7"/>
        <v>125926.42</v>
      </c>
      <c r="K31" s="70"/>
      <c r="L31" s="71">
        <f t="shared" si="5"/>
        <v>26811374.040000007</v>
      </c>
    </row>
    <row r="32" spans="1:12">
      <c r="A32" s="66">
        <v>22</v>
      </c>
      <c r="B32" s="69">
        <v>43739</v>
      </c>
      <c r="C32" s="73">
        <f t="shared" si="8"/>
        <v>1250000</v>
      </c>
      <c r="D32" s="70"/>
      <c r="E32" s="71">
        <f t="shared" si="0"/>
        <v>1250000</v>
      </c>
      <c r="F32" s="71">
        <f t="shared" si="1"/>
        <v>26774193.550000001</v>
      </c>
      <c r="G32" s="71">
        <f t="shared" si="2"/>
        <v>-262500</v>
      </c>
      <c r="H32" s="71">
        <f t="shared" si="3"/>
        <v>-5622580.6455000006</v>
      </c>
      <c r="I32" s="72">
        <f t="shared" si="4"/>
        <v>21151612.9045</v>
      </c>
      <c r="J32" s="70">
        <f t="shared" si="7"/>
        <v>132411.01</v>
      </c>
      <c r="K32" s="70"/>
      <c r="L32" s="71">
        <f t="shared" si="5"/>
        <v>28193785.050000008</v>
      </c>
    </row>
    <row r="33" spans="1:12">
      <c r="A33" s="66">
        <v>23</v>
      </c>
      <c r="B33" s="69">
        <v>43770</v>
      </c>
      <c r="C33" s="73">
        <f t="shared" si="8"/>
        <v>1250000</v>
      </c>
      <c r="D33" s="70"/>
      <c r="E33" s="71">
        <f t="shared" si="0"/>
        <v>1250000</v>
      </c>
      <c r="F33" s="71">
        <f t="shared" si="1"/>
        <v>28024193.550000001</v>
      </c>
      <c r="G33" s="71">
        <f t="shared" si="2"/>
        <v>-262500</v>
      </c>
      <c r="H33" s="71">
        <f t="shared" si="3"/>
        <v>-5885080.6455000006</v>
      </c>
      <c r="I33" s="72">
        <f t="shared" si="4"/>
        <v>22139112.9045</v>
      </c>
      <c r="J33" s="70">
        <f t="shared" si="7"/>
        <v>138895.59</v>
      </c>
      <c r="K33" s="70"/>
      <c r="L33" s="71">
        <f t="shared" si="5"/>
        <v>29582680.640000008</v>
      </c>
    </row>
    <row r="34" spans="1:12">
      <c r="A34" s="66">
        <v>24</v>
      </c>
      <c r="B34" s="69">
        <v>43800</v>
      </c>
      <c r="C34" s="73">
        <f t="shared" si="8"/>
        <v>1250000</v>
      </c>
      <c r="D34" s="70"/>
      <c r="E34" s="71">
        <f t="shared" si="0"/>
        <v>1250000</v>
      </c>
      <c r="F34" s="71">
        <f t="shared" si="1"/>
        <v>29274193.550000001</v>
      </c>
      <c r="G34" s="71">
        <f t="shared" si="2"/>
        <v>-262500</v>
      </c>
      <c r="H34" s="71">
        <f t="shared" si="3"/>
        <v>-6147580.6455000006</v>
      </c>
      <c r="I34" s="72">
        <f t="shared" si="4"/>
        <v>23126612.9045</v>
      </c>
      <c r="J34" s="70">
        <f t="shared" si="7"/>
        <v>145380.17000000001</v>
      </c>
      <c r="K34" s="70"/>
      <c r="L34" s="71">
        <f t="shared" si="5"/>
        <v>30978060.81000001</v>
      </c>
    </row>
    <row r="35" spans="1:12">
      <c r="A35" s="66">
        <v>25</v>
      </c>
      <c r="B35" s="69">
        <v>43831</v>
      </c>
      <c r="C35" s="73">
        <f>ROUND(10000000/12,2)</f>
        <v>833333.33</v>
      </c>
      <c r="D35" s="70"/>
      <c r="E35" s="71">
        <f t="shared" si="0"/>
        <v>833333.33</v>
      </c>
      <c r="F35" s="71">
        <f t="shared" si="1"/>
        <v>30107526.879999999</v>
      </c>
      <c r="G35" s="71">
        <f t="shared" si="2"/>
        <v>-174999.9993</v>
      </c>
      <c r="H35" s="71">
        <f t="shared" si="3"/>
        <v>-6322580.6448000008</v>
      </c>
      <c r="I35" s="72">
        <f t="shared" si="4"/>
        <v>23784946.235199999</v>
      </c>
      <c r="J35" s="70">
        <f t="shared" si="7"/>
        <v>151864.76</v>
      </c>
      <c r="K35" s="70"/>
      <c r="L35" s="71">
        <f t="shared" si="5"/>
        <v>31963258.90000001</v>
      </c>
    </row>
    <row r="36" spans="1:12">
      <c r="A36" s="66">
        <v>26</v>
      </c>
      <c r="B36" s="69">
        <v>43862</v>
      </c>
      <c r="C36" s="73">
        <f t="shared" ref="C36:C46" si="9">C35</f>
        <v>833333.33</v>
      </c>
      <c r="D36" s="70"/>
      <c r="E36" s="71">
        <f t="shared" si="0"/>
        <v>833333.33</v>
      </c>
      <c r="F36" s="71">
        <f t="shared" si="1"/>
        <v>30940860.209999997</v>
      </c>
      <c r="G36" s="71">
        <f t="shared" si="2"/>
        <v>-174999.9993</v>
      </c>
      <c r="H36" s="71">
        <f t="shared" si="3"/>
        <v>-6497580.6441000011</v>
      </c>
      <c r="I36" s="72">
        <f t="shared" si="4"/>
        <v>24443279.565899998</v>
      </c>
      <c r="J36" s="70">
        <f t="shared" si="7"/>
        <v>156187.81</v>
      </c>
      <c r="K36" s="70"/>
      <c r="L36" s="71">
        <f t="shared" si="5"/>
        <v>32952780.040000007</v>
      </c>
    </row>
    <row r="37" spans="1:12">
      <c r="A37" s="66">
        <v>27</v>
      </c>
      <c r="B37" s="69">
        <v>43891</v>
      </c>
      <c r="C37" s="73">
        <f t="shared" si="9"/>
        <v>833333.33</v>
      </c>
      <c r="D37" s="70"/>
      <c r="E37" s="71">
        <f t="shared" si="0"/>
        <v>833333.33</v>
      </c>
      <c r="F37" s="71">
        <f t="shared" si="1"/>
        <v>31774193.539999995</v>
      </c>
      <c r="G37" s="71">
        <f t="shared" si="2"/>
        <v>-174999.9993</v>
      </c>
      <c r="H37" s="71">
        <f t="shared" si="3"/>
        <v>-6672580.6434000013</v>
      </c>
      <c r="I37" s="72">
        <f t="shared" si="4"/>
        <v>25101612.896599993</v>
      </c>
      <c r="J37" s="70">
        <f t="shared" si="7"/>
        <v>160510.87</v>
      </c>
      <c r="K37" s="70"/>
      <c r="L37" s="71">
        <f t="shared" si="5"/>
        <v>33946624.240000002</v>
      </c>
    </row>
    <row r="38" spans="1:12">
      <c r="A38" s="66">
        <v>28</v>
      </c>
      <c r="B38" s="69">
        <v>43922</v>
      </c>
      <c r="C38" s="73">
        <f t="shared" si="9"/>
        <v>833333.33</v>
      </c>
      <c r="D38" s="70"/>
      <c r="E38" s="71">
        <f t="shared" si="0"/>
        <v>833333.33</v>
      </c>
      <c r="F38" s="71">
        <f t="shared" si="1"/>
        <v>32607526.869999994</v>
      </c>
      <c r="G38" s="71">
        <f t="shared" si="2"/>
        <v>-174999.9993</v>
      </c>
      <c r="H38" s="71">
        <f t="shared" si="3"/>
        <v>-6847580.6427000016</v>
      </c>
      <c r="I38" s="72">
        <f t="shared" si="4"/>
        <v>25759946.227299992</v>
      </c>
      <c r="J38" s="70">
        <f t="shared" si="7"/>
        <v>164833.92000000001</v>
      </c>
      <c r="K38" s="70"/>
      <c r="L38" s="71">
        <f t="shared" si="5"/>
        <v>34944791.490000002</v>
      </c>
    </row>
    <row r="39" spans="1:12">
      <c r="A39" s="66">
        <v>29</v>
      </c>
      <c r="B39" s="69">
        <v>43952</v>
      </c>
      <c r="C39" s="73">
        <f t="shared" si="9"/>
        <v>833333.33</v>
      </c>
      <c r="D39" s="70"/>
      <c r="E39" s="71">
        <f t="shared" si="0"/>
        <v>833333.33</v>
      </c>
      <c r="F39" s="71">
        <f t="shared" si="1"/>
        <v>33440860.199999992</v>
      </c>
      <c r="G39" s="71">
        <f t="shared" si="2"/>
        <v>-174999.9993</v>
      </c>
      <c r="H39" s="71">
        <f t="shared" si="3"/>
        <v>-7022580.6420000019</v>
      </c>
      <c r="I39" s="72">
        <f t="shared" si="4"/>
        <v>26418279.557999991</v>
      </c>
      <c r="J39" s="70">
        <f t="shared" si="7"/>
        <v>169156.98</v>
      </c>
      <c r="K39" s="70"/>
      <c r="L39" s="71">
        <f t="shared" si="5"/>
        <v>35947281.799999997</v>
      </c>
    </row>
    <row r="40" spans="1:12">
      <c r="A40" s="66">
        <v>30</v>
      </c>
      <c r="B40" s="69">
        <v>43983</v>
      </c>
      <c r="C40" s="73">
        <f t="shared" si="9"/>
        <v>833333.33</v>
      </c>
      <c r="D40" s="70"/>
      <c r="E40" s="71">
        <f t="shared" si="0"/>
        <v>833333.33</v>
      </c>
      <c r="F40" s="71">
        <f t="shared" si="1"/>
        <v>34274193.529999994</v>
      </c>
      <c r="G40" s="71">
        <f t="shared" si="2"/>
        <v>-174999.9993</v>
      </c>
      <c r="H40" s="71">
        <f t="shared" si="3"/>
        <v>-7197580.6413000021</v>
      </c>
      <c r="I40" s="72">
        <f t="shared" si="4"/>
        <v>27076612.888699993</v>
      </c>
      <c r="J40" s="70">
        <f t="shared" si="7"/>
        <v>173480.04</v>
      </c>
      <c r="K40" s="70"/>
      <c r="L40" s="71">
        <f t="shared" si="5"/>
        <v>36954095.169999994</v>
      </c>
    </row>
    <row r="41" spans="1:12">
      <c r="A41" s="66">
        <v>31</v>
      </c>
      <c r="B41" s="69">
        <v>44013</v>
      </c>
      <c r="C41" s="73">
        <f t="shared" si="9"/>
        <v>833333.33</v>
      </c>
      <c r="D41" s="70"/>
      <c r="E41" s="71">
        <f t="shared" si="0"/>
        <v>833333.33</v>
      </c>
      <c r="F41" s="71">
        <f t="shared" si="1"/>
        <v>35107526.859999992</v>
      </c>
      <c r="G41" s="71">
        <f t="shared" si="2"/>
        <v>-174999.9993</v>
      </c>
      <c r="H41" s="71">
        <f t="shared" si="3"/>
        <v>-7372580.6406000024</v>
      </c>
      <c r="I41" s="72">
        <f t="shared" si="4"/>
        <v>27734946.219399989</v>
      </c>
      <c r="J41" s="70">
        <f t="shared" si="7"/>
        <v>177803.09</v>
      </c>
      <c r="K41" s="70"/>
      <c r="L41" s="71">
        <f t="shared" si="5"/>
        <v>37965231.589999996</v>
      </c>
    </row>
    <row r="42" spans="1:12">
      <c r="A42" s="66">
        <v>32</v>
      </c>
      <c r="B42" s="69">
        <v>44044</v>
      </c>
      <c r="C42" s="73">
        <f t="shared" si="9"/>
        <v>833333.33</v>
      </c>
      <c r="D42" s="70"/>
      <c r="E42" s="71">
        <f t="shared" si="0"/>
        <v>833333.33</v>
      </c>
      <c r="F42" s="71">
        <f t="shared" si="1"/>
        <v>35940860.18999999</v>
      </c>
      <c r="G42" s="71">
        <f t="shared" si="2"/>
        <v>-174999.9993</v>
      </c>
      <c r="H42" s="71">
        <f t="shared" si="3"/>
        <v>-7547580.6399000026</v>
      </c>
      <c r="I42" s="72">
        <f t="shared" si="4"/>
        <v>28393279.550099988</v>
      </c>
      <c r="J42" s="70">
        <f t="shared" si="7"/>
        <v>182126.15</v>
      </c>
      <c r="K42" s="70"/>
      <c r="L42" s="71">
        <f t="shared" si="5"/>
        <v>38980691.069999993</v>
      </c>
    </row>
    <row r="43" spans="1:12">
      <c r="A43" s="66">
        <v>33</v>
      </c>
      <c r="B43" s="69">
        <v>44075</v>
      </c>
      <c r="C43" s="73">
        <f t="shared" si="9"/>
        <v>833333.33</v>
      </c>
      <c r="D43" s="70"/>
      <c r="E43" s="71">
        <f t="shared" si="0"/>
        <v>833333.33</v>
      </c>
      <c r="F43" s="71">
        <f t="shared" si="1"/>
        <v>36774193.519999988</v>
      </c>
      <c r="G43" s="71">
        <f t="shared" si="2"/>
        <v>-174999.9993</v>
      </c>
      <c r="H43" s="71">
        <f t="shared" si="3"/>
        <v>-7722580.6392000029</v>
      </c>
      <c r="I43" s="72">
        <f t="shared" si="4"/>
        <v>29051612.880799986</v>
      </c>
      <c r="J43" s="70">
        <f t="shared" si="7"/>
        <v>186449.2</v>
      </c>
      <c r="K43" s="70"/>
      <c r="L43" s="71">
        <f t="shared" si="5"/>
        <v>40000473.599999994</v>
      </c>
    </row>
    <row r="44" spans="1:12">
      <c r="A44" s="66">
        <v>34</v>
      </c>
      <c r="B44" s="69">
        <v>44105</v>
      </c>
      <c r="C44" s="73">
        <f t="shared" si="9"/>
        <v>833333.33</v>
      </c>
      <c r="D44" s="70"/>
      <c r="E44" s="71">
        <f t="shared" si="0"/>
        <v>833333.33</v>
      </c>
      <c r="F44" s="71">
        <f t="shared" si="1"/>
        <v>37607526.849999987</v>
      </c>
      <c r="G44" s="71">
        <f t="shared" si="2"/>
        <v>-174999.9993</v>
      </c>
      <c r="H44" s="71">
        <f t="shared" si="3"/>
        <v>-7897580.6385000031</v>
      </c>
      <c r="I44" s="72">
        <f t="shared" si="4"/>
        <v>29709946.211499982</v>
      </c>
      <c r="J44" s="70">
        <f t="shared" si="7"/>
        <v>190772.26</v>
      </c>
      <c r="K44" s="70"/>
      <c r="L44" s="71">
        <f t="shared" si="5"/>
        <v>41024579.18999999</v>
      </c>
    </row>
    <row r="45" spans="1:12">
      <c r="A45" s="66">
        <v>35</v>
      </c>
      <c r="B45" s="69">
        <v>44136</v>
      </c>
      <c r="C45" s="73">
        <f t="shared" si="9"/>
        <v>833333.33</v>
      </c>
      <c r="D45" s="70"/>
      <c r="E45" s="71">
        <f t="shared" si="0"/>
        <v>833333.33</v>
      </c>
      <c r="F45" s="71">
        <f t="shared" si="1"/>
        <v>38440860.179999985</v>
      </c>
      <c r="G45" s="71">
        <f t="shared" si="2"/>
        <v>-174999.9993</v>
      </c>
      <c r="H45" s="71">
        <f t="shared" si="3"/>
        <v>-8072580.6378000034</v>
      </c>
      <c r="I45" s="72">
        <f t="shared" si="4"/>
        <v>30368279.54219998</v>
      </c>
      <c r="J45" s="70">
        <f t="shared" si="7"/>
        <v>195095.31</v>
      </c>
      <c r="K45" s="70"/>
      <c r="L45" s="71">
        <f t="shared" si="5"/>
        <v>42053007.829999991</v>
      </c>
    </row>
    <row r="46" spans="1:12">
      <c r="A46" s="66">
        <v>36</v>
      </c>
      <c r="B46" s="69">
        <v>44166</v>
      </c>
      <c r="C46" s="73">
        <f t="shared" si="9"/>
        <v>833333.33</v>
      </c>
      <c r="D46" s="70"/>
      <c r="E46" s="71">
        <f t="shared" si="0"/>
        <v>833333.33</v>
      </c>
      <c r="F46" s="71">
        <f t="shared" si="1"/>
        <v>39274193.509999983</v>
      </c>
      <c r="G46" s="71">
        <f t="shared" si="2"/>
        <v>-174999.9993</v>
      </c>
      <c r="H46" s="71">
        <f t="shared" si="3"/>
        <v>-8247580.6371000037</v>
      </c>
      <c r="I46" s="72">
        <f t="shared" si="4"/>
        <v>31026612.872899979</v>
      </c>
      <c r="J46" s="70">
        <f t="shared" si="7"/>
        <v>199418.37</v>
      </c>
      <c r="K46" s="70"/>
      <c r="L46" s="71">
        <f t="shared" si="5"/>
        <v>43085759.529999986</v>
      </c>
    </row>
    <row r="47" spans="1:12">
      <c r="A47" s="66">
        <v>37</v>
      </c>
      <c r="B47" s="69" t="s">
        <v>94</v>
      </c>
      <c r="C47" s="73"/>
      <c r="D47" s="70"/>
      <c r="E47" s="71"/>
      <c r="F47" s="71"/>
      <c r="G47" s="71"/>
      <c r="H47" s="71"/>
      <c r="I47" s="72"/>
      <c r="J47" s="70">
        <f>ROUND((I46*P6*(13/31)),2)</f>
        <v>85439.95</v>
      </c>
      <c r="K47" s="70"/>
      <c r="L47" s="71">
        <f>L46+J47</f>
        <v>43171199.479999989</v>
      </c>
    </row>
    <row r="48" spans="1:12">
      <c r="A48" s="66">
        <v>38</v>
      </c>
      <c r="B48" s="69" t="s">
        <v>94</v>
      </c>
      <c r="C48" s="73">
        <f>ROUND(5000000/12,2)-0.01</f>
        <v>416666.66</v>
      </c>
      <c r="D48" s="70"/>
      <c r="E48" s="71">
        <f t="shared" ref="E48:E79" si="10">C48-D48</f>
        <v>416666.66</v>
      </c>
      <c r="F48" s="71">
        <f>E48+F46</f>
        <v>39690860.169999979</v>
      </c>
      <c r="G48" s="71">
        <f t="shared" ref="G48:G71" si="11">-E48*0.21</f>
        <v>-87499.998599999992</v>
      </c>
      <c r="H48" s="71">
        <f>G48+H46</f>
        <v>-8335080.6357000032</v>
      </c>
      <c r="I48" s="72">
        <f t="shared" ref="I48:I71" si="12">F48+H48</f>
        <v>31355779.534299977</v>
      </c>
      <c r="J48" s="70">
        <f>ROUND((I46*$T$6*(18/31)),2)</f>
        <v>114398.12</v>
      </c>
      <c r="K48" s="70"/>
      <c r="L48" s="71">
        <f t="shared" ref="L48:L79" si="13">L47+E48+J48+K48</f>
        <v>43702264.259999983</v>
      </c>
    </row>
    <row r="49" spans="1:12">
      <c r="A49" s="66">
        <v>39</v>
      </c>
      <c r="B49" s="69">
        <v>44228</v>
      </c>
      <c r="C49" s="73">
        <f t="shared" ref="C49:C70" si="14">C48</f>
        <v>416666.66</v>
      </c>
      <c r="D49" s="70"/>
      <c r="E49" s="71">
        <f t="shared" si="10"/>
        <v>416666.66</v>
      </c>
      <c r="F49" s="71">
        <f t="shared" ref="F49:F71" si="15">E49+F48</f>
        <v>40107526.829999976</v>
      </c>
      <c r="G49" s="71">
        <f t="shared" si="11"/>
        <v>-87499.998599999992</v>
      </c>
      <c r="H49" s="71">
        <f t="shared" ref="H49:H80" si="16">G49+H48</f>
        <v>-8422580.6343000028</v>
      </c>
      <c r="I49" s="72">
        <f t="shared" si="12"/>
        <v>31684946.195699975</v>
      </c>
      <c r="J49" s="70">
        <f t="shared" ref="J49:J70" si="17">ROUND(I48*$T$6,2)</f>
        <v>199109.2</v>
      </c>
      <c r="K49" s="70"/>
      <c r="L49" s="71">
        <f t="shared" si="13"/>
        <v>44318040.119999982</v>
      </c>
    </row>
    <row r="50" spans="1:12">
      <c r="A50" s="66">
        <v>40</v>
      </c>
      <c r="B50" s="69">
        <v>44256</v>
      </c>
      <c r="C50" s="73">
        <f t="shared" si="14"/>
        <v>416666.66</v>
      </c>
      <c r="D50" s="70"/>
      <c r="E50" s="71">
        <f t="shared" si="10"/>
        <v>416666.66</v>
      </c>
      <c r="F50" s="71">
        <f t="shared" si="15"/>
        <v>40524193.489999972</v>
      </c>
      <c r="G50" s="71">
        <f t="shared" si="11"/>
        <v>-87499.998599999992</v>
      </c>
      <c r="H50" s="71">
        <f t="shared" si="16"/>
        <v>-8510080.6329000033</v>
      </c>
      <c r="I50" s="72">
        <f t="shared" si="12"/>
        <v>32014112.857099969</v>
      </c>
      <c r="J50" s="70">
        <f t="shared" si="17"/>
        <v>201199.41</v>
      </c>
      <c r="K50" s="70"/>
      <c r="L50" s="71">
        <f t="shared" si="13"/>
        <v>44935906.189999975</v>
      </c>
    </row>
    <row r="51" spans="1:12">
      <c r="A51" s="66">
        <v>41</v>
      </c>
      <c r="B51" s="69">
        <v>44287</v>
      </c>
      <c r="C51" s="73">
        <f t="shared" si="14"/>
        <v>416666.66</v>
      </c>
      <c r="D51" s="70"/>
      <c r="E51" s="71">
        <f t="shared" si="10"/>
        <v>416666.66</v>
      </c>
      <c r="F51" s="71">
        <f t="shared" si="15"/>
        <v>40940860.149999969</v>
      </c>
      <c r="G51" s="71">
        <f t="shared" si="11"/>
        <v>-87499.998599999992</v>
      </c>
      <c r="H51" s="71">
        <f t="shared" si="16"/>
        <v>-8597580.6315000039</v>
      </c>
      <c r="I51" s="72">
        <f t="shared" si="12"/>
        <v>32343279.518499963</v>
      </c>
      <c r="J51" s="70">
        <f t="shared" si="17"/>
        <v>203289.62</v>
      </c>
      <c r="K51" s="70"/>
      <c r="L51" s="71">
        <f t="shared" si="13"/>
        <v>45555862.469999969</v>
      </c>
    </row>
    <row r="52" spans="1:12">
      <c r="A52" s="66">
        <v>42</v>
      </c>
      <c r="B52" s="69">
        <v>44317</v>
      </c>
      <c r="C52" s="73">
        <f t="shared" si="14"/>
        <v>416666.66</v>
      </c>
      <c r="D52" s="70"/>
      <c r="E52" s="71">
        <f t="shared" si="10"/>
        <v>416666.66</v>
      </c>
      <c r="F52" s="71">
        <f t="shared" si="15"/>
        <v>41357526.809999965</v>
      </c>
      <c r="G52" s="71">
        <f t="shared" si="11"/>
        <v>-87499.998599999992</v>
      </c>
      <c r="H52" s="71">
        <f t="shared" si="16"/>
        <v>-8685080.6301000044</v>
      </c>
      <c r="I52" s="72">
        <f t="shared" si="12"/>
        <v>32672446.179899961</v>
      </c>
      <c r="J52" s="70">
        <f t="shared" si="17"/>
        <v>205379.82</v>
      </c>
      <c r="K52" s="70"/>
      <c r="L52" s="71">
        <f t="shared" si="13"/>
        <v>46177908.949999966</v>
      </c>
    </row>
    <row r="53" spans="1:12">
      <c r="A53" s="66">
        <v>43</v>
      </c>
      <c r="B53" s="69">
        <v>44348</v>
      </c>
      <c r="C53" s="73">
        <f t="shared" si="14"/>
        <v>416666.66</v>
      </c>
      <c r="D53" s="70"/>
      <c r="E53" s="71">
        <f t="shared" si="10"/>
        <v>416666.66</v>
      </c>
      <c r="F53" s="71">
        <f t="shared" si="15"/>
        <v>41774193.469999962</v>
      </c>
      <c r="G53" s="71">
        <f t="shared" si="11"/>
        <v>-87499.998599999992</v>
      </c>
      <c r="H53" s="71">
        <f t="shared" si="16"/>
        <v>-8772580.6287000049</v>
      </c>
      <c r="I53" s="72">
        <f t="shared" si="12"/>
        <v>33001612.841299959</v>
      </c>
      <c r="J53" s="70">
        <f t="shared" si="17"/>
        <v>207470.03</v>
      </c>
      <c r="K53" s="70"/>
      <c r="L53" s="71">
        <f t="shared" si="13"/>
        <v>46802045.639999963</v>
      </c>
    </row>
    <row r="54" spans="1:12">
      <c r="A54" s="66">
        <v>44</v>
      </c>
      <c r="B54" s="69">
        <v>44378</v>
      </c>
      <c r="C54" s="73">
        <f t="shared" si="14"/>
        <v>416666.66</v>
      </c>
      <c r="D54" s="70"/>
      <c r="E54" s="71">
        <f t="shared" si="10"/>
        <v>416666.66</v>
      </c>
      <c r="F54" s="71">
        <f t="shared" si="15"/>
        <v>42190860.129999958</v>
      </c>
      <c r="G54" s="71">
        <f t="shared" si="11"/>
        <v>-87499.998599999992</v>
      </c>
      <c r="H54" s="71">
        <f t="shared" si="16"/>
        <v>-8860080.6273000054</v>
      </c>
      <c r="I54" s="72">
        <f t="shared" si="12"/>
        <v>33330779.502699953</v>
      </c>
      <c r="J54" s="70">
        <f t="shared" si="17"/>
        <v>209560.24</v>
      </c>
      <c r="K54" s="70"/>
      <c r="L54" s="71">
        <f t="shared" si="13"/>
        <v>47428272.539999962</v>
      </c>
    </row>
    <row r="55" spans="1:12">
      <c r="A55" s="66">
        <v>45</v>
      </c>
      <c r="B55" s="69">
        <v>44409</v>
      </c>
      <c r="C55" s="73">
        <f t="shared" si="14"/>
        <v>416666.66</v>
      </c>
      <c r="D55" s="70"/>
      <c r="E55" s="71">
        <f t="shared" si="10"/>
        <v>416666.66</v>
      </c>
      <c r="F55" s="71">
        <f t="shared" si="15"/>
        <v>42607526.789999954</v>
      </c>
      <c r="G55" s="71">
        <f t="shared" si="11"/>
        <v>-87499.998599999992</v>
      </c>
      <c r="H55" s="71">
        <f t="shared" si="16"/>
        <v>-8947580.6259000059</v>
      </c>
      <c r="I55" s="72">
        <f t="shared" si="12"/>
        <v>33659946.164099947</v>
      </c>
      <c r="J55" s="70">
        <f t="shared" si="17"/>
        <v>211650.45</v>
      </c>
      <c r="K55" s="70"/>
      <c r="L55" s="71">
        <f t="shared" si="13"/>
        <v>48056589.649999961</v>
      </c>
    </row>
    <row r="56" spans="1:12">
      <c r="A56" s="66">
        <v>46</v>
      </c>
      <c r="B56" s="69">
        <v>44440</v>
      </c>
      <c r="C56" s="73">
        <f t="shared" si="14"/>
        <v>416666.66</v>
      </c>
      <c r="D56" s="70"/>
      <c r="E56" s="71">
        <f t="shared" si="10"/>
        <v>416666.66</v>
      </c>
      <c r="F56" s="71">
        <f t="shared" si="15"/>
        <v>43024193.449999951</v>
      </c>
      <c r="G56" s="71">
        <f t="shared" si="11"/>
        <v>-87499.998599999992</v>
      </c>
      <c r="H56" s="71">
        <f t="shared" si="16"/>
        <v>-9035080.6245000064</v>
      </c>
      <c r="I56" s="72">
        <f t="shared" si="12"/>
        <v>33989112.825499944</v>
      </c>
      <c r="J56" s="70">
        <f t="shared" si="17"/>
        <v>213740.66</v>
      </c>
      <c r="K56" s="70"/>
      <c r="L56" s="71">
        <f t="shared" si="13"/>
        <v>48686996.969999954</v>
      </c>
    </row>
    <row r="57" spans="1:12">
      <c r="A57" s="66">
        <v>47</v>
      </c>
      <c r="B57" s="69">
        <v>44470</v>
      </c>
      <c r="C57" s="73">
        <f t="shared" si="14"/>
        <v>416666.66</v>
      </c>
      <c r="D57" s="70"/>
      <c r="E57" s="71">
        <f t="shared" si="10"/>
        <v>416666.66</v>
      </c>
      <c r="F57" s="71">
        <f t="shared" si="15"/>
        <v>43440860.109999947</v>
      </c>
      <c r="G57" s="71">
        <f t="shared" si="11"/>
        <v>-87499.998599999992</v>
      </c>
      <c r="H57" s="71">
        <f t="shared" si="16"/>
        <v>-9122580.623100007</v>
      </c>
      <c r="I57" s="72">
        <f t="shared" si="12"/>
        <v>34318279.486899942</v>
      </c>
      <c r="J57" s="70">
        <f t="shared" si="17"/>
        <v>215830.87</v>
      </c>
      <c r="K57" s="70"/>
      <c r="L57" s="71">
        <f t="shared" si="13"/>
        <v>49319494.499999948</v>
      </c>
    </row>
    <row r="58" spans="1:12">
      <c r="A58" s="66">
        <v>48</v>
      </c>
      <c r="B58" s="69">
        <v>44501</v>
      </c>
      <c r="C58" s="73">
        <f t="shared" si="14"/>
        <v>416666.66</v>
      </c>
      <c r="D58" s="70"/>
      <c r="E58" s="71">
        <f t="shared" si="10"/>
        <v>416666.66</v>
      </c>
      <c r="F58" s="71">
        <f t="shared" si="15"/>
        <v>43857526.769999944</v>
      </c>
      <c r="G58" s="71">
        <f t="shared" si="11"/>
        <v>-87499.998599999992</v>
      </c>
      <c r="H58" s="71">
        <f t="shared" si="16"/>
        <v>-9210080.6217000075</v>
      </c>
      <c r="I58" s="72">
        <f t="shared" si="12"/>
        <v>34647446.148299932</v>
      </c>
      <c r="J58" s="70">
        <f t="shared" si="17"/>
        <v>217921.07</v>
      </c>
      <c r="K58" s="70"/>
      <c r="L58" s="71">
        <f t="shared" si="13"/>
        <v>49954082.229999945</v>
      </c>
    </row>
    <row r="59" spans="1:12">
      <c r="A59" s="66">
        <v>49</v>
      </c>
      <c r="B59" s="69">
        <v>44531</v>
      </c>
      <c r="C59" s="73">
        <f t="shared" si="14"/>
        <v>416666.66</v>
      </c>
      <c r="D59" s="70"/>
      <c r="E59" s="71">
        <f t="shared" si="10"/>
        <v>416666.66</v>
      </c>
      <c r="F59" s="71">
        <f t="shared" si="15"/>
        <v>44274193.42999994</v>
      </c>
      <c r="G59" s="71">
        <f t="shared" si="11"/>
        <v>-87499.998599999992</v>
      </c>
      <c r="H59" s="71">
        <f t="shared" si="16"/>
        <v>-9297580.620300008</v>
      </c>
      <c r="I59" s="72">
        <f t="shared" si="12"/>
        <v>34976612.80969993</v>
      </c>
      <c r="J59" s="70">
        <f t="shared" si="17"/>
        <v>220011.28</v>
      </c>
      <c r="K59" s="70"/>
      <c r="L59" s="71">
        <f t="shared" si="13"/>
        <v>50590760.169999942</v>
      </c>
    </row>
    <row r="60" spans="1:12">
      <c r="A60" s="66">
        <v>50</v>
      </c>
      <c r="B60" s="69">
        <v>44562</v>
      </c>
      <c r="C60" s="73">
        <f t="shared" si="14"/>
        <v>416666.66</v>
      </c>
      <c r="D60" s="70"/>
      <c r="E60" s="71">
        <f t="shared" si="10"/>
        <v>416666.66</v>
      </c>
      <c r="F60" s="71">
        <f t="shared" si="15"/>
        <v>44690860.089999937</v>
      </c>
      <c r="G60" s="71">
        <f t="shared" si="11"/>
        <v>-87499.998599999992</v>
      </c>
      <c r="H60" s="71">
        <f t="shared" si="16"/>
        <v>-9385080.6189000085</v>
      </c>
      <c r="I60" s="72">
        <f t="shared" si="12"/>
        <v>35305779.471099928</v>
      </c>
      <c r="J60" s="70">
        <f t="shared" si="17"/>
        <v>222101.49</v>
      </c>
      <c r="K60" s="70"/>
      <c r="L60" s="71">
        <f t="shared" si="13"/>
        <v>51229528.319999941</v>
      </c>
    </row>
    <row r="61" spans="1:12">
      <c r="A61" s="66">
        <v>51</v>
      </c>
      <c r="B61" s="69">
        <v>44593</v>
      </c>
      <c r="C61" s="73">
        <f t="shared" si="14"/>
        <v>416666.66</v>
      </c>
      <c r="D61" s="70"/>
      <c r="E61" s="71">
        <f t="shared" si="10"/>
        <v>416666.66</v>
      </c>
      <c r="F61" s="71">
        <f t="shared" si="15"/>
        <v>45107526.749999933</v>
      </c>
      <c r="G61" s="71">
        <f t="shared" si="11"/>
        <v>-87499.998599999992</v>
      </c>
      <c r="H61" s="71">
        <f t="shared" si="16"/>
        <v>-9472580.617500009</v>
      </c>
      <c r="I61" s="72">
        <f t="shared" si="12"/>
        <v>35634946.132499926</v>
      </c>
      <c r="J61" s="70">
        <f t="shared" si="17"/>
        <v>224191.7</v>
      </c>
      <c r="K61" s="70"/>
      <c r="L61" s="71">
        <f t="shared" si="13"/>
        <v>51870386.67999994</v>
      </c>
    </row>
    <row r="62" spans="1:12">
      <c r="A62" s="66">
        <v>52</v>
      </c>
      <c r="B62" s="69">
        <v>44621</v>
      </c>
      <c r="C62" s="73">
        <f t="shared" si="14"/>
        <v>416666.66</v>
      </c>
      <c r="D62" s="70"/>
      <c r="E62" s="71">
        <f t="shared" si="10"/>
        <v>416666.66</v>
      </c>
      <c r="F62" s="71">
        <f t="shared" si="15"/>
        <v>45524193.409999929</v>
      </c>
      <c r="G62" s="71">
        <f t="shared" si="11"/>
        <v>-87499.998599999992</v>
      </c>
      <c r="H62" s="71">
        <f t="shared" si="16"/>
        <v>-9560080.6161000095</v>
      </c>
      <c r="I62" s="72">
        <f t="shared" si="12"/>
        <v>35964112.793899924</v>
      </c>
      <c r="J62" s="70">
        <f t="shared" si="17"/>
        <v>226281.91</v>
      </c>
      <c r="K62" s="70"/>
      <c r="L62" s="71">
        <f t="shared" si="13"/>
        <v>52513335.249999933</v>
      </c>
    </row>
    <row r="63" spans="1:12">
      <c r="A63" s="66">
        <v>53</v>
      </c>
      <c r="B63" s="69">
        <v>44652</v>
      </c>
      <c r="C63" s="73">
        <f t="shared" si="14"/>
        <v>416666.66</v>
      </c>
      <c r="D63" s="70"/>
      <c r="E63" s="71">
        <f t="shared" si="10"/>
        <v>416666.66</v>
      </c>
      <c r="F63" s="71">
        <f t="shared" si="15"/>
        <v>45940860.069999926</v>
      </c>
      <c r="G63" s="71">
        <f t="shared" si="11"/>
        <v>-87499.998599999992</v>
      </c>
      <c r="H63" s="71">
        <f t="shared" si="16"/>
        <v>-9647580.61470001</v>
      </c>
      <c r="I63" s="72">
        <f t="shared" si="12"/>
        <v>36293279.455299914</v>
      </c>
      <c r="J63" s="70">
        <f t="shared" si="17"/>
        <v>228372.12</v>
      </c>
      <c r="K63" s="70"/>
      <c r="L63" s="71">
        <f t="shared" si="13"/>
        <v>53158374.029999927</v>
      </c>
    </row>
    <row r="64" spans="1:12">
      <c r="A64" s="66">
        <v>54</v>
      </c>
      <c r="B64" s="69">
        <v>44682</v>
      </c>
      <c r="C64" s="73">
        <f t="shared" si="14"/>
        <v>416666.66</v>
      </c>
      <c r="D64" s="70"/>
      <c r="E64" s="71">
        <f t="shared" si="10"/>
        <v>416666.66</v>
      </c>
      <c r="F64" s="71">
        <f t="shared" si="15"/>
        <v>46357526.729999922</v>
      </c>
      <c r="G64" s="71">
        <f t="shared" si="11"/>
        <v>-87499.998599999992</v>
      </c>
      <c r="H64" s="71">
        <f t="shared" si="16"/>
        <v>-9735080.6133000106</v>
      </c>
      <c r="I64" s="72">
        <f t="shared" si="12"/>
        <v>36622446.116699912</v>
      </c>
      <c r="J64" s="70">
        <f t="shared" si="17"/>
        <v>230462.32</v>
      </c>
      <c r="K64" s="70"/>
      <c r="L64" s="71">
        <f t="shared" si="13"/>
        <v>53805503.009999923</v>
      </c>
    </row>
    <row r="65" spans="1:30">
      <c r="A65" s="66">
        <v>55</v>
      </c>
      <c r="B65" s="69">
        <v>44713</v>
      </c>
      <c r="C65" s="73">
        <f t="shared" si="14"/>
        <v>416666.66</v>
      </c>
      <c r="D65" s="70"/>
      <c r="E65" s="71">
        <f t="shared" si="10"/>
        <v>416666.66</v>
      </c>
      <c r="F65" s="71">
        <f t="shared" si="15"/>
        <v>46774193.389999919</v>
      </c>
      <c r="G65" s="71">
        <f t="shared" si="11"/>
        <v>-87499.998599999992</v>
      </c>
      <c r="H65" s="71">
        <f t="shared" si="16"/>
        <v>-9822580.6119000111</v>
      </c>
      <c r="I65" s="72">
        <f t="shared" si="12"/>
        <v>36951612.778099909</v>
      </c>
      <c r="J65" s="70">
        <f t="shared" si="17"/>
        <v>232552.53</v>
      </c>
      <c r="K65" s="70"/>
      <c r="L65" s="71">
        <f t="shared" si="13"/>
        <v>54454722.199999921</v>
      </c>
    </row>
    <row r="66" spans="1:30">
      <c r="A66" s="66">
        <v>56</v>
      </c>
      <c r="B66" s="69">
        <v>44743</v>
      </c>
      <c r="C66" s="73">
        <f t="shared" si="14"/>
        <v>416666.66</v>
      </c>
      <c r="D66" s="70"/>
      <c r="E66" s="71">
        <f t="shared" si="10"/>
        <v>416666.66</v>
      </c>
      <c r="F66" s="71">
        <f t="shared" si="15"/>
        <v>47190860.049999915</v>
      </c>
      <c r="G66" s="71">
        <f t="shared" si="11"/>
        <v>-87499.998599999992</v>
      </c>
      <c r="H66" s="71">
        <f t="shared" si="16"/>
        <v>-9910080.6105000116</v>
      </c>
      <c r="I66" s="72">
        <f t="shared" si="12"/>
        <v>37280779.4394999</v>
      </c>
      <c r="J66" s="70">
        <f t="shared" si="17"/>
        <v>234642.74</v>
      </c>
      <c r="K66" s="70"/>
      <c r="L66" s="71">
        <f t="shared" si="13"/>
        <v>55106031.59999992</v>
      </c>
      <c r="AD66" s="74"/>
    </row>
    <row r="67" spans="1:30">
      <c r="A67" s="66">
        <v>57</v>
      </c>
      <c r="B67" s="69">
        <v>44774</v>
      </c>
      <c r="C67" s="73">
        <f t="shared" si="14"/>
        <v>416666.66</v>
      </c>
      <c r="D67" s="70"/>
      <c r="E67" s="71">
        <f t="shared" si="10"/>
        <v>416666.66</v>
      </c>
      <c r="F67" s="71">
        <f t="shared" si="15"/>
        <v>47607526.709999911</v>
      </c>
      <c r="G67" s="71">
        <f t="shared" si="11"/>
        <v>-87499.998599999992</v>
      </c>
      <c r="H67" s="71">
        <f t="shared" si="16"/>
        <v>-9997580.6091000121</v>
      </c>
      <c r="I67" s="72">
        <f t="shared" si="12"/>
        <v>37609946.100899898</v>
      </c>
      <c r="J67" s="70">
        <f t="shared" si="17"/>
        <v>236732.95</v>
      </c>
      <c r="K67" s="70"/>
      <c r="L67" s="71">
        <f t="shared" si="13"/>
        <v>55759431.209999919</v>
      </c>
    </row>
    <row r="68" spans="1:30">
      <c r="A68" s="66">
        <v>58</v>
      </c>
      <c r="B68" s="69">
        <v>44805</v>
      </c>
      <c r="C68" s="73">
        <f t="shared" si="14"/>
        <v>416666.66</v>
      </c>
      <c r="D68" s="70"/>
      <c r="E68" s="71">
        <f t="shared" si="10"/>
        <v>416666.66</v>
      </c>
      <c r="F68" s="71">
        <f t="shared" si="15"/>
        <v>48024193.369999908</v>
      </c>
      <c r="G68" s="71">
        <f t="shared" si="11"/>
        <v>-87499.998599999992</v>
      </c>
      <c r="H68" s="71">
        <f t="shared" si="16"/>
        <v>-10085080.607700013</v>
      </c>
      <c r="I68" s="72">
        <f t="shared" si="12"/>
        <v>37939112.762299895</v>
      </c>
      <c r="J68" s="70">
        <f t="shared" si="17"/>
        <v>238823.16</v>
      </c>
      <c r="K68" s="70"/>
      <c r="L68" s="71">
        <f t="shared" si="13"/>
        <v>56414921.029999912</v>
      </c>
      <c r="AD68" s="74"/>
    </row>
    <row r="69" spans="1:30">
      <c r="A69" s="66">
        <v>59</v>
      </c>
      <c r="B69" s="69">
        <v>44835</v>
      </c>
      <c r="C69" s="73">
        <f t="shared" si="14"/>
        <v>416666.66</v>
      </c>
      <c r="D69" s="70"/>
      <c r="E69" s="71">
        <f t="shared" si="10"/>
        <v>416666.66</v>
      </c>
      <c r="F69" s="71">
        <f t="shared" si="15"/>
        <v>48440860.029999904</v>
      </c>
      <c r="G69" s="71">
        <f t="shared" si="11"/>
        <v>-87499.998599999992</v>
      </c>
      <c r="H69" s="71">
        <f t="shared" si="16"/>
        <v>-10172580.606300013</v>
      </c>
      <c r="I69" s="72">
        <f t="shared" si="12"/>
        <v>38268279.423699893</v>
      </c>
      <c r="J69" s="70">
        <f t="shared" si="17"/>
        <v>240913.37</v>
      </c>
      <c r="K69" s="70"/>
      <c r="L69" s="71">
        <f t="shared" si="13"/>
        <v>57072501.059999906</v>
      </c>
    </row>
    <row r="70" spans="1:30">
      <c r="A70" s="66">
        <v>60</v>
      </c>
      <c r="B70" s="69">
        <v>44866</v>
      </c>
      <c r="C70" s="73">
        <f t="shared" si="14"/>
        <v>416666.66</v>
      </c>
      <c r="D70" s="70"/>
      <c r="E70" s="71">
        <f t="shared" si="10"/>
        <v>416666.66</v>
      </c>
      <c r="F70" s="71">
        <f t="shared" si="15"/>
        <v>48857526.689999901</v>
      </c>
      <c r="G70" s="71">
        <f t="shared" si="11"/>
        <v>-87499.998599999992</v>
      </c>
      <c r="H70" s="71">
        <f t="shared" si="16"/>
        <v>-10260080.604900014</v>
      </c>
      <c r="I70" s="72">
        <f t="shared" si="12"/>
        <v>38597446.085099891</v>
      </c>
      <c r="J70" s="70">
        <f t="shared" si="17"/>
        <v>243003.57</v>
      </c>
      <c r="K70" s="70"/>
      <c r="L70" s="71">
        <f t="shared" si="13"/>
        <v>57732171.289999902</v>
      </c>
    </row>
    <row r="71" spans="1:30">
      <c r="A71" s="66">
        <v>61</v>
      </c>
      <c r="B71" s="75" t="s">
        <v>90</v>
      </c>
      <c r="C71" s="73">
        <f>ROUND(C70*8/31,2)</f>
        <v>107526.88</v>
      </c>
      <c r="D71" s="70"/>
      <c r="E71" s="71">
        <f t="shared" si="10"/>
        <v>107526.88</v>
      </c>
      <c r="F71" s="71">
        <f t="shared" si="15"/>
        <v>48965053.569999903</v>
      </c>
      <c r="G71" s="71">
        <f t="shared" si="11"/>
        <v>-22580.644800000002</v>
      </c>
      <c r="H71" s="71">
        <f t="shared" si="16"/>
        <v>-10282661.249700014</v>
      </c>
      <c r="I71" s="72">
        <f t="shared" si="12"/>
        <v>38682392.320299894</v>
      </c>
      <c r="J71" s="70">
        <f>ROUND((I70*$T$6*(8/31)),2)</f>
        <v>63250.01</v>
      </c>
      <c r="K71" s="70"/>
      <c r="L71" s="71">
        <f t="shared" si="13"/>
        <v>57902948.179999903</v>
      </c>
    </row>
    <row r="72" spans="1:30">
      <c r="A72" s="66">
        <v>62</v>
      </c>
      <c r="B72" s="75" t="s">
        <v>91</v>
      </c>
      <c r="C72" s="73"/>
      <c r="D72" s="70">
        <f>$D$4*23/31</f>
        <v>837120.21729476319</v>
      </c>
      <c r="E72" s="71">
        <f t="shared" si="10"/>
        <v>-837120.21729476319</v>
      </c>
      <c r="F72" s="71"/>
      <c r="G72" s="71">
        <f>-AVERAGE(G$11:G$71)*23/31</f>
        <v>127151.18749629048</v>
      </c>
      <c r="H72" s="71">
        <f t="shared" si="16"/>
        <v>-10155510.062203724</v>
      </c>
      <c r="I72" s="72">
        <f t="shared" ref="I72:I103" si="18">L72+H72</f>
        <v>47134670.900501415</v>
      </c>
      <c r="J72" s="60"/>
      <c r="K72" s="70">
        <f>ROUND(((L71+H71)*$D$3*(23/31)),2)</f>
        <v>224353</v>
      </c>
      <c r="L72" s="71">
        <f t="shared" si="13"/>
        <v>57290180.962705143</v>
      </c>
    </row>
    <row r="73" spans="1:30">
      <c r="A73" s="66">
        <v>63</v>
      </c>
      <c r="B73" s="69">
        <v>44927</v>
      </c>
      <c r="C73" s="70"/>
      <c r="D73" s="70">
        <f t="shared" ref="D73:D104" si="19">$D$4</f>
        <v>1128292.4667885939</v>
      </c>
      <c r="E73" s="71">
        <f t="shared" si="10"/>
        <v>-1128292.4667885939</v>
      </c>
      <c r="F73" s="71"/>
      <c r="G73" s="71">
        <f t="shared" ref="G73:G104" si="20">-AVERAGE(G$11:G$71)</f>
        <v>171377.68749500022</v>
      </c>
      <c r="H73" s="71">
        <f t="shared" si="16"/>
        <v>-9984132.3747087233</v>
      </c>
      <c r="I73" s="72">
        <f t="shared" si="18"/>
        <v>46477061.281426013</v>
      </c>
      <c r="J73" s="70"/>
      <c r="K73" s="70">
        <f t="shared" ref="K73:K104" si="21">(L72+H72)*$D$3</f>
        <v>299305.160218184</v>
      </c>
      <c r="L73" s="71">
        <f t="shared" si="13"/>
        <v>56461193.656134732</v>
      </c>
    </row>
    <row r="74" spans="1:30">
      <c r="A74" s="66">
        <v>64</v>
      </c>
      <c r="B74" s="69">
        <v>44958</v>
      </c>
      <c r="C74" s="70"/>
      <c r="D74" s="70">
        <f t="shared" si="19"/>
        <v>1128292.4667885939</v>
      </c>
      <c r="E74" s="71">
        <f t="shared" si="10"/>
        <v>-1128292.4667885939</v>
      </c>
      <c r="F74" s="71"/>
      <c r="G74" s="71">
        <f t="shared" si="20"/>
        <v>171377.68749500022</v>
      </c>
      <c r="H74" s="71">
        <f t="shared" si="16"/>
        <v>-9812754.6872137226</v>
      </c>
      <c r="I74" s="72">
        <f t="shared" si="18"/>
        <v>45815275.841269463</v>
      </c>
      <c r="J74" s="70"/>
      <c r="K74" s="70">
        <f t="shared" si="21"/>
        <v>295129.33913705521</v>
      </c>
      <c r="L74" s="71">
        <f t="shared" si="13"/>
        <v>55628030.52848319</v>
      </c>
    </row>
    <row r="75" spans="1:30">
      <c r="A75" s="66">
        <v>65</v>
      </c>
      <c r="B75" s="69">
        <v>44986</v>
      </c>
      <c r="C75" s="70"/>
      <c r="D75" s="70">
        <f t="shared" si="19"/>
        <v>1128292.4667885939</v>
      </c>
      <c r="E75" s="71">
        <f t="shared" si="10"/>
        <v>-1128292.4667885939</v>
      </c>
      <c r="F75" s="71"/>
      <c r="G75" s="71">
        <f t="shared" si="20"/>
        <v>171377.68749500022</v>
      </c>
      <c r="H75" s="71">
        <f t="shared" si="16"/>
        <v>-9641376.999718722</v>
      </c>
      <c r="I75" s="72">
        <f t="shared" si="18"/>
        <v>45149288.063567936</v>
      </c>
      <c r="J75" s="70"/>
      <c r="K75" s="70">
        <f t="shared" si="21"/>
        <v>290927.00159206113</v>
      </c>
      <c r="L75" s="71">
        <f t="shared" si="13"/>
        <v>54790665.063286655</v>
      </c>
    </row>
    <row r="76" spans="1:30">
      <c r="A76" s="66">
        <v>66</v>
      </c>
      <c r="B76" s="69">
        <v>45017</v>
      </c>
      <c r="C76" s="70"/>
      <c r="D76" s="70">
        <f t="shared" si="19"/>
        <v>1128292.4667885939</v>
      </c>
      <c r="E76" s="71">
        <f t="shared" si="10"/>
        <v>-1128292.4667885939</v>
      </c>
      <c r="F76" s="71"/>
      <c r="G76" s="71">
        <f t="shared" si="20"/>
        <v>171377.68749500022</v>
      </c>
      <c r="H76" s="71">
        <f t="shared" si="16"/>
        <v>-9469999.3122237213</v>
      </c>
      <c r="I76" s="72">
        <f t="shared" si="18"/>
        <v>44479071.263477996</v>
      </c>
      <c r="J76" s="70"/>
      <c r="K76" s="70">
        <f t="shared" si="21"/>
        <v>286697.97920365643</v>
      </c>
      <c r="L76" s="71">
        <f t="shared" si="13"/>
        <v>53949070.575701714</v>
      </c>
    </row>
    <row r="77" spans="1:30">
      <c r="A77" s="66">
        <v>67</v>
      </c>
      <c r="B77" s="69">
        <v>45047</v>
      </c>
      <c r="C77" s="70"/>
      <c r="D77" s="70">
        <f t="shared" si="19"/>
        <v>1128292.4667885939</v>
      </c>
      <c r="E77" s="71">
        <f t="shared" si="10"/>
        <v>-1128292.4667885939</v>
      </c>
      <c r="F77" s="71"/>
      <c r="G77" s="71">
        <f t="shared" si="20"/>
        <v>171377.68749500022</v>
      </c>
      <c r="H77" s="71">
        <f t="shared" si="16"/>
        <v>-9298621.6247287206</v>
      </c>
      <c r="I77" s="72">
        <f t="shared" si="18"/>
        <v>43804598.586707488</v>
      </c>
      <c r="J77" s="70"/>
      <c r="K77" s="70">
        <f t="shared" si="21"/>
        <v>282442.10252308531</v>
      </c>
      <c r="L77" s="71">
        <f t="shared" si="13"/>
        <v>53103220.211436205</v>
      </c>
    </row>
    <row r="78" spans="1:30">
      <c r="A78" s="66">
        <v>68</v>
      </c>
      <c r="B78" s="69">
        <v>45078</v>
      </c>
      <c r="C78" s="70"/>
      <c r="D78" s="70">
        <f t="shared" si="19"/>
        <v>1128292.4667885939</v>
      </c>
      <c r="E78" s="71">
        <f t="shared" si="10"/>
        <v>-1128292.4667885939</v>
      </c>
      <c r="F78" s="71"/>
      <c r="G78" s="71">
        <f t="shared" si="20"/>
        <v>171377.68749500022</v>
      </c>
      <c r="H78" s="71">
        <f t="shared" si="16"/>
        <v>-9127243.93723372</v>
      </c>
      <c r="I78" s="72">
        <f t="shared" si="18"/>
        <v>43125843.008439481</v>
      </c>
      <c r="J78" s="70"/>
      <c r="K78" s="70">
        <f t="shared" si="21"/>
        <v>278159.20102559257</v>
      </c>
      <c r="L78" s="71">
        <f t="shared" si="13"/>
        <v>52253086.945673198</v>
      </c>
    </row>
    <row r="79" spans="1:30">
      <c r="A79" s="66">
        <v>69</v>
      </c>
      <c r="B79" s="69">
        <v>45108</v>
      </c>
      <c r="C79" s="70"/>
      <c r="D79" s="70">
        <f t="shared" si="19"/>
        <v>1128292.4667885939</v>
      </c>
      <c r="E79" s="71">
        <f t="shared" si="10"/>
        <v>-1128292.4667885939</v>
      </c>
      <c r="F79" s="71"/>
      <c r="G79" s="71">
        <f t="shared" si="20"/>
        <v>171377.68749500022</v>
      </c>
      <c r="H79" s="71">
        <f t="shared" si="16"/>
        <v>-8955866.2497387193</v>
      </c>
      <c r="I79" s="72">
        <f t="shared" si="18"/>
        <v>42442777.332249478</v>
      </c>
      <c r="J79" s="70"/>
      <c r="K79" s="70">
        <f t="shared" si="21"/>
        <v>273849.10310359072</v>
      </c>
      <c r="L79" s="71">
        <f t="shared" si="13"/>
        <v>51398643.581988193</v>
      </c>
    </row>
    <row r="80" spans="1:30">
      <c r="A80" s="66">
        <v>70</v>
      </c>
      <c r="B80" s="69">
        <v>45139</v>
      </c>
      <c r="C80" s="70"/>
      <c r="D80" s="70">
        <f t="shared" si="19"/>
        <v>1128292.4667885939</v>
      </c>
      <c r="E80" s="71">
        <f t="shared" ref="E80:E111" si="22">C80-D80</f>
        <v>-1128292.4667885939</v>
      </c>
      <c r="F80" s="71"/>
      <c r="G80" s="71">
        <f t="shared" si="20"/>
        <v>171377.68749500022</v>
      </c>
      <c r="H80" s="71">
        <f t="shared" si="16"/>
        <v>-8784488.5622437187</v>
      </c>
      <c r="I80" s="72">
        <f t="shared" si="18"/>
        <v>41755374.189015657</v>
      </c>
      <c r="J80" s="70"/>
      <c r="K80" s="70">
        <f t="shared" si="21"/>
        <v>269511.63605978421</v>
      </c>
      <c r="L80" s="71">
        <f t="shared" ref="L80:L111" si="23">L79+E80+J80+K80</f>
        <v>50539862.751259379</v>
      </c>
    </row>
    <row r="81" spans="1:12" ht="14.5" customHeight="1" outlineLevel="1">
      <c r="A81" s="66">
        <v>71</v>
      </c>
      <c r="B81" s="69">
        <v>45170</v>
      </c>
      <c r="C81" s="70"/>
      <c r="D81" s="70">
        <f t="shared" si="19"/>
        <v>1128292.4667885939</v>
      </c>
      <c r="E81" s="71">
        <f t="shared" si="22"/>
        <v>-1128292.4667885939</v>
      </c>
      <c r="F81" s="71"/>
      <c r="G81" s="71">
        <f t="shared" si="20"/>
        <v>171377.68749500022</v>
      </c>
      <c r="H81" s="71">
        <f t="shared" ref="H81:H112" si="24">G81+H80</f>
        <v>-8613110.874748718</v>
      </c>
      <c r="I81" s="72">
        <f t="shared" si="18"/>
        <v>41063606.035822317</v>
      </c>
      <c r="J81" s="70"/>
      <c r="K81" s="70">
        <f t="shared" si="21"/>
        <v>265146.62610024947</v>
      </c>
      <c r="L81" s="71">
        <f t="shared" si="23"/>
        <v>49676716.910571031</v>
      </c>
    </row>
    <row r="82" spans="1:12" ht="14.5" customHeight="1" outlineLevel="1">
      <c r="A82" s="66">
        <v>72</v>
      </c>
      <c r="B82" s="69">
        <v>45200</v>
      </c>
      <c r="C82" s="70"/>
      <c r="D82" s="70">
        <f t="shared" si="19"/>
        <v>1128292.4667885939</v>
      </c>
      <c r="E82" s="71">
        <f t="shared" si="22"/>
        <v>-1128292.4667885939</v>
      </c>
      <c r="F82" s="71"/>
      <c r="G82" s="71">
        <f t="shared" si="20"/>
        <v>171377.68749500022</v>
      </c>
      <c r="H82" s="71">
        <f t="shared" si="24"/>
        <v>-8441733.1872537173</v>
      </c>
      <c r="I82" s="72">
        <f t="shared" si="18"/>
        <v>40367445.15485619</v>
      </c>
      <c r="J82" s="70"/>
      <c r="K82" s="70">
        <f t="shared" si="21"/>
        <v>260753.89832747175</v>
      </c>
      <c r="L82" s="71">
        <f t="shared" si="23"/>
        <v>48809178.342109904</v>
      </c>
    </row>
    <row r="83" spans="1:12" ht="14.5" customHeight="1" outlineLevel="1">
      <c r="A83" s="66">
        <v>73</v>
      </c>
      <c r="B83" s="69">
        <v>45231</v>
      </c>
      <c r="C83" s="70"/>
      <c r="D83" s="70">
        <f t="shared" si="19"/>
        <v>1128292.4667885939</v>
      </c>
      <c r="E83" s="71">
        <f t="shared" si="22"/>
        <v>-1128292.4667885939</v>
      </c>
      <c r="F83" s="71"/>
      <c r="G83" s="71">
        <f t="shared" si="20"/>
        <v>171377.68749500022</v>
      </c>
      <c r="H83" s="71">
        <f t="shared" si="24"/>
        <v>-8270355.4997587167</v>
      </c>
      <c r="I83" s="72">
        <f t="shared" si="18"/>
        <v>39666863.652295932</v>
      </c>
      <c r="J83" s="70"/>
      <c r="K83" s="70">
        <f t="shared" si="21"/>
        <v>256333.27673333682</v>
      </c>
      <c r="L83" s="71">
        <f t="shared" si="23"/>
        <v>47937219.152054645</v>
      </c>
    </row>
    <row r="84" spans="1:12" ht="14.5" customHeight="1" outlineLevel="1">
      <c r="A84" s="66">
        <v>74</v>
      </c>
      <c r="B84" s="69">
        <v>45261</v>
      </c>
      <c r="C84" s="70"/>
      <c r="D84" s="70">
        <f t="shared" si="19"/>
        <v>1128292.4667885939</v>
      </c>
      <c r="E84" s="71">
        <f t="shared" si="22"/>
        <v>-1128292.4667885939</v>
      </c>
      <c r="F84" s="71"/>
      <c r="G84" s="71">
        <f t="shared" si="20"/>
        <v>171377.68749500022</v>
      </c>
      <c r="H84" s="71">
        <f t="shared" si="24"/>
        <v>-8098977.812263716</v>
      </c>
      <c r="I84" s="72">
        <f t="shared" si="18"/>
        <v>38961833.457194418</v>
      </c>
      <c r="J84" s="70"/>
      <c r="K84" s="70">
        <f t="shared" si="21"/>
        <v>251884.5841920792</v>
      </c>
      <c r="L84" s="71">
        <f t="shared" si="23"/>
        <v>47060811.26945813</v>
      </c>
    </row>
    <row r="85" spans="1:12" ht="14.5" customHeight="1" outlineLevel="1">
      <c r="A85" s="66">
        <v>75</v>
      </c>
      <c r="B85" s="69">
        <v>45292</v>
      </c>
      <c r="C85" s="70"/>
      <c r="D85" s="70">
        <f t="shared" si="19"/>
        <v>1128292.4667885939</v>
      </c>
      <c r="E85" s="71">
        <f t="shared" si="22"/>
        <v>-1128292.4667885939</v>
      </c>
      <c r="F85" s="71"/>
      <c r="G85" s="71">
        <f t="shared" si="20"/>
        <v>171377.68749500022</v>
      </c>
      <c r="H85" s="71">
        <f t="shared" si="24"/>
        <v>-7927600.1247687154</v>
      </c>
      <c r="I85" s="72">
        <f t="shared" si="18"/>
        <v>38252326.320354</v>
      </c>
      <c r="J85" s="70"/>
      <c r="K85" s="70">
        <f t="shared" si="21"/>
        <v>247407.64245318458</v>
      </c>
      <c r="L85" s="71">
        <f t="shared" si="23"/>
        <v>46179926.445122719</v>
      </c>
    </row>
    <row r="86" spans="1:12" ht="14.5" customHeight="1" outlineLevel="1">
      <c r="A86" s="66">
        <v>76</v>
      </c>
      <c r="B86" s="69">
        <v>45323</v>
      </c>
      <c r="C86" s="70"/>
      <c r="D86" s="70">
        <f t="shared" si="19"/>
        <v>1128292.4667885939</v>
      </c>
      <c r="E86" s="71">
        <f t="shared" si="22"/>
        <v>-1128292.4667885939</v>
      </c>
      <c r="F86" s="71"/>
      <c r="G86" s="71">
        <f t="shared" si="20"/>
        <v>171377.68749500022</v>
      </c>
      <c r="H86" s="71">
        <f t="shared" si="24"/>
        <v>-7756222.4372737147</v>
      </c>
      <c r="I86" s="72">
        <f t="shared" si="18"/>
        <v>37538313.813194647</v>
      </c>
      <c r="J86" s="70"/>
      <c r="K86" s="70">
        <f t="shared" si="21"/>
        <v>242902.27213424793</v>
      </c>
      <c r="L86" s="71">
        <f t="shared" si="23"/>
        <v>45294536.250468366</v>
      </c>
    </row>
    <row r="87" spans="1:12" ht="14.5" customHeight="1" outlineLevel="1">
      <c r="A87" s="66">
        <v>77</v>
      </c>
      <c r="B87" s="69">
        <v>45352</v>
      </c>
      <c r="C87" s="70"/>
      <c r="D87" s="70">
        <f t="shared" si="19"/>
        <v>1128292.4667885939</v>
      </c>
      <c r="E87" s="71">
        <f t="shared" si="22"/>
        <v>-1128292.4667885939</v>
      </c>
      <c r="F87" s="71"/>
      <c r="G87" s="71">
        <f t="shared" si="20"/>
        <v>171377.68749500022</v>
      </c>
      <c r="H87" s="71">
        <f t="shared" si="24"/>
        <v>-7584844.749778714</v>
      </c>
      <c r="I87" s="72">
        <f t="shared" si="18"/>
        <v>36819767.326614842</v>
      </c>
      <c r="J87" s="70"/>
      <c r="K87" s="70">
        <f t="shared" si="21"/>
        <v>238368.29271378604</v>
      </c>
      <c r="L87" s="71">
        <f t="shared" si="23"/>
        <v>44404612.076393552</v>
      </c>
    </row>
    <row r="88" spans="1:12" ht="14.5" customHeight="1" outlineLevel="1">
      <c r="A88" s="66">
        <v>78</v>
      </c>
      <c r="B88" s="69">
        <v>45383</v>
      </c>
      <c r="C88" s="70"/>
      <c r="D88" s="70">
        <f t="shared" si="19"/>
        <v>1128292.4667885939</v>
      </c>
      <c r="E88" s="71">
        <f t="shared" si="22"/>
        <v>-1128292.4667885939</v>
      </c>
      <c r="F88" s="71"/>
      <c r="G88" s="71">
        <f t="shared" si="20"/>
        <v>171377.68749500022</v>
      </c>
      <c r="H88" s="71">
        <f t="shared" si="24"/>
        <v>-7413467.0622837134</v>
      </c>
      <c r="I88" s="72">
        <f t="shared" si="18"/>
        <v>36096658.069845244</v>
      </c>
      <c r="J88" s="70"/>
      <c r="K88" s="70">
        <f t="shared" si="21"/>
        <v>233805.52252400428</v>
      </c>
      <c r="L88" s="71">
        <f t="shared" si="23"/>
        <v>43510125.132128961</v>
      </c>
    </row>
    <row r="89" spans="1:12" ht="14.5" customHeight="1" outlineLevel="1">
      <c r="A89" s="66">
        <v>79</v>
      </c>
      <c r="B89" s="69">
        <v>45413</v>
      </c>
      <c r="C89" s="70"/>
      <c r="D89" s="70">
        <f t="shared" si="19"/>
        <v>1128292.4667885939</v>
      </c>
      <c r="E89" s="71">
        <f t="shared" si="22"/>
        <v>-1128292.4667885939</v>
      </c>
      <c r="F89" s="71"/>
      <c r="G89" s="71">
        <f t="shared" si="20"/>
        <v>171377.68749500022</v>
      </c>
      <c r="H89" s="71">
        <f t="shared" si="24"/>
        <v>-7242089.3747887127</v>
      </c>
      <c r="I89" s="72">
        <f t="shared" si="18"/>
        <v>35368957.069295168</v>
      </c>
      <c r="J89" s="70"/>
      <c r="K89" s="70">
        <f t="shared" si="21"/>
        <v>229213.77874351732</v>
      </c>
      <c r="L89" s="71">
        <f t="shared" si="23"/>
        <v>42611046.444083884</v>
      </c>
    </row>
    <row r="90" spans="1:12" ht="14.5" customHeight="1" outlineLevel="1">
      <c r="A90" s="66">
        <v>80</v>
      </c>
      <c r="B90" s="69">
        <v>45444</v>
      </c>
      <c r="C90" s="70"/>
      <c r="D90" s="70">
        <f t="shared" si="19"/>
        <v>1128292.4667885939</v>
      </c>
      <c r="E90" s="71">
        <f t="shared" si="22"/>
        <v>-1128292.4667885939</v>
      </c>
      <c r="F90" s="71"/>
      <c r="G90" s="71">
        <f t="shared" si="20"/>
        <v>171377.68749500022</v>
      </c>
      <c r="H90" s="71">
        <f t="shared" si="24"/>
        <v>-7070711.687293712</v>
      </c>
      <c r="I90" s="72">
        <f t="shared" si="18"/>
        <v>34636635.167391598</v>
      </c>
      <c r="J90" s="70"/>
      <c r="K90" s="70">
        <f t="shared" si="21"/>
        <v>224592.87739002434</v>
      </c>
      <c r="L90" s="71">
        <f t="shared" si="23"/>
        <v>41707346.854685314</v>
      </c>
    </row>
    <row r="91" spans="1:12" ht="14.5" customHeight="1" outlineLevel="1">
      <c r="A91" s="66">
        <v>81</v>
      </c>
      <c r="B91" s="69">
        <v>45474</v>
      </c>
      <c r="C91" s="70"/>
      <c r="D91" s="70">
        <f t="shared" si="19"/>
        <v>1128292.4667885939</v>
      </c>
      <c r="E91" s="71">
        <f t="shared" si="22"/>
        <v>-1128292.4667885939</v>
      </c>
      <c r="F91" s="71"/>
      <c r="G91" s="71">
        <f t="shared" si="20"/>
        <v>171377.68749500022</v>
      </c>
      <c r="H91" s="71">
        <f t="shared" si="24"/>
        <v>-6899333.9997987114</v>
      </c>
      <c r="I91" s="72">
        <f t="shared" si="18"/>
        <v>33899663.021410942</v>
      </c>
      <c r="J91" s="70"/>
      <c r="K91" s="70">
        <f t="shared" si="21"/>
        <v>219942.63331293667</v>
      </c>
      <c r="L91" s="71">
        <f t="shared" si="23"/>
        <v>40798997.02120965</v>
      </c>
    </row>
    <row r="92" spans="1:12" ht="14.5" customHeight="1" outlineLevel="1">
      <c r="A92" s="66">
        <v>82</v>
      </c>
      <c r="B92" s="69">
        <v>45505</v>
      </c>
      <c r="C92" s="70"/>
      <c r="D92" s="70">
        <f t="shared" si="19"/>
        <v>1128292.4667885939</v>
      </c>
      <c r="E92" s="71">
        <f t="shared" si="22"/>
        <v>-1128292.4667885939</v>
      </c>
      <c r="F92" s="71"/>
      <c r="G92" s="71">
        <f t="shared" si="20"/>
        <v>171377.68749500022</v>
      </c>
      <c r="H92" s="71">
        <f t="shared" si="24"/>
        <v>-6727956.3123037107</v>
      </c>
      <c r="I92" s="72">
        <f t="shared" si="18"/>
        <v>33158011.1023033</v>
      </c>
      <c r="J92" s="70"/>
      <c r="K92" s="70">
        <f t="shared" si="21"/>
        <v>215262.86018595949</v>
      </c>
      <c r="L92" s="71">
        <f t="shared" si="23"/>
        <v>39885967.414607011</v>
      </c>
    </row>
    <row r="93" spans="1:12" ht="14.5" customHeight="1" outlineLevel="1">
      <c r="A93" s="66">
        <v>83</v>
      </c>
      <c r="B93" s="69">
        <v>45536</v>
      </c>
      <c r="C93" s="70"/>
      <c r="D93" s="70">
        <f t="shared" si="19"/>
        <v>1128292.4667885939</v>
      </c>
      <c r="E93" s="71">
        <f t="shared" si="22"/>
        <v>-1128292.4667885939</v>
      </c>
      <c r="F93" s="71"/>
      <c r="G93" s="71">
        <f t="shared" si="20"/>
        <v>171377.68749500022</v>
      </c>
      <c r="H93" s="71">
        <f t="shared" si="24"/>
        <v>-6556578.6248087101</v>
      </c>
      <c r="I93" s="72">
        <f t="shared" si="18"/>
        <v>32411649.693509329</v>
      </c>
      <c r="J93" s="70"/>
      <c r="K93" s="70">
        <f t="shared" si="21"/>
        <v>210553.37049962598</v>
      </c>
      <c r="L93" s="71">
        <f t="shared" si="23"/>
        <v>38968228.318318039</v>
      </c>
    </row>
    <row r="94" spans="1:12" ht="14.5" customHeight="1" outlineLevel="1">
      <c r="A94" s="66">
        <v>84</v>
      </c>
      <c r="B94" s="69">
        <v>45566</v>
      </c>
      <c r="C94" s="70"/>
      <c r="D94" s="70">
        <f t="shared" si="19"/>
        <v>1128292.4667885939</v>
      </c>
      <c r="E94" s="71">
        <f t="shared" si="22"/>
        <v>-1128292.4667885939</v>
      </c>
      <c r="F94" s="71"/>
      <c r="G94" s="71">
        <f t="shared" si="20"/>
        <v>171377.68749500022</v>
      </c>
      <c r="H94" s="71">
        <f t="shared" si="24"/>
        <v>-6385200.9373137094</v>
      </c>
      <c r="I94" s="72">
        <f t="shared" si="18"/>
        <v>31660548.889769513</v>
      </c>
      <c r="J94" s="70"/>
      <c r="K94" s="70">
        <f t="shared" si="21"/>
        <v>205813.97555378426</v>
      </c>
      <c r="L94" s="71">
        <f t="shared" si="23"/>
        <v>38045749.827083223</v>
      </c>
    </row>
    <row r="95" spans="1:12" ht="14.5" customHeight="1" outlineLevel="1">
      <c r="A95" s="66">
        <v>85</v>
      </c>
      <c r="B95" s="69">
        <v>45597</v>
      </c>
      <c r="C95" s="70"/>
      <c r="D95" s="70">
        <f t="shared" si="19"/>
        <v>1128292.4667885939</v>
      </c>
      <c r="E95" s="71">
        <f t="shared" si="22"/>
        <v>-1128292.4667885939</v>
      </c>
      <c r="F95" s="71"/>
      <c r="G95" s="71">
        <f t="shared" si="20"/>
        <v>171377.68749500022</v>
      </c>
      <c r="H95" s="71">
        <f t="shared" si="24"/>
        <v>-6213823.2498187087</v>
      </c>
      <c r="I95" s="72">
        <f t="shared" si="18"/>
        <v>30904678.595925953</v>
      </c>
      <c r="J95" s="70"/>
      <c r="K95" s="70">
        <f t="shared" si="21"/>
        <v>201044.48545003642</v>
      </c>
      <c r="L95" s="71">
        <f t="shared" si="23"/>
        <v>37118501.845744662</v>
      </c>
    </row>
    <row r="96" spans="1:12" ht="14.5" customHeight="1" outlineLevel="1">
      <c r="A96" s="66">
        <v>86</v>
      </c>
      <c r="B96" s="69">
        <v>45627</v>
      </c>
      <c r="C96" s="70"/>
      <c r="D96" s="70">
        <f t="shared" si="19"/>
        <v>1128292.4667885939</v>
      </c>
      <c r="E96" s="71">
        <f t="shared" si="22"/>
        <v>-1128292.4667885939</v>
      </c>
      <c r="F96" s="71"/>
      <c r="G96" s="71">
        <f t="shared" si="20"/>
        <v>171377.68749500022</v>
      </c>
      <c r="H96" s="71">
        <f t="shared" si="24"/>
        <v>-6042445.5623237081</v>
      </c>
      <c r="I96" s="72">
        <f t="shared" si="18"/>
        <v>30144008.525716487</v>
      </c>
      <c r="J96" s="70"/>
      <c r="K96" s="70">
        <f t="shared" si="21"/>
        <v>196244.70908412983</v>
      </c>
      <c r="L96" s="71">
        <f t="shared" si="23"/>
        <v>36186454.088040195</v>
      </c>
    </row>
    <row r="97" spans="1:12" ht="14.5" customHeight="1" outlineLevel="1">
      <c r="A97" s="66">
        <v>87</v>
      </c>
      <c r="B97" s="69">
        <v>45658</v>
      </c>
      <c r="C97" s="70"/>
      <c r="D97" s="70">
        <f t="shared" si="19"/>
        <v>1128292.4667885939</v>
      </c>
      <c r="E97" s="71">
        <f t="shared" si="22"/>
        <v>-1128292.4667885939</v>
      </c>
      <c r="F97" s="71"/>
      <c r="G97" s="71">
        <f t="shared" si="20"/>
        <v>171377.68749500022</v>
      </c>
      <c r="H97" s="71">
        <f t="shared" si="24"/>
        <v>-5871067.8748287074</v>
      </c>
      <c r="I97" s="72">
        <f t="shared" si="18"/>
        <v>29378508.200561192</v>
      </c>
      <c r="J97" s="70"/>
      <c r="K97" s="70">
        <f t="shared" si="21"/>
        <v>191414.45413829971</v>
      </c>
      <c r="L97" s="71">
        <f t="shared" si="23"/>
        <v>35249576.075389899</v>
      </c>
    </row>
    <row r="98" spans="1:12" ht="14.5" customHeight="1" outlineLevel="1">
      <c r="A98" s="66">
        <v>88</v>
      </c>
      <c r="B98" s="69">
        <v>45689</v>
      </c>
      <c r="C98" s="70"/>
      <c r="D98" s="70">
        <f t="shared" si="19"/>
        <v>1128292.4667885939</v>
      </c>
      <c r="E98" s="71">
        <f t="shared" si="22"/>
        <v>-1128292.4667885939</v>
      </c>
      <c r="F98" s="71"/>
      <c r="G98" s="71">
        <f t="shared" si="20"/>
        <v>171377.68749500022</v>
      </c>
      <c r="H98" s="71">
        <f t="shared" si="24"/>
        <v>-5699690.1873337068</v>
      </c>
      <c r="I98" s="72">
        <f t="shared" si="18"/>
        <v>28608146.948341157</v>
      </c>
      <c r="J98" s="70"/>
      <c r="K98" s="70">
        <f t="shared" si="21"/>
        <v>186553.5270735636</v>
      </c>
      <c r="L98" s="71">
        <f t="shared" si="23"/>
        <v>34307837.135674864</v>
      </c>
    </row>
    <row r="99" spans="1:12" ht="14.5" customHeight="1" outlineLevel="1">
      <c r="A99" s="66">
        <v>89</v>
      </c>
      <c r="B99" s="69">
        <v>45717</v>
      </c>
      <c r="C99" s="70"/>
      <c r="D99" s="70">
        <f t="shared" si="19"/>
        <v>1128292.4667885939</v>
      </c>
      <c r="E99" s="71">
        <f t="shared" si="22"/>
        <v>-1128292.4667885939</v>
      </c>
      <c r="F99" s="71"/>
      <c r="G99" s="71">
        <f t="shared" si="20"/>
        <v>171377.68749500022</v>
      </c>
      <c r="H99" s="71">
        <f t="shared" si="24"/>
        <v>-5528312.4998387061</v>
      </c>
      <c r="I99" s="72">
        <f t="shared" si="18"/>
        <v>27832893.902169529</v>
      </c>
      <c r="J99" s="70"/>
      <c r="K99" s="70">
        <f t="shared" si="21"/>
        <v>181661.73312196636</v>
      </c>
      <c r="L99" s="71">
        <f t="shared" si="23"/>
        <v>33361206.402008235</v>
      </c>
    </row>
    <row r="100" spans="1:12" ht="14.5" customHeight="1" outlineLevel="1">
      <c r="A100" s="66">
        <v>90</v>
      </c>
      <c r="B100" s="69">
        <v>45748</v>
      </c>
      <c r="C100" s="70"/>
      <c r="D100" s="70">
        <f t="shared" si="19"/>
        <v>1128292.4667885939</v>
      </c>
      <c r="E100" s="71">
        <f t="shared" si="22"/>
        <v>-1128292.4667885939</v>
      </c>
      <c r="F100" s="71"/>
      <c r="G100" s="71">
        <f t="shared" si="20"/>
        <v>171377.68749500022</v>
      </c>
      <c r="H100" s="71">
        <f t="shared" si="24"/>
        <v>-5356934.8123437054</v>
      </c>
      <c r="I100" s="72">
        <f t="shared" si="18"/>
        <v>27052717.999154713</v>
      </c>
      <c r="J100" s="70"/>
      <c r="K100" s="70">
        <f t="shared" si="21"/>
        <v>176738.87627877653</v>
      </c>
      <c r="L100" s="71">
        <f t="shared" si="23"/>
        <v>32409652.811498418</v>
      </c>
    </row>
    <row r="101" spans="1:12" ht="14.5" customHeight="1" outlineLevel="1">
      <c r="A101" s="66">
        <v>91</v>
      </c>
      <c r="B101" s="69">
        <v>45778</v>
      </c>
      <c r="C101" s="70"/>
      <c r="D101" s="70">
        <f t="shared" si="19"/>
        <v>1128292.4667885939</v>
      </c>
      <c r="E101" s="71">
        <f t="shared" si="22"/>
        <v>-1128292.4667885939</v>
      </c>
      <c r="F101" s="71"/>
      <c r="G101" s="71">
        <f t="shared" si="20"/>
        <v>171377.68749500022</v>
      </c>
      <c r="H101" s="71">
        <f t="shared" si="24"/>
        <v>-5185557.1248487048</v>
      </c>
      <c r="I101" s="72">
        <f t="shared" si="18"/>
        <v>26267587.979155753</v>
      </c>
      <c r="J101" s="70"/>
      <c r="K101" s="70">
        <f t="shared" si="21"/>
        <v>171784.75929463244</v>
      </c>
      <c r="L101" s="71">
        <f t="shared" si="23"/>
        <v>31453145.104004458</v>
      </c>
    </row>
    <row r="102" spans="1:12" ht="14.5" customHeight="1" outlineLevel="1">
      <c r="A102" s="66">
        <v>92</v>
      </c>
      <c r="B102" s="69">
        <v>45809</v>
      </c>
      <c r="C102" s="70"/>
      <c r="D102" s="70">
        <f t="shared" si="19"/>
        <v>1128292.4667885939</v>
      </c>
      <c r="E102" s="71">
        <f t="shared" si="22"/>
        <v>-1128292.4667885939</v>
      </c>
      <c r="F102" s="71"/>
      <c r="G102" s="71">
        <f t="shared" si="20"/>
        <v>171377.68749500022</v>
      </c>
      <c r="H102" s="71">
        <f t="shared" si="24"/>
        <v>-5014179.4373537041</v>
      </c>
      <c r="I102" s="72">
        <f t="shared" si="18"/>
        <v>25477472.383529797</v>
      </c>
      <c r="J102" s="70"/>
      <c r="K102" s="70">
        <f t="shared" si="21"/>
        <v>166799.18366763904</v>
      </c>
      <c r="L102" s="71">
        <f t="shared" si="23"/>
        <v>30491651.820883501</v>
      </c>
    </row>
    <row r="103" spans="1:12" ht="14.5" customHeight="1" outlineLevel="1">
      <c r="A103" s="66">
        <v>93</v>
      </c>
      <c r="B103" s="69">
        <v>45839</v>
      </c>
      <c r="C103" s="70"/>
      <c r="D103" s="70">
        <f t="shared" si="19"/>
        <v>1128292.4667885939</v>
      </c>
      <c r="E103" s="71">
        <f t="shared" si="22"/>
        <v>-1128292.4667885939</v>
      </c>
      <c r="F103" s="71"/>
      <c r="G103" s="71">
        <f t="shared" si="20"/>
        <v>171377.68749500022</v>
      </c>
      <c r="H103" s="71">
        <f t="shared" si="24"/>
        <v>-4842801.7498587035</v>
      </c>
      <c r="I103" s="72">
        <f t="shared" si="18"/>
        <v>24682339.553871617</v>
      </c>
      <c r="J103" s="70"/>
      <c r="K103" s="70">
        <f t="shared" si="21"/>
        <v>161781.94963541423</v>
      </c>
      <c r="L103" s="71">
        <f t="shared" si="23"/>
        <v>29525141.30373032</v>
      </c>
    </row>
    <row r="104" spans="1:12" ht="14.5" customHeight="1" outlineLevel="1">
      <c r="A104" s="66">
        <v>94</v>
      </c>
      <c r="B104" s="69">
        <v>45870</v>
      </c>
      <c r="C104" s="70"/>
      <c r="D104" s="70">
        <f t="shared" si="19"/>
        <v>1128292.4667885939</v>
      </c>
      <c r="E104" s="71">
        <f t="shared" si="22"/>
        <v>-1128292.4667885939</v>
      </c>
      <c r="F104" s="71"/>
      <c r="G104" s="71">
        <f t="shared" si="20"/>
        <v>171377.68749500022</v>
      </c>
      <c r="H104" s="71">
        <f t="shared" si="24"/>
        <v>-4671424.0623637028</v>
      </c>
      <c r="I104" s="72">
        <f t="shared" ref="I104:I132" si="25">L104+H104</f>
        <v>23882157.630745109</v>
      </c>
      <c r="J104" s="70"/>
      <c r="K104" s="70">
        <f t="shared" si="21"/>
        <v>156732.85616708477</v>
      </c>
      <c r="L104" s="71">
        <f t="shared" si="23"/>
        <v>28553581.693108812</v>
      </c>
    </row>
    <row r="105" spans="1:12" ht="14.5" customHeight="1" outlineLevel="1">
      <c r="A105" s="66">
        <v>95</v>
      </c>
      <c r="B105" s="69">
        <v>45901</v>
      </c>
      <c r="C105" s="70"/>
      <c r="D105" s="70">
        <f t="shared" ref="D105:D131" si="26">$D$4</f>
        <v>1128292.4667885939</v>
      </c>
      <c r="E105" s="71">
        <f t="shared" si="22"/>
        <v>-1128292.4667885939</v>
      </c>
      <c r="F105" s="71"/>
      <c r="G105" s="71">
        <f t="shared" ref="G105:G131" si="27">-AVERAGE(G$11:G$71)</f>
        <v>171377.68749500022</v>
      </c>
      <c r="H105" s="71">
        <f t="shared" si="24"/>
        <v>-4500046.3748687021</v>
      </c>
      <c r="I105" s="72">
        <f t="shared" si="25"/>
        <v>23076894.552406747</v>
      </c>
      <c r="J105" s="70"/>
      <c r="K105" s="70">
        <f t="shared" ref="K105:K131" si="28">(L104+H104)*$D$3</f>
        <v>151651.70095523147</v>
      </c>
      <c r="L105" s="71">
        <f t="shared" si="23"/>
        <v>27576940.927275449</v>
      </c>
    </row>
    <row r="106" spans="1:12" ht="14.5" customHeight="1" outlineLevel="1">
      <c r="A106" s="66">
        <v>96</v>
      </c>
      <c r="B106" s="69">
        <v>45931</v>
      </c>
      <c r="C106" s="70"/>
      <c r="D106" s="70">
        <f t="shared" si="26"/>
        <v>1128292.4667885939</v>
      </c>
      <c r="E106" s="71">
        <f t="shared" si="22"/>
        <v>-1128292.4667885939</v>
      </c>
      <c r="F106" s="71"/>
      <c r="G106" s="71">
        <f t="shared" si="27"/>
        <v>171377.68749500022</v>
      </c>
      <c r="H106" s="71">
        <f t="shared" si="24"/>
        <v>-4328668.6873737015</v>
      </c>
      <c r="I106" s="72">
        <f t="shared" si="25"/>
        <v>22266518.053520937</v>
      </c>
      <c r="J106" s="70"/>
      <c r="K106" s="70">
        <f t="shared" si="28"/>
        <v>146538.28040778285</v>
      </c>
      <c r="L106" s="71">
        <f t="shared" si="23"/>
        <v>26595186.740894638</v>
      </c>
    </row>
    <row r="107" spans="1:12" ht="14.5" customHeight="1" outlineLevel="1">
      <c r="A107" s="66">
        <v>97</v>
      </c>
      <c r="B107" s="69">
        <v>45962</v>
      </c>
      <c r="C107" s="70"/>
      <c r="D107" s="70">
        <f t="shared" si="26"/>
        <v>1128292.4667885939</v>
      </c>
      <c r="E107" s="71">
        <f t="shared" si="22"/>
        <v>-1128292.4667885939</v>
      </c>
      <c r="F107" s="71"/>
      <c r="G107" s="71">
        <f t="shared" si="27"/>
        <v>171377.68749500022</v>
      </c>
      <c r="H107" s="71">
        <f t="shared" si="24"/>
        <v>-4157290.9998787013</v>
      </c>
      <c r="I107" s="72">
        <f t="shared" si="25"/>
        <v>21450995.663867202</v>
      </c>
      <c r="J107" s="70"/>
      <c r="K107" s="70">
        <f t="shared" si="28"/>
        <v>141392.38963985795</v>
      </c>
      <c r="L107" s="71">
        <f t="shared" si="23"/>
        <v>25608286.663745902</v>
      </c>
    </row>
    <row r="108" spans="1:12" ht="14.5" customHeight="1" outlineLevel="1">
      <c r="A108" s="66">
        <v>98</v>
      </c>
      <c r="B108" s="69">
        <v>45992</v>
      </c>
      <c r="C108" s="70"/>
      <c r="D108" s="70">
        <f t="shared" si="26"/>
        <v>1128292.4667885939</v>
      </c>
      <c r="E108" s="71">
        <f t="shared" si="22"/>
        <v>-1128292.4667885939</v>
      </c>
      <c r="F108" s="71"/>
      <c r="G108" s="71">
        <f t="shared" si="27"/>
        <v>171377.68749500022</v>
      </c>
      <c r="H108" s="71">
        <f t="shared" si="24"/>
        <v>-3985913.3123837011</v>
      </c>
      <c r="I108" s="72">
        <f t="shared" si="25"/>
        <v>20630294.707039166</v>
      </c>
      <c r="J108" s="70"/>
      <c r="K108" s="70">
        <f t="shared" si="28"/>
        <v>136213.82246555673</v>
      </c>
      <c r="L108" s="71">
        <f t="shared" si="23"/>
        <v>24616208.019422866</v>
      </c>
    </row>
    <row r="109" spans="1:12" ht="14.5" customHeight="1" outlineLevel="1">
      <c r="A109" s="66">
        <v>99</v>
      </c>
      <c r="B109" s="69">
        <v>46023</v>
      </c>
      <c r="C109" s="70"/>
      <c r="D109" s="70">
        <f t="shared" si="26"/>
        <v>1128292.4667885939</v>
      </c>
      <c r="E109" s="71">
        <f t="shared" si="22"/>
        <v>-1128292.4667885939</v>
      </c>
      <c r="F109" s="71"/>
      <c r="G109" s="71">
        <f t="shared" si="27"/>
        <v>171377.68749500022</v>
      </c>
      <c r="H109" s="71">
        <f t="shared" si="24"/>
        <v>-3814535.6248887009</v>
      </c>
      <c r="I109" s="72">
        <f t="shared" si="25"/>
        <v>19804382.299135271</v>
      </c>
      <c r="J109" s="70"/>
      <c r="K109" s="70">
        <f t="shared" si="28"/>
        <v>131002.37138969872</v>
      </c>
      <c r="L109" s="71">
        <f t="shared" si="23"/>
        <v>23618917.924023971</v>
      </c>
    </row>
    <row r="110" spans="1:12" ht="14.5" customHeight="1" outlineLevel="1">
      <c r="A110" s="66">
        <v>100</v>
      </c>
      <c r="B110" s="69">
        <v>46054</v>
      </c>
      <c r="C110" s="70"/>
      <c r="D110" s="70">
        <f t="shared" si="26"/>
        <v>1128292.4667885939</v>
      </c>
      <c r="E110" s="71">
        <f t="shared" si="22"/>
        <v>-1128292.4667885939</v>
      </c>
      <c r="F110" s="71"/>
      <c r="G110" s="71">
        <f t="shared" si="27"/>
        <v>171377.68749500022</v>
      </c>
      <c r="H110" s="71">
        <f t="shared" si="24"/>
        <v>-3643157.9373937007</v>
      </c>
      <c r="I110" s="72">
        <f t="shared" si="25"/>
        <v>18973225.347441189</v>
      </c>
      <c r="J110" s="70"/>
      <c r="K110" s="70">
        <f t="shared" si="28"/>
        <v>125757.82759950898</v>
      </c>
      <c r="L110" s="71">
        <f t="shared" si="23"/>
        <v>22616383.284834888</v>
      </c>
    </row>
    <row r="111" spans="1:12" ht="14.5" customHeight="1" outlineLevel="1">
      <c r="A111" s="66">
        <v>101</v>
      </c>
      <c r="B111" s="69">
        <v>46082</v>
      </c>
      <c r="C111" s="70"/>
      <c r="D111" s="70">
        <f t="shared" si="26"/>
        <v>1128292.4667885939</v>
      </c>
      <c r="E111" s="71">
        <f t="shared" si="22"/>
        <v>-1128292.4667885939</v>
      </c>
      <c r="F111" s="71"/>
      <c r="G111" s="71">
        <f t="shared" si="27"/>
        <v>171377.68749500022</v>
      </c>
      <c r="H111" s="71">
        <f t="shared" si="24"/>
        <v>-3471780.2498987005</v>
      </c>
      <c r="I111" s="72">
        <f t="shared" si="25"/>
        <v>18136790.549103845</v>
      </c>
      <c r="J111" s="70"/>
      <c r="K111" s="70">
        <f t="shared" si="28"/>
        <v>120479.98095625156</v>
      </c>
      <c r="L111" s="71">
        <f t="shared" si="23"/>
        <v>21608570.799002547</v>
      </c>
    </row>
    <row r="112" spans="1:12" ht="14.5" customHeight="1" outlineLevel="1">
      <c r="A112" s="66">
        <v>102</v>
      </c>
      <c r="B112" s="69">
        <v>46113</v>
      </c>
      <c r="C112" s="70"/>
      <c r="D112" s="70">
        <f t="shared" si="26"/>
        <v>1128292.4667885939</v>
      </c>
      <c r="E112" s="71">
        <f t="shared" ref="E112:E132" si="29">C112-D112</f>
        <v>-1128292.4667885939</v>
      </c>
      <c r="F112" s="71"/>
      <c r="G112" s="71">
        <f t="shared" si="27"/>
        <v>171377.68749500022</v>
      </c>
      <c r="H112" s="71">
        <f t="shared" si="24"/>
        <v>-3300402.5624037003</v>
      </c>
      <c r="I112" s="72">
        <f t="shared" si="25"/>
        <v>17295044.389797062</v>
      </c>
      <c r="J112" s="70"/>
      <c r="K112" s="70">
        <f t="shared" si="28"/>
        <v>115168.61998680943</v>
      </c>
      <c r="L112" s="71">
        <f t="shared" ref="L112:L132" si="30">L111+E112+J112+K112</f>
        <v>20595446.952200763</v>
      </c>
    </row>
    <row r="113" spans="1:12" ht="14.5" customHeight="1" outlineLevel="1">
      <c r="A113" s="66">
        <v>103</v>
      </c>
      <c r="B113" s="69">
        <v>46143</v>
      </c>
      <c r="C113" s="70"/>
      <c r="D113" s="70">
        <f t="shared" si="26"/>
        <v>1128292.4667885939</v>
      </c>
      <c r="E113" s="71">
        <f t="shared" si="29"/>
        <v>-1128292.4667885939</v>
      </c>
      <c r="F113" s="71"/>
      <c r="G113" s="71">
        <f t="shared" si="27"/>
        <v>171377.68749500022</v>
      </c>
      <c r="H113" s="71">
        <f t="shared" ref="H113:H132" si="31">G113+H112</f>
        <v>-3129024.8749087001</v>
      </c>
      <c r="I113" s="72">
        <f t="shared" si="25"/>
        <v>16447953.14237868</v>
      </c>
      <c r="J113" s="70"/>
      <c r="K113" s="70">
        <f t="shared" si="28"/>
        <v>109823.53187521135</v>
      </c>
      <c r="L113" s="71">
        <f t="shared" si="30"/>
        <v>19576978.017287381</v>
      </c>
    </row>
    <row r="114" spans="1:12" ht="14.5" customHeight="1" outlineLevel="1">
      <c r="A114" s="66">
        <v>104</v>
      </c>
      <c r="B114" s="69">
        <v>46174</v>
      </c>
      <c r="C114" s="70"/>
      <c r="D114" s="70">
        <f t="shared" si="26"/>
        <v>1128292.4667885939</v>
      </c>
      <c r="E114" s="71">
        <f t="shared" si="29"/>
        <v>-1128292.4667885939</v>
      </c>
      <c r="F114" s="71"/>
      <c r="G114" s="71">
        <f t="shared" si="27"/>
        <v>171377.68749500022</v>
      </c>
      <c r="H114" s="71">
        <f t="shared" si="31"/>
        <v>-2957647.1874136999</v>
      </c>
      <c r="I114" s="72">
        <f t="shared" si="25"/>
        <v>15595482.865539193</v>
      </c>
      <c r="J114" s="70"/>
      <c r="K114" s="70">
        <f t="shared" si="28"/>
        <v>104444.50245410463</v>
      </c>
      <c r="L114" s="71">
        <f t="shared" si="30"/>
        <v>18553130.052952893</v>
      </c>
    </row>
    <row r="115" spans="1:12" ht="14.5" customHeight="1" outlineLevel="1">
      <c r="A115" s="66">
        <v>105</v>
      </c>
      <c r="B115" s="69">
        <v>46204</v>
      </c>
      <c r="C115" s="70"/>
      <c r="D115" s="70">
        <f t="shared" si="26"/>
        <v>1128292.4667885939</v>
      </c>
      <c r="E115" s="71">
        <f t="shared" si="29"/>
        <v>-1128292.4667885939</v>
      </c>
      <c r="F115" s="71"/>
      <c r="G115" s="71">
        <f t="shared" si="27"/>
        <v>171377.68749500022</v>
      </c>
      <c r="H115" s="71">
        <f t="shared" si="31"/>
        <v>-2786269.4999186997</v>
      </c>
      <c r="I115" s="72">
        <f t="shared" si="25"/>
        <v>14737599.402441774</v>
      </c>
      <c r="J115" s="70"/>
      <c r="K115" s="70">
        <f t="shared" si="28"/>
        <v>99031.316196173881</v>
      </c>
      <c r="L115" s="71">
        <f t="shared" si="30"/>
        <v>17523868.902360473</v>
      </c>
    </row>
    <row r="116" spans="1:12" ht="14.5" customHeight="1" outlineLevel="1">
      <c r="A116" s="66">
        <v>106</v>
      </c>
      <c r="B116" s="69">
        <v>46235</v>
      </c>
      <c r="C116" s="70"/>
      <c r="D116" s="70">
        <f t="shared" si="26"/>
        <v>1128292.4667885939</v>
      </c>
      <c r="E116" s="71">
        <f t="shared" si="29"/>
        <v>-1128292.4667885939</v>
      </c>
      <c r="F116" s="71"/>
      <c r="G116" s="71">
        <f t="shared" si="27"/>
        <v>171377.68749500022</v>
      </c>
      <c r="H116" s="71">
        <f t="shared" si="31"/>
        <v>-2614891.8124236995</v>
      </c>
      <c r="I116" s="72">
        <f t="shared" si="25"/>
        <v>13874268.379353683</v>
      </c>
      <c r="J116" s="70"/>
      <c r="K116" s="70">
        <f t="shared" si="28"/>
        <v>93583.756205505269</v>
      </c>
      <c r="L116" s="71">
        <f t="shared" si="30"/>
        <v>16489160.191777384</v>
      </c>
    </row>
    <row r="117" spans="1:12" ht="14.5" customHeight="1" outlineLevel="1">
      <c r="A117" s="66">
        <v>107</v>
      </c>
      <c r="B117" s="69">
        <v>46266</v>
      </c>
      <c r="C117" s="70"/>
      <c r="D117" s="70">
        <f t="shared" si="26"/>
        <v>1128292.4667885939</v>
      </c>
      <c r="E117" s="71">
        <f t="shared" si="29"/>
        <v>-1128292.4667885939</v>
      </c>
      <c r="F117" s="71"/>
      <c r="G117" s="71">
        <f t="shared" si="27"/>
        <v>171377.68749500022</v>
      </c>
      <c r="H117" s="71">
        <f t="shared" si="31"/>
        <v>-2443514.1249286993</v>
      </c>
      <c r="I117" s="72">
        <f t="shared" si="25"/>
        <v>13005455.204268986</v>
      </c>
      <c r="J117" s="70"/>
      <c r="K117" s="70">
        <f t="shared" si="28"/>
        <v>88101.604208895893</v>
      </c>
      <c r="L117" s="71">
        <f t="shared" si="30"/>
        <v>15448969.329197686</v>
      </c>
    </row>
    <row r="118" spans="1:12" ht="14.5" customHeight="1" outlineLevel="1">
      <c r="A118" s="66">
        <v>108</v>
      </c>
      <c r="B118" s="69">
        <v>46296</v>
      </c>
      <c r="C118" s="70"/>
      <c r="D118" s="70">
        <f t="shared" si="26"/>
        <v>1128292.4667885939</v>
      </c>
      <c r="E118" s="71">
        <f t="shared" si="29"/>
        <v>-1128292.4667885939</v>
      </c>
      <c r="F118" s="71"/>
      <c r="G118" s="71">
        <f t="shared" si="27"/>
        <v>171377.68749500022</v>
      </c>
      <c r="H118" s="71">
        <f t="shared" si="31"/>
        <v>-2272136.4374336991</v>
      </c>
      <c r="I118" s="72">
        <f t="shared" si="25"/>
        <v>12131125.065522501</v>
      </c>
      <c r="J118" s="70"/>
      <c r="K118" s="70">
        <f t="shared" si="28"/>
        <v>82584.640547108065</v>
      </c>
      <c r="L118" s="71">
        <f t="shared" si="30"/>
        <v>14403261.5029562</v>
      </c>
    </row>
    <row r="119" spans="1:12" ht="14.5" customHeight="1" outlineLevel="1">
      <c r="A119" s="66">
        <v>109</v>
      </c>
      <c r="B119" s="69">
        <v>46327</v>
      </c>
      <c r="C119" s="70"/>
      <c r="D119" s="70">
        <f t="shared" si="26"/>
        <v>1128292.4667885939</v>
      </c>
      <c r="E119" s="71">
        <f t="shared" si="29"/>
        <v>-1128292.4667885939</v>
      </c>
      <c r="F119" s="71"/>
      <c r="G119" s="71">
        <f t="shared" si="27"/>
        <v>171377.68749500022</v>
      </c>
      <c r="H119" s="71">
        <f t="shared" si="31"/>
        <v>-2100758.749938699</v>
      </c>
      <c r="I119" s="72">
        <f t="shared" si="25"/>
        <v>11251242.930394975</v>
      </c>
      <c r="J119" s="70"/>
      <c r="K119" s="70">
        <f t="shared" si="28"/>
        <v>77032.644166067897</v>
      </c>
      <c r="L119" s="71">
        <f t="shared" si="30"/>
        <v>13352001.680333674</v>
      </c>
    </row>
    <row r="120" spans="1:12" ht="14.5" customHeight="1" outlineLevel="1">
      <c r="A120" s="66">
        <v>110</v>
      </c>
      <c r="B120" s="69">
        <v>46357</v>
      </c>
      <c r="C120" s="70"/>
      <c r="D120" s="70">
        <f t="shared" si="26"/>
        <v>1128292.4667885939</v>
      </c>
      <c r="E120" s="71">
        <f t="shared" si="29"/>
        <v>-1128292.4667885939</v>
      </c>
      <c r="F120" s="71"/>
      <c r="G120" s="71">
        <f t="shared" si="27"/>
        <v>171377.68749500022</v>
      </c>
      <c r="H120" s="71">
        <f t="shared" si="31"/>
        <v>-1929381.0624436988</v>
      </c>
      <c r="I120" s="72">
        <f t="shared" si="25"/>
        <v>10365773.54370939</v>
      </c>
      <c r="J120" s="70"/>
      <c r="K120" s="70">
        <f t="shared" si="28"/>
        <v>71445.3926080081</v>
      </c>
      <c r="L120" s="71">
        <f t="shared" si="30"/>
        <v>12295154.606153088</v>
      </c>
    </row>
    <row r="121" spans="1:12" ht="14.5" customHeight="1" outlineLevel="1">
      <c r="A121" s="66">
        <v>111</v>
      </c>
      <c r="B121" s="69">
        <v>46388</v>
      </c>
      <c r="C121" s="70"/>
      <c r="D121" s="70">
        <f t="shared" si="26"/>
        <v>1128292.4667885939</v>
      </c>
      <c r="E121" s="71">
        <f t="shared" si="29"/>
        <v>-1128292.4667885939</v>
      </c>
      <c r="F121" s="71"/>
      <c r="G121" s="71">
        <f t="shared" si="27"/>
        <v>171377.68749500022</v>
      </c>
      <c r="H121" s="71">
        <f t="shared" si="31"/>
        <v>-1758003.3749486986</v>
      </c>
      <c r="I121" s="72">
        <f t="shared" si="25"/>
        <v>9474681.4264183491</v>
      </c>
      <c r="J121" s="70"/>
      <c r="K121" s="70">
        <f t="shared" si="28"/>
        <v>65822.662002554629</v>
      </c>
      <c r="L121" s="71">
        <f t="shared" si="30"/>
        <v>11232684.801367048</v>
      </c>
    </row>
    <row r="122" spans="1:12" ht="14.5" customHeight="1" outlineLevel="1">
      <c r="A122" s="66">
        <v>112</v>
      </c>
      <c r="B122" s="69">
        <v>46419</v>
      </c>
      <c r="C122" s="70"/>
      <c r="D122" s="70">
        <f t="shared" si="26"/>
        <v>1128292.4667885939</v>
      </c>
      <c r="E122" s="71">
        <f t="shared" si="29"/>
        <v>-1128292.4667885939</v>
      </c>
      <c r="F122" s="71"/>
      <c r="G122" s="71">
        <f t="shared" si="27"/>
        <v>171377.68749500022</v>
      </c>
      <c r="H122" s="71">
        <f t="shared" si="31"/>
        <v>-1586625.6874536984</v>
      </c>
      <c r="I122" s="72">
        <f t="shared" si="25"/>
        <v>8577930.874182513</v>
      </c>
      <c r="J122" s="70"/>
      <c r="K122" s="70">
        <f t="shared" si="28"/>
        <v>60164.227057756521</v>
      </c>
      <c r="L122" s="71">
        <f t="shared" si="30"/>
        <v>10164556.561636211</v>
      </c>
    </row>
    <row r="123" spans="1:12" ht="14.5" customHeight="1" outlineLevel="1">
      <c r="A123" s="66">
        <v>113</v>
      </c>
      <c r="B123" s="69">
        <v>46447</v>
      </c>
      <c r="C123" s="70"/>
      <c r="D123" s="70">
        <f t="shared" si="26"/>
        <v>1128292.4667885939</v>
      </c>
      <c r="E123" s="71">
        <f t="shared" si="29"/>
        <v>-1128292.4667885939</v>
      </c>
      <c r="F123" s="71"/>
      <c r="G123" s="71">
        <f t="shared" si="27"/>
        <v>171377.68749500022</v>
      </c>
      <c r="H123" s="71">
        <f t="shared" si="31"/>
        <v>-1415247.9999586982</v>
      </c>
      <c r="I123" s="72">
        <f t="shared" si="25"/>
        <v>7675485.9559399784</v>
      </c>
      <c r="J123" s="70"/>
      <c r="K123" s="70">
        <f t="shared" si="28"/>
        <v>54469.861051058964</v>
      </c>
      <c r="L123" s="71">
        <f t="shared" si="30"/>
        <v>9090733.9558986761</v>
      </c>
    </row>
    <row r="124" spans="1:12" ht="14.5" customHeight="1" outlineLevel="1">
      <c r="A124" s="66">
        <v>114</v>
      </c>
      <c r="B124" s="69">
        <v>46478</v>
      </c>
      <c r="C124" s="70"/>
      <c r="D124" s="70">
        <f t="shared" si="26"/>
        <v>1128292.4667885939</v>
      </c>
      <c r="E124" s="71">
        <f t="shared" si="29"/>
        <v>-1128292.4667885939</v>
      </c>
      <c r="F124" s="71"/>
      <c r="G124" s="71">
        <f t="shared" si="27"/>
        <v>171377.68749500022</v>
      </c>
      <c r="H124" s="71">
        <f t="shared" si="31"/>
        <v>-1243870.312463698</v>
      </c>
      <c r="I124" s="72">
        <f t="shared" si="25"/>
        <v>6767310.512466603</v>
      </c>
      <c r="J124" s="70"/>
      <c r="K124" s="70">
        <f t="shared" si="28"/>
        <v>48739.335820218868</v>
      </c>
      <c r="L124" s="71">
        <f t="shared" si="30"/>
        <v>8011180.8249303009</v>
      </c>
    </row>
    <row r="125" spans="1:12" ht="14.5" customHeight="1" outlineLevel="1">
      <c r="A125" s="66">
        <v>115</v>
      </c>
      <c r="B125" s="69">
        <v>46508</v>
      </c>
      <c r="C125" s="70"/>
      <c r="D125" s="70">
        <f t="shared" si="26"/>
        <v>1128292.4667885939</v>
      </c>
      <c r="E125" s="71">
        <f t="shared" si="29"/>
        <v>-1128292.4667885939</v>
      </c>
      <c r="F125" s="71"/>
      <c r="G125" s="71">
        <f t="shared" si="27"/>
        <v>171377.68749500022</v>
      </c>
      <c r="H125" s="71">
        <f t="shared" si="31"/>
        <v>-1072492.6249686978</v>
      </c>
      <c r="I125" s="72">
        <f t="shared" si="25"/>
        <v>5853368.1549271718</v>
      </c>
      <c r="J125" s="70"/>
      <c r="K125" s="70">
        <f t="shared" si="28"/>
        <v>42972.421754162933</v>
      </c>
      <c r="L125" s="71">
        <f t="shared" si="30"/>
        <v>6925860.77989587</v>
      </c>
    </row>
    <row r="126" spans="1:12" ht="14.5" customHeight="1" outlineLevel="1">
      <c r="A126" s="66">
        <v>116</v>
      </c>
      <c r="B126" s="69">
        <v>46539</v>
      </c>
      <c r="C126" s="70"/>
      <c r="D126" s="70">
        <f t="shared" si="26"/>
        <v>1128292.4667885939</v>
      </c>
      <c r="E126" s="71">
        <f t="shared" si="29"/>
        <v>-1128292.4667885939</v>
      </c>
      <c r="F126" s="71"/>
      <c r="G126" s="71">
        <f t="shared" si="27"/>
        <v>171377.68749500022</v>
      </c>
      <c r="H126" s="71">
        <f t="shared" si="31"/>
        <v>-901114.93747369759</v>
      </c>
      <c r="I126" s="72">
        <f t="shared" si="25"/>
        <v>4933622.263417366</v>
      </c>
      <c r="J126" s="70"/>
      <c r="K126" s="70">
        <f t="shared" si="28"/>
        <v>37168.887783787541</v>
      </c>
      <c r="L126" s="71">
        <f t="shared" si="30"/>
        <v>5834737.2008910635</v>
      </c>
    </row>
    <row r="127" spans="1:12" ht="14.5" customHeight="1" outlineLevel="1">
      <c r="A127" s="66">
        <v>117</v>
      </c>
      <c r="B127" s="69">
        <v>46569</v>
      </c>
      <c r="C127" s="70"/>
      <c r="D127" s="70">
        <f t="shared" si="26"/>
        <v>1128292.4667885939</v>
      </c>
      <c r="E127" s="71">
        <f t="shared" si="29"/>
        <v>-1128292.4667885939</v>
      </c>
      <c r="F127" s="71"/>
      <c r="G127" s="71">
        <f t="shared" si="27"/>
        <v>171377.68749500022</v>
      </c>
      <c r="H127" s="71">
        <f t="shared" si="31"/>
        <v>-729737.24997869739</v>
      </c>
      <c r="I127" s="72">
        <f t="shared" si="25"/>
        <v>4008035.985496473</v>
      </c>
      <c r="J127" s="70"/>
      <c r="K127" s="70">
        <f t="shared" si="28"/>
        <v>31328.501372700277</v>
      </c>
      <c r="L127" s="71">
        <f t="shared" si="30"/>
        <v>4737773.2354751704</v>
      </c>
    </row>
    <row r="128" spans="1:12" ht="14.5" customHeight="1" outlineLevel="1">
      <c r="A128" s="66">
        <v>118</v>
      </c>
      <c r="B128" s="69">
        <v>46600</v>
      </c>
      <c r="C128" s="70"/>
      <c r="D128" s="70">
        <f t="shared" si="26"/>
        <v>1128292.4667885939</v>
      </c>
      <c r="E128" s="71">
        <f t="shared" si="29"/>
        <v>-1128292.4667885939</v>
      </c>
      <c r="F128" s="71"/>
      <c r="G128" s="71">
        <f t="shared" si="27"/>
        <v>171377.68749500022</v>
      </c>
      <c r="H128" s="71">
        <f t="shared" si="31"/>
        <v>-558359.5624836972</v>
      </c>
      <c r="I128" s="72">
        <f t="shared" si="25"/>
        <v>3076572.2347107823</v>
      </c>
      <c r="J128" s="70"/>
      <c r="K128" s="70">
        <f t="shared" si="28"/>
        <v>25451.028507902607</v>
      </c>
      <c r="L128" s="71">
        <f t="shared" si="30"/>
        <v>3634931.7971944795</v>
      </c>
    </row>
    <row r="129" spans="1:12" ht="14.5" customHeight="1" outlineLevel="1">
      <c r="A129" s="66">
        <v>119</v>
      </c>
      <c r="B129" s="69">
        <v>46631</v>
      </c>
      <c r="C129" s="70"/>
      <c r="D129" s="70">
        <f t="shared" si="26"/>
        <v>1128292.4667885939</v>
      </c>
      <c r="E129" s="71">
        <f t="shared" si="29"/>
        <v>-1128292.4667885939</v>
      </c>
      <c r="F129" s="71"/>
      <c r="G129" s="71">
        <f t="shared" si="27"/>
        <v>171377.68749500022</v>
      </c>
      <c r="H129" s="71">
        <f t="shared" si="31"/>
        <v>-386981.874988697</v>
      </c>
      <c r="I129" s="72">
        <f t="shared" si="25"/>
        <v>2139193.689107602</v>
      </c>
      <c r="J129" s="70"/>
      <c r="K129" s="70">
        <f t="shared" si="28"/>
        <v>19536.233690413468</v>
      </c>
      <c r="L129" s="71">
        <f t="shared" si="30"/>
        <v>2526175.564096299</v>
      </c>
    </row>
    <row r="130" spans="1:12" ht="14.5" customHeight="1" outlineLevel="1">
      <c r="A130" s="66">
        <v>120</v>
      </c>
      <c r="B130" s="69">
        <v>46661</v>
      </c>
      <c r="C130" s="70"/>
      <c r="D130" s="70">
        <f t="shared" si="26"/>
        <v>1128292.4667885939</v>
      </c>
      <c r="E130" s="71">
        <f t="shared" si="29"/>
        <v>-1128292.4667885939</v>
      </c>
      <c r="F130" s="71"/>
      <c r="G130" s="71">
        <f t="shared" si="27"/>
        <v>171377.68749500022</v>
      </c>
      <c r="H130" s="71">
        <f t="shared" si="31"/>
        <v>-215604.18749369678</v>
      </c>
      <c r="I130" s="72">
        <f t="shared" si="25"/>
        <v>1195862.7897398416</v>
      </c>
      <c r="J130" s="70"/>
      <c r="K130" s="70">
        <f t="shared" si="28"/>
        <v>13583.879925833275</v>
      </c>
      <c r="L130" s="71">
        <f t="shared" si="30"/>
        <v>1411466.9772335384</v>
      </c>
    </row>
    <row r="131" spans="1:12" ht="14.5" customHeight="1" outlineLevel="1">
      <c r="A131" s="66">
        <v>121</v>
      </c>
      <c r="B131" s="69">
        <v>46692</v>
      </c>
      <c r="C131" s="70"/>
      <c r="D131" s="70">
        <f t="shared" si="26"/>
        <v>1128292.4667885939</v>
      </c>
      <c r="E131" s="71">
        <f t="shared" si="29"/>
        <v>-1128292.4667885939</v>
      </c>
      <c r="F131" s="71"/>
      <c r="G131" s="71">
        <f t="shared" si="27"/>
        <v>171377.68749500022</v>
      </c>
      <c r="H131" s="71">
        <f t="shared" si="31"/>
        <v>-44226.499998696556</v>
      </c>
      <c r="I131" s="72">
        <f t="shared" si="25"/>
        <v>246541.73916109593</v>
      </c>
      <c r="J131" s="70"/>
      <c r="K131" s="70">
        <f t="shared" si="28"/>
        <v>7593.7287148479945</v>
      </c>
      <c r="L131" s="71">
        <f t="shared" si="30"/>
        <v>290768.23915979249</v>
      </c>
    </row>
    <row r="132" spans="1:12" ht="14.5" customHeight="1" outlineLevel="1">
      <c r="A132" s="66">
        <v>122</v>
      </c>
      <c r="B132" s="75" t="s">
        <v>92</v>
      </c>
      <c r="C132" s="70"/>
      <c r="D132" s="70">
        <f>$D$4*8/31</f>
        <v>291172.24949383066</v>
      </c>
      <c r="E132" s="71">
        <f t="shared" si="29"/>
        <v>-291172.24949383066</v>
      </c>
      <c r="F132" s="71"/>
      <c r="G132" s="71">
        <f>-AVERAGE(G$11:G$71)*8/31</f>
        <v>44226.499998709733</v>
      </c>
      <c r="H132" s="71">
        <f t="shared" si="31"/>
        <v>1.3176759239286184E-8</v>
      </c>
      <c r="I132" s="72">
        <f t="shared" si="25"/>
        <v>-1.739126105348987E-7</v>
      </c>
      <c r="J132" s="70"/>
      <c r="K132" s="70">
        <f>(L131+H131)*$D$3*8/31</f>
        <v>404.01033385108627</v>
      </c>
      <c r="L132" s="71">
        <f t="shared" si="30"/>
        <v>-1.8708936977418489E-7</v>
      </c>
    </row>
    <row r="133" spans="1:12">
      <c r="B133" s="52" t="s">
        <v>93</v>
      </c>
      <c r="C133" s="71">
        <f>SUM(C10:C132)</f>
        <v>48965053.569999903</v>
      </c>
      <c r="D133" s="71">
        <f>SUM(D10:D132)</f>
        <v>67697548.00731574</v>
      </c>
      <c r="E133" s="71">
        <f>SUM(E10:E132)</f>
        <v>-18732494.437315762</v>
      </c>
      <c r="F133" s="71"/>
      <c r="G133" s="71">
        <f>SUM(G10:G132)</f>
        <v>1.3176759239286184E-8</v>
      </c>
      <c r="H133" s="71"/>
      <c r="I133" s="71"/>
      <c r="J133" s="71">
        <f>SUM(J10:J132)</f>
        <v>8937894.6100000031</v>
      </c>
      <c r="K133" s="71">
        <f>SUM(K10:K132)</f>
        <v>9794599.8273156211</v>
      </c>
      <c r="L133" s="71"/>
    </row>
  </sheetData>
  <mergeCells count="1">
    <mergeCell ref="C8:G8"/>
  </mergeCells>
  <pageMargins left="0.25" right="0.25" top="0.25" bottom="0.25" header="0.25" footer="0.25"/>
  <pageSetup scale="62" firstPageNumber="6" fitToHeight="100" orientation="portrait" useFirstPageNumber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D7" sqref="D7"/>
    </sheetView>
  </sheetViews>
  <sheetFormatPr defaultColWidth="9.1796875" defaultRowHeight="13"/>
  <cols>
    <col min="1" max="1" width="5.7265625" style="7" customWidth="1"/>
    <col min="2" max="2" width="11.81640625" style="9" customWidth="1"/>
    <col min="3" max="3" width="45.7265625" style="9" customWidth="1"/>
    <col min="4" max="4" width="18" style="9" customWidth="1"/>
    <col min="5" max="5" width="15.26953125" style="9" bestFit="1" customWidth="1"/>
    <col min="6" max="6" width="59.453125" style="9" customWidth="1"/>
    <col min="7" max="7" width="15.81640625" style="9" bestFit="1" customWidth="1"/>
    <col min="8" max="16384" width="9.1796875" style="9"/>
  </cols>
  <sheetData>
    <row r="1" spans="1:7">
      <c r="B1" s="8" t="s">
        <v>17</v>
      </c>
    </row>
    <row r="2" spans="1:7">
      <c r="B2" s="8" t="s">
        <v>18</v>
      </c>
    </row>
    <row r="3" spans="1:7">
      <c r="B3" s="10"/>
    </row>
    <row r="4" spans="1:7">
      <c r="B4" s="8"/>
    </row>
    <row r="5" spans="1:7">
      <c r="B5" s="8"/>
    </row>
    <row r="6" spans="1:7">
      <c r="A6" s="11">
        <v>-1</v>
      </c>
      <c r="B6" s="8" t="s">
        <v>19</v>
      </c>
    </row>
    <row r="7" spans="1:7">
      <c r="A7" s="11"/>
      <c r="B7" s="8"/>
      <c r="C7" s="9" t="s">
        <v>20</v>
      </c>
      <c r="D7" s="12">
        <f>40831141.1112951/1000</f>
        <v>40831.141111295095</v>
      </c>
      <c r="E7" s="13"/>
      <c r="G7" s="13">
        <f>D7*1000</f>
        <v>40831141.111295097</v>
      </c>
    </row>
    <row r="8" spans="1:7">
      <c r="A8" s="11"/>
      <c r="B8" s="8"/>
    </row>
    <row r="9" spans="1:7">
      <c r="B9" s="8"/>
    </row>
    <row r="10" spans="1:7">
      <c r="B10" s="8"/>
    </row>
    <row r="11" spans="1:7">
      <c r="A11" s="11">
        <f>A6-1</f>
        <v>-2</v>
      </c>
      <c r="B11" s="8" t="s">
        <v>21</v>
      </c>
      <c r="D11" s="14"/>
    </row>
    <row r="12" spans="1:7">
      <c r="A12" s="11"/>
      <c r="B12" s="8"/>
      <c r="D12" s="118" t="s">
        <v>22</v>
      </c>
      <c r="E12" s="118"/>
    </row>
    <row r="13" spans="1:7" ht="13.5">
      <c r="C13" s="15" t="s">
        <v>23</v>
      </c>
      <c r="D13" s="15" t="s">
        <v>24</v>
      </c>
      <c r="E13" s="15" t="s">
        <v>25</v>
      </c>
      <c r="F13" s="15" t="s">
        <v>26</v>
      </c>
      <c r="G13" s="15"/>
    </row>
    <row r="14" spans="1:7" s="18" customFormat="1" ht="26">
      <c r="A14" s="16"/>
      <c r="B14" s="17" t="s">
        <v>27</v>
      </c>
      <c r="C14" s="18" t="s">
        <v>28</v>
      </c>
      <c r="D14" s="19">
        <f>65090127.303/1000</f>
        <v>65090.127303000001</v>
      </c>
      <c r="E14" s="19" t="s">
        <v>29</v>
      </c>
      <c r="F14" s="20" t="s">
        <v>30</v>
      </c>
    </row>
    <row r="15" spans="1:7" s="18" customFormat="1" ht="26">
      <c r="A15" s="16"/>
      <c r="B15" s="17" t="s">
        <v>31</v>
      </c>
      <c r="C15" s="21" t="s">
        <v>32</v>
      </c>
      <c r="D15" s="22">
        <f>881014063.745/1000</f>
        <v>881014.06374500005</v>
      </c>
      <c r="E15" s="22" t="s">
        <v>29</v>
      </c>
      <c r="F15" s="20" t="s">
        <v>30</v>
      </c>
    </row>
    <row r="16" spans="1:7">
      <c r="B16" s="23" t="s">
        <v>33</v>
      </c>
      <c r="C16" s="9" t="s">
        <v>34</v>
      </c>
      <c r="D16" s="24">
        <f>D14/D15</f>
        <v>7.3880917435433388E-2</v>
      </c>
      <c r="E16" s="24" t="s">
        <v>29</v>
      </c>
      <c r="F16" s="9" t="s">
        <v>23</v>
      </c>
    </row>
    <row r="17" spans="1:7">
      <c r="B17" s="23"/>
      <c r="D17" s="25"/>
      <c r="E17" s="25"/>
    </row>
    <row r="18" spans="1:7">
      <c r="B18" s="23" t="s">
        <v>35</v>
      </c>
      <c r="C18" s="9" t="s">
        <v>36</v>
      </c>
      <c r="D18" s="24">
        <v>9.2999999999999999E-2</v>
      </c>
      <c r="E18" s="24"/>
      <c r="F18" s="9" t="s">
        <v>37</v>
      </c>
    </row>
    <row r="19" spans="1:7">
      <c r="B19" s="23"/>
    </row>
    <row r="20" spans="1:7">
      <c r="B20" s="23"/>
      <c r="C20" s="9" t="s">
        <v>38</v>
      </c>
      <c r="D20" s="26"/>
      <c r="E20" s="26"/>
    </row>
    <row r="21" spans="1:7">
      <c r="B21" s="23"/>
      <c r="C21" s="9" t="s">
        <v>39</v>
      </c>
      <c r="D21" s="27"/>
      <c r="E21" s="27"/>
    </row>
    <row r="22" spans="1:7">
      <c r="B22" s="23"/>
      <c r="D22" s="28"/>
      <c r="E22" s="28"/>
    </row>
    <row r="23" spans="1:7" ht="26">
      <c r="B23" s="23" t="s">
        <v>40</v>
      </c>
      <c r="C23" s="29" t="s">
        <v>41</v>
      </c>
      <c r="D23" s="30">
        <f>(D18*D15)-D14</f>
        <v>16844.180625285007</v>
      </c>
      <c r="E23" s="30" t="s">
        <v>29</v>
      </c>
      <c r="F23" s="9" t="s">
        <v>23</v>
      </c>
    </row>
    <row r="24" spans="1:7">
      <c r="B24" s="23"/>
      <c r="D24" s="25"/>
      <c r="E24" s="25"/>
    </row>
    <row r="25" spans="1:7">
      <c r="B25" s="23" t="s">
        <v>42</v>
      </c>
      <c r="C25" s="9" t="s">
        <v>43</v>
      </c>
      <c r="D25" s="31">
        <v>1.3527309999999999</v>
      </c>
      <c r="E25" s="32"/>
      <c r="F25" s="9" t="s">
        <v>37</v>
      </c>
    </row>
    <row r="26" spans="1:7" ht="13.5">
      <c r="B26" s="33"/>
      <c r="C26" s="34"/>
      <c r="D26" s="35"/>
      <c r="E26" s="35"/>
    </row>
    <row r="27" spans="1:7">
      <c r="B27" s="23" t="s">
        <v>44</v>
      </c>
      <c r="C27" s="9" t="s">
        <v>22</v>
      </c>
      <c r="D27" s="36">
        <f>D25*D23</f>
        <v>22785.645301422413</v>
      </c>
      <c r="E27" s="37" t="s">
        <v>29</v>
      </c>
      <c r="F27" s="9" t="s">
        <v>23</v>
      </c>
    </row>
    <row r="29" spans="1:7" ht="13.5">
      <c r="B29" s="33" t="s">
        <v>45</v>
      </c>
      <c r="C29" s="38" t="s">
        <v>46</v>
      </c>
      <c r="D29" s="39">
        <f>D27</f>
        <v>22785.645301422413</v>
      </c>
      <c r="E29" s="40"/>
      <c r="G29" s="13">
        <f>D29*1000</f>
        <v>22785645.301422413</v>
      </c>
    </row>
    <row r="31" spans="1:7">
      <c r="A31" s="11">
        <v>-3</v>
      </c>
      <c r="B31" s="8" t="s">
        <v>47</v>
      </c>
      <c r="D31" s="12"/>
      <c r="E31" s="37" t="s">
        <v>29</v>
      </c>
    </row>
    <row r="33" spans="4:4">
      <c r="D33" s="9" t="s">
        <v>16</v>
      </c>
    </row>
  </sheetData>
  <mergeCells count="1">
    <mergeCell ref="D12:E1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"/>
  <sheetViews>
    <sheetView workbookViewId="0">
      <selection activeCell="B6" sqref="B6:M6"/>
    </sheetView>
  </sheetViews>
  <sheetFormatPr defaultRowHeight="14.5"/>
  <cols>
    <col min="1" max="1" width="23" customWidth="1"/>
    <col min="2" max="6" width="12.54296875" bestFit="1" customWidth="1"/>
    <col min="7" max="18" width="11.54296875" bestFit="1" customWidth="1"/>
    <col min="19" max="30" width="12.54296875" bestFit="1" customWidth="1"/>
  </cols>
  <sheetData>
    <row r="1" spans="1:30">
      <c r="B1" s="83">
        <v>2023</v>
      </c>
      <c r="C1" s="83">
        <v>2023</v>
      </c>
      <c r="D1" s="83">
        <v>2023</v>
      </c>
      <c r="E1" s="83">
        <v>2023</v>
      </c>
      <c r="F1" s="83">
        <v>2023</v>
      </c>
      <c r="G1" s="83">
        <v>2023</v>
      </c>
      <c r="H1" s="83">
        <v>2023</v>
      </c>
      <c r="I1" s="83">
        <v>2023</v>
      </c>
      <c r="J1" s="83">
        <v>2023</v>
      </c>
      <c r="K1" s="83">
        <v>2023</v>
      </c>
      <c r="L1" s="83">
        <v>2023</v>
      </c>
      <c r="M1" s="83">
        <v>2023</v>
      </c>
      <c r="N1" s="83">
        <v>2024</v>
      </c>
      <c r="O1" s="83">
        <v>2024</v>
      </c>
      <c r="P1" s="83">
        <v>2024</v>
      </c>
      <c r="Q1" s="83">
        <v>2024</v>
      </c>
      <c r="R1" s="83">
        <v>2024</v>
      </c>
      <c r="S1" s="83">
        <v>2024</v>
      </c>
      <c r="T1" s="83">
        <v>2024</v>
      </c>
      <c r="U1" s="83">
        <v>2024</v>
      </c>
      <c r="V1" s="83">
        <v>2024</v>
      </c>
      <c r="W1" s="83">
        <v>2024</v>
      </c>
      <c r="X1" s="83">
        <v>2024</v>
      </c>
      <c r="Y1" s="83">
        <v>2024</v>
      </c>
      <c r="Z1" s="83">
        <v>2025</v>
      </c>
      <c r="AA1" s="83">
        <v>2025</v>
      </c>
      <c r="AB1" s="83">
        <v>2025</v>
      </c>
      <c r="AC1" s="83">
        <v>2025</v>
      </c>
      <c r="AD1" s="83">
        <v>2025</v>
      </c>
    </row>
    <row r="2" spans="1:30" ht="15" thickBot="1">
      <c r="B2" s="85" t="s">
        <v>9</v>
      </c>
      <c r="C2" s="85" t="s">
        <v>10</v>
      </c>
      <c r="D2" s="85" t="s">
        <v>11</v>
      </c>
      <c r="E2" s="85" t="s">
        <v>12</v>
      </c>
      <c r="F2" s="85" t="s">
        <v>13</v>
      </c>
      <c r="G2" s="85" t="s">
        <v>14</v>
      </c>
      <c r="H2" s="85" t="s">
        <v>3</v>
      </c>
      <c r="I2" s="85" t="s">
        <v>4</v>
      </c>
      <c r="J2" s="85" t="s">
        <v>5</v>
      </c>
      <c r="K2" s="85" t="s">
        <v>6</v>
      </c>
      <c r="L2" s="85" t="s">
        <v>7</v>
      </c>
      <c r="M2" s="85" t="s">
        <v>8</v>
      </c>
      <c r="N2" s="85" t="s">
        <v>9</v>
      </c>
      <c r="O2" s="85" t="s">
        <v>10</v>
      </c>
      <c r="P2" s="85" t="s">
        <v>11</v>
      </c>
      <c r="Q2" s="85" t="s">
        <v>12</v>
      </c>
      <c r="R2" s="85" t="s">
        <v>13</v>
      </c>
      <c r="S2" s="85" t="s">
        <v>14</v>
      </c>
      <c r="T2" s="85" t="s">
        <v>3</v>
      </c>
      <c r="U2" s="85" t="s">
        <v>4</v>
      </c>
      <c r="V2" s="85" t="s">
        <v>5</v>
      </c>
      <c r="W2" s="85" t="s">
        <v>6</v>
      </c>
      <c r="X2" s="85" t="s">
        <v>7</v>
      </c>
      <c r="Y2" s="85" t="s">
        <v>8</v>
      </c>
      <c r="Z2" s="85" t="s">
        <v>9</v>
      </c>
      <c r="AA2" s="85" t="s">
        <v>10</v>
      </c>
      <c r="AB2" s="85" t="s">
        <v>11</v>
      </c>
      <c r="AC2" s="85" t="s">
        <v>12</v>
      </c>
      <c r="AD2" s="85" t="s">
        <v>13</v>
      </c>
    </row>
    <row r="3" spans="1:30" s="2" customFormat="1" ht="13">
      <c r="A3" s="1" t="s">
        <v>96</v>
      </c>
      <c r="B3" s="90">
        <v>31</v>
      </c>
      <c r="C3" s="90">
        <v>28</v>
      </c>
      <c r="D3" s="90">
        <v>31</v>
      </c>
      <c r="E3" s="90">
        <v>30</v>
      </c>
      <c r="F3" s="90">
        <v>31</v>
      </c>
      <c r="G3" s="90">
        <v>30</v>
      </c>
      <c r="H3" s="90">
        <v>31</v>
      </c>
      <c r="I3" s="90">
        <v>31</v>
      </c>
      <c r="J3" s="90">
        <v>30</v>
      </c>
      <c r="K3" s="90">
        <v>31</v>
      </c>
      <c r="L3" s="90">
        <v>30</v>
      </c>
      <c r="M3" s="90">
        <v>31</v>
      </c>
      <c r="N3" s="90">
        <v>31</v>
      </c>
      <c r="O3" s="90">
        <v>29</v>
      </c>
      <c r="P3" s="90">
        <v>31</v>
      </c>
      <c r="Q3" s="90">
        <v>30</v>
      </c>
      <c r="R3" s="90">
        <v>31</v>
      </c>
      <c r="S3" s="90">
        <v>30</v>
      </c>
      <c r="T3" s="90">
        <v>31</v>
      </c>
      <c r="U3" s="90">
        <v>31</v>
      </c>
      <c r="V3" s="90">
        <v>30</v>
      </c>
      <c r="W3" s="90">
        <v>31</v>
      </c>
      <c r="X3" s="90">
        <v>30</v>
      </c>
      <c r="Y3" s="90">
        <v>31</v>
      </c>
      <c r="Z3" s="90">
        <v>31</v>
      </c>
      <c r="AA3" s="90">
        <v>28</v>
      </c>
      <c r="AB3" s="90">
        <v>31</v>
      </c>
      <c r="AC3" s="90">
        <v>30</v>
      </c>
      <c r="AD3" s="90">
        <v>31</v>
      </c>
    </row>
    <row r="4" spans="1:30" s="2" customFormat="1" ht="13">
      <c r="A4" s="1" t="s">
        <v>97</v>
      </c>
      <c r="B4" s="90">
        <v>152.4</v>
      </c>
      <c r="C4" s="90">
        <v>152.4</v>
      </c>
      <c r="D4" s="90">
        <v>152.4</v>
      </c>
      <c r="E4" s="90">
        <v>152.4</v>
      </c>
      <c r="F4" s="90">
        <v>152.4</v>
      </c>
      <c r="G4" s="90">
        <v>70.2</v>
      </c>
      <c r="H4" s="90">
        <v>70.2</v>
      </c>
      <c r="I4" s="90">
        <v>70.2</v>
      </c>
      <c r="J4" s="90">
        <v>70.2</v>
      </c>
      <c r="K4" s="90">
        <v>70.2</v>
      </c>
      <c r="L4" s="90">
        <v>70.2</v>
      </c>
      <c r="M4" s="90">
        <v>70.2</v>
      </c>
      <c r="N4" s="90">
        <v>70.2</v>
      </c>
      <c r="O4" s="90">
        <v>70.2</v>
      </c>
      <c r="P4" s="90">
        <v>70.2</v>
      </c>
      <c r="Q4" s="90">
        <v>70.2</v>
      </c>
      <c r="R4" s="90">
        <v>70.2</v>
      </c>
      <c r="S4" s="90">
        <v>80</v>
      </c>
      <c r="T4" s="90">
        <v>80</v>
      </c>
      <c r="U4" s="90">
        <v>80</v>
      </c>
      <c r="V4" s="90">
        <v>80</v>
      </c>
      <c r="W4" s="90">
        <v>80</v>
      </c>
      <c r="X4" s="90">
        <v>80</v>
      </c>
      <c r="Y4" s="90">
        <v>80</v>
      </c>
      <c r="Z4" s="90">
        <v>80</v>
      </c>
      <c r="AA4" s="90">
        <v>80</v>
      </c>
      <c r="AB4" s="90">
        <v>80</v>
      </c>
      <c r="AC4" s="90">
        <v>80</v>
      </c>
      <c r="AD4" s="90">
        <v>80</v>
      </c>
    </row>
    <row r="5" spans="1:30" s="2" customFormat="1" ht="13">
      <c r="A5" s="1" t="s">
        <v>98</v>
      </c>
      <c r="B5" s="90">
        <v>50</v>
      </c>
      <c r="C5" s="90">
        <v>50</v>
      </c>
      <c r="D5" s="90">
        <v>50</v>
      </c>
      <c r="E5" s="90">
        <v>50</v>
      </c>
      <c r="F5" s="90">
        <v>50</v>
      </c>
      <c r="G5" s="90">
        <v>34.130000000000003</v>
      </c>
      <c r="H5" s="90">
        <v>34.130000000000003</v>
      </c>
      <c r="I5" s="90">
        <v>34.130000000000003</v>
      </c>
      <c r="J5" s="90">
        <v>34.130000000000003</v>
      </c>
      <c r="K5" s="90">
        <v>34.130000000000003</v>
      </c>
      <c r="L5" s="90">
        <v>34.130000000000003</v>
      </c>
      <c r="M5" s="90">
        <v>34.130000000000003</v>
      </c>
      <c r="N5" s="90">
        <v>34.130000000000003</v>
      </c>
      <c r="O5" s="90">
        <v>34.130000000000003</v>
      </c>
      <c r="P5" s="90">
        <v>34.130000000000003</v>
      </c>
      <c r="Q5" s="90">
        <v>34.130000000000003</v>
      </c>
      <c r="R5" s="90">
        <v>34.130000000000003</v>
      </c>
      <c r="S5" s="90">
        <v>54</v>
      </c>
      <c r="T5" s="90">
        <v>54</v>
      </c>
      <c r="U5" s="90">
        <v>54</v>
      </c>
      <c r="V5" s="90">
        <v>54</v>
      </c>
      <c r="W5" s="90">
        <v>54</v>
      </c>
      <c r="X5" s="90">
        <v>54</v>
      </c>
      <c r="Y5" s="90">
        <v>54</v>
      </c>
      <c r="Z5" s="90">
        <v>54</v>
      </c>
      <c r="AA5" s="90">
        <v>54</v>
      </c>
      <c r="AB5" s="90">
        <v>54</v>
      </c>
      <c r="AC5" s="90">
        <v>54</v>
      </c>
      <c r="AD5" s="90">
        <v>54</v>
      </c>
    </row>
    <row r="6" spans="1:30">
      <c r="A6" s="1" t="s">
        <v>104</v>
      </c>
      <c r="B6" s="4">
        <f>B3*B4*B5</f>
        <v>236220.00000000003</v>
      </c>
      <c r="C6" s="4">
        <f t="shared" ref="C6:AD6" si="0">C3*C4*C5</f>
        <v>213360</v>
      </c>
      <c r="D6" s="4">
        <f t="shared" si="0"/>
        <v>236220.00000000003</v>
      </c>
      <c r="E6" s="4">
        <f t="shared" si="0"/>
        <v>228600</v>
      </c>
      <c r="F6" s="4">
        <f t="shared" si="0"/>
        <v>236220.00000000003</v>
      </c>
      <c r="G6" s="4">
        <f t="shared" si="0"/>
        <v>71877.78</v>
      </c>
      <c r="H6" s="4">
        <f t="shared" si="0"/>
        <v>74273.70600000002</v>
      </c>
      <c r="I6" s="4">
        <f t="shared" si="0"/>
        <v>74273.70600000002</v>
      </c>
      <c r="J6" s="4">
        <f t="shared" si="0"/>
        <v>71877.78</v>
      </c>
      <c r="K6" s="4">
        <f t="shared" si="0"/>
        <v>74273.70600000002</v>
      </c>
      <c r="L6" s="4">
        <f t="shared" si="0"/>
        <v>71877.78</v>
      </c>
      <c r="M6" s="4">
        <f t="shared" si="0"/>
        <v>74273.70600000002</v>
      </c>
      <c r="N6" s="4">
        <f t="shared" si="0"/>
        <v>74273.70600000002</v>
      </c>
      <c r="O6" s="4">
        <f t="shared" si="0"/>
        <v>69481.854000000007</v>
      </c>
      <c r="P6" s="4">
        <f t="shared" si="0"/>
        <v>74273.70600000002</v>
      </c>
      <c r="Q6" s="4">
        <f t="shared" si="0"/>
        <v>71877.78</v>
      </c>
      <c r="R6" s="4">
        <f t="shared" si="0"/>
        <v>74273.70600000002</v>
      </c>
      <c r="S6" s="4">
        <f t="shared" si="0"/>
        <v>129600</v>
      </c>
      <c r="T6" s="4">
        <f t="shared" si="0"/>
        <v>133920</v>
      </c>
      <c r="U6" s="4">
        <f t="shared" si="0"/>
        <v>133920</v>
      </c>
      <c r="V6" s="4">
        <f t="shared" si="0"/>
        <v>129600</v>
      </c>
      <c r="W6" s="4">
        <f t="shared" si="0"/>
        <v>133920</v>
      </c>
      <c r="X6" s="4">
        <f t="shared" si="0"/>
        <v>129600</v>
      </c>
      <c r="Y6" s="4">
        <f t="shared" si="0"/>
        <v>133920</v>
      </c>
      <c r="Z6" s="4">
        <f t="shared" si="0"/>
        <v>133920</v>
      </c>
      <c r="AA6" s="4">
        <f t="shared" si="0"/>
        <v>120960</v>
      </c>
      <c r="AB6" s="4">
        <f t="shared" si="0"/>
        <v>133920</v>
      </c>
      <c r="AC6" s="4">
        <f t="shared" si="0"/>
        <v>129600</v>
      </c>
      <c r="AD6" s="4">
        <f t="shared" si="0"/>
        <v>133920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xlbGVtZW50IHVpZD0iNzRmYjJhNjYtYTZhMC00NjcyLWI2YWQtNDg4ZTVhNDgyNWQ1IiB2YWx1ZT0iIiB4bWxucz0iaHR0cDovL3d3dy5ib2xkb25qYW1lcy5jb20vMjAwOC8wMS9zaWUvaW50ZXJuYWwvbGFiZWwiIC8+PGVsZW1lbnQgdWlkPSJkMTRmNWMzNi1mNDRhLTQzMTUtYjQzOC0wMDVjZmU4ZjA2OWYiIHZhbHVlPSIiIHhtbG5zPSJodHRwOi8vd3d3LmJvbGRvbmphbWVzLmNvbS8yMDA4LzAxL3NpZS9pbnRlcm5hbC9sYWJlbCIgLz48L3Npc2w+PFVzZXJOYW1lPkNPUlBcczI5MDc5MjwvVXNlck5hbWU+PERhdGVUaW1lPjEwLzE4LzIwMjIgMjo0Njo0NCBQTTwvRGF0ZVRpbWU+PExhYmVsU3RyaW5nPkFFUCBJbnRlcm5hbDwvTGFiZWxTdHJpbmc+PC9pdGVtPjxpdGVtPjxzaXNsIHNpc2xWZXJzaW9uPSIwIiBwb2xpY3k9ImU5YzBiOGQ3LWJkYjQtNGZkMy1iNjJhLWY1MDMyN2FhZWZjZSIgb3JpZ2luPSJ1c2VyU2VsZWN0ZWQiPjxlbGVtZW50IHVpZD0iNTBjMzE4MjQtMDc4MC00OTEwLTg3ZDEtZWFhZmZkMTgyZDQyIiB2YWx1ZT0iIiB4bWxucz0iaHR0cDovL3d3dy5ib2xkb25qYW1lcy5jb20vMjAwOC8wMS9zaWUvaW50ZXJuYWwvbGFiZWwiIC8+PC9zaXNsPjxVc2VyTmFtZT5DT1JQXHMyOTA3OTI8L1VzZXJOYW1lPjxEYXRlVGltZT4xMC8xOC8yMDIyIDQ6MDE6MTkgUE08L0RhdGVUaW1lPjxMYWJlbFN0cmluZz5BRVAgSW50ZXJuYWw8L0xhYmVsU3RyaW5nPjwvaXRlbT48L2xhYmVsSGlzdG9yeT4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50c31824-0780-4910-87d1-eaaffd182d42" value=""/>
</sisl>
</file>

<file path=customXml/itemProps1.xml><?xml version="1.0" encoding="utf-8"?>
<ds:datastoreItem xmlns:ds="http://schemas.openxmlformats.org/officeDocument/2006/customXml" ds:itemID="{E7B2F6C1-3A93-4877-8CD5-3FE9E1861974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A3D14A6C-D23F-4EB9-A36D-29DB59728D8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Tables for Testimony</vt:lpstr>
      <vt:lpstr>Net Impact</vt:lpstr>
      <vt:lpstr>CC</vt:lpstr>
      <vt:lpstr>ES</vt:lpstr>
      <vt:lpstr>FAC</vt:lpstr>
      <vt:lpstr>Errata BKWEx2</vt:lpstr>
      <vt:lpstr>BKWEx4</vt:lpstr>
      <vt:lpstr>Replacement Capacity</vt:lpstr>
      <vt:lpstr>'Errata BKWEx2'!Print_Area</vt:lpstr>
      <vt:lpstr>'Errata BKWEx2'!Print_Titles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s290792</dc:creator>
  <cp:lastModifiedBy>michael.west</cp:lastModifiedBy>
  <cp:lastPrinted>2022-10-21T16:31:20Z</cp:lastPrinted>
  <dcterms:created xsi:type="dcterms:W3CDTF">2022-10-18T14:30:26Z</dcterms:created>
  <dcterms:modified xsi:type="dcterms:W3CDTF">2022-11-08T14:08:17Z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8461f2a0-6b22-46d6-972d-3cd23eebe9dc</vt:lpwstr>
  </property>
  <property fmtid="{D5CDD505-2E9C-101B-9397-08002B2CF9AE}" pid="3" name="bjClsUserRVM">
    <vt:lpwstr>[]</vt:lpwstr>
  </property>
  <property fmtid="{D5CDD505-2E9C-101B-9397-08002B2CF9AE}" pid="4" name="bjSaver">
    <vt:lpwstr>Yzo6iu4RCOp5VcJWjy40zzIEO7NbA0wx</vt:lpwstr>
  </property>
  <property fmtid="{D5CDD505-2E9C-101B-9397-08002B2CF9AE}" pid="5" name="bjDocumentSecurityLabel">
    <vt:lpwstr>AEP Internal</vt:lpwstr>
  </property>
  <property fmtid="{D5CDD505-2E9C-101B-9397-08002B2CF9AE}" pid="6" name="MSIP_Label_69f43042-6bda-44b2-91eb-eca3d3d484f4_SiteId">
    <vt:lpwstr>15f3c881-6b03-4ff6-8559-77bf5177818f</vt:lpwstr>
  </property>
  <property fmtid="{D5CDD505-2E9C-101B-9397-08002B2CF9AE}" pid="7" name="MSIP_Label_69f43042-6bda-44b2-91eb-eca3d3d484f4_Name">
    <vt:lpwstr>AEP Internal</vt:lpwstr>
  </property>
  <property fmtid="{D5CDD505-2E9C-101B-9397-08002B2CF9AE}" pid="8" name="MSIP_Label_69f43042-6bda-44b2-91eb-eca3d3d484f4_Enabled">
    <vt:lpwstr>true</vt:lpwstr>
  </property>
  <property fmtid="{D5CDD505-2E9C-101B-9397-08002B2CF9AE}" pid="9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10" name="bjDocumentLabelXML-0">
    <vt:lpwstr>ames.com/2008/01/sie/internal/label"&gt;&lt;element uid="50c31824-0780-4910-87d1-eaaffd182d42" value="" /&gt;&lt;/sisl&gt;</vt:lpwstr>
  </property>
  <property fmtid="{D5CDD505-2E9C-101B-9397-08002B2CF9AE}" pid="11" name="bjLabelHistoryID">
    <vt:lpwstr>{E7B2F6C1-3A93-4877-8CD5-3FE9E1861974}</vt:lpwstr>
  </property>
</Properties>
</file>