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Black Mountain UD/"/>
    </mc:Choice>
  </mc:AlternateContent>
  <xr:revisionPtr revIDLastSave="5" documentId="8_{69734384-A58D-4052-944D-78CA65C91E61}" xr6:coauthVersionLast="47" xr6:coauthVersionMax="47" xr10:uidLastSave="{52A6C642-E903-40C0-9854-E41C1152282F}"/>
  <bookViews>
    <workbookView xWindow="-98" yWindow="-98" windowWidth="20715" windowHeight="13155" xr2:uid="{00000000-000D-0000-FFFF-FFFF00000000}"/>
  </bookViews>
  <sheets>
    <sheet name="SAO" sheetId="6" r:id="rId1"/>
    <sheet name="Revenue Requirement" sheetId="58" r:id="rId2"/>
    <sheet name="Wages" sheetId="55" r:id="rId3"/>
    <sheet name="Medical" sheetId="40" r:id="rId4"/>
    <sheet name="Depreciation" sheetId="51" r:id="rId5"/>
    <sheet name="Debt Service" sheetId="50" r:id="rId6"/>
    <sheet name="Capital" sheetId="56" r:id="rId7"/>
    <sheet name="Water Loss" sheetId="54" r:id="rId8"/>
    <sheet name="Rates DSCM" sheetId="2" r:id="rId9"/>
    <sheet name="Bills DSC" sheetId="42" r:id="rId10"/>
    <sheet name="Bills with Surcharge DSC" sheetId="57" r:id="rId11"/>
    <sheet name="ExBA" sheetId="52" r:id="rId12"/>
    <sheet name="PrBA" sheetId="53" r:id="rId13"/>
  </sheets>
  <definedNames>
    <definedName name="AHV">#REF!</definedName>
    <definedName name="_xlnm.Print_Area" localSheetId="9">'Bills DSC'!$B$2:$I$28</definedName>
    <definedName name="_xlnm.Print_Area" localSheetId="10">'Bills with Surcharge DSC'!$B$2:$I$28</definedName>
    <definedName name="_xlnm.Print_Area" localSheetId="5">'Debt Service'!$A$1:$O$39</definedName>
    <definedName name="_xlnm.Print_Area" localSheetId="4">Depreciation!$A$1:$L$47</definedName>
    <definedName name="_xlnm.Print_Area" localSheetId="11">ExBA!$A$1:$H$23</definedName>
    <definedName name="_xlnm.Print_Area" localSheetId="12">PrBA!$A$1:$H$21</definedName>
    <definedName name="_xlnm.Print_Area" localSheetId="8">'Rates DSCM'!$A$1:$K$28</definedName>
    <definedName name="_xlnm.Print_Area" localSheetId="1">'Revenue Requirement'!$A$1:$G$24</definedName>
    <definedName name="_xlnm.Print_Area" localSheetId="0">SAO!$A$1:$G$47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7" l="1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10" i="57"/>
  <c r="E42" i="57"/>
  <c r="E57" i="57"/>
  <c r="E56" i="57"/>
  <c r="E55" i="57"/>
  <c r="E54" i="57"/>
  <c r="E53" i="57"/>
  <c r="E52" i="57"/>
  <c r="E51" i="57"/>
  <c r="E50" i="57"/>
  <c r="E49" i="57"/>
  <c r="E48" i="57"/>
  <c r="E47" i="57"/>
  <c r="E46" i="57"/>
  <c r="E45" i="57"/>
  <c r="E44" i="57"/>
  <c r="E43" i="57"/>
  <c r="E39" i="42"/>
  <c r="E54" i="42"/>
  <c r="E53" i="42"/>
  <c r="E52" i="42"/>
  <c r="E51" i="42"/>
  <c r="E50" i="42"/>
  <c r="E49" i="42"/>
  <c r="E48" i="42"/>
  <c r="E47" i="42"/>
  <c r="E46" i="42"/>
  <c r="E45" i="42"/>
  <c r="E44" i="42"/>
  <c r="E43" i="42"/>
  <c r="E42" i="42"/>
  <c r="E41" i="42"/>
  <c r="E40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D45" i="54"/>
  <c r="D40" i="54"/>
  <c r="F26" i="2"/>
  <c r="H26" i="2" s="1"/>
  <c r="G19" i="58"/>
  <c r="G6" i="58"/>
  <c r="E41" i="6"/>
  <c r="E44" i="6" l="1"/>
  <c r="G29" i="55"/>
  <c r="G24" i="55"/>
  <c r="G23" i="55"/>
  <c r="E29" i="6" l="1"/>
  <c r="E21" i="6"/>
  <c r="H9" i="52"/>
  <c r="H7" i="52"/>
  <c r="G44" i="6" l="1"/>
  <c r="E13" i="6"/>
  <c r="G13" i="6" s="1"/>
  <c r="G9" i="6"/>
  <c r="G17" i="58" l="1"/>
  <c r="G4" i="58"/>
  <c r="G3" i="58"/>
  <c r="M39" i="50"/>
  <c r="M37" i="50"/>
  <c r="L37" i="50"/>
  <c r="J37" i="50"/>
  <c r="H37" i="50"/>
  <c r="F37" i="50"/>
  <c r="D37" i="50"/>
  <c r="L12" i="50" l="1"/>
  <c r="J12" i="50"/>
  <c r="H12" i="50"/>
  <c r="F12" i="50"/>
  <c r="D12" i="50"/>
  <c r="L18" i="50"/>
  <c r="J18" i="50"/>
  <c r="H18" i="50"/>
  <c r="F18" i="50"/>
  <c r="D18" i="50"/>
  <c r="L17" i="50"/>
  <c r="J17" i="50"/>
  <c r="H17" i="50"/>
  <c r="F17" i="50"/>
  <c r="D17" i="50"/>
  <c r="L15" i="50"/>
  <c r="J15" i="50"/>
  <c r="H15" i="50"/>
  <c r="F15" i="50"/>
  <c r="D15" i="50"/>
  <c r="L14" i="50"/>
  <c r="J14" i="50"/>
  <c r="H14" i="50"/>
  <c r="F14" i="50"/>
  <c r="D14" i="50"/>
  <c r="L16" i="50"/>
  <c r="J16" i="50"/>
  <c r="H16" i="50"/>
  <c r="F16" i="50"/>
  <c r="D16" i="50"/>
  <c r="L13" i="50"/>
  <c r="J13" i="50"/>
  <c r="H13" i="50"/>
  <c r="F13" i="50"/>
  <c r="D13" i="50"/>
  <c r="L20" i="50"/>
  <c r="K20" i="50"/>
  <c r="J20" i="50"/>
  <c r="I20" i="50"/>
  <c r="H20" i="50"/>
  <c r="G20" i="50"/>
  <c r="F20" i="50"/>
  <c r="E20" i="50"/>
  <c r="D20" i="50"/>
  <c r="C20" i="50"/>
  <c r="M19" i="50"/>
  <c r="L19" i="50"/>
  <c r="K19" i="50"/>
  <c r="J19" i="50"/>
  <c r="H19" i="50"/>
  <c r="I19" i="50"/>
  <c r="G19" i="50"/>
  <c r="F19" i="50"/>
  <c r="E19" i="50"/>
  <c r="D19" i="50"/>
  <c r="C19" i="50"/>
  <c r="C17" i="40"/>
  <c r="F17" i="40"/>
  <c r="C10" i="40"/>
  <c r="E10" i="40" s="1"/>
  <c r="F10" i="40" s="1"/>
  <c r="C9" i="40"/>
  <c r="E9" i="40" s="1"/>
  <c r="F9" i="40" s="1"/>
  <c r="C8" i="40"/>
  <c r="E8" i="40" s="1"/>
  <c r="F8" i="40" s="1"/>
  <c r="G8" i="40" s="1"/>
  <c r="C7" i="40"/>
  <c r="C6" i="40"/>
  <c r="G14" i="6"/>
  <c r="G7" i="58" s="1"/>
  <c r="E6" i="6"/>
  <c r="G8" i="58" l="1"/>
  <c r="G20" i="58"/>
  <c r="H8" i="52"/>
  <c r="M20" i="50"/>
  <c r="G17" i="40"/>
  <c r="I17" i="40" s="1"/>
  <c r="G18" i="40"/>
  <c r="G9" i="40"/>
  <c r="I9" i="40" s="1"/>
  <c r="G10" i="40"/>
  <c r="I10" i="40" s="1"/>
  <c r="E7" i="40"/>
  <c r="F7" i="40" s="1"/>
  <c r="G7" i="40" s="1"/>
  <c r="I8" i="40"/>
  <c r="D21" i="50"/>
  <c r="D31" i="50"/>
  <c r="E14" i="53"/>
  <c r="E13" i="53"/>
  <c r="D14" i="53"/>
  <c r="D13" i="53"/>
  <c r="C31" i="50" l="1"/>
  <c r="I18" i="40"/>
  <c r="C25" i="40" s="1"/>
  <c r="I7" i="40"/>
  <c r="E42" i="6"/>
  <c r="G42" i="6" s="1"/>
  <c r="M18" i="50"/>
  <c r="M17" i="50"/>
  <c r="F10" i="51"/>
  <c r="C21" i="50" l="1"/>
  <c r="F31" i="50"/>
  <c r="H10" i="51"/>
  <c r="E12" i="55"/>
  <c r="G12" i="55" s="1"/>
  <c r="F12" i="55"/>
  <c r="F11" i="55"/>
  <c r="E11" i="55"/>
  <c r="F10" i="55"/>
  <c r="E10" i="55"/>
  <c r="F9" i="55"/>
  <c r="E9" i="55"/>
  <c r="D5" i="55"/>
  <c r="E15" i="53"/>
  <c r="D15" i="53"/>
  <c r="D19" i="53" s="1"/>
  <c r="F14" i="53"/>
  <c r="G14" i="53" s="1"/>
  <c r="G15" i="53" s="1"/>
  <c r="E20" i="53" s="1"/>
  <c r="F13" i="53"/>
  <c r="H13" i="53" s="1"/>
  <c r="F22" i="52"/>
  <c r="F21" i="52"/>
  <c r="E31" i="50" l="1"/>
  <c r="F21" i="50"/>
  <c r="F15" i="53"/>
  <c r="E19" i="53" s="1"/>
  <c r="E21" i="53" s="1"/>
  <c r="G4" i="53" s="1"/>
  <c r="G11" i="55"/>
  <c r="G10" i="55"/>
  <c r="G9" i="55"/>
  <c r="D21" i="53"/>
  <c r="F4" i="53" s="1"/>
  <c r="H14" i="53"/>
  <c r="H15" i="53" s="1"/>
  <c r="D38" i="6"/>
  <c r="D36" i="6"/>
  <c r="B19" i="54"/>
  <c r="F6" i="40"/>
  <c r="G6" i="40" s="1"/>
  <c r="E21" i="50" l="1"/>
  <c r="H31" i="50"/>
  <c r="E5" i="55"/>
  <c r="F6" i="55"/>
  <c r="E8" i="55"/>
  <c r="F7" i="55"/>
  <c r="C14" i="55"/>
  <c r="B14" i="55"/>
  <c r="F13" i="55"/>
  <c r="E13" i="55"/>
  <c r="J27" i="51"/>
  <c r="G31" i="50" l="1"/>
  <c r="H21" i="50"/>
  <c r="I6" i="40"/>
  <c r="I11" i="40" s="1"/>
  <c r="G11" i="40"/>
  <c r="E7" i="55"/>
  <c r="G7" i="55" s="1"/>
  <c r="F5" i="55"/>
  <c r="G5" i="55" s="1"/>
  <c r="F8" i="55"/>
  <c r="G8" i="55" s="1"/>
  <c r="G13" i="55"/>
  <c r="G21" i="50" l="1"/>
  <c r="J31" i="50"/>
  <c r="F14" i="55"/>
  <c r="F15" i="52"/>
  <c r="H15" i="52" s="1"/>
  <c r="F16" i="52"/>
  <c r="G32" i="6"/>
  <c r="G10" i="6"/>
  <c r="B31" i="54"/>
  <c r="B30" i="54"/>
  <c r="B29" i="54"/>
  <c r="J21" i="50" l="1"/>
  <c r="I31" i="50"/>
  <c r="D17" i="52"/>
  <c r="D21" i="52" s="1"/>
  <c r="G21" i="52" s="1"/>
  <c r="E17" i="52"/>
  <c r="F17" i="52"/>
  <c r="G16" i="52"/>
  <c r="B32" i="54"/>
  <c r="G31" i="6"/>
  <c r="G30" i="6"/>
  <c r="I21" i="50" l="1"/>
  <c r="L31" i="50"/>
  <c r="D23" i="52"/>
  <c r="F4" i="52" s="1"/>
  <c r="D36" i="54" s="1"/>
  <c r="E21" i="52"/>
  <c r="H16" i="52"/>
  <c r="H17" i="52" s="1"/>
  <c r="G17" i="52"/>
  <c r="A31" i="54"/>
  <c r="A30" i="54"/>
  <c r="A29" i="54"/>
  <c r="M16" i="50"/>
  <c r="L21" i="50" l="1"/>
  <c r="K31" i="50"/>
  <c r="M35" i="50"/>
  <c r="E22" i="52"/>
  <c r="G22" i="52" s="1"/>
  <c r="M15" i="50"/>
  <c r="F44" i="51"/>
  <c r="J19" i="51"/>
  <c r="J18" i="51"/>
  <c r="J42" i="51"/>
  <c r="J23" i="51"/>
  <c r="K23" i="51" s="1"/>
  <c r="K21" i="50" l="1"/>
  <c r="M33" i="50"/>
  <c r="M31" i="50"/>
  <c r="M21" i="50"/>
  <c r="E23" i="52"/>
  <c r="G4" i="52" s="1"/>
  <c r="C24" i="40"/>
  <c r="C26" i="40" s="1"/>
  <c r="C28" i="40" s="1"/>
  <c r="K19" i="51"/>
  <c r="K18" i="51"/>
  <c r="K42" i="51"/>
  <c r="C6" i="56"/>
  <c r="C5" i="56"/>
  <c r="G22" i="55"/>
  <c r="E6" i="55"/>
  <c r="E14" i="55" s="1"/>
  <c r="C20" i="54"/>
  <c r="C13" i="54"/>
  <c r="C4" i="54"/>
  <c r="E25" i="6" l="1"/>
  <c r="D24" i="54"/>
  <c r="D26" i="54" s="1"/>
  <c r="C21" i="54"/>
  <c r="G6" i="55"/>
  <c r="G14" i="55" s="1"/>
  <c r="D29" i="54" l="1"/>
  <c r="E26" i="6" s="1"/>
  <c r="D30" i="54"/>
  <c r="E27" i="6" s="1"/>
  <c r="D31" i="54"/>
  <c r="G16" i="55" l="1"/>
  <c r="G32" i="55"/>
  <c r="G34" i="55" s="1"/>
  <c r="G36" i="55" s="1"/>
  <c r="G25" i="6" s="1"/>
  <c r="D32" i="54"/>
  <c r="H44" i="51"/>
  <c r="J41" i="51"/>
  <c r="K41" i="51" s="1"/>
  <c r="J38" i="51"/>
  <c r="K38" i="51" s="1"/>
  <c r="J35" i="51"/>
  <c r="K35" i="51" s="1"/>
  <c r="J34" i="51"/>
  <c r="K34" i="51" s="1"/>
  <c r="J33" i="51"/>
  <c r="K33" i="51" s="1"/>
  <c r="J32" i="51"/>
  <c r="K32" i="51" s="1"/>
  <c r="J31" i="51"/>
  <c r="K31" i="51" s="1"/>
  <c r="J30" i="51"/>
  <c r="K30" i="51" s="1"/>
  <c r="J29" i="51"/>
  <c r="K29" i="51" s="1"/>
  <c r="J28" i="51"/>
  <c r="K28" i="51" s="1"/>
  <c r="K27" i="51"/>
  <c r="J24" i="51"/>
  <c r="K24" i="51" s="1"/>
  <c r="J22" i="51"/>
  <c r="K22" i="51" s="1"/>
  <c r="J15" i="51"/>
  <c r="K15" i="51" s="1"/>
  <c r="J14" i="51"/>
  <c r="K14" i="51" s="1"/>
  <c r="J13" i="51"/>
  <c r="K13" i="51" s="1"/>
  <c r="J12" i="51"/>
  <c r="K12" i="51" s="1"/>
  <c r="J11" i="51"/>
  <c r="K11" i="51" s="1"/>
  <c r="J10" i="51"/>
  <c r="K10" i="51" s="1"/>
  <c r="K22" i="50"/>
  <c r="I22" i="50"/>
  <c r="G22" i="50"/>
  <c r="E22" i="50"/>
  <c r="C22" i="50"/>
  <c r="M14" i="50"/>
  <c r="M13" i="50"/>
  <c r="M12" i="50"/>
  <c r="L22" i="50"/>
  <c r="J22" i="50"/>
  <c r="H22" i="50"/>
  <c r="F22" i="50"/>
  <c r="D22" i="50"/>
  <c r="G21" i="55" l="1"/>
  <c r="E22" i="6" s="1"/>
  <c r="G22" i="6" s="1"/>
  <c r="D35" i="54"/>
  <c r="D37" i="54" s="1"/>
  <c r="G26" i="55"/>
  <c r="G28" i="55" s="1"/>
  <c r="G30" i="55" s="1"/>
  <c r="K44" i="51"/>
  <c r="J44" i="51"/>
  <c r="P22" i="50"/>
  <c r="M22" i="50"/>
  <c r="M25" i="50" s="1"/>
  <c r="M27" i="50" l="1"/>
  <c r="P27" i="50" l="1"/>
  <c r="G38" i="6"/>
  <c r="G37" i="6"/>
  <c r="G36" i="6"/>
  <c r="G35" i="6"/>
  <c r="G34" i="6"/>
  <c r="G33" i="6"/>
  <c r="G29" i="6"/>
  <c r="G28" i="6"/>
  <c r="G27" i="6"/>
  <c r="G26" i="6"/>
  <c r="G23" i="6"/>
  <c r="G15" i="6" l="1"/>
  <c r="D39" i="6" l="1"/>
  <c r="G39" i="6" l="1"/>
  <c r="D45" i="6"/>
  <c r="G45" i="6" l="1"/>
  <c r="G14" i="58" l="1"/>
  <c r="G16" i="58" s="1"/>
  <c r="G18" i="58" s="1"/>
  <c r="G21" i="58" s="1"/>
  <c r="G2" i="58"/>
  <c r="G5" i="58" s="1"/>
  <c r="H7" i="53" l="1"/>
  <c r="G23" i="52"/>
  <c r="H4" i="52" l="1"/>
  <c r="H6" i="52" s="1"/>
  <c r="H10" i="52" s="1"/>
  <c r="L10" i="52" s="1"/>
  <c r="G22" i="58" l="1"/>
  <c r="G9" i="58"/>
  <c r="G10" i="58" s="1"/>
  <c r="G11" i="58" l="1"/>
  <c r="F14" i="2" s="1"/>
  <c r="F19" i="2"/>
  <c r="H19" i="2" s="1"/>
  <c r="I19" i="2" s="1"/>
  <c r="F13" i="2"/>
  <c r="F57" i="57" l="1"/>
  <c r="G57" i="57" s="1"/>
  <c r="H57" i="57" s="1"/>
  <c r="F49" i="57"/>
  <c r="G49" i="57" s="1"/>
  <c r="H49" i="57" s="1"/>
  <c r="F39" i="42"/>
  <c r="G39" i="42" s="1"/>
  <c r="H39" i="42" s="1"/>
  <c r="F47" i="42"/>
  <c r="G47" i="42" s="1"/>
  <c r="H47" i="42" s="1"/>
  <c r="F56" i="57"/>
  <c r="G56" i="57" s="1"/>
  <c r="H56" i="57" s="1"/>
  <c r="F48" i="57"/>
  <c r="G48" i="57" s="1"/>
  <c r="H48" i="57" s="1"/>
  <c r="F54" i="42"/>
  <c r="G54" i="42" s="1"/>
  <c r="H54" i="42" s="1"/>
  <c r="F46" i="42"/>
  <c r="G46" i="42" s="1"/>
  <c r="H46" i="42" s="1"/>
  <c r="F55" i="57"/>
  <c r="G55" i="57" s="1"/>
  <c r="H55" i="57" s="1"/>
  <c r="F47" i="57"/>
  <c r="G47" i="57" s="1"/>
  <c r="H47" i="57" s="1"/>
  <c r="F53" i="42"/>
  <c r="G53" i="42" s="1"/>
  <c r="H53" i="42" s="1"/>
  <c r="F45" i="42"/>
  <c r="G45" i="42" s="1"/>
  <c r="H45" i="42" s="1"/>
  <c r="F42" i="57"/>
  <c r="G42" i="57" s="1"/>
  <c r="H42" i="57" s="1"/>
  <c r="F54" i="57"/>
  <c r="G54" i="57" s="1"/>
  <c r="H54" i="57" s="1"/>
  <c r="F44" i="57"/>
  <c r="G44" i="57" s="1"/>
  <c r="H44" i="57" s="1"/>
  <c r="F52" i="42"/>
  <c r="G52" i="42" s="1"/>
  <c r="H52" i="42" s="1"/>
  <c r="F44" i="42"/>
  <c r="G44" i="42" s="1"/>
  <c r="H44" i="42" s="1"/>
  <c r="F53" i="57"/>
  <c r="G53" i="57" s="1"/>
  <c r="H53" i="57" s="1"/>
  <c r="F43" i="57"/>
  <c r="G43" i="57" s="1"/>
  <c r="H43" i="57" s="1"/>
  <c r="F51" i="42"/>
  <c r="G51" i="42" s="1"/>
  <c r="H51" i="42" s="1"/>
  <c r="F43" i="42"/>
  <c r="G43" i="42" s="1"/>
  <c r="H43" i="42" s="1"/>
  <c r="F25" i="57"/>
  <c r="F48" i="42"/>
  <c r="G48" i="42" s="1"/>
  <c r="H48" i="42" s="1"/>
  <c r="F52" i="57"/>
  <c r="G52" i="57" s="1"/>
  <c r="H52" i="57" s="1"/>
  <c r="F46" i="57"/>
  <c r="G46" i="57" s="1"/>
  <c r="H46" i="57" s="1"/>
  <c r="F50" i="42"/>
  <c r="G50" i="42" s="1"/>
  <c r="H50" i="42" s="1"/>
  <c r="F42" i="42"/>
  <c r="G42" i="42" s="1"/>
  <c r="H42" i="42" s="1"/>
  <c r="F51" i="57"/>
  <c r="G51" i="57" s="1"/>
  <c r="H51" i="57" s="1"/>
  <c r="F45" i="57"/>
  <c r="G45" i="57" s="1"/>
  <c r="H45" i="57" s="1"/>
  <c r="F49" i="42"/>
  <c r="G49" i="42" s="1"/>
  <c r="H49" i="42" s="1"/>
  <c r="F41" i="42"/>
  <c r="G41" i="42" s="1"/>
  <c r="H41" i="42" s="1"/>
  <c r="F50" i="57"/>
  <c r="G50" i="57" s="1"/>
  <c r="H50" i="57" s="1"/>
  <c r="F40" i="42"/>
  <c r="G40" i="42" s="1"/>
  <c r="H40" i="42" s="1"/>
  <c r="F22" i="2"/>
  <c r="H22" i="2" s="1"/>
  <c r="I22" i="2" s="1"/>
  <c r="F18" i="2"/>
  <c r="H18" i="2" s="1"/>
  <c r="I18" i="2" s="1"/>
  <c r="F20" i="53"/>
  <c r="G20" i="53" s="1"/>
  <c r="H14" i="2"/>
  <c r="I14" i="2" s="1"/>
  <c r="F19" i="53"/>
  <c r="G19" i="53" s="1"/>
  <c r="G21" i="53" s="1"/>
  <c r="H4" i="53" s="1"/>
  <c r="H6" i="53" s="1"/>
  <c r="H8" i="53" s="1"/>
  <c r="L8" i="53" s="1"/>
  <c r="G25" i="57"/>
  <c r="H25" i="57" s="1"/>
  <c r="F20" i="57"/>
  <c r="G20" i="57" s="1"/>
  <c r="H20" i="57" s="1"/>
  <c r="H13" i="2"/>
  <c r="I13" i="2" s="1"/>
  <c r="G23" i="58" l="1"/>
  <c r="G24" i="58" s="1"/>
  <c r="E8" i="6"/>
  <c r="G8" i="6" s="1"/>
  <c r="D16" i="6"/>
  <c r="D47" i="6" s="1"/>
  <c r="G16" i="6" l="1"/>
  <c r="G47" i="6" s="1"/>
  <c r="F18" i="57"/>
  <c r="G18" i="57" s="1"/>
  <c r="H18" i="57" s="1"/>
  <c r="F10" i="42"/>
  <c r="G10" i="42" s="1"/>
  <c r="H10" i="42" s="1"/>
  <c r="F19" i="42"/>
  <c r="G19" i="42" s="1"/>
  <c r="H19" i="42" s="1"/>
  <c r="F15" i="42"/>
  <c r="G15" i="42" s="1"/>
  <c r="H15" i="42" s="1"/>
  <c r="F24" i="42"/>
  <c r="G24" i="42" s="1"/>
  <c r="H24" i="42" s="1"/>
  <c r="F18" i="42"/>
  <c r="G18" i="42" s="1"/>
  <c r="H18" i="42" s="1"/>
  <c r="F22" i="57"/>
  <c r="G22" i="57" s="1"/>
  <c r="H22" i="57" s="1"/>
  <c r="F20" i="42"/>
  <c r="G20" i="42" s="1"/>
  <c r="H20" i="42" s="1"/>
  <c r="F14" i="42"/>
  <c r="G14" i="42" s="1"/>
  <c r="H14" i="42" s="1"/>
  <c r="F17" i="42"/>
  <c r="G17" i="42" s="1"/>
  <c r="H17" i="42" s="1"/>
  <c r="F22" i="42"/>
  <c r="G22" i="42" s="1"/>
  <c r="H22" i="42" s="1"/>
  <c r="F11" i="57"/>
  <c r="G11" i="57" s="1"/>
  <c r="H11" i="57" s="1"/>
  <c r="F21" i="42"/>
  <c r="G21" i="42" s="1"/>
  <c r="H21" i="42" s="1"/>
  <c r="F24" i="57"/>
  <c r="G24" i="57" s="1"/>
  <c r="H24" i="57" s="1"/>
  <c r="F12" i="42"/>
  <c r="G12" i="42" s="1"/>
  <c r="H12" i="42" s="1"/>
  <c r="F17" i="57"/>
  <c r="G17" i="57" s="1"/>
  <c r="H17" i="57" s="1"/>
  <c r="G11" i="42"/>
  <c r="H11" i="42" s="1"/>
  <c r="F11" i="42"/>
  <c r="F21" i="57"/>
  <c r="G21" i="57" s="1"/>
  <c r="H21" i="57" s="1"/>
  <c r="F16" i="42"/>
  <c r="G16" i="42" s="1"/>
  <c r="H16" i="42" s="1"/>
  <c r="F25" i="42"/>
  <c r="G25" i="42" s="1"/>
  <c r="H25" i="42" s="1"/>
  <c r="F23" i="42"/>
  <c r="G23" i="42" s="1"/>
  <c r="H23" i="42" s="1"/>
  <c r="F13" i="42"/>
  <c r="G13" i="42" s="1"/>
  <c r="H13" i="42" s="1"/>
  <c r="D42" i="54"/>
  <c r="D41" i="54"/>
  <c r="F25" i="2"/>
  <c r="F15" i="57" s="1"/>
  <c r="G15" i="57" s="1"/>
  <c r="H15" i="57" s="1"/>
  <c r="H15" i="2"/>
  <c r="I15" i="2" s="1"/>
  <c r="F10" i="57" l="1"/>
  <c r="G10" i="57" s="1"/>
  <c r="H10" i="57" s="1"/>
  <c r="F16" i="57"/>
  <c r="G16" i="57" s="1"/>
  <c r="H16" i="57" s="1"/>
  <c r="F23" i="57"/>
  <c r="G23" i="57" s="1"/>
  <c r="H23" i="57" s="1"/>
  <c r="F19" i="57"/>
  <c r="G19" i="57" s="1"/>
  <c r="H19" i="57" s="1"/>
  <c r="H25" i="2"/>
  <c r="F13" i="57"/>
  <c r="G13" i="57" s="1"/>
  <c r="H13" i="57" s="1"/>
  <c r="F14" i="57"/>
  <c r="G14" i="57" s="1"/>
  <c r="H14" i="57" s="1"/>
  <c r="F12" i="57"/>
  <c r="G12" i="57" s="1"/>
  <c r="H12" i="57" s="1"/>
</calcChain>
</file>

<file path=xl/sharedStrings.xml><?xml version="1.0" encoding="utf-8"?>
<sst xmlns="http://schemas.openxmlformats.org/spreadsheetml/2006/main" count="625" uniqueCount="354">
  <si>
    <t>Total Operating Expenses</t>
  </si>
  <si>
    <t>Taxes Other Than Income</t>
  </si>
  <si>
    <t>Salaries and Wages - Employees</t>
  </si>
  <si>
    <t>Salaries and Wages - Officers</t>
  </si>
  <si>
    <t>Employee Pensions and Benefits</t>
  </si>
  <si>
    <t>Purchased Water</t>
  </si>
  <si>
    <t>Purchased Power</t>
  </si>
  <si>
    <t>Materials and Supplies</t>
  </si>
  <si>
    <t>Miscellaneous Expenses</t>
  </si>
  <si>
    <t>Transportation Expenses</t>
  </si>
  <si>
    <t>Proposed</t>
  </si>
  <si>
    <t>Total</t>
  </si>
  <si>
    <t>Gallons</t>
  </si>
  <si>
    <t>Operating Revenues</t>
  </si>
  <si>
    <t>Sales for Resale</t>
  </si>
  <si>
    <t>Other Water Revenues:</t>
  </si>
  <si>
    <t>Misc. Service Revenues</t>
  </si>
  <si>
    <t>Total Operating Revenues</t>
  </si>
  <si>
    <t>Operating Expenses</t>
  </si>
  <si>
    <t>Depreciation Expense</t>
  </si>
  <si>
    <t>Plus:</t>
  </si>
  <si>
    <t>Less:</t>
  </si>
  <si>
    <t>Existing</t>
  </si>
  <si>
    <t>Change</t>
  </si>
  <si>
    <t>1"</t>
  </si>
  <si>
    <t>2"</t>
  </si>
  <si>
    <t>Table A</t>
  </si>
  <si>
    <t>SCHEDULE OF ADJUSTED OPERATIONS</t>
  </si>
  <si>
    <t>Test Year</t>
  </si>
  <si>
    <t>Adjustments</t>
  </si>
  <si>
    <t>Ref.</t>
  </si>
  <si>
    <t>Proforma</t>
  </si>
  <si>
    <t>Operation and Maintenance</t>
  </si>
  <si>
    <t>Total Operation and Mnt. Expenses</t>
  </si>
  <si>
    <t>Total Utility Operating Income</t>
  </si>
  <si>
    <t>Pro Forma Operating Expenses</t>
  </si>
  <si>
    <t>Adjustment</t>
  </si>
  <si>
    <t>Forfeited Discounts</t>
  </si>
  <si>
    <t>Total Metered Retail Sales</t>
  </si>
  <si>
    <t>DEPRECIATION EXPENSE ADJUSTMENTS</t>
  </si>
  <si>
    <t>Depreciation</t>
  </si>
  <si>
    <t>Date in</t>
  </si>
  <si>
    <t>Original</t>
  </si>
  <si>
    <t>Expense</t>
  </si>
  <si>
    <t>Service</t>
  </si>
  <si>
    <t>Life</t>
  </si>
  <si>
    <t>Depr. Exp.</t>
  </si>
  <si>
    <t>CURRENT AND PROPOSED RATES</t>
  </si>
  <si>
    <t>Current</t>
  </si>
  <si>
    <t>Private Fire Protection</t>
  </si>
  <si>
    <t>Other Water Revenues</t>
  </si>
  <si>
    <t>Rental of Building/Real Property</t>
  </si>
  <si>
    <t>Insurance - Other</t>
  </si>
  <si>
    <t>Bad Debt</t>
  </si>
  <si>
    <t>Revenue Required From Sales of Water</t>
  </si>
  <si>
    <t>Revenue from Sales with Present Rates</t>
  </si>
  <si>
    <t>Total Revenue Requirement</t>
  </si>
  <si>
    <t>Required Revenue Increase</t>
  </si>
  <si>
    <t>Percent Increase</t>
  </si>
  <si>
    <t>Meter</t>
  </si>
  <si>
    <t>Difference</t>
  </si>
  <si>
    <t>Bill</t>
  </si>
  <si>
    <t>Percentage</t>
  </si>
  <si>
    <t>Size</t>
  </si>
  <si>
    <t>5/8 x 3/4"</t>
  </si>
  <si>
    <t>TOTALS</t>
  </si>
  <si>
    <t>per Month*</t>
  </si>
  <si>
    <t>* Highlighted usage represents the average residential bill.</t>
  </si>
  <si>
    <t>Chemicals</t>
  </si>
  <si>
    <t>Salaries &amp; Wages and Associated Adjustments</t>
  </si>
  <si>
    <t>Pro Forma</t>
  </si>
  <si>
    <t xml:space="preserve">Pro Forma </t>
  </si>
  <si>
    <t>Employee</t>
  </si>
  <si>
    <t>Reg. Hrs</t>
  </si>
  <si>
    <t>O. T. Hours</t>
  </si>
  <si>
    <t>Wage Rate</t>
  </si>
  <si>
    <t>Reg. Wages</t>
  </si>
  <si>
    <t>O. T. Wages</t>
  </si>
  <si>
    <t>Wages</t>
  </si>
  <si>
    <t>Pro Forma Salaries &amp; Wages Expense</t>
  </si>
  <si>
    <t>Less: Test Year Salaries &amp; Wages Exp</t>
  </si>
  <si>
    <t>Pro Forma Salaries &amp; Wages Adj'mt</t>
  </si>
  <si>
    <t xml:space="preserve"> </t>
  </si>
  <si>
    <t>Pro Forma Salaries and Wages Expense</t>
  </si>
  <si>
    <t>Times: 7.65 Percent FICA Rate</t>
  </si>
  <si>
    <t>Pro Forma Payroll Taxes</t>
  </si>
  <si>
    <t>Payroll Tax Adjustment</t>
  </si>
  <si>
    <t>Wages applicable to CERS payments</t>
  </si>
  <si>
    <t>Times: Percent Pension Contribution</t>
  </si>
  <si>
    <t>Total Pro Forma Pension Contribution</t>
  </si>
  <si>
    <t>Less: Test Year Pension Contribution</t>
  </si>
  <si>
    <t>Pension &amp; Benefits Adjustment</t>
  </si>
  <si>
    <t>Average Annual Principal and Interest Payments</t>
  </si>
  <si>
    <t>Additional Working Capital</t>
  </si>
  <si>
    <t>Table B</t>
  </si>
  <si>
    <t>DEBT SERVICE SCHDULE</t>
  </si>
  <si>
    <t>CY 2022 - 2026</t>
  </si>
  <si>
    <t>CY 2022</t>
  </si>
  <si>
    <t>CY 2023</t>
  </si>
  <si>
    <t>CY 2024</t>
  </si>
  <si>
    <t>CY 2025</t>
  </si>
  <si>
    <t>CY 2026</t>
  </si>
  <si>
    <t>Interest</t>
  </si>
  <si>
    <t>Principal</t>
  </si>
  <si>
    <t>&amp; Fees</t>
  </si>
  <si>
    <t>Average Annual Principal &amp; Interest</t>
  </si>
  <si>
    <t>Average Annual Coverage</t>
  </si>
  <si>
    <t>General Plant</t>
  </si>
  <si>
    <t>Pumping Plant</t>
  </si>
  <si>
    <t>Transmission &amp; Distribution Plant</t>
  </si>
  <si>
    <t>Transportation Equipment</t>
  </si>
  <si>
    <t>Water Treatment Plant</t>
  </si>
  <si>
    <t>Asset</t>
  </si>
  <si>
    <t>Structures &amp; Improvements</t>
  </si>
  <si>
    <t>Communication &amp; Computer Eqmt.</t>
  </si>
  <si>
    <t>Office Furniture &amp; Equipment</t>
  </si>
  <si>
    <t>Power Operated Equipment</t>
  </si>
  <si>
    <t>Tools, Shop, &amp; Garage Equipment</t>
  </si>
  <si>
    <t>Tank Repairs &amp; Painting</t>
  </si>
  <si>
    <t>Telemetry</t>
  </si>
  <si>
    <t>Pumping Equipment</t>
  </si>
  <si>
    <t>Hydrants</t>
  </si>
  <si>
    <t>Transmission &amp; Distribution Mains</t>
  </si>
  <si>
    <t>Meter Installations</t>
  </si>
  <si>
    <t>Meter Change-outs</t>
  </si>
  <si>
    <t>Pump Equipment</t>
  </si>
  <si>
    <t>Tank Fence</t>
  </si>
  <si>
    <t>Services</t>
  </si>
  <si>
    <t>Reservoirs &amp; Tanks</t>
  </si>
  <si>
    <t>Tank Painting &amp; Repairs</t>
  </si>
  <si>
    <t>Entire Group</t>
  </si>
  <si>
    <t xml:space="preserve">              *  Includes only costs associated with assets that contributed to depreciation expense in the test year.</t>
  </si>
  <si>
    <t>Cost *</t>
  </si>
  <si>
    <t>Reported</t>
  </si>
  <si>
    <t>varies</t>
  </si>
  <si>
    <t>Water Loss Adjustment</t>
  </si>
  <si>
    <t>Sold</t>
  </si>
  <si>
    <t>Uses:</t>
  </si>
  <si>
    <t xml:space="preserve">  water loss percentage</t>
  </si>
  <si>
    <t xml:space="preserve">  allowable in rates</t>
  </si>
  <si>
    <t xml:space="preserve">  adjustment percentage</t>
  </si>
  <si>
    <t>Produced</t>
  </si>
  <si>
    <t>Purchased</t>
  </si>
  <si>
    <t>Total Produced and Purchased</t>
  </si>
  <si>
    <t>Total Other Water Used</t>
  </si>
  <si>
    <t>Losses:</t>
  </si>
  <si>
    <t xml:space="preserve">   WTP</t>
  </si>
  <si>
    <t xml:space="preserve">   Flushing</t>
  </si>
  <si>
    <t xml:space="preserve">   Fire</t>
  </si>
  <si>
    <t xml:space="preserve">   Other</t>
  </si>
  <si>
    <t xml:space="preserve">   Line Leaks</t>
  </si>
  <si>
    <t xml:space="preserve">   Unknown</t>
  </si>
  <si>
    <t>Total Losses:</t>
  </si>
  <si>
    <t>Sold, Used, and Lost</t>
  </si>
  <si>
    <t>Total Gross Wages</t>
  </si>
  <si>
    <t>Gross Wages for Full Time Employees CERS Eligible</t>
  </si>
  <si>
    <t xml:space="preserve">Materials </t>
  </si>
  <si>
    <t>New Meter Fees Collected</t>
  </si>
  <si>
    <t>DISTRICT'S</t>
  </si>
  <si>
    <t>Allowable</t>
  </si>
  <si>
    <t>EMPLOYEE</t>
  </si>
  <si>
    <t xml:space="preserve">WATER DIST </t>
  </si>
  <si>
    <t>ANNUAL</t>
  </si>
  <si>
    <t>Employer</t>
  </si>
  <si>
    <t>PREMIUM</t>
  </si>
  <si>
    <t>CONTRIB</t>
  </si>
  <si>
    <t>CONTRIB %</t>
  </si>
  <si>
    <t>Share</t>
  </si>
  <si>
    <t>Premium</t>
  </si>
  <si>
    <t>Structures and Improvements</t>
  </si>
  <si>
    <t>Water Treatment Equipment</t>
  </si>
  <si>
    <t>Source of Supply Plant</t>
  </si>
  <si>
    <t>Collecting &amp; Impounding Reservoirs</t>
  </si>
  <si>
    <t>Supply Mains</t>
  </si>
  <si>
    <t>``</t>
  </si>
  <si>
    <t>Pension</t>
  </si>
  <si>
    <t>Eligible</t>
  </si>
  <si>
    <t>Total Adjustment</t>
  </si>
  <si>
    <t>Monthly Surcharge Amount</t>
  </si>
  <si>
    <t>CURRENT AND PROPOSED BILLS</t>
  </si>
  <si>
    <t>/ Number of Bills</t>
  </si>
  <si>
    <t>Contractual Services - Accounting</t>
  </si>
  <si>
    <t>Contractual Services - Management</t>
  </si>
  <si>
    <t>Contractual Services - Other</t>
  </si>
  <si>
    <t>Insurance - General Liability</t>
  </si>
  <si>
    <t xml:space="preserve">   Tank Overflows</t>
  </si>
  <si>
    <t xml:space="preserve">   Line Breaks</t>
  </si>
  <si>
    <t>CURRENT BILLING ANALYSIS</t>
  </si>
  <si>
    <t>Summary</t>
  </si>
  <si>
    <t>Customer Class</t>
  </si>
  <si>
    <t># of Bills</t>
  </si>
  <si>
    <t>Gallons Sold</t>
  </si>
  <si>
    <t>Revenue</t>
  </si>
  <si>
    <t>First</t>
  </si>
  <si>
    <t>Over</t>
  </si>
  <si>
    <t>Usage</t>
  </si>
  <si>
    <t>Bills</t>
  </si>
  <si>
    <t>REVENUE BY RATE INCREMENT</t>
  </si>
  <si>
    <t xml:space="preserve">Rate </t>
  </si>
  <si>
    <t>Less Adjustments</t>
  </si>
  <si>
    <t>Costs Subject to Water Loss Adjustment</t>
  </si>
  <si>
    <t>Computation of Water Loss Surcharge</t>
  </si>
  <si>
    <t>Net Retail</t>
  </si>
  <si>
    <t>Adjustment to SAO Billed Retail Revenues</t>
  </si>
  <si>
    <t>Computation of Adjustment:</t>
  </si>
  <si>
    <t>Monthly Water Rates:</t>
  </si>
  <si>
    <t>Minimum Bill</t>
  </si>
  <si>
    <t>All Over</t>
  </si>
  <si>
    <t>Block</t>
  </si>
  <si>
    <t>Second</t>
  </si>
  <si>
    <t>CONSUMPTION BY RATE INCREMENT</t>
  </si>
  <si>
    <t>PROPOSED BILLING ANALYSIS</t>
  </si>
  <si>
    <t>No</t>
  </si>
  <si>
    <t>Contractual Labor and Materials Adjustment for New Service Installations</t>
  </si>
  <si>
    <t>Less: District's Annual Premium</t>
  </si>
  <si>
    <t>Reference</t>
  </si>
  <si>
    <t>Black Mountain Utility District</t>
  </si>
  <si>
    <t>BLACK MOUNTAIN UTILITY DISTRICT</t>
  </si>
  <si>
    <t>Division 1</t>
  </si>
  <si>
    <t>Division 2</t>
  </si>
  <si>
    <t>Wholesale Rate and Leak Adjustment Rate</t>
  </si>
  <si>
    <t>All Gallons</t>
  </si>
  <si>
    <t>2,000 Gallons</t>
  </si>
  <si>
    <t>Per 1,000 Gallons</t>
  </si>
  <si>
    <t>Monthly Surcharge</t>
  </si>
  <si>
    <t>Per Connection</t>
  </si>
  <si>
    <t>Totak Metered Retail Sales</t>
  </si>
  <si>
    <t>Revenue Requirement</t>
  </si>
  <si>
    <t>Net Sales</t>
  </si>
  <si>
    <t>G Cooper</t>
  </si>
  <si>
    <t>D Blevins</t>
  </si>
  <si>
    <t>M Fuson</t>
  </si>
  <si>
    <t>C Green / M Hatmaker</t>
  </si>
  <si>
    <t>A Noe / H Leitch</t>
  </si>
  <si>
    <t>D Smith</t>
  </si>
  <si>
    <t>O York / K Skidmore</t>
  </si>
  <si>
    <t>R Hall / J Teague</t>
  </si>
  <si>
    <t>M Brewer / M Sutherby</t>
  </si>
  <si>
    <t>various</t>
  </si>
  <si>
    <t>Correct misclassification of employee insurance.</t>
  </si>
  <si>
    <t>2020 General Ledger Account 5018</t>
  </si>
  <si>
    <t>Correction to match audit records.</t>
  </si>
  <si>
    <t>File Depreciation 2020 Tab Auditor Cell J138</t>
  </si>
  <si>
    <t>Adjust to allowed depreciable lives.</t>
  </si>
  <si>
    <t>Tab Depreciation Cell K44</t>
  </si>
  <si>
    <t>Correct misclassification of vehicle maintenance.</t>
  </si>
  <si>
    <t>2020 General Ledger Account 5058</t>
  </si>
  <si>
    <t>General Ledger Account 4005</t>
  </si>
  <si>
    <t>Adjust reported revenues to current billing analysis.</t>
  </si>
  <si>
    <t>Bank Letter of Credit*</t>
  </si>
  <si>
    <t>*Letter of Credit Debt Service if Converted to Five Year Loan assuming $100,000 Principal and 4% Interest payable at each year end.</t>
  </si>
  <si>
    <t>Tab ExBA Cell H8</t>
  </si>
  <si>
    <t>File Trial Balance Tab Auditor Cell K123</t>
  </si>
  <si>
    <t>Single</t>
  </si>
  <si>
    <t>Two Person</t>
  </si>
  <si>
    <t>Single + Dependent</t>
  </si>
  <si>
    <t>Family</t>
  </si>
  <si>
    <t>Single + Dependents</t>
  </si>
  <si>
    <t>NUMBER OF PARTICIPANTS</t>
  </si>
  <si>
    <t>Adjust to allowable medical insurance allowable employer premium.</t>
  </si>
  <si>
    <t>Tab Medical Cell C18</t>
  </si>
  <si>
    <t>Bill**</t>
  </si>
  <si>
    <t>Medical and Dental Insurance Adjustment</t>
  </si>
  <si>
    <t>MEDICAL INSURANCE</t>
  </si>
  <si>
    <t>TOTAL MEDICAL INSURANCE</t>
  </si>
  <si>
    <t>DENTAL INSURANCE</t>
  </si>
  <si>
    <t>TOTAL DENTAL INSURANCE</t>
  </si>
  <si>
    <t>Allowable Employer Medical Premium</t>
  </si>
  <si>
    <t>Allowable Employer Dental Premium</t>
  </si>
  <si>
    <t>Total Allowable Annual Premium</t>
  </si>
  <si>
    <t>KIA C04-01</t>
  </si>
  <si>
    <t>KIA F209-10</t>
  </si>
  <si>
    <t>RD 91-01</t>
  </si>
  <si>
    <t>RD 91-02</t>
  </si>
  <si>
    <t>RD 91-05</t>
  </si>
  <si>
    <t>RD 91-10</t>
  </si>
  <si>
    <t>RD 91-12</t>
  </si>
  <si>
    <t>RD 91-15</t>
  </si>
  <si>
    <t>RD-91-08</t>
  </si>
  <si>
    <t xml:space="preserve"> REVENUE REQUIREMENTS USING OPERATING RATIO METHOD </t>
  </si>
  <si>
    <t>Divided by:  Operating Ratio</t>
  </si>
  <si>
    <t xml:space="preserve">  Subtotal</t>
  </si>
  <si>
    <t>Interest Expense</t>
  </si>
  <si>
    <t>REVENUE REQUIREMENTS USING DEBT SERVICE COVERAGE METHOD</t>
  </si>
  <si>
    <t>Interest Only</t>
  </si>
  <si>
    <t>Average Interest Only</t>
  </si>
  <si>
    <t>TABLE C USING DEBT SERVICE COVERAGE METHOD</t>
  </si>
  <si>
    <t>TABLE D USING DEBT SERVICE COVERAGE METHOD</t>
  </si>
  <si>
    <t>CURRENT AND PROPOSED BILLS WITH WATER LOSS SURCHARGE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</si>
  <si>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</si>
  <si>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</si>
  <si>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</si>
  <si>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</si>
  <si>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</si>
  <si>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</si>
  <si>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</si>
  <si>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</si>
  <si>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</si>
  <si>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Average annual debt service over next five years.</t>
  </si>
  <si>
    <t>Twenty percent of average annual debt service.</t>
  </si>
  <si>
    <t>Tab Debt Service Cell M25</t>
  </si>
  <si>
    <t>Tab Debt Service Cell M27</t>
  </si>
  <si>
    <t>Tab Debt Service Cell M39</t>
  </si>
  <si>
    <t>Average annual interest over next five years.</t>
  </si>
  <si>
    <t>J</t>
  </si>
  <si>
    <t>Tab Wages Cell G23</t>
  </si>
  <si>
    <t>K</t>
  </si>
  <si>
    <t>M</t>
  </si>
  <si>
    <t>Correct misclassification of forfeited discounts</t>
  </si>
  <si>
    <t>File Trial Balance Tab Auditor Cell K117</t>
  </si>
  <si>
    <t>File Trial Balance Tab Auditor Cell G117</t>
  </si>
  <si>
    <t>Adjust to Forfeited Discounts to 2019 level.</t>
  </si>
  <si>
    <t>L</t>
  </si>
  <si>
    <t>Correct misclassification of payroll taxes.</t>
  </si>
  <si>
    <t>Adjust payroll taxes to reflect changes in employees.</t>
  </si>
  <si>
    <t>Adjust wages to reflect changes in employees.</t>
  </si>
  <si>
    <t>Less PSC Annual Report</t>
  </si>
  <si>
    <t>Plus correction of grant revenue.</t>
  </si>
  <si>
    <t>Plus correction of forfeited discounts</t>
  </si>
  <si>
    <t>N</t>
  </si>
  <si>
    <t>Adjust to allowable water loss.</t>
  </si>
  <si>
    <t>Tab Water Loss Cell D29</t>
  </si>
  <si>
    <t>Tab Water Loss Cell D30</t>
  </si>
  <si>
    <t xml:space="preserve">Labor </t>
  </si>
  <si>
    <t>Adjust labor portion of tapping fees.</t>
  </si>
  <si>
    <t>Tab Capital Cell C5</t>
  </si>
  <si>
    <t>Adjust materials portion of tapping fees.</t>
  </si>
  <si>
    <t>Tab Capital Cell C6</t>
  </si>
  <si>
    <t>File Trial Balance Tab Auditor Cell K145</t>
  </si>
  <si>
    <t>Tab SAO Cell D20</t>
  </si>
  <si>
    <t>Plus: Correction of Misclassification of Payroll Taxes</t>
  </si>
  <si>
    <t>Tab SAO Cell E20</t>
  </si>
  <si>
    <t>Less: Correction of Misclassification of Payroll Taxes</t>
  </si>
  <si>
    <t>O</t>
  </si>
  <si>
    <t>TABLE E USING DEBT SERVICE COVERAGE METHOD</t>
  </si>
  <si>
    <t>Retail Rates</t>
  </si>
  <si>
    <t>Water Loss Reduction Surcharge</t>
  </si>
  <si>
    <t>Per Bill</t>
  </si>
  <si>
    <t>APPENDIX A</t>
  </si>
  <si>
    <t>Miscellaneous Service Revenues</t>
  </si>
  <si>
    <t>Less Other Monthly Surcharge</t>
  </si>
  <si>
    <t>Leak Reduction Surcharge Computed</t>
  </si>
  <si>
    <t>Division 1 Leak Reduction Surcharge</t>
  </si>
  <si>
    <t>Division 2 Leak Reduction Surcharge</t>
  </si>
  <si>
    <t>BLACK MOUNTAIN UTILITY DISTRICT DIVISION 1</t>
  </si>
  <si>
    <t>BLACK MOUNTAIN UTILITY DISTRICT DIVISION 2</t>
  </si>
  <si>
    <t>** Includes Monthly Surcharge of $4.26.</t>
  </si>
  <si>
    <t>BLACK MOUNTAIN UTILITY DISTRICT DISTRICT 1</t>
  </si>
  <si>
    <t>BLACK MOUNTAIN UTILITY DISTRICT DISTRICT 2</t>
  </si>
  <si>
    <t>Bill***</t>
  </si>
  <si>
    <t>** Existing Bill includes monthly surcharge of $4.26.</t>
  </si>
  <si>
    <t>*** Proposed Bill includes monthly surcharge of $4.26 and temporary forty-eight month Water Loss Surcharge of $3.65.</t>
  </si>
  <si>
    <t>*** Proposed Bill includes temporary forty-eight month Water Loss Surcharge of $7.91.</t>
  </si>
  <si>
    <t>Remove grant as a recurring revenue item.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</si>
</sst>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mm/dd/yy;@"/>
    <numFmt numFmtId="169" formatCode="_([$$-409]* #,##0_);_([$$-409]* \(#,##0\);_([$$-409]* &quot;-&quot;??_);_(@_)"/>
    <numFmt numFmtId="170" formatCode="[$$-409]#,##0"/>
    <numFmt numFmtId="171" formatCode="_(&quot;$&quot;* #,##0.00000_);_(&quot;$&quot;* \(#,##0.00000\);_(&quot;$&quot;* &quot;-&quot;??_);_(@_)"/>
  </numFmts>
  <fonts count="28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b/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341">
    <xf numFmtId="0" fontId="0" fillId="0" borderId="0" xfId="0"/>
    <xf numFmtId="0" fontId="6" fillId="0" borderId="0" xfId="0" applyFont="1"/>
    <xf numFmtId="165" fontId="6" fillId="0" borderId="0" xfId="0" applyNumberFormat="1" applyFont="1"/>
    <xf numFmtId="3" fontId="6" fillId="0" borderId="0" xfId="0" applyNumberFormat="1" applyFont="1"/>
    <xf numFmtId="0" fontId="0" fillId="0" borderId="6" xfId="0" applyBorder="1"/>
    <xf numFmtId="165" fontId="6" fillId="0" borderId="1" xfId="1" applyNumberFormat="1" applyFont="1" applyBorder="1"/>
    <xf numFmtId="165" fontId="6" fillId="0" borderId="0" xfId="1" applyNumberFormat="1" applyFont="1" applyBorder="1"/>
    <xf numFmtId="165" fontId="6" fillId="0" borderId="0" xfId="1" applyNumberFormat="1" applyFont="1"/>
    <xf numFmtId="165" fontId="6" fillId="0" borderId="3" xfId="1" applyNumberFormat="1" applyFont="1" applyBorder="1"/>
    <xf numFmtId="165" fontId="6" fillId="0" borderId="2" xfId="1" applyNumberFormat="1" applyFont="1" applyBorder="1"/>
    <xf numFmtId="165" fontId="6" fillId="0" borderId="4" xfId="1" applyNumberFormat="1" applyFont="1" applyBorder="1"/>
    <xf numFmtId="165" fontId="6" fillId="0" borderId="7" xfId="1" applyNumberFormat="1" applyFont="1" applyBorder="1"/>
    <xf numFmtId="165" fontId="6" fillId="0" borderId="8" xfId="1" applyNumberFormat="1" applyFont="1" applyBorder="1"/>
    <xf numFmtId="165" fontId="6" fillId="0" borderId="5" xfId="1" applyNumberFormat="1" applyFont="1" applyBorder="1"/>
    <xf numFmtId="165" fontId="6" fillId="0" borderId="6" xfId="1" applyNumberFormat="1" applyFont="1" applyBorder="1"/>
    <xf numFmtId="43" fontId="6" fillId="0" borderId="0" xfId="1" applyFont="1"/>
    <xf numFmtId="165" fontId="12" fillId="0" borderId="0" xfId="1" applyNumberFormat="1" applyFont="1" applyBorder="1" applyAlignment="1">
      <alignment horizontal="center"/>
    </xf>
    <xf numFmtId="43" fontId="6" fillId="0" borderId="0" xfId="1" applyFont="1" applyBorder="1"/>
    <xf numFmtId="165" fontId="6" fillId="0" borderId="0" xfId="5" applyNumberFormat="1" applyFont="1"/>
    <xf numFmtId="3" fontId="6" fillId="0" borderId="0" xfId="0" applyNumberFormat="1" applyFont="1" applyAlignment="1">
      <alignment horizontal="right"/>
    </xf>
    <xf numFmtId="165" fontId="6" fillId="0" borderId="7" xfId="5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5" applyNumberFormat="1" applyFont="1" applyBorder="1"/>
    <xf numFmtId="165" fontId="12" fillId="0" borderId="0" xfId="1" applyNumberFormat="1" applyFont="1"/>
    <xf numFmtId="167" fontId="11" fillId="0" borderId="0" xfId="5" applyNumberFormat="1" applyFont="1" applyBorder="1" applyAlignment="1">
      <alignment horizontal="center"/>
    </xf>
    <xf numFmtId="43" fontId="6" fillId="0" borderId="0" xfId="1" applyFont="1" applyBorder="1" applyAlignment="1"/>
    <xf numFmtId="43" fontId="6" fillId="0" borderId="0" xfId="1" applyFont="1" applyBorder="1" applyAlignment="1">
      <alignment horizontal="right"/>
    </xf>
    <xf numFmtId="44" fontId="6" fillId="0" borderId="0" xfId="2" applyFont="1" applyBorder="1" applyAlignment="1"/>
    <xf numFmtId="44" fontId="6" fillId="0" borderId="0" xfId="2" applyFont="1" applyBorder="1" applyAlignment="1">
      <alignment vertical="center"/>
    </xf>
    <xf numFmtId="165" fontId="6" fillId="0" borderId="1" xfId="0" applyNumberFormat="1" applyFont="1" applyBorder="1"/>
    <xf numFmtId="164" fontId="6" fillId="0" borderId="0" xfId="6" applyNumberFormat="1" applyFont="1"/>
    <xf numFmtId="165" fontId="9" fillId="0" borderId="0" xfId="1" applyNumberFormat="1" applyFont="1"/>
    <xf numFmtId="165" fontId="12" fillId="0" borderId="8" xfId="1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43" fontId="6" fillId="0" borderId="8" xfId="1" quotePrefix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1" xfId="1" applyFont="1" applyBorder="1"/>
    <xf numFmtId="166" fontId="6" fillId="0" borderId="8" xfId="3" applyNumberFormat="1" applyFont="1" applyBorder="1"/>
    <xf numFmtId="165" fontId="6" fillId="2" borderId="0" xfId="1" applyNumberFormat="1" applyFont="1" applyFill="1" applyBorder="1"/>
    <xf numFmtId="43" fontId="6" fillId="2" borderId="8" xfId="1" quotePrefix="1" applyFont="1" applyFill="1" applyBorder="1" applyAlignment="1">
      <alignment horizontal="center"/>
    </xf>
    <xf numFmtId="43" fontId="6" fillId="2" borderId="0" xfId="1" applyFont="1" applyFill="1" applyBorder="1"/>
    <xf numFmtId="166" fontId="6" fillId="2" borderId="8" xfId="3" applyNumberFormat="1" applyFont="1" applyFill="1" applyBorder="1"/>
    <xf numFmtId="165" fontId="16" fillId="0" borderId="0" xfId="1" applyNumberFormat="1" applyFont="1"/>
    <xf numFmtId="0" fontId="22" fillId="0" borderId="0" xfId="0" applyFont="1" applyAlignment="1">
      <alignment horizontal="center"/>
    </xf>
    <xf numFmtId="10" fontId="6" fillId="0" borderId="0" xfId="0" applyNumberFormat="1" applyFont="1"/>
    <xf numFmtId="44" fontId="6" fillId="0" borderId="0" xfId="2" applyFont="1" applyBorder="1"/>
    <xf numFmtId="165" fontId="6" fillId="0" borderId="0" xfId="5" quotePrefix="1" applyNumberFormat="1" applyFont="1"/>
    <xf numFmtId="0" fontId="6" fillId="0" borderId="7" xfId="0" applyFont="1" applyBorder="1"/>
    <xf numFmtId="165" fontId="19" fillId="0" borderId="0" xfId="1" applyNumberFormat="1" applyFont="1"/>
    <xf numFmtId="165" fontId="6" fillId="0" borderId="0" xfId="1" applyNumberFormat="1" applyFont="1" applyAlignment="1">
      <alignment horizontal="centerContinuous" vertical="center"/>
    </xf>
    <xf numFmtId="165" fontId="6" fillId="0" borderId="0" xfId="1" applyNumberFormat="1" applyFont="1" applyAlignment="1">
      <alignment vertical="center"/>
    </xf>
    <xf numFmtId="165" fontId="11" fillId="0" borderId="0" xfId="1" applyNumberFormat="1" applyFont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165" fontId="15" fillId="0" borderId="0" xfId="1" applyNumberFormat="1" applyFont="1" applyAlignment="1">
      <alignment vertical="center"/>
    </xf>
    <xf numFmtId="165" fontId="17" fillId="0" borderId="0" xfId="1" applyNumberFormat="1" applyFont="1" applyAlignment="1">
      <alignment vertical="center"/>
    </xf>
    <xf numFmtId="165" fontId="20" fillId="0" borderId="0" xfId="1" applyNumberFormat="1" applyFont="1" applyAlignment="1">
      <alignment vertical="center"/>
    </xf>
    <xf numFmtId="165" fontId="10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center"/>
    </xf>
    <xf numFmtId="165" fontId="15" fillId="0" borderId="0" xfId="1" applyNumberFormat="1" applyFont="1" applyAlignment="1">
      <alignment horizontal="left"/>
    </xf>
    <xf numFmtId="165" fontId="15" fillId="0" borderId="0" xfId="1" applyNumberFormat="1" applyFont="1" applyAlignment="1">
      <alignment horizontal="center"/>
    </xf>
    <xf numFmtId="165" fontId="13" fillId="0" borderId="0" xfId="1" quotePrefix="1" applyNumberFormat="1" applyFont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165" fontId="6" fillId="0" borderId="0" xfId="1" applyNumberFormat="1" applyFont="1" applyAlignment="1"/>
    <xf numFmtId="165" fontId="13" fillId="0" borderId="0" xfId="1" applyNumberFormat="1" applyFont="1" applyAlignment="1">
      <alignment vertical="center"/>
    </xf>
    <xf numFmtId="165" fontId="6" fillId="0" borderId="6" xfId="5" applyNumberFormat="1" applyFont="1" applyBorder="1"/>
    <xf numFmtId="165" fontId="6" fillId="0" borderId="0" xfId="5" applyNumberFormat="1" applyFont="1" applyBorder="1" applyAlignment="1">
      <alignment horizontal="center"/>
    </xf>
    <xf numFmtId="10" fontId="6" fillId="0" borderId="0" xfId="3" applyNumberFormat="1" applyFont="1" applyBorder="1"/>
    <xf numFmtId="10" fontId="6" fillId="2" borderId="0" xfId="3" applyNumberFormat="1" applyFont="1" applyFill="1" applyBorder="1"/>
    <xf numFmtId="165" fontId="6" fillId="0" borderId="8" xfId="5" applyNumberFormat="1" applyFont="1" applyBorder="1"/>
    <xf numFmtId="165" fontId="10" fillId="0" borderId="7" xfId="5" applyNumberFormat="1" applyFont="1" applyBorder="1" applyAlignment="1">
      <alignment horizontal="center"/>
    </xf>
    <xf numFmtId="165" fontId="6" fillId="0" borderId="0" xfId="1" applyNumberFormat="1" applyFont="1" applyBorder="1" applyAlignment="1">
      <alignment vertical="center"/>
    </xf>
    <xf numFmtId="165" fontId="12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165" fontId="12" fillId="0" borderId="0" xfId="1" applyNumberFormat="1" applyFont="1" applyAlignment="1">
      <alignment vertical="center"/>
    </xf>
    <xf numFmtId="165" fontId="6" fillId="0" borderId="3" xfId="5" applyNumberFormat="1" applyFont="1" applyBorder="1"/>
    <xf numFmtId="165" fontId="6" fillId="0" borderId="2" xfId="5" applyNumberFormat="1" applyFont="1" applyBorder="1"/>
    <xf numFmtId="165" fontId="6" fillId="0" borderId="4" xfId="5" applyNumberFormat="1" applyFont="1" applyBorder="1"/>
    <xf numFmtId="165" fontId="7" fillId="0" borderId="7" xfId="5" applyNumberFormat="1" applyFont="1" applyBorder="1" applyAlignment="1">
      <alignment horizontal="centerContinuous"/>
    </xf>
    <xf numFmtId="165" fontId="10" fillId="0" borderId="0" xfId="5" applyNumberFormat="1" applyFont="1" applyAlignment="1">
      <alignment horizontal="centerContinuous"/>
    </xf>
    <xf numFmtId="165" fontId="8" fillId="0" borderId="7" xfId="5" applyNumberFormat="1" applyFont="1" applyBorder="1" applyAlignment="1">
      <alignment horizontal="centerContinuous"/>
    </xf>
    <xf numFmtId="165" fontId="11" fillId="0" borderId="0" xfId="5" applyNumberFormat="1" applyFont="1" applyAlignment="1">
      <alignment horizontal="centerContinuous"/>
    </xf>
    <xf numFmtId="3" fontId="14" fillId="0" borderId="7" xfId="0" applyNumberFormat="1" applyFont="1" applyBorder="1" applyAlignment="1">
      <alignment horizontal="centerContinuous" vertical="center"/>
    </xf>
    <xf numFmtId="165" fontId="24" fillId="0" borderId="7" xfId="5" applyNumberFormat="1" applyFont="1" applyBorder="1" applyAlignment="1">
      <alignment horizontal="centerContinuous"/>
    </xf>
    <xf numFmtId="165" fontId="6" fillId="0" borderId="0" xfId="5" applyNumberFormat="1" applyFont="1" applyAlignment="1">
      <alignment horizontal="centerContinuous"/>
    </xf>
    <xf numFmtId="165" fontId="6" fillId="0" borderId="7" xfId="5" applyNumberFormat="1" applyFont="1" applyBorder="1" applyAlignment="1">
      <alignment horizontal="centerContinuous"/>
    </xf>
    <xf numFmtId="165" fontId="6" fillId="0" borderId="9" xfId="5" applyNumberFormat="1" applyFont="1" applyBorder="1" applyAlignment="1">
      <alignment horizontal="left"/>
    </xf>
    <xf numFmtId="165" fontId="6" fillId="0" borderId="3" xfId="5" applyNumberFormat="1" applyFont="1" applyBorder="1" applyAlignment="1">
      <alignment horizontal="left"/>
    </xf>
    <xf numFmtId="165" fontId="6" fillId="0" borderId="2" xfId="5" applyNumberFormat="1" applyFont="1" applyBorder="1" applyAlignment="1">
      <alignment horizontal="left"/>
    </xf>
    <xf numFmtId="165" fontId="6" fillId="0" borderId="4" xfId="5" applyNumberFormat="1" applyFont="1" applyBorder="1" applyAlignment="1">
      <alignment horizontal="left"/>
    </xf>
    <xf numFmtId="165" fontId="6" fillId="0" borderId="10" xfId="5" applyNumberFormat="1" applyFont="1" applyBorder="1"/>
    <xf numFmtId="165" fontId="13" fillId="0" borderId="0" xfId="5" applyNumberFormat="1" applyFont="1" applyAlignment="1">
      <alignment horizontal="center" vertical="center"/>
    </xf>
    <xf numFmtId="165" fontId="10" fillId="0" borderId="8" xfId="5" applyNumberFormat="1" applyFont="1" applyBorder="1" applyAlignment="1">
      <alignment horizontal="center" vertical="center"/>
    </xf>
    <xf numFmtId="165" fontId="10" fillId="0" borderId="0" xfId="5" applyNumberFormat="1" applyFont="1" applyAlignment="1">
      <alignment horizontal="center" vertical="center"/>
    </xf>
    <xf numFmtId="165" fontId="13" fillId="0" borderId="8" xfId="5" applyNumberFormat="1" applyFont="1" applyBorder="1" applyAlignment="1">
      <alignment horizontal="center" vertical="center"/>
    </xf>
    <xf numFmtId="165" fontId="13" fillId="0" borderId="0" xfId="5" applyNumberFormat="1" applyFont="1" applyBorder="1" applyAlignment="1">
      <alignment horizontal="center" vertical="center"/>
    </xf>
    <xf numFmtId="165" fontId="6" fillId="0" borderId="10" xfId="5" applyNumberFormat="1" applyFont="1" applyBorder="1" applyAlignment="1">
      <alignment horizontal="left"/>
    </xf>
    <xf numFmtId="165" fontId="6" fillId="0" borderId="7" xfId="5" applyNumberFormat="1" applyFont="1" applyBorder="1" applyAlignment="1">
      <alignment horizontal="center"/>
    </xf>
    <xf numFmtId="165" fontId="6" fillId="0" borderId="0" xfId="5" applyNumberFormat="1" applyFont="1" applyAlignment="1">
      <alignment horizontal="center"/>
    </xf>
    <xf numFmtId="165" fontId="6" fillId="0" borderId="8" xfId="5" applyNumberFormat="1" applyFont="1" applyBorder="1" applyAlignment="1">
      <alignment horizontal="center"/>
    </xf>
    <xf numFmtId="165" fontId="6" fillId="0" borderId="0" xfId="5" quotePrefix="1" applyNumberFormat="1" applyFont="1" applyBorder="1" applyAlignment="1">
      <alignment horizontal="center"/>
    </xf>
    <xf numFmtId="165" fontId="10" fillId="0" borderId="7" xfId="5" quotePrefix="1" applyNumberFormat="1" applyFont="1" applyBorder="1" applyAlignment="1">
      <alignment horizontal="left"/>
    </xf>
    <xf numFmtId="165" fontId="10" fillId="0" borderId="0" xfId="5" quotePrefix="1" applyNumberFormat="1" applyFont="1" applyAlignment="1">
      <alignment horizontal="left"/>
    </xf>
    <xf numFmtId="165" fontId="10" fillId="0" borderId="8" xfId="5" quotePrefix="1" applyNumberFormat="1" applyFont="1" applyBorder="1" applyAlignment="1">
      <alignment horizontal="left"/>
    </xf>
    <xf numFmtId="164" fontId="10" fillId="0" borderId="0" xfId="6" quotePrefix="1" applyNumberFormat="1" applyFont="1" applyBorder="1" applyAlignment="1">
      <alignment horizontal="left"/>
    </xf>
    <xf numFmtId="165" fontId="10" fillId="0" borderId="11" xfId="5" applyNumberFormat="1" applyFont="1" applyBorder="1" applyAlignment="1">
      <alignment horizontal="right"/>
    </xf>
    <xf numFmtId="165" fontId="10" fillId="0" borderId="5" xfId="5" applyNumberFormat="1" applyFont="1" applyBorder="1" applyAlignment="1">
      <alignment horizontal="right"/>
    </xf>
    <xf numFmtId="165" fontId="10" fillId="0" borderId="1" xfId="5" applyNumberFormat="1" applyFont="1" applyBorder="1" applyAlignment="1">
      <alignment horizontal="right"/>
    </xf>
    <xf numFmtId="165" fontId="10" fillId="0" borderId="6" xfId="5" applyNumberFormat="1" applyFont="1" applyBorder="1" applyAlignment="1">
      <alignment horizontal="right"/>
    </xf>
    <xf numFmtId="165" fontId="10" fillId="0" borderId="8" xfId="5" applyNumberFormat="1" applyFont="1" applyBorder="1" applyAlignment="1">
      <alignment horizontal="right"/>
    </xf>
    <xf numFmtId="165" fontId="10" fillId="0" borderId="7" xfId="5" applyNumberFormat="1" applyFont="1" applyBorder="1" applyAlignment="1">
      <alignment horizontal="right"/>
    </xf>
    <xf numFmtId="165" fontId="10" fillId="0" borderId="0" xfId="5" applyNumberFormat="1" applyFont="1" applyAlignment="1">
      <alignment horizontal="right"/>
    </xf>
    <xf numFmtId="165" fontId="10" fillId="0" borderId="2" xfId="5" applyNumberFormat="1" applyFont="1" applyBorder="1" applyAlignment="1">
      <alignment horizontal="right"/>
    </xf>
    <xf numFmtId="165" fontId="10" fillId="0" borderId="7" xfId="5" applyNumberFormat="1" applyFont="1" applyBorder="1"/>
    <xf numFmtId="164" fontId="10" fillId="0" borderId="0" xfId="6" applyNumberFormat="1" applyFont="1"/>
    <xf numFmtId="165" fontId="10" fillId="0" borderId="0" xfId="5" applyNumberFormat="1" applyFont="1"/>
    <xf numFmtId="165" fontId="10" fillId="0" borderId="0" xfId="5" applyNumberFormat="1" applyFont="1" applyBorder="1"/>
    <xf numFmtId="164" fontId="10" fillId="0" borderId="0" xfId="6" applyNumberFormat="1" applyFont="1" applyBorder="1"/>
    <xf numFmtId="165" fontId="6" fillId="0" borderId="5" xfId="5" applyNumberFormat="1" applyFont="1" applyBorder="1" applyAlignment="1">
      <alignment horizontal="center"/>
    </xf>
    <xf numFmtId="165" fontId="6" fillId="0" borderId="1" xfId="5" applyNumberFormat="1" applyFont="1" applyBorder="1" applyAlignment="1">
      <alignment horizontal="center"/>
    </xf>
    <xf numFmtId="0" fontId="6" fillId="0" borderId="3" xfId="0" applyFont="1" applyBorder="1"/>
    <xf numFmtId="0" fontId="6" fillId="0" borderId="5" xfId="0" applyFont="1" applyBorder="1"/>
    <xf numFmtId="3" fontId="6" fillId="0" borderId="2" xfId="0" applyNumberFormat="1" applyFont="1" applyBorder="1"/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/>
    <xf numFmtId="3" fontId="10" fillId="0" borderId="0" xfId="0" applyNumberFormat="1" applyFont="1"/>
    <xf numFmtId="3" fontId="6" fillId="0" borderId="1" xfId="0" applyNumberFormat="1" applyFont="1" applyBorder="1"/>
    <xf numFmtId="44" fontId="1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167" fontId="6" fillId="0" borderId="0" xfId="5" applyNumberFormat="1" applyFont="1" applyAlignment="1"/>
    <xf numFmtId="167" fontId="6" fillId="0" borderId="2" xfId="5" applyNumberFormat="1" applyFont="1" applyBorder="1"/>
    <xf numFmtId="167" fontId="6" fillId="0" borderId="0" xfId="5" applyNumberFormat="1" applyFont="1" applyBorder="1" applyAlignment="1"/>
    <xf numFmtId="167" fontId="6" fillId="0" borderId="0" xfId="5" applyNumberFormat="1" applyFont="1" applyBorder="1" applyAlignment="1">
      <alignment horizontal="center"/>
    </xf>
    <xf numFmtId="167" fontId="16" fillId="0" borderId="0" xfId="5" applyNumberFormat="1" applyFont="1" applyBorder="1" applyAlignment="1"/>
    <xf numFmtId="170" fontId="6" fillId="0" borderId="0" xfId="0" applyNumberFormat="1" applyFont="1"/>
    <xf numFmtId="169" fontId="10" fillId="0" borderId="0" xfId="0" applyNumberFormat="1" applyFont="1"/>
    <xf numFmtId="167" fontId="6" fillId="0" borderId="0" xfId="5" quotePrefix="1" applyNumberFormat="1" applyFont="1" applyBorder="1" applyAlignment="1">
      <alignment horizontal="center"/>
    </xf>
    <xf numFmtId="3" fontId="6" fillId="0" borderId="4" xfId="0" applyNumberFormat="1" applyFont="1" applyBorder="1"/>
    <xf numFmtId="3" fontId="6" fillId="0" borderId="8" xfId="0" applyNumberFormat="1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4" fontId="6" fillId="0" borderId="7" xfId="0" applyNumberFormat="1" applyFont="1" applyBorder="1"/>
    <xf numFmtId="0" fontId="6" fillId="0" borderId="0" xfId="0" applyFont="1" applyAlignment="1">
      <alignment vertical="top"/>
    </xf>
    <xf numFmtId="0" fontId="25" fillId="0" borderId="0" xfId="0" applyFont="1"/>
    <xf numFmtId="165" fontId="25" fillId="0" borderId="0" xfId="1" applyNumberFormat="1" applyFont="1"/>
    <xf numFmtId="43" fontId="6" fillId="0" borderId="0" xfId="1" applyFont="1" applyAlignment="1">
      <alignment horizontal="right"/>
    </xf>
    <xf numFmtId="10" fontId="6" fillId="0" borderId="1" xfId="3" applyNumberFormat="1" applyFont="1" applyBorder="1"/>
    <xf numFmtId="165" fontId="6" fillId="0" borderId="0" xfId="5" applyNumberFormat="1" applyFont="1" applyBorder="1" applyAlignment="1">
      <alignment horizontal="right"/>
    </xf>
    <xf numFmtId="165" fontId="6" fillId="0" borderId="0" xfId="1" applyNumberFormat="1" applyFont="1" applyFill="1" applyAlignment="1">
      <alignment vertical="center"/>
    </xf>
    <xf numFmtId="6" fontId="6" fillId="0" borderId="0" xfId="0" applyNumberFormat="1" applyFont="1"/>
    <xf numFmtId="9" fontId="6" fillId="0" borderId="0" xfId="0" applyNumberFormat="1" applyFont="1"/>
    <xf numFmtId="165" fontId="6" fillId="0" borderId="0" xfId="9" applyNumberFormat="1" applyFont="1" applyFill="1" applyBorder="1"/>
    <xf numFmtId="165" fontId="12" fillId="0" borderId="0" xfId="9" applyNumberFormat="1" applyFont="1" applyFill="1" applyBorder="1"/>
    <xf numFmtId="43" fontId="6" fillId="0" borderId="0" xfId="1" applyFont="1" applyFill="1" applyBorder="1"/>
    <xf numFmtId="166" fontId="6" fillId="0" borderId="0" xfId="3" applyNumberFormat="1" applyFont="1" applyFill="1" applyBorder="1"/>
    <xf numFmtId="44" fontId="6" fillId="0" borderId="0" xfId="0" applyNumberFormat="1" applyFont="1"/>
    <xf numFmtId="44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9" fontId="6" fillId="0" borderId="0" xfId="3" applyFont="1" applyFill="1" applyBorder="1" applyAlignment="1">
      <alignment horizontal="right"/>
    </xf>
    <xf numFmtId="44" fontId="21" fillId="0" borderId="0" xfId="0" applyNumberFormat="1" applyFont="1" applyAlignment="1">
      <alignment horizontal="right"/>
    </xf>
    <xf numFmtId="44" fontId="6" fillId="0" borderId="0" xfId="10" applyFont="1" applyFill="1" applyBorder="1" applyAlignment="1">
      <alignment horizontal="right"/>
    </xf>
    <xf numFmtId="44" fontId="6" fillId="0" borderId="1" xfId="0" applyNumberFormat="1" applyFont="1" applyBorder="1" applyAlignment="1">
      <alignment horizontal="right"/>
    </xf>
    <xf numFmtId="166" fontId="6" fillId="0" borderId="0" xfId="3" applyNumberFormat="1" applyFont="1" applyFill="1" applyBorder="1" applyAlignment="1">
      <alignment horizontal="right"/>
    </xf>
    <xf numFmtId="166" fontId="10" fillId="0" borderId="0" xfId="3" applyNumberFormat="1" applyFont="1" applyFill="1" applyBorder="1" applyAlignment="1">
      <alignment horizontal="right"/>
    </xf>
    <xf numFmtId="9" fontId="22" fillId="0" borderId="0" xfId="4" applyNumberFormat="1" applyFont="1" applyAlignment="1">
      <alignment horizontal="right"/>
    </xf>
    <xf numFmtId="9" fontId="6" fillId="0" borderId="0" xfId="9" applyNumberFormat="1" applyFont="1" applyFill="1" applyBorder="1" applyAlignment="1">
      <alignment horizontal="right"/>
    </xf>
    <xf numFmtId="9" fontId="12" fillId="0" borderId="0" xfId="9" applyNumberFormat="1" applyFont="1" applyFill="1" applyBorder="1" applyAlignment="1">
      <alignment horizontal="right"/>
    </xf>
    <xf numFmtId="9" fontId="22" fillId="0" borderId="0" xfId="3" applyFont="1" applyFill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6" fillId="0" borderId="0" xfId="3" applyNumberFormat="1" applyFont="1" applyFill="1" applyBorder="1" applyAlignment="1">
      <alignment horizontal="right"/>
    </xf>
    <xf numFmtId="44" fontId="22" fillId="0" borderId="0" xfId="0" applyNumberFormat="1" applyFont="1" applyAlignment="1">
      <alignment horizontal="right"/>
    </xf>
    <xf numFmtId="44" fontId="6" fillId="0" borderId="0" xfId="9" applyNumberFormat="1" applyFont="1" applyFill="1" applyBorder="1" applyAlignment="1">
      <alignment horizontal="right"/>
    </xf>
    <xf numFmtId="44" fontId="12" fillId="0" borderId="0" xfId="9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10" fillId="0" borderId="0" xfId="0" applyNumberFormat="1" applyFont="1" applyAlignment="1">
      <alignment horizontal="right"/>
    </xf>
    <xf numFmtId="167" fontId="6" fillId="0" borderId="1" xfId="5" applyNumberFormat="1" applyFont="1" applyBorder="1" applyAlignment="1">
      <alignment horizontal="right"/>
    </xf>
    <xf numFmtId="167" fontId="6" fillId="0" borderId="0" xfId="5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6" fillId="0" borderId="0" xfId="5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0" fontId="6" fillId="0" borderId="0" xfId="3" applyNumberFormat="1" applyFont="1" applyBorder="1" applyAlignment="1"/>
    <xf numFmtId="43" fontId="6" fillId="0" borderId="0" xfId="1" applyFont="1" applyBorder="1" applyAlignment="1">
      <alignment vertical="center"/>
    </xf>
    <xf numFmtId="44" fontId="6" fillId="0" borderId="0" xfId="1" applyNumberFormat="1" applyFont="1"/>
    <xf numFmtId="44" fontId="6" fillId="0" borderId="0" xfId="1" applyNumberFormat="1" applyFont="1" applyBorder="1"/>
    <xf numFmtId="44" fontId="6" fillId="0" borderId="1" xfId="0" applyNumberFormat="1" applyFont="1" applyBorder="1"/>
    <xf numFmtId="43" fontId="6" fillId="0" borderId="5" xfId="1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44" fontId="6" fillId="0" borderId="0" xfId="2" applyFont="1"/>
    <xf numFmtId="164" fontId="6" fillId="0" borderId="0" xfId="2" applyNumberFormat="1" applyFont="1"/>
    <xf numFmtId="164" fontId="6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/>
    </xf>
    <xf numFmtId="164" fontId="6" fillId="0" borderId="0" xfId="1" applyNumberFormat="1" applyFont="1"/>
    <xf numFmtId="164" fontId="6" fillId="0" borderId="1" xfId="1" applyNumberFormat="1" applyFont="1" applyBorder="1"/>
    <xf numFmtId="10" fontId="6" fillId="0" borderId="0" xfId="3" applyNumberFormat="1" applyFont="1" applyAlignment="1">
      <alignment vertical="top"/>
    </xf>
    <xf numFmtId="164" fontId="6" fillId="0" borderId="0" xfId="0" applyNumberFormat="1" applyFont="1"/>
    <xf numFmtId="164" fontId="6" fillId="0" borderId="1" xfId="1" applyNumberFormat="1" applyFont="1" applyBorder="1" applyAlignment="1">
      <alignment horizontal="right" vertical="center"/>
    </xf>
    <xf numFmtId="10" fontId="6" fillId="0" borderId="0" xfId="3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44" fontId="6" fillId="0" borderId="0" xfId="0" applyNumberFormat="1" applyFont="1" applyAlignment="1">
      <alignment horizontal="right" wrapText="1"/>
    </xf>
    <xf numFmtId="166" fontId="6" fillId="0" borderId="0" xfId="3" applyNumberFormat="1" applyFont="1" applyFill="1" applyBorder="1" applyAlignment="1">
      <alignment horizontal="right" wrapText="1"/>
    </xf>
    <xf numFmtId="9" fontId="6" fillId="0" borderId="0" xfId="0" applyNumberFormat="1" applyFont="1" applyAlignment="1">
      <alignment horizontal="right" wrapText="1"/>
    </xf>
    <xf numFmtId="9" fontId="6" fillId="0" borderId="0" xfId="3" applyFont="1" applyFill="1" applyBorder="1" applyAlignment="1">
      <alignment horizontal="right" wrapText="1"/>
    </xf>
    <xf numFmtId="44" fontId="6" fillId="0" borderId="0" xfId="0" applyNumberFormat="1" applyFont="1" applyAlignment="1">
      <alignment wrapText="1"/>
    </xf>
    <xf numFmtId="43" fontId="6" fillId="0" borderId="1" xfId="1" applyFont="1" applyFill="1" applyBorder="1"/>
    <xf numFmtId="165" fontId="6" fillId="0" borderId="0" xfId="1" applyNumberFormat="1" applyFont="1" applyFill="1"/>
    <xf numFmtId="165" fontId="6" fillId="0" borderId="2" xfId="1" applyNumberFormat="1" applyFont="1" applyFill="1" applyBorder="1"/>
    <xf numFmtId="165" fontId="6" fillId="0" borderId="1" xfId="1" applyNumberFormat="1" applyFont="1" applyFill="1" applyBorder="1"/>
    <xf numFmtId="3" fontId="14" fillId="0" borderId="7" xfId="0" applyNumberFormat="1" applyFont="1" applyBorder="1" applyAlignment="1">
      <alignment horizontal="center" vertical="center"/>
    </xf>
    <xf numFmtId="165" fontId="12" fillId="0" borderId="7" xfId="1" applyNumberFormat="1" applyFont="1" applyFill="1" applyBorder="1" applyAlignment="1">
      <alignment horizontal="center"/>
    </xf>
    <xf numFmtId="43" fontId="6" fillId="0" borderId="7" xfId="1" applyFont="1" applyFill="1" applyBorder="1"/>
    <xf numFmtId="165" fontId="12" fillId="0" borderId="0" xfId="1" applyNumberFormat="1" applyFont="1" applyFill="1" applyBorder="1" applyAlignment="1">
      <alignment horizontal="center"/>
    </xf>
    <xf numFmtId="43" fontId="6" fillId="2" borderId="7" xfId="1" applyFont="1" applyFill="1" applyBorder="1"/>
    <xf numFmtId="43" fontId="6" fillId="0" borderId="15" xfId="1" applyFont="1" applyBorder="1" applyAlignment="1"/>
    <xf numFmtId="43" fontId="6" fillId="0" borderId="16" xfId="1" applyFont="1" applyBorder="1" applyAlignment="1"/>
    <xf numFmtId="43" fontId="12" fillId="0" borderId="16" xfId="1" applyFont="1" applyBorder="1" applyAlignment="1">
      <alignment horizontal="center"/>
    </xf>
    <xf numFmtId="43" fontId="6" fillId="0" borderId="15" xfId="1" applyFont="1" applyBorder="1" applyAlignment="1">
      <alignment horizontal="right"/>
    </xf>
    <xf numFmtId="44" fontId="6" fillId="0" borderId="16" xfId="2" applyFont="1" applyBorder="1" applyAlignment="1"/>
    <xf numFmtId="43" fontId="6" fillId="0" borderId="17" xfId="1" applyFont="1" applyBorder="1" applyAlignment="1"/>
    <xf numFmtId="43" fontId="6" fillId="0" borderId="18" xfId="1" applyFont="1" applyBorder="1" applyAlignment="1"/>
    <xf numFmtId="10" fontId="6" fillId="0" borderId="18" xfId="3" applyNumberFormat="1" applyFont="1" applyBorder="1" applyAlignment="1">
      <alignment horizontal="center"/>
    </xf>
    <xf numFmtId="43" fontId="6" fillId="0" borderId="19" xfId="1" applyFont="1" applyBorder="1" applyAlignment="1"/>
    <xf numFmtId="164" fontId="2" fillId="0" borderId="0" xfId="2" applyNumberFormat="1" applyFont="1" applyBorder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171" fontId="6" fillId="0" borderId="0" xfId="2" applyNumberFormat="1" applyFont="1"/>
    <xf numFmtId="0" fontId="6" fillId="0" borderId="1" xfId="0" applyFont="1" applyBorder="1" applyAlignment="1">
      <alignment horizontal="right"/>
    </xf>
    <xf numFmtId="164" fontId="6" fillId="0" borderId="1" xfId="2" applyNumberFormat="1" applyFont="1" applyBorder="1"/>
    <xf numFmtId="0" fontId="6" fillId="0" borderId="1" xfId="0" applyFont="1" applyBorder="1" applyAlignment="1">
      <alignment horizontal="left" indent="1"/>
    </xf>
    <xf numFmtId="171" fontId="6" fillId="0" borderId="0" xfId="2" applyNumberFormat="1" applyFont="1" applyBorder="1"/>
    <xf numFmtId="164" fontId="6" fillId="0" borderId="1" xfId="1" applyNumberFormat="1" applyFont="1" applyFill="1" applyBorder="1" applyAlignment="1">
      <alignment horizontal="right" vertical="center"/>
    </xf>
    <xf numFmtId="43" fontId="6" fillId="0" borderId="15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right"/>
    </xf>
    <xf numFmtId="44" fontId="6" fillId="0" borderId="0" xfId="2" applyFont="1" applyFill="1" applyBorder="1" applyAlignment="1"/>
    <xf numFmtId="44" fontId="6" fillId="0" borderId="0" xfId="2" applyFont="1" applyFill="1" applyBorder="1" applyAlignment="1">
      <alignment vertical="center"/>
    </xf>
    <xf numFmtId="10" fontId="6" fillId="0" borderId="0" xfId="3" applyNumberFormat="1" applyFont="1" applyFill="1" applyBorder="1" applyAlignment="1">
      <alignment horizontal="center"/>
    </xf>
    <xf numFmtId="44" fontId="6" fillId="0" borderId="16" xfId="2" applyFont="1" applyFill="1" applyBorder="1" applyAlignment="1"/>
    <xf numFmtId="171" fontId="6" fillId="0" borderId="0" xfId="2" applyNumberFormat="1" applyFont="1" applyFill="1" applyBorder="1" applyAlignment="1"/>
    <xf numFmtId="0" fontId="6" fillId="0" borderId="0" xfId="0" quotePrefix="1" applyFont="1" applyAlignment="1">
      <alignment horizontal="center"/>
    </xf>
    <xf numFmtId="0" fontId="10" fillId="0" borderId="0" xfId="0" applyFont="1"/>
    <xf numFmtId="44" fontId="1" fillId="0" borderId="0" xfId="0" applyNumberFormat="1" applyFont="1" applyAlignment="1">
      <alignment horizontal="right"/>
    </xf>
    <xf numFmtId="0" fontId="6" fillId="0" borderId="0" xfId="1" applyNumberFormat="1" applyFont="1" applyAlignment="1">
      <alignment horizontal="left"/>
    </xf>
    <xf numFmtId="0" fontId="13" fillId="0" borderId="0" xfId="1" applyNumberFormat="1" applyFont="1" applyAlignment="1">
      <alignment horizontal="left"/>
    </xf>
    <xf numFmtId="43" fontId="12" fillId="0" borderId="0" xfId="1" applyFont="1" applyBorder="1" applyAlignment="1"/>
    <xf numFmtId="164" fontId="6" fillId="0" borderId="0" xfId="2" applyNumberFormat="1" applyFont="1" applyBorder="1"/>
    <xf numFmtId="164" fontId="6" fillId="0" borderId="0" xfId="2" applyNumberFormat="1" applyFont="1" applyAlignment="1">
      <alignment horizontal="center" vertical="center"/>
    </xf>
    <xf numFmtId="43" fontId="6" fillId="0" borderId="0" xfId="1" applyFont="1" applyAlignment="1">
      <alignment vertical="center"/>
    </xf>
    <xf numFmtId="165" fontId="12" fillId="0" borderId="0" xfId="1" applyNumberFormat="1" applyFont="1" applyFill="1" applyBorder="1" applyAlignment="1">
      <alignment vertical="center"/>
    </xf>
    <xf numFmtId="43" fontId="6" fillId="0" borderId="1" xfId="1" applyFont="1" applyBorder="1" applyAlignment="1">
      <alignment horizontal="right" vertical="center"/>
    </xf>
    <xf numFmtId="43" fontId="6" fillId="0" borderId="1" xfId="1" applyFont="1" applyBorder="1" applyAlignment="1">
      <alignment horizontal="right"/>
    </xf>
    <xf numFmtId="43" fontId="6" fillId="0" borderId="0" xfId="1" applyFont="1" applyAlignment="1">
      <alignment horizontal="right" vertical="center"/>
    </xf>
    <xf numFmtId="43" fontId="6" fillId="0" borderId="1" xfId="1" applyFont="1" applyBorder="1" applyAlignment="1">
      <alignment horizontal="right" indent="1"/>
    </xf>
    <xf numFmtId="43" fontId="6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6" fontId="6" fillId="0" borderId="0" xfId="3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44" fontId="6" fillId="0" borderId="1" xfId="0" applyNumberFormat="1" applyFont="1" applyBorder="1" applyAlignment="1">
      <alignment horizontal="right" wrapText="1"/>
    </xf>
    <xf numFmtId="165" fontId="12" fillId="0" borderId="0" xfId="1" applyNumberFormat="1" applyFont="1" applyFill="1" applyBorder="1"/>
    <xf numFmtId="9" fontId="9" fillId="0" borderId="0" xfId="3" applyFont="1" applyAlignment="1">
      <alignment vertical="center"/>
    </xf>
    <xf numFmtId="165" fontId="12" fillId="0" borderId="0" xfId="1" applyNumberFormat="1" applyFont="1" applyBorder="1"/>
    <xf numFmtId="10" fontId="6" fillId="0" borderId="0" xfId="3" applyNumberFormat="1" applyFont="1"/>
    <xf numFmtId="0" fontId="26" fillId="0" borderId="0" xfId="0" applyFont="1"/>
    <xf numFmtId="165" fontId="6" fillId="0" borderId="0" xfId="1" applyNumberFormat="1" applyFont="1" applyFill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0" fontId="6" fillId="0" borderId="0" xfId="1" applyNumberFormat="1" applyFont="1"/>
    <xf numFmtId="43" fontId="12" fillId="0" borderId="0" xfId="1" applyFont="1" applyFill="1" applyBorder="1"/>
    <xf numFmtId="165" fontId="10" fillId="0" borderId="0" xfId="1" applyNumberFormat="1" applyFont="1"/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43" fontId="7" fillId="0" borderId="15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16" xfId="1" applyFont="1" applyBorder="1" applyAlignment="1">
      <alignment horizontal="center"/>
    </xf>
    <xf numFmtId="43" fontId="27" fillId="0" borderId="15" xfId="1" applyFont="1" applyFill="1" applyBorder="1" applyAlignment="1">
      <alignment horizontal="center"/>
    </xf>
    <xf numFmtId="43" fontId="27" fillId="0" borderId="16" xfId="1" applyFont="1" applyFill="1" applyBorder="1" applyAlignment="1">
      <alignment horizontal="center"/>
    </xf>
    <xf numFmtId="165" fontId="6" fillId="0" borderId="0" xfId="1" applyNumberFormat="1" applyFont="1" applyAlignment="1">
      <alignment horizontal="left"/>
    </xf>
    <xf numFmtId="165" fontId="26" fillId="0" borderId="0" xfId="1" applyNumberFormat="1" applyFont="1"/>
    <xf numFmtId="44" fontId="26" fillId="0" borderId="1" xfId="0" applyNumberFormat="1" applyFont="1" applyBorder="1"/>
    <xf numFmtId="44" fontId="26" fillId="0" borderId="20" xfId="0" applyNumberFormat="1" applyFont="1" applyBorder="1"/>
    <xf numFmtId="44" fontId="6" fillId="0" borderId="21" xfId="0" applyNumberFormat="1" applyFont="1" applyBorder="1"/>
    <xf numFmtId="165" fontId="7" fillId="0" borderId="0" xfId="1" applyNumberFormat="1" applyFont="1" applyAlignment="1">
      <alignment horizontal="center" vertical="center"/>
    </xf>
    <xf numFmtId="165" fontId="1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7" fillId="0" borderId="0" xfId="1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167" fontId="11" fillId="0" borderId="0" xfId="5" applyNumberFormat="1" applyFont="1" applyBorder="1" applyAlignment="1">
      <alignment horizontal="center"/>
    </xf>
    <xf numFmtId="165" fontId="13" fillId="0" borderId="7" xfId="5" applyNumberFormat="1" applyFont="1" applyBorder="1" applyAlignment="1">
      <alignment horizontal="center" vertical="center"/>
    </xf>
    <xf numFmtId="165" fontId="13" fillId="0" borderId="8" xfId="5" applyNumberFormat="1" applyFont="1" applyBorder="1" applyAlignment="1">
      <alignment horizontal="center" vertical="center"/>
    </xf>
    <xf numFmtId="43" fontId="27" fillId="0" borderId="15" xfId="1" applyFont="1" applyFill="1" applyBorder="1" applyAlignment="1">
      <alignment horizontal="center"/>
    </xf>
    <xf numFmtId="43" fontId="27" fillId="0" borderId="0" xfId="1" applyFont="1" applyFill="1" applyBorder="1" applyAlignment="1">
      <alignment horizontal="center"/>
    </xf>
    <xf numFmtId="43" fontId="27" fillId="0" borderId="16" xfId="1" applyFont="1" applyFill="1" applyBorder="1" applyAlignment="1">
      <alignment horizontal="center"/>
    </xf>
    <xf numFmtId="3" fontId="27" fillId="0" borderId="15" xfId="0" applyNumberFormat="1" applyFont="1" applyBorder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43" fontId="6" fillId="0" borderId="15" xfId="1" applyFont="1" applyFill="1" applyBorder="1" applyAlignment="1">
      <alignment horizontal="right" wrapText="1"/>
    </xf>
    <xf numFmtId="43" fontId="6" fillId="0" borderId="0" xfId="1" applyFont="1" applyFill="1" applyBorder="1" applyAlignment="1">
      <alignment horizontal="right" wrapText="1"/>
    </xf>
    <xf numFmtId="43" fontId="7" fillId="0" borderId="15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43" fontId="7" fillId="0" borderId="16" xfId="1" applyFont="1" applyBorder="1" applyAlignment="1">
      <alignment horizontal="center"/>
    </xf>
    <xf numFmtId="43" fontId="12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43" fontId="7" fillId="0" borderId="12" xfId="1" applyFont="1" applyBorder="1" applyAlignment="1">
      <alignment horizontal="center"/>
    </xf>
    <xf numFmtId="43" fontId="7" fillId="0" borderId="13" xfId="1" applyFont="1" applyBorder="1" applyAlignment="1">
      <alignment horizontal="center"/>
    </xf>
    <xf numFmtId="43" fontId="7" fillId="0" borderId="14" xfId="1" applyFont="1" applyBorder="1" applyAlignment="1">
      <alignment horizontal="center"/>
    </xf>
    <xf numFmtId="3" fontId="23" fillId="0" borderId="15" xfId="0" applyNumberFormat="1" applyFont="1" applyBorder="1" applyAlignment="1">
      <alignment horizontal="center"/>
    </xf>
    <xf numFmtId="3" fontId="23" fillId="0" borderId="0" xfId="0" applyNumberFormat="1" applyFont="1" applyAlignment="1">
      <alignment horizontal="center"/>
    </xf>
    <xf numFmtId="3" fontId="23" fillId="0" borderId="16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43" fontId="9" fillId="0" borderId="15" xfId="1" applyFont="1" applyBorder="1" applyAlignment="1">
      <alignment horizontal="right" wrapText="1"/>
    </xf>
    <xf numFmtId="43" fontId="9" fillId="0" borderId="0" xfId="1" applyFont="1" applyBorder="1" applyAlignment="1">
      <alignment horizontal="right" wrapText="1"/>
    </xf>
    <xf numFmtId="3" fontId="14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7" fillId="0" borderId="8" xfId="1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7" fillId="0" borderId="7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1">
    <cellStyle name="Comma" xfId="1" builtinId="3"/>
    <cellStyle name="Comma 2" xfId="5" xr:uid="{00000000-0005-0000-0000-000001000000}"/>
    <cellStyle name="Comma 3" xfId="9" xr:uid="{00000000-0005-0000-0000-000002000000}"/>
    <cellStyle name="Currency" xfId="2" builtinId="4"/>
    <cellStyle name="Currency 2" xfId="6" xr:uid="{00000000-0005-0000-0000-000004000000}"/>
    <cellStyle name="Currency 3" xfId="10" xr:uid="{00000000-0005-0000-0000-000005000000}"/>
    <cellStyle name="Normal" xfId="0" builtinId="0"/>
    <cellStyle name="Normal 2" xfId="4" xr:uid="{00000000-0005-0000-0000-000007000000}"/>
    <cellStyle name="Normal 3" xfId="8" xr:uid="{00000000-0005-0000-0000-000008000000}"/>
    <cellStyle name="Percent" xfId="3" builtinId="5"/>
    <cellStyle name="Percent 2" xfId="7" xr:uid="{00000000-0005-0000-0000-00000A000000}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showGridLines="0" tabSelected="1" workbookViewId="0">
      <selection activeCell="K15" sqref="K15"/>
    </sheetView>
  </sheetViews>
  <sheetFormatPr defaultColWidth="8.77734375" defaultRowHeight="14.25" x14ac:dyDescent="0.45"/>
  <cols>
    <col min="1" max="1" width="3.609375" style="7" customWidth="1"/>
    <col min="2" max="2" width="2.609375" style="7" customWidth="1"/>
    <col min="3" max="3" width="30.609375" style="7" customWidth="1"/>
    <col min="4" max="4" width="11.33203125" style="7" customWidth="1"/>
    <col min="5" max="5" width="11.5546875" style="7" customWidth="1"/>
    <col min="6" max="6" width="5.33203125" style="7" customWidth="1"/>
    <col min="7" max="7" width="11.5546875" style="7" customWidth="1"/>
    <col min="8" max="8" width="3.609375" style="7" customWidth="1"/>
    <col min="9" max="11" width="11.33203125" style="7" customWidth="1"/>
    <col min="12" max="12" width="10.88671875" style="7" customWidth="1"/>
    <col min="13" max="13" width="8.77734375" style="7"/>
    <col min="14" max="14" width="8.77734375" style="256"/>
    <col min="15" max="16384" width="8.77734375" style="7"/>
  </cols>
  <sheetData>
    <row r="1" spans="1:14" ht="18" x14ac:dyDescent="0.45">
      <c r="A1" s="294" t="s">
        <v>27</v>
      </c>
      <c r="B1" s="294"/>
      <c r="C1" s="294"/>
      <c r="D1" s="294"/>
      <c r="E1" s="294"/>
      <c r="F1" s="294"/>
      <c r="G1" s="294"/>
      <c r="H1" s="53"/>
      <c r="I1" s="53"/>
      <c r="J1" s="53"/>
      <c r="K1" s="53"/>
    </row>
    <row r="2" spans="1:14" ht="15.75" x14ac:dyDescent="0.45">
      <c r="A2" s="295" t="s">
        <v>216</v>
      </c>
      <c r="B2" s="296"/>
      <c r="C2" s="296"/>
      <c r="D2" s="296"/>
      <c r="E2" s="296"/>
      <c r="F2" s="296"/>
      <c r="G2" s="296"/>
      <c r="H2" s="53"/>
      <c r="I2" s="53"/>
      <c r="J2" s="53"/>
      <c r="K2" s="53"/>
      <c r="L2" s="53"/>
    </row>
    <row r="3" spans="1:14" x14ac:dyDescent="0.45">
      <c r="A3" s="45"/>
      <c r="B3" s="52"/>
      <c r="C3" s="52"/>
      <c r="D3" s="52"/>
      <c r="E3" s="52"/>
      <c r="F3" s="52"/>
      <c r="G3" s="52"/>
      <c r="H3" s="53"/>
      <c r="I3" s="53"/>
      <c r="J3" s="53"/>
      <c r="K3" s="53"/>
    </row>
    <row r="4" spans="1:14" ht="16.5" x14ac:dyDescent="0.75">
      <c r="A4" s="53"/>
      <c r="B4" s="53"/>
      <c r="C4" s="53"/>
      <c r="D4" s="54" t="s">
        <v>28</v>
      </c>
      <c r="E4" s="54" t="s">
        <v>29</v>
      </c>
      <c r="F4" s="54" t="s">
        <v>30</v>
      </c>
      <c r="G4" s="54" t="s">
        <v>31</v>
      </c>
      <c r="H4" s="53"/>
      <c r="I4" s="67" t="s">
        <v>36</v>
      </c>
      <c r="J4" s="53"/>
      <c r="K4" s="53"/>
      <c r="N4" s="257" t="s">
        <v>215</v>
      </c>
    </row>
    <row r="5" spans="1:14" x14ac:dyDescent="0.45">
      <c r="A5" s="55" t="s">
        <v>13</v>
      </c>
      <c r="B5" s="53"/>
      <c r="C5" s="53"/>
      <c r="D5" s="53"/>
      <c r="F5" s="53"/>
      <c r="G5" s="53"/>
      <c r="H5" s="53"/>
      <c r="J5" s="53"/>
      <c r="K5" s="53"/>
    </row>
    <row r="6" spans="1:14" x14ac:dyDescent="0.45">
      <c r="A6" s="53"/>
      <c r="B6" s="53" t="s">
        <v>38</v>
      </c>
      <c r="C6" s="53"/>
      <c r="D6" s="53">
        <v>1787938</v>
      </c>
      <c r="E6" s="53">
        <f>-152927</f>
        <v>-152927</v>
      </c>
      <c r="F6" s="56" t="s">
        <v>289</v>
      </c>
      <c r="G6" s="53"/>
      <c r="H6" s="57"/>
      <c r="I6" s="53" t="s">
        <v>353</v>
      </c>
      <c r="J6" s="53"/>
      <c r="K6" s="53"/>
      <c r="N6" s="256" t="s">
        <v>252</v>
      </c>
    </row>
    <row r="7" spans="1:14" x14ac:dyDescent="0.45">
      <c r="A7" s="53"/>
      <c r="B7" s="53"/>
      <c r="C7" s="53"/>
      <c r="D7" s="53"/>
      <c r="E7" s="152">
        <v>-9186</v>
      </c>
      <c r="F7" s="56" t="s">
        <v>290</v>
      </c>
      <c r="G7" s="53"/>
      <c r="H7" s="57"/>
      <c r="I7" s="53" t="s">
        <v>308</v>
      </c>
      <c r="N7" s="256" t="s">
        <v>309</v>
      </c>
    </row>
    <row r="8" spans="1:14" x14ac:dyDescent="0.45">
      <c r="A8" s="53"/>
      <c r="B8" s="53"/>
      <c r="C8" s="53"/>
      <c r="D8" s="53"/>
      <c r="E8" s="152">
        <f>ExBA!H10</f>
        <v>5812.2039999999106</v>
      </c>
      <c r="F8" s="56" t="s">
        <v>291</v>
      </c>
      <c r="G8" s="53">
        <f>D6+E6+E7+E8</f>
        <v>1631637.2039999999</v>
      </c>
      <c r="H8" s="57"/>
      <c r="I8" s="53" t="s">
        <v>248</v>
      </c>
      <c r="J8" s="53"/>
      <c r="K8" s="53"/>
      <c r="N8" s="256" t="s">
        <v>251</v>
      </c>
    </row>
    <row r="9" spans="1:14" x14ac:dyDescent="0.45">
      <c r="A9" s="53"/>
      <c r="B9" s="53" t="s">
        <v>49</v>
      </c>
      <c r="C9" s="53"/>
      <c r="D9" s="53">
        <v>0</v>
      </c>
      <c r="E9" s="53"/>
      <c r="F9" s="56"/>
      <c r="G9" s="53">
        <f>D9+E9</f>
        <v>0</v>
      </c>
      <c r="H9" s="58"/>
      <c r="I9" s="51"/>
      <c r="J9" s="53"/>
      <c r="K9" s="53"/>
    </row>
    <row r="10" spans="1:14" x14ac:dyDescent="0.45">
      <c r="A10" s="53"/>
      <c r="B10" s="53" t="s">
        <v>14</v>
      </c>
      <c r="C10" s="53"/>
      <c r="D10" s="53">
        <v>0</v>
      </c>
      <c r="E10" s="53"/>
      <c r="F10" s="56"/>
      <c r="G10" s="53">
        <f>D10+E10</f>
        <v>0</v>
      </c>
      <c r="H10" s="57"/>
      <c r="I10" s="53"/>
      <c r="J10" s="53"/>
    </row>
    <row r="11" spans="1:14" x14ac:dyDescent="0.45">
      <c r="A11" s="53"/>
      <c r="B11" s="53" t="s">
        <v>15</v>
      </c>
      <c r="C11" s="53"/>
      <c r="D11" s="53"/>
      <c r="E11" s="53"/>
      <c r="F11" s="56"/>
      <c r="G11" s="53"/>
      <c r="H11" s="59"/>
      <c r="I11" s="53"/>
      <c r="J11" s="53"/>
      <c r="K11" s="53"/>
    </row>
    <row r="12" spans="1:14" x14ac:dyDescent="0.45">
      <c r="A12" s="53"/>
      <c r="B12" s="53"/>
      <c r="C12" s="53" t="s">
        <v>37</v>
      </c>
      <c r="D12" s="53">
        <v>0</v>
      </c>
      <c r="E12" s="53">
        <v>9186</v>
      </c>
      <c r="F12" s="56" t="s">
        <v>290</v>
      </c>
      <c r="G12" s="53"/>
      <c r="H12" s="57"/>
      <c r="I12" s="53" t="s">
        <v>308</v>
      </c>
      <c r="J12" s="53"/>
      <c r="K12" s="53"/>
      <c r="N12" s="256" t="s">
        <v>309</v>
      </c>
    </row>
    <row r="13" spans="1:14" x14ac:dyDescent="0.45">
      <c r="A13" s="53"/>
      <c r="B13" s="53"/>
      <c r="C13" s="53"/>
      <c r="D13" s="53"/>
      <c r="E13" s="53">
        <f>58935-9186</f>
        <v>49749</v>
      </c>
      <c r="F13" s="56" t="s">
        <v>291</v>
      </c>
      <c r="G13" s="53">
        <f>D12+E12+E13</f>
        <v>58935</v>
      </c>
      <c r="H13" s="57"/>
      <c r="I13" s="53" t="s">
        <v>311</v>
      </c>
      <c r="J13" s="53"/>
      <c r="K13" s="53"/>
      <c r="N13" s="256" t="s">
        <v>310</v>
      </c>
    </row>
    <row r="14" spans="1:14" x14ac:dyDescent="0.45">
      <c r="A14" s="53"/>
      <c r="C14" s="53" t="s">
        <v>16</v>
      </c>
      <c r="D14" s="53">
        <v>0</v>
      </c>
      <c r="E14" s="53"/>
      <c r="F14" s="56"/>
      <c r="G14" s="53">
        <f>D14+E14</f>
        <v>0</v>
      </c>
      <c r="H14" s="57"/>
      <c r="I14" s="53"/>
      <c r="J14" s="53"/>
      <c r="K14" s="53"/>
    </row>
    <row r="15" spans="1:14" ht="16.5" x14ac:dyDescent="0.45">
      <c r="A15" s="53"/>
      <c r="C15" s="53" t="s">
        <v>50</v>
      </c>
      <c r="D15" s="75">
        <v>0</v>
      </c>
      <c r="E15" s="53">
        <v>0</v>
      </c>
      <c r="F15" s="56"/>
      <c r="G15" s="75">
        <f>D15+E15</f>
        <v>0</v>
      </c>
      <c r="H15" s="58"/>
      <c r="I15" s="53"/>
      <c r="J15" s="53"/>
      <c r="K15" s="53"/>
    </row>
    <row r="16" spans="1:14" x14ac:dyDescent="0.45">
      <c r="A16" s="60" t="s">
        <v>17</v>
      </c>
      <c r="B16" s="53"/>
      <c r="C16" s="53"/>
      <c r="D16" s="53">
        <f>SUM(D6:D15)</f>
        <v>1787938</v>
      </c>
      <c r="E16" s="53"/>
      <c r="F16" s="56"/>
      <c r="G16" s="53">
        <f>SUM(G6:G15)</f>
        <v>1690572.2039999999</v>
      </c>
      <c r="H16" s="59"/>
      <c r="J16" s="53"/>
      <c r="K16" s="53"/>
    </row>
    <row r="17" spans="1:14" x14ac:dyDescent="0.45">
      <c r="A17" s="53"/>
      <c r="B17" s="53"/>
      <c r="C17" s="53"/>
      <c r="D17" s="53"/>
      <c r="E17" s="53"/>
      <c r="F17" s="56"/>
      <c r="G17" s="53"/>
      <c r="H17" s="59"/>
      <c r="I17" s="53"/>
      <c r="J17" s="53"/>
      <c r="K17" s="53"/>
    </row>
    <row r="18" spans="1:14" x14ac:dyDescent="0.45">
      <c r="A18" s="55" t="s">
        <v>18</v>
      </c>
      <c r="B18" s="53"/>
      <c r="C18" s="53"/>
      <c r="D18" s="53"/>
      <c r="E18" s="53"/>
      <c r="F18" s="56"/>
      <c r="G18" s="53"/>
      <c r="H18" s="59"/>
      <c r="I18" s="53"/>
      <c r="J18" s="53"/>
      <c r="K18" s="53"/>
    </row>
    <row r="19" spans="1:14" x14ac:dyDescent="0.45">
      <c r="A19" s="53"/>
      <c r="B19" s="53" t="s">
        <v>32</v>
      </c>
      <c r="C19" s="53"/>
      <c r="D19" s="53"/>
      <c r="E19" s="53"/>
      <c r="F19" s="56"/>
      <c r="G19" s="53"/>
      <c r="H19" s="59"/>
      <c r="I19" s="53"/>
      <c r="J19" s="53"/>
      <c r="K19" s="53"/>
    </row>
    <row r="20" spans="1:14" x14ac:dyDescent="0.45">
      <c r="A20" s="53"/>
      <c r="B20" s="53"/>
      <c r="C20" s="53" t="s">
        <v>2</v>
      </c>
      <c r="D20" s="53">
        <v>327268</v>
      </c>
      <c r="E20" s="152">
        <v>-25644</v>
      </c>
      <c r="F20" s="61" t="s">
        <v>292</v>
      </c>
      <c r="G20" s="53"/>
      <c r="H20" s="57"/>
      <c r="I20" s="7" t="s">
        <v>313</v>
      </c>
      <c r="N20" s="279" t="s">
        <v>328</v>
      </c>
    </row>
    <row r="21" spans="1:14" x14ac:dyDescent="0.45">
      <c r="A21" s="53"/>
      <c r="B21" s="53"/>
      <c r="C21" s="53"/>
      <c r="D21" s="53"/>
      <c r="E21" s="152">
        <f>-Capital!C5</f>
        <v>-1860</v>
      </c>
      <c r="F21" s="61" t="s">
        <v>333</v>
      </c>
      <c r="G21" s="53"/>
      <c r="H21" s="57"/>
      <c r="I21" s="7" t="s">
        <v>324</v>
      </c>
      <c r="N21" s="279" t="s">
        <v>325</v>
      </c>
    </row>
    <row r="22" spans="1:14" x14ac:dyDescent="0.45">
      <c r="A22" s="53"/>
      <c r="B22" s="53"/>
      <c r="C22" s="53"/>
      <c r="D22" s="53"/>
      <c r="E22" s="152">
        <f>Wages!G24</f>
        <v>-28070.260000000009</v>
      </c>
      <c r="F22" s="61" t="s">
        <v>293</v>
      </c>
      <c r="G22" s="53">
        <f>D20+E20+E21+E22</f>
        <v>271693.74</v>
      </c>
      <c r="H22" s="57"/>
      <c r="I22" s="53" t="s">
        <v>315</v>
      </c>
      <c r="J22" s="53"/>
      <c r="K22" s="53"/>
      <c r="N22" s="256" t="s">
        <v>305</v>
      </c>
    </row>
    <row r="23" spans="1:14" x14ac:dyDescent="0.45">
      <c r="A23" s="53"/>
      <c r="B23" s="53"/>
      <c r="C23" s="53" t="s">
        <v>3</v>
      </c>
      <c r="D23" s="53">
        <v>0</v>
      </c>
      <c r="E23" s="152"/>
      <c r="F23" s="56"/>
      <c r="G23" s="53">
        <f t="shared" ref="G23:G38" si="0">D23+E23</f>
        <v>0</v>
      </c>
      <c r="H23" s="57"/>
    </row>
    <row r="24" spans="1:14" x14ac:dyDescent="0.45">
      <c r="A24" s="53"/>
      <c r="B24" s="53"/>
      <c r="C24" s="152" t="s">
        <v>4</v>
      </c>
      <c r="D24" s="53">
        <v>5692</v>
      </c>
      <c r="E24" s="152">
        <v>84928</v>
      </c>
      <c r="F24" s="61" t="s">
        <v>295</v>
      </c>
      <c r="G24" s="53"/>
      <c r="H24" s="57"/>
      <c r="I24" s="53" t="s">
        <v>239</v>
      </c>
      <c r="J24" s="53"/>
      <c r="K24" s="53"/>
      <c r="N24" s="256" t="s">
        <v>240</v>
      </c>
    </row>
    <row r="25" spans="1:14" x14ac:dyDescent="0.45">
      <c r="A25" s="53"/>
      <c r="B25" s="53"/>
      <c r="C25" s="152"/>
      <c r="D25" s="53"/>
      <c r="E25" s="152">
        <f>Medical!C28</f>
        <v>-25403.570800000001</v>
      </c>
      <c r="F25" s="61" t="s">
        <v>296</v>
      </c>
      <c r="G25" s="53">
        <f>D24+E24+E25</f>
        <v>65216.429199999999</v>
      </c>
      <c r="H25" s="57"/>
      <c r="I25" s="53" t="s">
        <v>259</v>
      </c>
      <c r="J25" s="53"/>
      <c r="K25" s="53"/>
      <c r="N25" s="256" t="s">
        <v>260</v>
      </c>
    </row>
    <row r="26" spans="1:14" x14ac:dyDescent="0.45">
      <c r="A26" s="53"/>
      <c r="B26" s="53"/>
      <c r="C26" s="53" t="s">
        <v>5</v>
      </c>
      <c r="D26" s="53">
        <v>862185</v>
      </c>
      <c r="E26" s="152">
        <f>'Water Loss'!D29</f>
        <v>-283740.73897452286</v>
      </c>
      <c r="F26" s="61" t="s">
        <v>297</v>
      </c>
      <c r="G26" s="53">
        <f t="shared" si="0"/>
        <v>578444.2610254772</v>
      </c>
      <c r="H26" s="62"/>
      <c r="I26" s="7" t="s">
        <v>320</v>
      </c>
      <c r="N26" s="256" t="s">
        <v>321</v>
      </c>
    </row>
    <row r="27" spans="1:14" x14ac:dyDescent="0.45">
      <c r="A27" s="53"/>
      <c r="B27" s="53"/>
      <c r="C27" s="53" t="s">
        <v>6</v>
      </c>
      <c r="D27" s="53">
        <v>118900</v>
      </c>
      <c r="E27" s="53">
        <f>'Water Loss'!D30</f>
        <v>-39129.390866311485</v>
      </c>
      <c r="F27" s="61" t="s">
        <v>297</v>
      </c>
      <c r="G27" s="53">
        <f t="shared" si="0"/>
        <v>79770.609133688515</v>
      </c>
      <c r="H27" s="63"/>
      <c r="I27" s="7" t="s">
        <v>320</v>
      </c>
      <c r="J27" s="53"/>
      <c r="K27" s="53"/>
      <c r="N27" s="256" t="s">
        <v>322</v>
      </c>
    </row>
    <row r="28" spans="1:14" x14ac:dyDescent="0.45">
      <c r="A28" s="53"/>
      <c r="B28" s="53"/>
      <c r="C28" s="53" t="s">
        <v>68</v>
      </c>
      <c r="D28" s="53">
        <v>0</v>
      </c>
      <c r="E28" s="53"/>
      <c r="F28" s="61"/>
      <c r="G28" s="53">
        <f t="shared" si="0"/>
        <v>0</v>
      </c>
      <c r="H28" s="63"/>
      <c r="J28" s="53"/>
      <c r="K28" s="53"/>
    </row>
    <row r="29" spans="1:14" x14ac:dyDescent="0.45">
      <c r="A29" s="53"/>
      <c r="B29" s="53"/>
      <c r="C29" s="152" t="s">
        <v>7</v>
      </c>
      <c r="D29" s="53">
        <v>69748</v>
      </c>
      <c r="E29" s="53">
        <f>-Capital!C6</f>
        <v>-4340</v>
      </c>
      <c r="F29" s="61" t="s">
        <v>333</v>
      </c>
      <c r="G29" s="53">
        <f t="shared" si="0"/>
        <v>65408</v>
      </c>
      <c r="H29" s="57"/>
      <c r="I29" s="53" t="s">
        <v>326</v>
      </c>
      <c r="J29" s="53"/>
      <c r="K29" s="53"/>
      <c r="N29" s="256" t="s">
        <v>327</v>
      </c>
    </row>
    <row r="30" spans="1:14" x14ac:dyDescent="0.45">
      <c r="A30" s="53"/>
      <c r="B30" s="53"/>
      <c r="C30" s="53" t="s">
        <v>181</v>
      </c>
      <c r="D30" s="53">
        <v>17060</v>
      </c>
      <c r="E30" s="53"/>
      <c r="F30" s="61"/>
      <c r="G30" s="53">
        <f t="shared" si="0"/>
        <v>17060</v>
      </c>
      <c r="H30" s="57"/>
      <c r="I30" s="53"/>
      <c r="J30" s="53"/>
      <c r="K30" s="53"/>
    </row>
    <row r="31" spans="1:14" x14ac:dyDescent="0.45">
      <c r="A31" s="53"/>
      <c r="B31" s="53"/>
      <c r="C31" s="152" t="s">
        <v>182</v>
      </c>
      <c r="D31" s="53">
        <v>0</v>
      </c>
      <c r="E31" s="152"/>
      <c r="F31" s="61"/>
      <c r="G31" s="53">
        <f t="shared" si="0"/>
        <v>0</v>
      </c>
      <c r="H31" s="57"/>
      <c r="I31" s="53"/>
      <c r="J31" s="53"/>
      <c r="K31" s="53"/>
    </row>
    <row r="32" spans="1:14" x14ac:dyDescent="0.45">
      <c r="A32" s="53"/>
      <c r="B32" s="53"/>
      <c r="C32" s="152" t="s">
        <v>183</v>
      </c>
      <c r="D32" s="53">
        <v>17422</v>
      </c>
      <c r="E32" s="53"/>
      <c r="F32" s="61"/>
      <c r="G32" s="53">
        <f t="shared" si="0"/>
        <v>17422</v>
      </c>
      <c r="H32" s="57"/>
      <c r="I32" s="53"/>
      <c r="J32" s="53"/>
      <c r="K32" s="53"/>
    </row>
    <row r="33" spans="1:14" x14ac:dyDescent="0.45">
      <c r="A33" s="53"/>
      <c r="B33" s="53"/>
      <c r="C33" s="53" t="s">
        <v>51</v>
      </c>
      <c r="D33" s="53">
        <v>0</v>
      </c>
      <c r="E33" s="53"/>
      <c r="F33" s="61"/>
      <c r="G33" s="53">
        <f t="shared" si="0"/>
        <v>0</v>
      </c>
      <c r="H33" s="57"/>
      <c r="I33" s="53"/>
      <c r="J33" s="53"/>
      <c r="K33" s="53"/>
    </row>
    <row r="34" spans="1:14" x14ac:dyDescent="0.45">
      <c r="A34" s="53"/>
      <c r="B34" s="53"/>
      <c r="C34" s="53" t="s">
        <v>9</v>
      </c>
      <c r="D34" s="53">
        <v>26069</v>
      </c>
      <c r="E34" s="53">
        <v>15111</v>
      </c>
      <c r="F34" s="61" t="s">
        <v>304</v>
      </c>
      <c r="G34" s="53">
        <f t="shared" si="0"/>
        <v>41180</v>
      </c>
      <c r="H34" s="59"/>
      <c r="I34" s="53" t="s">
        <v>245</v>
      </c>
      <c r="J34" s="53"/>
      <c r="K34" s="53"/>
      <c r="N34" s="256" t="s">
        <v>246</v>
      </c>
    </row>
    <row r="35" spans="1:14" x14ac:dyDescent="0.45">
      <c r="A35" s="53"/>
      <c r="B35" s="53"/>
      <c r="C35" s="152" t="s">
        <v>184</v>
      </c>
      <c r="D35" s="53">
        <v>20309</v>
      </c>
      <c r="E35" s="53"/>
      <c r="F35" s="61"/>
      <c r="G35" s="53">
        <f t="shared" si="0"/>
        <v>20309</v>
      </c>
      <c r="H35" s="59"/>
      <c r="I35" s="53"/>
      <c r="J35" s="53"/>
      <c r="K35" s="53"/>
    </row>
    <row r="36" spans="1:14" x14ac:dyDescent="0.45">
      <c r="A36" s="53"/>
      <c r="B36" s="53"/>
      <c r="C36" s="53" t="s">
        <v>52</v>
      </c>
      <c r="D36" s="152">
        <f>10725+84928</f>
        <v>95653</v>
      </c>
      <c r="E36" s="53">
        <v>-84928</v>
      </c>
      <c r="F36" s="61" t="s">
        <v>295</v>
      </c>
      <c r="G36" s="53">
        <f t="shared" si="0"/>
        <v>10725</v>
      </c>
      <c r="H36" s="59"/>
      <c r="I36" s="53" t="s">
        <v>239</v>
      </c>
      <c r="J36" s="53"/>
      <c r="K36" s="53"/>
      <c r="N36" s="256" t="s">
        <v>240</v>
      </c>
    </row>
    <row r="37" spans="1:14" x14ac:dyDescent="0.45">
      <c r="A37" s="53"/>
      <c r="B37" s="53"/>
      <c r="C37" s="53" t="s">
        <v>53</v>
      </c>
      <c r="D37" s="53">
        <v>0</v>
      </c>
      <c r="E37" s="53"/>
      <c r="F37" s="56"/>
      <c r="G37" s="53">
        <f t="shared" si="0"/>
        <v>0</v>
      </c>
      <c r="H37" s="59"/>
      <c r="I37" s="53"/>
      <c r="J37" s="53"/>
      <c r="K37" s="53"/>
    </row>
    <row r="38" spans="1:14" ht="16.5" x14ac:dyDescent="0.45">
      <c r="A38" s="53"/>
      <c r="B38" s="53"/>
      <c r="C38" s="152" t="s">
        <v>8</v>
      </c>
      <c r="D38" s="262">
        <f>1194+4047+161659</f>
        <v>166900</v>
      </c>
      <c r="E38" s="74">
        <v>-15111</v>
      </c>
      <c r="F38" s="61" t="s">
        <v>304</v>
      </c>
      <c r="G38" s="75">
        <f t="shared" si="0"/>
        <v>151789</v>
      </c>
      <c r="H38" s="59"/>
      <c r="I38" s="53" t="s">
        <v>245</v>
      </c>
      <c r="J38" s="53"/>
      <c r="K38" s="53"/>
      <c r="N38" s="256" t="s">
        <v>246</v>
      </c>
    </row>
    <row r="39" spans="1:14" x14ac:dyDescent="0.45">
      <c r="A39" s="53"/>
      <c r="B39" s="53" t="s">
        <v>33</v>
      </c>
      <c r="C39" s="53"/>
      <c r="D39" s="53">
        <f>SUM(D20:D38)</f>
        <v>1727206</v>
      </c>
      <c r="E39" s="53"/>
      <c r="F39" s="56"/>
      <c r="G39" s="53">
        <f>SUM(G20:G38)</f>
        <v>1319018.0393591658</v>
      </c>
      <c r="H39" s="59"/>
      <c r="I39" s="53"/>
      <c r="J39" s="53"/>
      <c r="K39" s="53"/>
    </row>
    <row r="40" spans="1:14" ht="4.05" customHeight="1" x14ac:dyDescent="0.45">
      <c r="A40" s="53"/>
      <c r="B40" s="53"/>
      <c r="C40" s="53"/>
      <c r="D40" s="53"/>
      <c r="E40" s="53"/>
      <c r="F40" s="56"/>
      <c r="G40" s="53"/>
      <c r="H40" s="59"/>
      <c r="I40" s="53"/>
      <c r="J40" s="53"/>
      <c r="K40" s="53"/>
    </row>
    <row r="41" spans="1:14" x14ac:dyDescent="0.45">
      <c r="A41" s="53"/>
      <c r="B41" s="53" t="s">
        <v>19</v>
      </c>
      <c r="C41" s="53"/>
      <c r="D41" s="53">
        <v>505159</v>
      </c>
      <c r="E41" s="53">
        <f>504791.07-D41</f>
        <v>-367.92999999999302</v>
      </c>
      <c r="F41" s="56" t="s">
        <v>306</v>
      </c>
      <c r="G41" s="53"/>
      <c r="H41" s="59"/>
      <c r="I41" s="53" t="s">
        <v>241</v>
      </c>
      <c r="J41" s="53"/>
      <c r="N41" s="256" t="s">
        <v>242</v>
      </c>
    </row>
    <row r="42" spans="1:14" x14ac:dyDescent="0.45">
      <c r="A42" s="53"/>
      <c r="B42" s="53"/>
      <c r="C42" s="53"/>
      <c r="D42" s="53"/>
      <c r="E42" s="53">
        <f>Depreciation!K44</f>
        <v>-70715.181040634896</v>
      </c>
      <c r="F42" s="56" t="s">
        <v>312</v>
      </c>
      <c r="G42" s="53">
        <f>D41+E41+E42</f>
        <v>434075.88895936508</v>
      </c>
      <c r="H42" s="59"/>
      <c r="I42" s="53" t="s">
        <v>243</v>
      </c>
      <c r="J42" s="53"/>
      <c r="N42" s="256" t="s">
        <v>244</v>
      </c>
    </row>
    <row r="43" spans="1:14" x14ac:dyDescent="0.45">
      <c r="A43" s="53"/>
      <c r="B43" s="152" t="s">
        <v>1</v>
      </c>
      <c r="C43" s="152"/>
      <c r="D43" s="277">
        <v>0</v>
      </c>
      <c r="E43" s="277">
        <v>25644</v>
      </c>
      <c r="F43" s="76" t="s">
        <v>292</v>
      </c>
      <c r="G43" s="74"/>
      <c r="H43" s="59"/>
      <c r="I43" s="7" t="s">
        <v>313</v>
      </c>
      <c r="J43" s="53"/>
      <c r="N43" s="279" t="s">
        <v>328</v>
      </c>
    </row>
    <row r="44" spans="1:14" x14ac:dyDescent="0.45">
      <c r="A44" s="53"/>
      <c r="B44" s="152"/>
      <c r="C44" s="152"/>
      <c r="D44" s="277"/>
      <c r="E44" s="277">
        <f>Wages!G30</f>
        <v>-4717.138890000002</v>
      </c>
      <c r="F44" s="76" t="s">
        <v>294</v>
      </c>
      <c r="G44" s="74">
        <f>D43+E43+E44</f>
        <v>20926.861109999998</v>
      </c>
      <c r="H44" s="59"/>
      <c r="I44" s="53" t="s">
        <v>314</v>
      </c>
      <c r="J44" s="53"/>
    </row>
    <row r="45" spans="1:14" ht="16.5" x14ac:dyDescent="0.45">
      <c r="A45" s="60" t="s">
        <v>0</v>
      </c>
      <c r="B45" s="53"/>
      <c r="C45" s="53"/>
      <c r="D45" s="75">
        <f>SUM(D39:D43)</f>
        <v>2232365</v>
      </c>
      <c r="E45" s="74"/>
      <c r="F45" s="76"/>
      <c r="G45" s="75">
        <f>SUM(G39:G43)</f>
        <v>1753093.9283185308</v>
      </c>
      <c r="H45" s="59"/>
      <c r="I45" s="53"/>
      <c r="J45" s="53"/>
      <c r="K45" s="53"/>
    </row>
    <row r="46" spans="1:14" ht="4.05" customHeight="1" x14ac:dyDescent="0.45">
      <c r="A46" s="60"/>
      <c r="B46" s="53"/>
      <c r="C46" s="53"/>
      <c r="D46" s="77"/>
      <c r="E46" s="53"/>
      <c r="F46" s="56"/>
      <c r="G46" s="53"/>
      <c r="H46" s="53"/>
      <c r="I46" s="53"/>
      <c r="J46" s="53"/>
      <c r="K46" s="53"/>
    </row>
    <row r="47" spans="1:14" x14ac:dyDescent="0.45">
      <c r="A47" s="60" t="s">
        <v>34</v>
      </c>
      <c r="B47" s="53"/>
      <c r="C47" s="53"/>
      <c r="D47" s="53">
        <f>D16-D45</f>
        <v>-444427</v>
      </c>
      <c r="E47" s="53"/>
      <c r="F47" s="56"/>
      <c r="G47" s="53">
        <f>G16-G45</f>
        <v>-62521.724318530876</v>
      </c>
      <c r="H47" s="53"/>
      <c r="I47" s="53"/>
      <c r="K47" s="53"/>
    </row>
    <row r="48" spans="1:14" x14ac:dyDescent="0.45">
      <c r="A48" s="53"/>
      <c r="B48" s="53"/>
      <c r="C48" s="53"/>
      <c r="D48" s="53"/>
      <c r="E48" s="53"/>
      <c r="F48" s="56"/>
      <c r="G48" s="53"/>
      <c r="H48" s="53"/>
      <c r="I48" s="53"/>
      <c r="J48" s="53"/>
      <c r="K48" s="53"/>
    </row>
    <row r="49" spans="8:11" ht="16.5" x14ac:dyDescent="0.45">
      <c r="H49" s="53"/>
      <c r="I49" s="64"/>
      <c r="J49" s="65"/>
      <c r="K49" s="53"/>
    </row>
    <row r="50" spans="8:11" x14ac:dyDescent="0.45">
      <c r="H50" s="53"/>
      <c r="J50" s="53"/>
      <c r="K50" s="53"/>
    </row>
    <row r="51" spans="8:11" x14ac:dyDescent="0.45">
      <c r="H51" s="53"/>
      <c r="J51" s="53"/>
      <c r="K51" s="53"/>
    </row>
    <row r="52" spans="8:11" x14ac:dyDescent="0.45">
      <c r="H52" s="53"/>
      <c r="J52" s="53"/>
      <c r="K52" s="53"/>
    </row>
    <row r="53" spans="8:11" x14ac:dyDescent="0.45">
      <c r="H53" s="53"/>
      <c r="J53" s="53"/>
      <c r="K53" s="53"/>
    </row>
    <row r="54" spans="8:11" x14ac:dyDescent="0.45">
      <c r="H54" s="53"/>
      <c r="J54" s="53"/>
      <c r="K54" s="53"/>
    </row>
    <row r="55" spans="8:11" x14ac:dyDescent="0.45">
      <c r="H55" s="53"/>
      <c r="J55" s="53"/>
      <c r="K55" s="53"/>
    </row>
    <row r="56" spans="8:11" x14ac:dyDescent="0.45">
      <c r="H56" s="53"/>
      <c r="J56" s="53"/>
      <c r="K56" s="53"/>
    </row>
    <row r="57" spans="8:11" x14ac:dyDescent="0.45">
      <c r="H57" s="53"/>
      <c r="I57" s="32"/>
      <c r="J57" s="53"/>
      <c r="K57" s="53"/>
    </row>
    <row r="58" spans="8:11" x14ac:dyDescent="0.45">
      <c r="H58" s="53"/>
      <c r="J58" s="53"/>
      <c r="K58" s="53"/>
    </row>
    <row r="59" spans="8:11" x14ac:dyDescent="0.45">
      <c r="H59" s="53"/>
      <c r="I59" s="32"/>
      <c r="J59" s="53"/>
      <c r="K59" s="261"/>
    </row>
    <row r="60" spans="8:11" x14ac:dyDescent="0.45">
      <c r="H60" s="53"/>
      <c r="I60" s="53"/>
      <c r="J60" s="53"/>
      <c r="K60" s="53"/>
    </row>
    <row r="61" spans="8:11" ht="4.05" customHeight="1" x14ac:dyDescent="0.45">
      <c r="H61" s="53"/>
      <c r="I61" s="53"/>
      <c r="J61" s="53"/>
      <c r="K61" s="53"/>
    </row>
    <row r="62" spans="8:11" x14ac:dyDescent="0.45">
      <c r="H62" s="53"/>
      <c r="I62" s="53"/>
      <c r="J62" s="53"/>
      <c r="K62" s="53"/>
    </row>
  </sheetData>
  <mergeCells count="2">
    <mergeCell ref="A1:G1"/>
    <mergeCell ref="A2:G2"/>
  </mergeCells>
  <printOptions horizontalCentered="1"/>
  <pageMargins left="0.45" right="0.25" top="0.5" bottom="0.5" header="0.3" footer="0.3"/>
  <pageSetup orientation="portrait" horizontalDpi="4294967293" r:id="rId1"/>
  <rowBreaks count="2" manualBreakCount="2">
    <brk id="47" max="16383" man="1"/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O57"/>
  <sheetViews>
    <sheetView showGridLines="0" topLeftCell="A31" workbookViewId="0">
      <selection activeCell="E10" sqref="E10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220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2" spans="2:11" x14ac:dyDescent="0.45">
      <c r="B2" s="8"/>
      <c r="C2" s="9"/>
      <c r="D2" s="9"/>
      <c r="E2" s="221"/>
      <c r="F2" s="221"/>
      <c r="G2" s="9"/>
      <c r="H2" s="9"/>
      <c r="I2" s="10"/>
    </row>
    <row r="3" spans="2:11" ht="18" x14ac:dyDescent="0.55000000000000004">
      <c r="B3" s="11"/>
      <c r="C3" s="331" t="s">
        <v>287</v>
      </c>
      <c r="D3" s="331"/>
      <c r="E3" s="331"/>
      <c r="F3" s="331"/>
      <c r="G3" s="331"/>
      <c r="H3" s="331"/>
      <c r="I3" s="332"/>
    </row>
    <row r="4" spans="2:11" ht="18" x14ac:dyDescent="0.55000000000000004">
      <c r="B4" s="11"/>
      <c r="C4" s="329" t="s">
        <v>179</v>
      </c>
      <c r="D4" s="329"/>
      <c r="E4" s="329"/>
      <c r="F4" s="329"/>
      <c r="G4" s="329"/>
      <c r="H4" s="329"/>
      <c r="I4" s="330"/>
    </row>
    <row r="5" spans="2:11" ht="15.75" x14ac:dyDescent="0.45">
      <c r="B5" s="11"/>
      <c r="C5" s="300" t="s">
        <v>344</v>
      </c>
      <c r="D5" s="300"/>
      <c r="E5" s="300"/>
      <c r="F5" s="300"/>
      <c r="G5" s="300"/>
      <c r="H5" s="300"/>
      <c r="I5" s="328"/>
    </row>
    <row r="6" spans="2:11" x14ac:dyDescent="0.45">
      <c r="B6" s="13"/>
      <c r="C6" s="5"/>
      <c r="D6" s="5"/>
      <c r="E6" s="222"/>
      <c r="F6" s="222"/>
      <c r="G6" s="5"/>
      <c r="H6" s="5"/>
      <c r="I6" s="14"/>
    </row>
    <row r="7" spans="2:11" ht="6" customHeight="1" x14ac:dyDescent="0.45">
      <c r="B7" s="11"/>
      <c r="C7" s="6"/>
      <c r="D7" s="12"/>
      <c r="E7" s="223"/>
      <c r="F7" s="35"/>
      <c r="G7" s="35"/>
      <c r="H7" s="35"/>
      <c r="I7" s="36"/>
      <c r="J7" s="34"/>
      <c r="K7" s="34"/>
    </row>
    <row r="8" spans="2:11" ht="16.5" x14ac:dyDescent="0.75">
      <c r="B8" s="11"/>
      <c r="C8" s="16" t="s">
        <v>12</v>
      </c>
      <c r="D8" s="33" t="s">
        <v>59</v>
      </c>
      <c r="E8" s="224" t="s">
        <v>22</v>
      </c>
      <c r="F8" s="226" t="s">
        <v>10</v>
      </c>
      <c r="G8" s="16"/>
      <c r="H8" s="16"/>
      <c r="I8" s="33"/>
    </row>
    <row r="9" spans="2:11" ht="16.5" x14ac:dyDescent="0.75">
      <c r="B9" s="11"/>
      <c r="C9" s="16" t="s">
        <v>66</v>
      </c>
      <c r="D9" s="33" t="s">
        <v>63</v>
      </c>
      <c r="E9" s="224" t="s">
        <v>261</v>
      </c>
      <c r="F9" s="226" t="s">
        <v>261</v>
      </c>
      <c r="G9" s="16" t="s">
        <v>23</v>
      </c>
      <c r="H9" s="16" t="s">
        <v>62</v>
      </c>
      <c r="I9" s="33"/>
    </row>
    <row r="10" spans="2:11" x14ac:dyDescent="0.45">
      <c r="B10" s="11"/>
      <c r="C10" s="17">
        <v>0</v>
      </c>
      <c r="D10" s="37" t="s">
        <v>64</v>
      </c>
      <c r="E10" s="225">
        <f>'Rates DSCM'!D13+'Rates DSCM'!D15</f>
        <v>29.39</v>
      </c>
      <c r="F10" s="157">
        <f>'Rates DSCM'!F13+'Rates DSCM'!F15</f>
        <v>33.14</v>
      </c>
      <c r="G10" s="48">
        <f>F10-E10</f>
        <v>3.75</v>
      </c>
      <c r="H10" s="70">
        <f>G10/E10</f>
        <v>0.12759441987070433</v>
      </c>
      <c r="I10" s="40"/>
    </row>
    <row r="11" spans="2:11" x14ac:dyDescent="0.45">
      <c r="B11" s="11"/>
      <c r="C11" s="6">
        <v>2000</v>
      </c>
      <c r="D11" s="37" t="s">
        <v>64</v>
      </c>
      <c r="E11" s="225">
        <f>'Rates DSCM'!$D$13+'Rates DSCM'!D15</f>
        <v>29.39</v>
      </c>
      <c r="F11" s="225">
        <f>'Rates DSCM'!$F$13+('Bills DSC'!C11-2000)/1000*'Rates DSCM'!$F$14+'Rates DSCM'!F15</f>
        <v>33.14</v>
      </c>
      <c r="G11" s="17">
        <f t="shared" ref="G11:G18" si="0">F11-E11</f>
        <v>3.75</v>
      </c>
      <c r="H11" s="70">
        <f t="shared" ref="H11:H25" si="1">G11/E11</f>
        <v>0.12759441987070433</v>
      </c>
      <c r="I11" s="40"/>
    </row>
    <row r="12" spans="2:11" x14ac:dyDescent="0.45">
      <c r="B12" s="11"/>
      <c r="C12" s="41">
        <v>4000</v>
      </c>
      <c r="D12" s="42" t="s">
        <v>64</v>
      </c>
      <c r="E12" s="227">
        <f>'Rates DSCM'!$D$13+('Bills DSC'!C12-2000)/1000*'Rates DSCM'!$D$14+'Rates DSCM'!D15</f>
        <v>46.269999999999996</v>
      </c>
      <c r="F12" s="227">
        <f>'Rates DSCM'!$F$13+('Bills DSC'!C12-2000)/1000*'Rates DSCM'!$F$14+'Rates DSCM'!F15</f>
        <v>52.54</v>
      </c>
      <c r="G12" s="43">
        <f t="shared" si="0"/>
        <v>6.2700000000000031</v>
      </c>
      <c r="H12" s="71">
        <f t="shared" si="1"/>
        <v>0.13550896909444574</v>
      </c>
      <c r="I12" s="44"/>
    </row>
    <row r="13" spans="2:11" x14ac:dyDescent="0.45">
      <c r="B13" s="11"/>
      <c r="C13" s="6">
        <v>6000</v>
      </c>
      <c r="D13" s="37" t="s">
        <v>64</v>
      </c>
      <c r="E13" s="225">
        <f>'Rates DSCM'!$D$13+('Bills DSC'!C13-2000)/1000*'Rates DSCM'!$D$14+'Rates DSCM'!D15</f>
        <v>63.15</v>
      </c>
      <c r="F13" s="225">
        <f>'Rates DSCM'!$F$13+('Bills DSC'!C13-2000)/1000*'Rates DSCM'!$F$14+'Rates DSCM'!F15</f>
        <v>71.94</v>
      </c>
      <c r="G13" s="17">
        <f t="shared" si="0"/>
        <v>8.7899999999999991</v>
      </c>
      <c r="H13" s="70">
        <f t="shared" si="1"/>
        <v>0.13919239904988123</v>
      </c>
      <c r="I13" s="40"/>
    </row>
    <row r="14" spans="2:11" x14ac:dyDescent="0.45">
      <c r="B14" s="11"/>
      <c r="C14" s="6">
        <v>8000</v>
      </c>
      <c r="D14" s="37" t="s">
        <v>64</v>
      </c>
      <c r="E14" s="225">
        <f>'Rates DSCM'!$D$13+('Bills DSC'!C14-2000)/1000*'Rates DSCM'!$D$14+'Rates DSCM'!D15</f>
        <v>80.03</v>
      </c>
      <c r="F14" s="225">
        <f>'Rates DSCM'!$F$13+('Bills DSC'!C14-2000)/1000*'Rates DSCM'!$F$14+'Rates DSCM'!F15</f>
        <v>91.34</v>
      </c>
      <c r="G14" s="17">
        <f t="shared" si="0"/>
        <v>11.310000000000002</v>
      </c>
      <c r="H14" s="70">
        <f t="shared" si="1"/>
        <v>0.14132200424840688</v>
      </c>
      <c r="I14" s="40"/>
    </row>
    <row r="15" spans="2:11" x14ac:dyDescent="0.45">
      <c r="B15" s="11"/>
      <c r="C15" s="6">
        <v>10000</v>
      </c>
      <c r="D15" s="37" t="s">
        <v>64</v>
      </c>
      <c r="E15" s="225">
        <f>'Rates DSCM'!$D$13+('Bills DSC'!C15-2000)/1000*'Rates DSCM'!$D$14+'Rates DSCM'!D15</f>
        <v>96.91</v>
      </c>
      <c r="F15" s="225">
        <f>'Rates DSCM'!$F$13+('Bills DSC'!C15-2000)/1000*'Rates DSCM'!$F$14+'Rates DSCM'!F15</f>
        <v>110.74</v>
      </c>
      <c r="G15" s="17">
        <f t="shared" si="0"/>
        <v>13.829999999999998</v>
      </c>
      <c r="H15" s="70">
        <f t="shared" si="1"/>
        <v>0.14270973067794859</v>
      </c>
      <c r="I15" s="40"/>
    </row>
    <row r="16" spans="2:11" x14ac:dyDescent="0.45">
      <c r="B16" s="11"/>
      <c r="C16" s="6">
        <v>15000</v>
      </c>
      <c r="D16" s="37" t="s">
        <v>64</v>
      </c>
      <c r="E16" s="225">
        <f>'Rates DSCM'!$D$13+('Bills DSC'!C16-2000)/1000*'Rates DSCM'!$D$14+'Rates DSCM'!D15</f>
        <v>139.10999999999999</v>
      </c>
      <c r="F16" s="225">
        <f>'Rates DSCM'!$F$13+('Bills DSC'!C16-2000)/1000*'Rates DSCM'!$F$14+'Rates DSCM'!F15</f>
        <v>159.23999999999998</v>
      </c>
      <c r="G16" s="17">
        <f t="shared" si="0"/>
        <v>20.129999999999995</v>
      </c>
      <c r="H16" s="70">
        <f t="shared" si="1"/>
        <v>0.14470562863920636</v>
      </c>
      <c r="I16" s="40"/>
    </row>
    <row r="17" spans="2:15" x14ac:dyDescent="0.45">
      <c r="B17" s="11"/>
      <c r="C17" s="6">
        <v>20000</v>
      </c>
      <c r="D17" s="37" t="s">
        <v>64</v>
      </c>
      <c r="E17" s="225">
        <f>'Rates DSCM'!$D$13+('Bills DSC'!C17-2000)/1000*'Rates DSCM'!$D$14+'Rates DSCM'!D15</f>
        <v>181.30999999999997</v>
      </c>
      <c r="F17" s="225">
        <f>'Rates DSCM'!$F$13+('Bills DSC'!C17-2000)/1000*'Rates DSCM'!$F$14+'Rates DSCM'!F15</f>
        <v>207.73999999999998</v>
      </c>
      <c r="G17" s="17">
        <f t="shared" si="0"/>
        <v>26.430000000000007</v>
      </c>
      <c r="H17" s="70">
        <f t="shared" si="1"/>
        <v>0.14577243395289841</v>
      </c>
      <c r="I17" s="40"/>
    </row>
    <row r="18" spans="2:15" x14ac:dyDescent="0.45">
      <c r="B18" s="11"/>
      <c r="C18" s="6">
        <v>25000</v>
      </c>
      <c r="D18" s="38" t="s">
        <v>24</v>
      </c>
      <c r="E18" s="225">
        <f>'Rates DSCM'!$D$13+('Bills DSC'!C18-2000)/1000*'Rates DSCM'!$D$14+'Rates DSCM'!D15</f>
        <v>223.50999999999996</v>
      </c>
      <c r="F18" s="225">
        <f>'Rates DSCM'!$F$13+('Bills DSC'!C18-2000)/1000*'Rates DSCM'!$F$14+'Rates DSCM'!F15</f>
        <v>256.24</v>
      </c>
      <c r="G18" s="17">
        <f t="shared" si="0"/>
        <v>32.730000000000047</v>
      </c>
      <c r="H18" s="70">
        <f t="shared" si="1"/>
        <v>0.1464364010558814</v>
      </c>
      <c r="I18" s="40"/>
    </row>
    <row r="19" spans="2:15" x14ac:dyDescent="0.45">
      <c r="B19" s="11"/>
      <c r="C19" s="6">
        <v>30000</v>
      </c>
      <c r="D19" s="38" t="s">
        <v>24</v>
      </c>
      <c r="E19" s="225">
        <f>'Rates DSCM'!$D$13+('Bills DSC'!C19-2000)/1000*'Rates DSCM'!$D$14+'Rates DSCM'!D15</f>
        <v>265.70999999999998</v>
      </c>
      <c r="F19" s="225">
        <f>'Rates DSCM'!$F$13+('Bills DSC'!C19-2000)/1000*'Rates DSCM'!$F$14+'Rates DSCM'!F15</f>
        <v>304.73999999999995</v>
      </c>
      <c r="G19" s="17">
        <f t="shared" ref="G19:G25" si="2">F19-E19</f>
        <v>39.029999999999973</v>
      </c>
      <c r="H19" s="70">
        <f t="shared" si="1"/>
        <v>0.14688946595912827</v>
      </c>
      <c r="I19" s="40"/>
      <c r="O19" s="6"/>
    </row>
    <row r="20" spans="2:15" x14ac:dyDescent="0.45">
      <c r="B20" s="11"/>
      <c r="C20" s="6">
        <v>40000</v>
      </c>
      <c r="D20" s="38" t="s">
        <v>24</v>
      </c>
      <c r="E20" s="225">
        <f>'Rates DSCM'!$D$13+('Bills DSC'!C20-2000)/1000*'Rates DSCM'!$D$14+'Rates DSCM'!D15</f>
        <v>350.10999999999996</v>
      </c>
      <c r="F20" s="225">
        <f>'Rates DSCM'!$F$13+('Bills DSC'!C20-2000)/1000*'Rates DSCM'!$F$14+'Rates DSCM'!F15</f>
        <v>401.73999999999995</v>
      </c>
      <c r="G20" s="17">
        <f t="shared" si="2"/>
        <v>51.629999999999995</v>
      </c>
      <c r="H20" s="70">
        <f t="shared" si="1"/>
        <v>0.14746793864785354</v>
      </c>
      <c r="I20" s="40"/>
    </row>
    <row r="21" spans="2:15" x14ac:dyDescent="0.45">
      <c r="B21" s="11"/>
      <c r="C21" s="6">
        <v>50000</v>
      </c>
      <c r="D21" s="38" t="s">
        <v>24</v>
      </c>
      <c r="E21" s="225">
        <f>'Rates DSCM'!$D$13+('Bills DSC'!C21-2000)/1000*'Rates DSCM'!$D$14+'Rates DSCM'!D15</f>
        <v>434.51</v>
      </c>
      <c r="F21" s="225">
        <f>'Rates DSCM'!$F$13+('Bills DSC'!C21-2000)/1000*'Rates DSCM'!$F$14+'Rates DSCM'!F15</f>
        <v>498.73999999999995</v>
      </c>
      <c r="G21" s="17">
        <f t="shared" si="2"/>
        <v>64.229999999999961</v>
      </c>
      <c r="H21" s="70">
        <f t="shared" si="1"/>
        <v>0.14782168419599079</v>
      </c>
      <c r="I21" s="40"/>
    </row>
    <row r="22" spans="2:15" x14ac:dyDescent="0.45">
      <c r="B22" s="11"/>
      <c r="C22" s="6">
        <v>75000</v>
      </c>
      <c r="D22" s="38" t="s">
        <v>25</v>
      </c>
      <c r="E22" s="225">
        <f>'Rates DSCM'!$D$13+('Bills DSC'!C22-2000)/1000*'Rates DSCM'!$D$14+'Rates DSCM'!D15</f>
        <v>645.51</v>
      </c>
      <c r="F22" s="225">
        <f>'Rates DSCM'!$F$13+('Bills DSC'!C22-2000)/1000*'Rates DSCM'!$F$14+'Rates DSCM'!F15</f>
        <v>741.2399999999999</v>
      </c>
      <c r="G22" s="17">
        <f t="shared" si="2"/>
        <v>95.729999999999905</v>
      </c>
      <c r="H22" s="70">
        <f t="shared" si="1"/>
        <v>0.14830134312404131</v>
      </c>
      <c r="I22" s="40"/>
    </row>
    <row r="23" spans="2:15" x14ac:dyDescent="0.45">
      <c r="B23" s="11"/>
      <c r="C23" s="6">
        <v>100000</v>
      </c>
      <c r="D23" s="38" t="s">
        <v>25</v>
      </c>
      <c r="E23" s="225">
        <f>'Rates DSCM'!$D$13+('Bills DSC'!C23-2000)/1000*'Rates DSCM'!$D$14+'Rates DSCM'!D15</f>
        <v>856.51</v>
      </c>
      <c r="F23" s="225">
        <f>'Rates DSCM'!$F$13+('Bills DSC'!C23-2000)/1000*'Rates DSCM'!$F$14+'Rates DSCM'!F15</f>
        <v>983.7399999999999</v>
      </c>
      <c r="G23" s="17">
        <f t="shared" si="2"/>
        <v>127.2299999999999</v>
      </c>
      <c r="H23" s="70">
        <f t="shared" si="1"/>
        <v>0.14854467548539996</v>
      </c>
      <c r="I23" s="40"/>
    </row>
    <row r="24" spans="2:15" x14ac:dyDescent="0.45">
      <c r="B24" s="11"/>
      <c r="C24" s="6">
        <v>200000</v>
      </c>
      <c r="D24" s="38" t="s">
        <v>25</v>
      </c>
      <c r="E24" s="225">
        <f>'Rates DSCM'!$D$13+('Bills DSC'!C24-2000)/1000*'Rates DSCM'!$D$14+'Rates DSCM'!D15</f>
        <v>1700.51</v>
      </c>
      <c r="F24" s="225">
        <f>'Rates DSCM'!$F$13+('Bills DSC'!C24-2000)/1000*'Rates DSCM'!$F$14+'Rates DSCM'!F15</f>
        <v>1953.74</v>
      </c>
      <c r="G24" s="17">
        <f t="shared" si="2"/>
        <v>253.23000000000002</v>
      </c>
      <c r="H24" s="70">
        <f t="shared" si="1"/>
        <v>0.1489141492846264</v>
      </c>
      <c r="I24" s="40"/>
    </row>
    <row r="25" spans="2:15" x14ac:dyDescent="0.45">
      <c r="B25" s="11"/>
      <c r="C25" s="6">
        <v>500000</v>
      </c>
      <c r="D25" s="38" t="s">
        <v>25</v>
      </c>
      <c r="E25" s="225">
        <f>'Rates DSCM'!$D$13+('Bills DSC'!C25-2000)/1000*'Rates DSCM'!$D$14+'Rates DSCM'!D15</f>
        <v>4232.51</v>
      </c>
      <c r="F25" s="225">
        <f>'Rates DSCM'!$F$13+('Bills DSC'!C25-2000)/1000*'Rates DSCM'!$F$14+'Rates DSCM'!F15</f>
        <v>4863.74</v>
      </c>
      <c r="G25" s="17">
        <f t="shared" si="2"/>
        <v>631.22999999999956</v>
      </c>
      <c r="H25" s="70">
        <f t="shared" si="1"/>
        <v>0.1491384544868174</v>
      </c>
      <c r="I25" s="40"/>
    </row>
    <row r="26" spans="2:15" ht="6" customHeight="1" x14ac:dyDescent="0.45">
      <c r="B26" s="13"/>
      <c r="C26" s="5"/>
      <c r="D26" s="4"/>
      <c r="E26" s="197"/>
      <c r="F26" s="219"/>
      <c r="G26" s="39"/>
      <c r="H26" s="5"/>
      <c r="I26" s="14"/>
    </row>
    <row r="28" spans="2:15" x14ac:dyDescent="0.45">
      <c r="D28" s="49" t="s">
        <v>67</v>
      </c>
    </row>
    <row r="29" spans="2:15" x14ac:dyDescent="0.45">
      <c r="D29" s="7" t="s">
        <v>346</v>
      </c>
    </row>
    <row r="31" spans="2:15" x14ac:dyDescent="0.45">
      <c r="B31" s="8"/>
      <c r="C31" s="9"/>
      <c r="D31" s="9"/>
      <c r="E31" s="221"/>
      <c r="F31" s="221"/>
      <c r="G31" s="9"/>
      <c r="H31" s="9"/>
      <c r="I31" s="10"/>
    </row>
    <row r="32" spans="2:15" ht="18" x14ac:dyDescent="0.55000000000000004">
      <c r="B32" s="11"/>
      <c r="C32" s="331" t="s">
        <v>287</v>
      </c>
      <c r="D32" s="331"/>
      <c r="E32" s="331"/>
      <c r="F32" s="331"/>
      <c r="G32" s="331"/>
      <c r="H32" s="331"/>
      <c r="I32" s="332"/>
    </row>
    <row r="33" spans="2:10" ht="18" x14ac:dyDescent="0.55000000000000004">
      <c r="B33" s="11"/>
      <c r="C33" s="329" t="s">
        <v>179</v>
      </c>
      <c r="D33" s="329"/>
      <c r="E33" s="329"/>
      <c r="F33" s="329"/>
      <c r="G33" s="329"/>
      <c r="H33" s="329"/>
      <c r="I33" s="330"/>
    </row>
    <row r="34" spans="2:10" ht="15.75" x14ac:dyDescent="0.45">
      <c r="B34" s="11"/>
      <c r="C34" s="300" t="s">
        <v>345</v>
      </c>
      <c r="D34" s="300"/>
      <c r="E34" s="300"/>
      <c r="F34" s="300"/>
      <c r="G34" s="300"/>
      <c r="H34" s="300"/>
      <c r="I34" s="328"/>
    </row>
    <row r="35" spans="2:10" x14ac:dyDescent="0.45">
      <c r="B35" s="13"/>
      <c r="C35" s="5"/>
      <c r="D35" s="5"/>
      <c r="E35" s="222"/>
      <c r="F35" s="222"/>
      <c r="G35" s="5"/>
      <c r="H35" s="5"/>
      <c r="I35" s="14"/>
    </row>
    <row r="36" spans="2:10" ht="18" x14ac:dyDescent="0.45">
      <c r="B36" s="11"/>
      <c r="C36" s="6"/>
      <c r="D36" s="12"/>
      <c r="E36" s="223"/>
      <c r="F36" s="35"/>
      <c r="G36" s="35"/>
      <c r="H36" s="35"/>
      <c r="I36" s="36"/>
      <c r="J36" s="34"/>
    </row>
    <row r="37" spans="2:10" ht="16.5" x14ac:dyDescent="0.75">
      <c r="B37" s="11"/>
      <c r="C37" s="16" t="s">
        <v>12</v>
      </c>
      <c r="D37" s="33" t="s">
        <v>59</v>
      </c>
      <c r="E37" s="224" t="s">
        <v>22</v>
      </c>
      <c r="F37" s="226" t="s">
        <v>10</v>
      </c>
      <c r="G37" s="16"/>
      <c r="H37" s="16"/>
      <c r="I37" s="33"/>
    </row>
    <row r="38" spans="2:10" ht="16.5" x14ac:dyDescent="0.75">
      <c r="B38" s="11"/>
      <c r="C38" s="16" t="s">
        <v>66</v>
      </c>
      <c r="D38" s="33" t="s">
        <v>63</v>
      </c>
      <c r="E38" s="224" t="s">
        <v>61</v>
      </c>
      <c r="F38" s="226" t="s">
        <v>61</v>
      </c>
      <c r="G38" s="16" t="s">
        <v>23</v>
      </c>
      <c r="H38" s="16" t="s">
        <v>62</v>
      </c>
      <c r="I38" s="33"/>
    </row>
    <row r="39" spans="2:10" x14ac:dyDescent="0.45">
      <c r="B39" s="11"/>
      <c r="C39" s="17">
        <v>0</v>
      </c>
      <c r="D39" s="37" t="s">
        <v>64</v>
      </c>
      <c r="E39" s="225">
        <f>'Rates DSCM'!D13</f>
        <v>25.13</v>
      </c>
      <c r="F39" s="157">
        <f>'Rates DSCM'!F13</f>
        <v>28.88</v>
      </c>
      <c r="G39" s="48">
        <f>F39-E39</f>
        <v>3.75</v>
      </c>
      <c r="H39" s="70">
        <f>G39/E39</f>
        <v>0.1492240350179069</v>
      </c>
      <c r="I39" s="40"/>
    </row>
    <row r="40" spans="2:10" x14ac:dyDescent="0.45">
      <c r="B40" s="11"/>
      <c r="C40" s="6">
        <v>2000</v>
      </c>
      <c r="D40" s="37" t="s">
        <v>64</v>
      </c>
      <c r="E40" s="225">
        <f>'Rates DSCM'!$D$13+'Rates DSCM'!D44</f>
        <v>25.13</v>
      </c>
      <c r="F40" s="225">
        <f>'Rates DSCM'!$F$13+('Bills DSC'!C40-2000)/1000*'Rates DSCM'!$F$14</f>
        <v>28.88</v>
      </c>
      <c r="G40" s="17">
        <f t="shared" ref="G40:G54" si="3">F40-E40</f>
        <v>3.75</v>
      </c>
      <c r="H40" s="70">
        <f t="shared" ref="H40:H54" si="4">G40/E40</f>
        <v>0.1492240350179069</v>
      </c>
      <c r="I40" s="40"/>
    </row>
    <row r="41" spans="2:10" x14ac:dyDescent="0.45">
      <c r="B41" s="11"/>
      <c r="C41" s="41">
        <v>4000</v>
      </c>
      <c r="D41" s="42" t="s">
        <v>64</v>
      </c>
      <c r="E41" s="227">
        <f>'Rates DSCM'!$D$13+('Bills DSC'!C41-2000)/1000*'Rates DSCM'!$D$14+'Rates DSCM'!D44</f>
        <v>42.01</v>
      </c>
      <c r="F41" s="227">
        <f>'Rates DSCM'!$F$13+('Bills DSC'!C41-2000)/1000*'Rates DSCM'!$F$14</f>
        <v>48.28</v>
      </c>
      <c r="G41" s="43">
        <f t="shared" si="3"/>
        <v>6.2700000000000031</v>
      </c>
      <c r="H41" s="71">
        <f t="shared" si="4"/>
        <v>0.14925017852892178</v>
      </c>
      <c r="I41" s="44"/>
    </row>
    <row r="42" spans="2:10" x14ac:dyDescent="0.45">
      <c r="B42" s="11"/>
      <c r="C42" s="6">
        <v>6000</v>
      </c>
      <c r="D42" s="37" t="s">
        <v>64</v>
      </c>
      <c r="E42" s="225">
        <f>'Rates DSCM'!$D$13+('Bills DSC'!C42-2000)/1000*'Rates DSCM'!$D$14+'Rates DSCM'!D44</f>
        <v>58.89</v>
      </c>
      <c r="F42" s="225">
        <f>'Rates DSCM'!$F$13+('Bills DSC'!C42-2000)/1000*'Rates DSCM'!$F$14</f>
        <v>67.679999999999993</v>
      </c>
      <c r="G42" s="17">
        <f t="shared" si="3"/>
        <v>8.789999999999992</v>
      </c>
      <c r="H42" s="70">
        <f t="shared" si="4"/>
        <v>0.14926133469179814</v>
      </c>
      <c r="I42" s="40"/>
    </row>
    <row r="43" spans="2:10" x14ac:dyDescent="0.45">
      <c r="B43" s="11"/>
      <c r="C43" s="6">
        <v>8000</v>
      </c>
      <c r="D43" s="37" t="s">
        <v>64</v>
      </c>
      <c r="E43" s="225">
        <f>'Rates DSCM'!$D$13+('Bills DSC'!C43-2000)/1000*'Rates DSCM'!$D$14+'Rates DSCM'!D44</f>
        <v>75.77</v>
      </c>
      <c r="F43" s="225">
        <f>'Rates DSCM'!$F$13+('Bills DSC'!C43-2000)/1000*'Rates DSCM'!$F$14</f>
        <v>87.08</v>
      </c>
      <c r="G43" s="17">
        <f t="shared" si="3"/>
        <v>11.310000000000002</v>
      </c>
      <c r="H43" s="70">
        <f t="shared" si="4"/>
        <v>0.14926752012669925</v>
      </c>
      <c r="I43" s="40"/>
    </row>
    <row r="44" spans="2:10" x14ac:dyDescent="0.45">
      <c r="B44" s="11"/>
      <c r="C44" s="6">
        <v>10000</v>
      </c>
      <c r="D44" s="37" t="s">
        <v>64</v>
      </c>
      <c r="E44" s="225">
        <f>'Rates DSCM'!$D$13+('Bills DSC'!C44-2000)/1000*'Rates DSCM'!$D$14+'Rates DSCM'!D44</f>
        <v>92.649999999999991</v>
      </c>
      <c r="F44" s="225">
        <f>'Rates DSCM'!$F$13+('Bills DSC'!C44-2000)/1000*'Rates DSCM'!$F$14</f>
        <v>106.47999999999999</v>
      </c>
      <c r="G44" s="17">
        <f t="shared" si="3"/>
        <v>13.829999999999998</v>
      </c>
      <c r="H44" s="70">
        <f t="shared" si="4"/>
        <v>0.14927145169994602</v>
      </c>
      <c r="I44" s="40"/>
    </row>
    <row r="45" spans="2:10" x14ac:dyDescent="0.45">
      <c r="B45" s="11"/>
      <c r="C45" s="6">
        <v>15000</v>
      </c>
      <c r="D45" s="37" t="s">
        <v>64</v>
      </c>
      <c r="E45" s="225">
        <f>'Rates DSCM'!$D$13+('Bills DSC'!C45-2000)/1000*'Rates DSCM'!$D$14+'Rates DSCM'!D44</f>
        <v>134.85</v>
      </c>
      <c r="F45" s="225">
        <f>'Rates DSCM'!$F$13+('Bills DSC'!C45-2000)/1000*'Rates DSCM'!$F$14</f>
        <v>154.97999999999999</v>
      </c>
      <c r="G45" s="17">
        <f t="shared" si="3"/>
        <v>20.129999999999995</v>
      </c>
      <c r="H45" s="70">
        <f t="shared" si="4"/>
        <v>0.14927697441601778</v>
      </c>
      <c r="I45" s="40"/>
    </row>
    <row r="46" spans="2:10" x14ac:dyDescent="0.45">
      <c r="B46" s="11"/>
      <c r="C46" s="6">
        <v>20000</v>
      </c>
      <c r="D46" s="37" t="s">
        <v>64</v>
      </c>
      <c r="E46" s="225">
        <f>'Rates DSCM'!$D$13+('Bills DSC'!C46-2000)/1000*'Rates DSCM'!$D$14+'Rates DSCM'!D44</f>
        <v>177.04999999999998</v>
      </c>
      <c r="F46" s="225">
        <f>'Rates DSCM'!$F$13+('Bills DSC'!C46-2000)/1000*'Rates DSCM'!$F$14</f>
        <v>203.48</v>
      </c>
      <c r="G46" s="17">
        <f t="shared" si="3"/>
        <v>26.430000000000007</v>
      </c>
      <c r="H46" s="70">
        <f t="shared" si="4"/>
        <v>0.14927986444507207</v>
      </c>
      <c r="I46" s="40"/>
    </row>
    <row r="47" spans="2:10" x14ac:dyDescent="0.45">
      <c r="B47" s="11"/>
      <c r="C47" s="6">
        <v>25000</v>
      </c>
      <c r="D47" s="38" t="s">
        <v>24</v>
      </c>
      <c r="E47" s="225">
        <f>'Rates DSCM'!$D$13+('Bills DSC'!C47-2000)/1000*'Rates DSCM'!$D$14+'Rates DSCM'!D44</f>
        <v>219.24999999999997</v>
      </c>
      <c r="F47" s="225">
        <f>'Rates DSCM'!$F$13+('Bills DSC'!C47-2000)/1000*'Rates DSCM'!$F$14</f>
        <v>251.98</v>
      </c>
      <c r="G47" s="17">
        <f t="shared" si="3"/>
        <v>32.730000000000018</v>
      </c>
      <c r="H47" s="70">
        <f t="shared" si="4"/>
        <v>0.14928164196123159</v>
      </c>
      <c r="I47" s="40"/>
    </row>
    <row r="48" spans="2:10" x14ac:dyDescent="0.45">
      <c r="B48" s="11"/>
      <c r="C48" s="6">
        <v>30000</v>
      </c>
      <c r="D48" s="38" t="s">
        <v>24</v>
      </c>
      <c r="E48" s="225">
        <f>'Rates DSCM'!$D$13+('Bills DSC'!C48-2000)/1000*'Rates DSCM'!$D$14+'Rates DSCM'!D44</f>
        <v>261.45</v>
      </c>
      <c r="F48" s="225">
        <f>'Rates DSCM'!$F$13+('Bills DSC'!C48-2000)/1000*'Rates DSCM'!$F$14</f>
        <v>300.47999999999996</v>
      </c>
      <c r="G48" s="17">
        <f t="shared" si="3"/>
        <v>39.029999999999973</v>
      </c>
      <c r="H48" s="70">
        <f t="shared" si="4"/>
        <v>0.14928284566838773</v>
      </c>
      <c r="I48" s="40"/>
    </row>
    <row r="49" spans="2:9" x14ac:dyDescent="0.45">
      <c r="B49" s="11"/>
      <c r="C49" s="6">
        <v>40000</v>
      </c>
      <c r="D49" s="38" t="s">
        <v>24</v>
      </c>
      <c r="E49" s="225">
        <f>'Rates DSCM'!$D$13+('Bills DSC'!C49-2000)/1000*'Rates DSCM'!$D$14+'Rates DSCM'!D44</f>
        <v>345.84999999999997</v>
      </c>
      <c r="F49" s="225">
        <f>'Rates DSCM'!$F$13+('Bills DSC'!C49-2000)/1000*'Rates DSCM'!$F$14</f>
        <v>397.47999999999996</v>
      </c>
      <c r="G49" s="17">
        <f t="shared" si="3"/>
        <v>51.629999999999995</v>
      </c>
      <c r="H49" s="70">
        <f t="shared" si="4"/>
        <v>0.14928437183750182</v>
      </c>
      <c r="I49" s="40"/>
    </row>
    <row r="50" spans="2:9" x14ac:dyDescent="0.45">
      <c r="B50" s="11"/>
      <c r="C50" s="6">
        <v>50000</v>
      </c>
      <c r="D50" s="38" t="s">
        <v>24</v>
      </c>
      <c r="E50" s="225">
        <f>'Rates DSCM'!$D$13+('Bills DSC'!C50-2000)/1000*'Rates DSCM'!$D$14+'Rates DSCM'!D44</f>
        <v>430.25</v>
      </c>
      <c r="F50" s="225">
        <f>'Rates DSCM'!$F$13+('Bills DSC'!C50-2000)/1000*'Rates DSCM'!$F$14</f>
        <v>494.47999999999996</v>
      </c>
      <c r="G50" s="17">
        <f t="shared" si="3"/>
        <v>64.229999999999961</v>
      </c>
      <c r="H50" s="70">
        <f t="shared" si="4"/>
        <v>0.14928529924462514</v>
      </c>
      <c r="I50" s="40"/>
    </row>
    <row r="51" spans="2:9" x14ac:dyDescent="0.45">
      <c r="B51" s="11"/>
      <c r="C51" s="6">
        <v>75000</v>
      </c>
      <c r="D51" s="38" t="s">
        <v>25</v>
      </c>
      <c r="E51" s="225">
        <f>'Rates DSCM'!$D$13+('Bills DSC'!C51-2000)/1000*'Rates DSCM'!$D$14+'Rates DSCM'!D44</f>
        <v>641.25</v>
      </c>
      <c r="F51" s="225">
        <f>'Rates DSCM'!$F$13+('Bills DSC'!C51-2000)/1000*'Rates DSCM'!$F$14</f>
        <v>736.9799999999999</v>
      </c>
      <c r="G51" s="17">
        <f t="shared" si="3"/>
        <v>95.729999999999905</v>
      </c>
      <c r="H51" s="70">
        <f t="shared" si="4"/>
        <v>0.14928654970760219</v>
      </c>
      <c r="I51" s="40"/>
    </row>
    <row r="52" spans="2:9" x14ac:dyDescent="0.45">
      <c r="B52" s="11"/>
      <c r="C52" s="6">
        <v>100000</v>
      </c>
      <c r="D52" s="38" t="s">
        <v>25</v>
      </c>
      <c r="E52" s="225">
        <f>'Rates DSCM'!$D$13+('Bills DSC'!C52-2000)/1000*'Rates DSCM'!$D$14+'Rates DSCM'!D44</f>
        <v>852.25</v>
      </c>
      <c r="F52" s="225">
        <f>'Rates DSCM'!$F$13+('Bills DSC'!C52-2000)/1000*'Rates DSCM'!$F$14</f>
        <v>979.4799999999999</v>
      </c>
      <c r="G52" s="17">
        <f t="shared" si="3"/>
        <v>127.2299999999999</v>
      </c>
      <c r="H52" s="70">
        <f t="shared" si="4"/>
        <v>0.14928718099149299</v>
      </c>
      <c r="I52" s="40"/>
    </row>
    <row r="53" spans="2:9" x14ac:dyDescent="0.45">
      <c r="B53" s="11"/>
      <c r="C53" s="6">
        <v>200000</v>
      </c>
      <c r="D53" s="38" t="s">
        <v>25</v>
      </c>
      <c r="E53" s="225">
        <f>'Rates DSCM'!$D$13+('Bills DSC'!C53-2000)/1000*'Rates DSCM'!$D$14+'Rates DSCM'!D44</f>
        <v>1696.25</v>
      </c>
      <c r="F53" s="225">
        <f>'Rates DSCM'!$F$13+('Bills DSC'!C53-2000)/1000*'Rates DSCM'!$F$14</f>
        <v>1949.48</v>
      </c>
      <c r="G53" s="17">
        <f t="shared" si="3"/>
        <v>253.23000000000002</v>
      </c>
      <c r="H53" s="70">
        <f t="shared" si="4"/>
        <v>0.14928813559322035</v>
      </c>
      <c r="I53" s="40"/>
    </row>
    <row r="54" spans="2:9" x14ac:dyDescent="0.45">
      <c r="B54" s="11"/>
      <c r="C54" s="6">
        <v>500000</v>
      </c>
      <c r="D54" s="38" t="s">
        <v>25</v>
      </c>
      <c r="E54" s="225">
        <f>'Rates DSCM'!$D$13+('Bills DSC'!C54-2000)/1000*'Rates DSCM'!$D$14+'Rates DSCM'!D44</f>
        <v>4228.25</v>
      </c>
      <c r="F54" s="225">
        <f>'Rates DSCM'!$F$13+('Bills DSC'!C54-2000)/1000*'Rates DSCM'!$F$14</f>
        <v>4859.4799999999996</v>
      </c>
      <c r="G54" s="17">
        <f t="shared" si="3"/>
        <v>631.22999999999956</v>
      </c>
      <c r="H54" s="70">
        <f t="shared" si="4"/>
        <v>0.14928871282445447</v>
      </c>
      <c r="I54" s="40"/>
    </row>
    <row r="55" spans="2:9" ht="15.4" x14ac:dyDescent="0.45">
      <c r="B55" s="13"/>
      <c r="C55" s="5"/>
      <c r="D55" s="4"/>
      <c r="E55" s="197"/>
      <c r="F55" s="219"/>
      <c r="G55" s="39"/>
      <c r="H55" s="5"/>
      <c r="I55" s="14"/>
    </row>
    <row r="57" spans="2:9" x14ac:dyDescent="0.45">
      <c r="D57" s="49" t="s">
        <v>67</v>
      </c>
    </row>
  </sheetData>
  <mergeCells count="6">
    <mergeCell ref="C34:I34"/>
    <mergeCell ref="C4:I4"/>
    <mergeCell ref="C5:I5"/>
    <mergeCell ref="C3:I3"/>
    <mergeCell ref="C32:I32"/>
    <mergeCell ref="C33:I33"/>
  </mergeCells>
  <printOptions horizontalCentered="1"/>
  <pageMargins left="0.7" right="0.7" top="1.1000000000000001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688BD-C42D-4B1B-9F33-690703B1CB19}">
  <sheetPr>
    <pageSetUpPr fitToPage="1"/>
  </sheetPr>
  <dimension ref="B2:O61"/>
  <sheetViews>
    <sheetView showGridLines="0" topLeftCell="A30" workbookViewId="0">
      <selection activeCell="N12" sqref="N12"/>
    </sheetView>
  </sheetViews>
  <sheetFormatPr defaultColWidth="8.88671875" defaultRowHeight="14.25" x14ac:dyDescent="0.45"/>
  <cols>
    <col min="1" max="1" width="2.609375" style="7" customWidth="1"/>
    <col min="2" max="2" width="1.77734375" style="7" customWidth="1"/>
    <col min="3" max="4" width="9.77734375" style="7" customWidth="1"/>
    <col min="5" max="6" width="9.77734375" style="220" customWidth="1"/>
    <col min="7" max="8" width="9.77734375" style="7" customWidth="1"/>
    <col min="9" max="9" width="1.77734375" style="7" customWidth="1"/>
    <col min="10" max="10" width="2.5" style="7" customWidth="1"/>
    <col min="11" max="16384" width="8.88671875" style="7"/>
  </cols>
  <sheetData>
    <row r="2" spans="2:11" x14ac:dyDescent="0.45">
      <c r="B2" s="8"/>
      <c r="C2" s="9"/>
      <c r="D2" s="9"/>
      <c r="E2" s="221"/>
      <c r="F2" s="221"/>
      <c r="G2" s="9"/>
      <c r="H2" s="9"/>
      <c r="I2" s="10"/>
    </row>
    <row r="3" spans="2:11" ht="18" x14ac:dyDescent="0.55000000000000004">
      <c r="B3" s="334" t="s">
        <v>334</v>
      </c>
      <c r="C3" s="331"/>
      <c r="D3" s="331"/>
      <c r="E3" s="331"/>
      <c r="F3" s="331"/>
      <c r="G3" s="331"/>
      <c r="H3" s="331"/>
      <c r="I3" s="332"/>
    </row>
    <row r="4" spans="2:11" ht="18" x14ac:dyDescent="0.55000000000000004">
      <c r="B4" s="333" t="s">
        <v>288</v>
      </c>
      <c r="C4" s="329"/>
      <c r="D4" s="329"/>
      <c r="E4" s="329"/>
      <c r="F4" s="329"/>
      <c r="G4" s="329"/>
      <c r="H4" s="329"/>
      <c r="I4" s="330"/>
    </row>
    <row r="5" spans="2:11" ht="15.75" x14ac:dyDescent="0.45">
      <c r="B5" s="11"/>
      <c r="C5" s="300" t="s">
        <v>347</v>
      </c>
      <c r="D5" s="300"/>
      <c r="E5" s="300"/>
      <c r="F5" s="300"/>
      <c r="G5" s="300"/>
      <c r="H5" s="300"/>
      <c r="I5" s="328"/>
    </row>
    <row r="6" spans="2:11" x14ac:dyDescent="0.45">
      <c r="B6" s="13"/>
      <c r="C6" s="5"/>
      <c r="D6" s="5"/>
      <c r="E6" s="222"/>
      <c r="F6" s="222"/>
      <c r="G6" s="5"/>
      <c r="H6" s="5"/>
      <c r="I6" s="14"/>
    </row>
    <row r="7" spans="2:11" ht="6" customHeight="1" x14ac:dyDescent="0.45">
      <c r="B7" s="11"/>
      <c r="C7" s="6"/>
      <c r="D7" s="12"/>
      <c r="E7" s="223"/>
      <c r="F7" s="35"/>
      <c r="G7" s="35"/>
      <c r="H7" s="35"/>
      <c r="I7" s="36"/>
      <c r="J7" s="34"/>
      <c r="K7" s="34"/>
    </row>
    <row r="8" spans="2:11" ht="16.5" x14ac:dyDescent="0.75">
      <c r="B8" s="11"/>
      <c r="C8" s="16" t="s">
        <v>12</v>
      </c>
      <c r="D8" s="33" t="s">
        <v>59</v>
      </c>
      <c r="E8" s="224" t="s">
        <v>22</v>
      </c>
      <c r="F8" s="226" t="s">
        <v>10</v>
      </c>
      <c r="G8" s="16"/>
      <c r="H8" s="16"/>
      <c r="I8" s="33"/>
    </row>
    <row r="9" spans="2:11" ht="16.5" x14ac:dyDescent="0.75">
      <c r="B9" s="11"/>
      <c r="C9" s="16" t="s">
        <v>66</v>
      </c>
      <c r="D9" s="33" t="s">
        <v>63</v>
      </c>
      <c r="E9" s="224" t="s">
        <v>61</v>
      </c>
      <c r="F9" s="226" t="s">
        <v>349</v>
      </c>
      <c r="G9" s="16" t="s">
        <v>23</v>
      </c>
      <c r="H9" s="16" t="s">
        <v>62</v>
      </c>
      <c r="I9" s="33"/>
    </row>
    <row r="10" spans="2:11" x14ac:dyDescent="0.45">
      <c r="B10" s="11"/>
      <c r="C10" s="17">
        <v>0</v>
      </c>
      <c r="D10" s="37" t="s">
        <v>64</v>
      </c>
      <c r="E10" s="225">
        <f>'Rates DSCM'!D13+'Rates DSCM'!D15</f>
        <v>29.39</v>
      </c>
      <c r="F10" s="157">
        <f>'Rates DSCM'!F13+'Rates DSCM'!F15+'Rates DSCM'!F25</f>
        <v>36.793871509408163</v>
      </c>
      <c r="G10" s="48">
        <f>F10-E10</f>
        <v>7.4038715094081624</v>
      </c>
      <c r="H10" s="70">
        <f>G10/E10</f>
        <v>0.25191805067737877</v>
      </c>
      <c r="I10" s="40"/>
      <c r="K10" s="15"/>
    </row>
    <row r="11" spans="2:11" x14ac:dyDescent="0.45">
      <c r="B11" s="11"/>
      <c r="C11" s="6">
        <v>2000</v>
      </c>
      <c r="D11" s="37" t="s">
        <v>64</v>
      </c>
      <c r="E11" s="225">
        <f>'Rates DSCM'!$D$13+'Rates DSCM'!D15</f>
        <v>29.39</v>
      </c>
      <c r="F11" s="225">
        <f>'Rates DSCM'!$F$13+('Bills with Surcharge DSC'!C11-2000)/1000*'Rates DSCM'!$F$14+'Rates DSCM'!F15+'Rates DSCM'!F25</f>
        <v>36.793871509408163</v>
      </c>
      <c r="G11" s="17">
        <f t="shared" ref="G11:G25" si="0">F11-E11</f>
        <v>7.4038715094081624</v>
      </c>
      <c r="H11" s="70">
        <f t="shared" ref="H11:H25" si="1">G11/E11</f>
        <v>0.25191805067737877</v>
      </c>
      <c r="I11" s="40"/>
      <c r="K11" s="15"/>
    </row>
    <row r="12" spans="2:11" x14ac:dyDescent="0.45">
      <c r="B12" s="11"/>
      <c r="C12" s="41">
        <v>4000</v>
      </c>
      <c r="D12" s="42" t="s">
        <v>64</v>
      </c>
      <c r="E12" s="227">
        <f>'Rates DSCM'!$D$13+('Bills with Surcharge DSC'!C12-2000)/1000*'Rates DSCM'!$D$14+'Rates DSCM'!D15</f>
        <v>46.269999999999996</v>
      </c>
      <c r="F12" s="227">
        <f>'Rates DSCM'!$F$13+('Bills with Surcharge DSC'!C12-2000)/1000*'Rates DSCM'!$F$14+'Rates DSCM'!F15+'Rates DSCM'!F25</f>
        <v>56.193871509408169</v>
      </c>
      <c r="G12" s="43">
        <f t="shared" si="0"/>
        <v>9.9238715094081726</v>
      </c>
      <c r="H12" s="71">
        <f t="shared" si="1"/>
        <v>0.21447744779356329</v>
      </c>
      <c r="I12" s="44"/>
      <c r="K12" s="15"/>
    </row>
    <row r="13" spans="2:11" x14ac:dyDescent="0.45">
      <c r="B13" s="11"/>
      <c r="C13" s="6">
        <v>6000</v>
      </c>
      <c r="D13" s="37" t="s">
        <v>64</v>
      </c>
      <c r="E13" s="225">
        <f>'Rates DSCM'!$D$13+('Bills with Surcharge DSC'!C13-2000)/1000*'Rates DSCM'!$D$14+'Rates DSCM'!D15</f>
        <v>63.15</v>
      </c>
      <c r="F13" s="225">
        <f>'Rates DSCM'!$F$13+('Bills with Surcharge DSC'!C13-2000)/1000*'Rates DSCM'!$F$14+'Rates DSCM'!F15+'Rates DSCM'!F25</f>
        <v>75.59387150940816</v>
      </c>
      <c r="G13" s="17">
        <f t="shared" si="0"/>
        <v>12.443871509408162</v>
      </c>
      <c r="H13" s="70">
        <f t="shared" si="1"/>
        <v>0.19705259714027176</v>
      </c>
      <c r="I13" s="40"/>
      <c r="K13" s="15"/>
    </row>
    <row r="14" spans="2:11" x14ac:dyDescent="0.45">
      <c r="B14" s="11"/>
      <c r="C14" s="6">
        <v>8000</v>
      </c>
      <c r="D14" s="37" t="s">
        <v>64</v>
      </c>
      <c r="E14" s="225">
        <f>'Rates DSCM'!$D$13+('Bills with Surcharge DSC'!C14-2000)/1000*'Rates DSCM'!$D$14+'Rates DSCM'!D15</f>
        <v>80.03</v>
      </c>
      <c r="F14" s="225">
        <f>'Rates DSCM'!$F$13+('Bills with Surcharge DSC'!C14-2000)/1000*'Rates DSCM'!$F$14+'Rates DSCM'!F15+'Rates DSCM'!F25</f>
        <v>94.993871509408166</v>
      </c>
      <c r="G14" s="17">
        <f t="shared" si="0"/>
        <v>14.963871509408165</v>
      </c>
      <c r="H14" s="70">
        <f t="shared" si="1"/>
        <v>0.18697827701372191</v>
      </c>
      <c r="I14" s="40"/>
      <c r="K14" s="15"/>
    </row>
    <row r="15" spans="2:11" x14ac:dyDescent="0.45">
      <c r="B15" s="11"/>
      <c r="C15" s="6">
        <v>10000</v>
      </c>
      <c r="D15" s="37" t="s">
        <v>64</v>
      </c>
      <c r="E15" s="225">
        <f>'Rates DSCM'!$D$13+('Bills with Surcharge DSC'!C15-2000)/1000*'Rates DSCM'!$D$14+'Rates DSCM'!D15</f>
        <v>96.91</v>
      </c>
      <c r="F15" s="225">
        <f>'Rates DSCM'!$F$13+('Bills with Surcharge DSC'!C15-2000)/1000*'Rates DSCM'!$F$14+'Rates DSCM'!F15+'Rates DSCM'!F25</f>
        <v>114.39387150940816</v>
      </c>
      <c r="G15" s="17">
        <f t="shared" si="0"/>
        <v>17.483871509408161</v>
      </c>
      <c r="H15" s="70">
        <f t="shared" si="1"/>
        <v>0.18041349199678219</v>
      </c>
      <c r="I15" s="40"/>
      <c r="K15" s="15"/>
    </row>
    <row r="16" spans="2:11" x14ac:dyDescent="0.45">
      <c r="B16" s="11"/>
      <c r="C16" s="6">
        <v>15000</v>
      </c>
      <c r="D16" s="37" t="s">
        <v>64</v>
      </c>
      <c r="E16" s="225">
        <f>'Rates DSCM'!$D$13+('Bills with Surcharge DSC'!C16-2000)/1000*'Rates DSCM'!$D$14+'Rates DSCM'!D15</f>
        <v>139.10999999999999</v>
      </c>
      <c r="F16" s="225">
        <f>'Rates DSCM'!$F$13+('Bills with Surcharge DSC'!C16-2000)/1000*'Rates DSCM'!$F$14+'Rates DSCM'!F15+'Rates DSCM'!F25</f>
        <v>162.89387150940814</v>
      </c>
      <c r="G16" s="17">
        <f t="shared" si="0"/>
        <v>23.783871509408158</v>
      </c>
      <c r="H16" s="70">
        <f t="shared" si="1"/>
        <v>0.17097168794053741</v>
      </c>
      <c r="I16" s="40"/>
      <c r="K16" s="15"/>
    </row>
    <row r="17" spans="2:15" x14ac:dyDescent="0.45">
      <c r="B17" s="11"/>
      <c r="C17" s="6">
        <v>20000</v>
      </c>
      <c r="D17" s="37" t="s">
        <v>64</v>
      </c>
      <c r="E17" s="225">
        <f>'Rates DSCM'!$D$13+('Bills with Surcharge DSC'!C17-2000)/1000*'Rates DSCM'!$D$14+'Rates DSCM'!D15</f>
        <v>181.30999999999997</v>
      </c>
      <c r="F17" s="225">
        <f>'Rates DSCM'!$F$13+('Bills with Surcharge DSC'!C17-2000)/1000*'Rates DSCM'!$F$14+'Rates DSCM'!F15+'Rates DSCM'!F25</f>
        <v>211.39387150940814</v>
      </c>
      <c r="G17" s="17">
        <f t="shared" si="0"/>
        <v>30.083871509408169</v>
      </c>
      <c r="H17" s="70">
        <f t="shared" si="1"/>
        <v>0.16592505382719194</v>
      </c>
      <c r="I17" s="40"/>
      <c r="K17" s="15"/>
    </row>
    <row r="18" spans="2:15" x14ac:dyDescent="0.45">
      <c r="B18" s="11"/>
      <c r="C18" s="6">
        <v>25000</v>
      </c>
      <c r="D18" s="38" t="s">
        <v>24</v>
      </c>
      <c r="E18" s="225">
        <f>'Rates DSCM'!$D$13+('Bills with Surcharge DSC'!C18-2000)/1000*'Rates DSCM'!$D$14+'Rates DSCM'!D15</f>
        <v>223.50999999999996</v>
      </c>
      <c r="F18" s="225">
        <f>'Rates DSCM'!$F$13+('Bills with Surcharge DSC'!C18-2000)/1000*'Rates DSCM'!$F$14+'Rates DSCM'!F15+'Rates DSCM'!F25</f>
        <v>259.8938715094082</v>
      </c>
      <c r="G18" s="17">
        <f t="shared" si="0"/>
        <v>36.383871509408237</v>
      </c>
      <c r="H18" s="70">
        <f t="shared" si="1"/>
        <v>0.16278408800236341</v>
      </c>
      <c r="I18" s="40"/>
      <c r="K18" s="15"/>
    </row>
    <row r="19" spans="2:15" x14ac:dyDescent="0.45">
      <c r="B19" s="11"/>
      <c r="C19" s="6">
        <v>30000</v>
      </c>
      <c r="D19" s="38" t="s">
        <v>24</v>
      </c>
      <c r="E19" s="225">
        <f>'Rates DSCM'!$D$13+('Bills with Surcharge DSC'!C19-2000)/1000*'Rates DSCM'!$D$14+'Rates DSCM'!D15</f>
        <v>265.70999999999998</v>
      </c>
      <c r="F19" s="225">
        <f>'Rates DSCM'!$F$13+('Bills with Surcharge DSC'!C19-2000)/1000*'Rates DSCM'!$F$14+'Rates DSCM'!F15+'Rates DSCM'!F25</f>
        <v>308.39387150940814</v>
      </c>
      <c r="G19" s="17">
        <f t="shared" si="0"/>
        <v>42.683871509408164</v>
      </c>
      <c r="H19" s="70">
        <f t="shared" si="1"/>
        <v>0.16064081709159672</v>
      </c>
      <c r="I19" s="40"/>
      <c r="K19" s="15"/>
      <c r="O19" s="6"/>
    </row>
    <row r="20" spans="2:15" x14ac:dyDescent="0.45">
      <c r="B20" s="11"/>
      <c r="C20" s="6">
        <v>40000</v>
      </c>
      <c r="D20" s="38" t="s">
        <v>24</v>
      </c>
      <c r="E20" s="225">
        <f>'Rates DSCM'!$D$13+('Bills with Surcharge DSC'!C20-2000)/1000*'Rates DSCM'!$D$14+'Rates DSCM'!D15</f>
        <v>350.10999999999996</v>
      </c>
      <c r="F20" s="225">
        <f>'Rates DSCM'!$F$13+('Bills with Surcharge DSC'!C20-2000)/1000*'Rates DSCM'!$F$14+'Water Loss'!D37</f>
        <v>405.39387150940814</v>
      </c>
      <c r="G20" s="17">
        <f t="shared" si="0"/>
        <v>55.283871509408186</v>
      </c>
      <c r="H20" s="70">
        <f t="shared" si="1"/>
        <v>0.15790429153525518</v>
      </c>
      <c r="I20" s="40"/>
      <c r="K20" s="15"/>
    </row>
    <row r="21" spans="2:15" x14ac:dyDescent="0.45">
      <c r="B21" s="11"/>
      <c r="C21" s="6">
        <v>50000</v>
      </c>
      <c r="D21" s="38" t="s">
        <v>24</v>
      </c>
      <c r="E21" s="225">
        <f>'Rates DSCM'!$D$13+('Bills with Surcharge DSC'!C21-2000)/1000*'Rates DSCM'!$D$14</f>
        <v>430.25</v>
      </c>
      <c r="F21" s="225">
        <f>'Rates DSCM'!$F$13+('Bills with Surcharge DSC'!C21-2000)/1000*'Rates DSCM'!$F$14+'Rates DSCM'!F15+'Rates DSCM'!F25</f>
        <v>502.39387150940814</v>
      </c>
      <c r="G21" s="17">
        <f t="shared" si="0"/>
        <v>72.143871509408143</v>
      </c>
      <c r="H21" s="70">
        <f t="shared" si="1"/>
        <v>0.16767895760466739</v>
      </c>
      <c r="I21" s="40"/>
      <c r="K21" s="15"/>
    </row>
    <row r="22" spans="2:15" x14ac:dyDescent="0.45">
      <c r="B22" s="11"/>
      <c r="C22" s="6">
        <v>75000</v>
      </c>
      <c r="D22" s="38" t="s">
        <v>25</v>
      </c>
      <c r="E22" s="225">
        <f>'Rates DSCM'!$D$13+('Bills with Surcharge DSC'!C22-2000)/1000*'Rates DSCM'!$D$14+'Rates DSCM'!D15</f>
        <v>645.51</v>
      </c>
      <c r="F22" s="225">
        <f>'Rates DSCM'!$F$13+('Bills with Surcharge DSC'!C22-2000)/1000*'Rates DSCM'!$F$14+'Rates DSCM'!F15+'Rates DSCM'!F25</f>
        <v>744.89387150940809</v>
      </c>
      <c r="G22" s="17">
        <f t="shared" si="0"/>
        <v>99.383871509408095</v>
      </c>
      <c r="H22" s="70">
        <f t="shared" si="1"/>
        <v>0.15396178449506298</v>
      </c>
      <c r="I22" s="40"/>
      <c r="K22" s="15"/>
    </row>
    <row r="23" spans="2:15" x14ac:dyDescent="0.45">
      <c r="B23" s="11"/>
      <c r="C23" s="6">
        <v>100000</v>
      </c>
      <c r="D23" s="38" t="s">
        <v>25</v>
      </c>
      <c r="E23" s="225">
        <f>'Rates DSCM'!$D$13+('Bills with Surcharge DSC'!C23-2000)/1000*'Rates DSCM'!$D$14+'Rates DSCM'!D15</f>
        <v>856.51</v>
      </c>
      <c r="F23" s="225">
        <f>'Rates DSCM'!$F$13+('Bills with Surcharge DSC'!C23-2000)/1000*'Rates DSCM'!$F$14+'Rates DSCM'!F15+'Rates DSCM'!F25</f>
        <v>987.39387150940809</v>
      </c>
      <c r="G23" s="17">
        <f t="shared" si="0"/>
        <v>130.8838715094081</v>
      </c>
      <c r="H23" s="70">
        <f t="shared" si="1"/>
        <v>0.15281067530957967</v>
      </c>
      <c r="I23" s="40"/>
      <c r="K23" s="15"/>
    </row>
    <row r="24" spans="2:15" x14ac:dyDescent="0.45">
      <c r="B24" s="11"/>
      <c r="C24" s="6">
        <v>200000</v>
      </c>
      <c r="D24" s="38" t="s">
        <v>25</v>
      </c>
      <c r="E24" s="225">
        <f>'Rates DSCM'!$D$13+('Bills with Surcharge DSC'!C24-2000)/1000*'Rates DSCM'!$D$14+'Rates DSCM'!D15</f>
        <v>1700.51</v>
      </c>
      <c r="F24" s="225">
        <f>'Rates DSCM'!$F$13+('Bills with Surcharge DSC'!C24-2000)/1000*'Rates DSCM'!$F$14+'Rates DSCM'!F15+'Rates DSCM'!F25</f>
        <v>1957.3938715094082</v>
      </c>
      <c r="G24" s="17">
        <f t="shared" si="0"/>
        <v>256.88387150940821</v>
      </c>
      <c r="H24" s="70">
        <f t="shared" si="1"/>
        <v>0.15106284085915886</v>
      </c>
      <c r="I24" s="40"/>
      <c r="K24" s="15"/>
    </row>
    <row r="25" spans="2:15" x14ac:dyDescent="0.45">
      <c r="B25" s="11"/>
      <c r="C25" s="6">
        <v>500000</v>
      </c>
      <c r="D25" s="38" t="s">
        <v>25</v>
      </c>
      <c r="E25" s="225">
        <f>'Rates DSCM'!$D$13+('Bills with Surcharge DSC'!C25-2000)/1000*'Rates DSCM'!$D$14+'Rates DSCM'!D15</f>
        <v>4232.51</v>
      </c>
      <c r="F25" s="225">
        <f>'Rates DSCM'!$F$13+('Bills with Surcharge DSC'!C25-2000)/1000*'Rates DSCM'!$F$14+'Rates DSCM'!F15+'Rates DSCM'!F25</f>
        <v>4867.3938715094082</v>
      </c>
      <c r="G25" s="17">
        <f t="shared" si="0"/>
        <v>634.88387150940798</v>
      </c>
      <c r="H25" s="70">
        <f t="shared" si="1"/>
        <v>0.15000174164016339</v>
      </c>
      <c r="I25" s="40"/>
      <c r="K25" s="15"/>
    </row>
    <row r="26" spans="2:15" ht="6" customHeight="1" x14ac:dyDescent="0.45">
      <c r="B26" s="13"/>
      <c r="C26" s="5"/>
      <c r="D26" s="4"/>
      <c r="E26" s="197"/>
      <c r="F26" s="219"/>
      <c r="G26" s="39"/>
      <c r="H26" s="5"/>
      <c r="I26" s="14"/>
    </row>
    <row r="28" spans="2:15" x14ac:dyDescent="0.45">
      <c r="C28" s="49" t="s">
        <v>67</v>
      </c>
    </row>
    <row r="29" spans="2:15" x14ac:dyDescent="0.45">
      <c r="C29" s="49" t="s">
        <v>350</v>
      </c>
    </row>
    <row r="30" spans="2:15" s="289" customFormat="1" ht="27.4" customHeight="1" x14ac:dyDescent="0.45">
      <c r="C30" s="335" t="s">
        <v>351</v>
      </c>
      <c r="D30" s="335"/>
      <c r="E30" s="335"/>
      <c r="F30" s="335"/>
      <c r="G30" s="335"/>
      <c r="H30" s="335"/>
    </row>
    <row r="34" spans="2:10" x14ac:dyDescent="0.45">
      <c r="B34" s="8"/>
      <c r="C34" s="9"/>
      <c r="D34" s="9"/>
      <c r="E34" s="221"/>
      <c r="F34" s="221"/>
      <c r="G34" s="9"/>
      <c r="H34" s="9"/>
      <c r="I34" s="10"/>
    </row>
    <row r="35" spans="2:10" ht="18" x14ac:dyDescent="0.55000000000000004">
      <c r="B35" s="334" t="s">
        <v>334</v>
      </c>
      <c r="C35" s="331"/>
      <c r="D35" s="331"/>
      <c r="E35" s="331"/>
      <c r="F35" s="331"/>
      <c r="G35" s="331"/>
      <c r="H35" s="331"/>
      <c r="I35" s="332"/>
    </row>
    <row r="36" spans="2:10" ht="18" x14ac:dyDescent="0.55000000000000004">
      <c r="B36" s="333" t="s">
        <v>288</v>
      </c>
      <c r="C36" s="329"/>
      <c r="D36" s="329"/>
      <c r="E36" s="329"/>
      <c r="F36" s="329"/>
      <c r="G36" s="329"/>
      <c r="H36" s="329"/>
      <c r="I36" s="330"/>
    </row>
    <row r="37" spans="2:10" ht="15.75" x14ac:dyDescent="0.45">
      <c r="B37" s="11"/>
      <c r="C37" s="300" t="s">
        <v>348</v>
      </c>
      <c r="D37" s="300"/>
      <c r="E37" s="300"/>
      <c r="F37" s="300"/>
      <c r="G37" s="300"/>
      <c r="H37" s="300"/>
      <c r="I37" s="328"/>
    </row>
    <row r="38" spans="2:10" x14ac:dyDescent="0.45">
      <c r="B38" s="13"/>
      <c r="C38" s="5"/>
      <c r="D38" s="5"/>
      <c r="E38" s="222"/>
      <c r="F38" s="222"/>
      <c r="G38" s="5"/>
      <c r="H38" s="5"/>
      <c r="I38" s="14"/>
    </row>
    <row r="39" spans="2:10" ht="18" x14ac:dyDescent="0.45">
      <c r="B39" s="11"/>
      <c r="C39" s="6"/>
      <c r="D39" s="12"/>
      <c r="E39" s="223"/>
      <c r="F39" s="35"/>
      <c r="G39" s="35"/>
      <c r="H39" s="35"/>
      <c r="I39" s="36"/>
      <c r="J39" s="34"/>
    </row>
    <row r="40" spans="2:10" ht="16.5" x14ac:dyDescent="0.75">
      <c r="B40" s="11"/>
      <c r="C40" s="16" t="s">
        <v>12</v>
      </c>
      <c r="D40" s="33" t="s">
        <v>59</v>
      </c>
      <c r="E40" s="224" t="s">
        <v>22</v>
      </c>
      <c r="F40" s="226" t="s">
        <v>10</v>
      </c>
      <c r="G40" s="16"/>
      <c r="H40" s="16"/>
      <c r="I40" s="33"/>
    </row>
    <row r="41" spans="2:10" ht="16.5" x14ac:dyDescent="0.75">
      <c r="B41" s="11"/>
      <c r="C41" s="16" t="s">
        <v>66</v>
      </c>
      <c r="D41" s="33" t="s">
        <v>63</v>
      </c>
      <c r="E41" s="224" t="s">
        <v>61</v>
      </c>
      <c r="F41" s="226" t="s">
        <v>349</v>
      </c>
      <c r="G41" s="16" t="s">
        <v>23</v>
      </c>
      <c r="H41" s="16" t="s">
        <v>62</v>
      </c>
      <c r="I41" s="33"/>
    </row>
    <row r="42" spans="2:10" x14ac:dyDescent="0.45">
      <c r="B42" s="11"/>
      <c r="C42" s="17">
        <v>0</v>
      </c>
      <c r="D42" s="37" t="s">
        <v>64</v>
      </c>
      <c r="E42" s="225">
        <f>'Rates DSCM'!D13</f>
        <v>25.13</v>
      </c>
      <c r="F42" s="157">
        <f>'Rates DSCM'!F13+'Water Loss'!D69+'Rates DSCM'!F26</f>
        <v>36.793871509408163</v>
      </c>
      <c r="G42" s="48">
        <f>F42-E42</f>
        <v>11.663871509408164</v>
      </c>
      <c r="H42" s="70">
        <f>G42/E42</f>
        <v>0.46414132548381076</v>
      </c>
      <c r="I42" s="40"/>
    </row>
    <row r="43" spans="2:10" x14ac:dyDescent="0.45">
      <c r="B43" s="11"/>
      <c r="C43" s="6">
        <v>2000</v>
      </c>
      <c r="D43" s="37" t="s">
        <v>64</v>
      </c>
      <c r="E43" s="225">
        <f>'Rates DSCM'!$D$13</f>
        <v>25.13</v>
      </c>
      <c r="F43" s="225">
        <f>'Rates DSCM'!$F$13+('Bills with Surcharge DSC'!C43-2000)/1000*'Rates DSCM'!$F$14+'Rates DSCM'!F26</f>
        <v>36.793871509408163</v>
      </c>
      <c r="G43" s="17">
        <f t="shared" ref="G43:G57" si="2">F43-E43</f>
        <v>11.663871509408164</v>
      </c>
      <c r="H43" s="70">
        <f t="shared" ref="H43:H57" si="3">G43/E43</f>
        <v>0.46414132548381076</v>
      </c>
      <c r="I43" s="40"/>
    </row>
    <row r="44" spans="2:10" x14ac:dyDescent="0.45">
      <c r="B44" s="11"/>
      <c r="C44" s="41">
        <v>4000</v>
      </c>
      <c r="D44" s="42" t="s">
        <v>64</v>
      </c>
      <c r="E44" s="227">
        <f>'Rates DSCM'!$D$13+('Bills with Surcharge DSC'!C44-2000)/1000*'Rates DSCM'!$D$14</f>
        <v>42.01</v>
      </c>
      <c r="F44" s="227">
        <f>'Rates DSCM'!$F$13+('Bills with Surcharge DSC'!C44-2000)/1000*'Rates DSCM'!$F$14+'Rates DSCM'!F26</f>
        <v>56.193871509408169</v>
      </c>
      <c r="G44" s="43">
        <f t="shared" si="2"/>
        <v>14.183871509408171</v>
      </c>
      <c r="H44" s="71">
        <f t="shared" si="3"/>
        <v>0.33763083811968986</v>
      </c>
      <c r="I44" s="44"/>
    </row>
    <row r="45" spans="2:10" x14ac:dyDescent="0.45">
      <c r="B45" s="11"/>
      <c r="C45" s="6">
        <v>6000</v>
      </c>
      <c r="D45" s="37" t="s">
        <v>64</v>
      </c>
      <c r="E45" s="225">
        <f>'Rates DSCM'!$D$13+('Bills with Surcharge DSC'!C45-2000)/1000*'Rates DSCM'!$D$14</f>
        <v>58.89</v>
      </c>
      <c r="F45" s="225">
        <f>'Rates DSCM'!$F$13+('Bills with Surcharge DSC'!C45-2000)/1000*'Rates DSCM'!$F$14+'Rates DSCM'!F26</f>
        <v>75.59387150940816</v>
      </c>
      <c r="G45" s="17">
        <f t="shared" si="2"/>
        <v>16.70387150940816</v>
      </c>
      <c r="H45" s="70">
        <f t="shared" si="3"/>
        <v>0.28364529647492204</v>
      </c>
      <c r="I45" s="40"/>
    </row>
    <row r="46" spans="2:10" x14ac:dyDescent="0.45">
      <c r="B46" s="11"/>
      <c r="C46" s="6">
        <v>8000</v>
      </c>
      <c r="D46" s="37" t="s">
        <v>64</v>
      </c>
      <c r="E46" s="225">
        <f>'Rates DSCM'!$D$13+('Bills with Surcharge DSC'!C46-2000)/1000*'Rates DSCM'!$D$14</f>
        <v>75.77</v>
      </c>
      <c r="F46" s="225">
        <f>'Rates DSCM'!$F$13+('Bills with Surcharge DSC'!C46-2000)/1000*'Rates DSCM'!$F$14+'Rates DSCM'!F26</f>
        <v>94.993871509408166</v>
      </c>
      <c r="G46" s="17">
        <f t="shared" si="2"/>
        <v>19.22387150940817</v>
      </c>
      <c r="H46" s="70">
        <f t="shared" si="3"/>
        <v>0.25371349491102246</v>
      </c>
      <c r="I46" s="40"/>
    </row>
    <row r="47" spans="2:10" x14ac:dyDescent="0.45">
      <c r="B47" s="11"/>
      <c r="C47" s="6">
        <v>10000</v>
      </c>
      <c r="D47" s="37" t="s">
        <v>64</v>
      </c>
      <c r="E47" s="225">
        <f>'Rates DSCM'!$D$13+('Bills with Surcharge DSC'!C47-2000)/1000*'Rates DSCM'!$D$14</f>
        <v>92.649999999999991</v>
      </c>
      <c r="F47" s="225">
        <f>'Rates DSCM'!$F$13+('Bills with Surcharge DSC'!C47-2000)/1000*'Rates DSCM'!$F$14+'Rates DSCM'!F26</f>
        <v>114.39387150940816</v>
      </c>
      <c r="G47" s="17">
        <f t="shared" si="2"/>
        <v>21.743871509408166</v>
      </c>
      <c r="H47" s="70">
        <f t="shared" si="3"/>
        <v>0.23468830555216588</v>
      </c>
      <c r="I47" s="40"/>
    </row>
    <row r="48" spans="2:10" x14ac:dyDescent="0.45">
      <c r="B48" s="11"/>
      <c r="C48" s="6">
        <v>15000</v>
      </c>
      <c r="D48" s="37" t="s">
        <v>64</v>
      </c>
      <c r="E48" s="225">
        <f>'Rates DSCM'!$D$13+('Bills with Surcharge DSC'!C48-2000)/1000*'Rates DSCM'!$D$14</f>
        <v>134.85</v>
      </c>
      <c r="F48" s="225">
        <f>'Rates DSCM'!$F$13+('Bills with Surcharge DSC'!C48-2000)/1000*'Rates DSCM'!$F$14+'Rates DSCM'!F26</f>
        <v>162.89387150940814</v>
      </c>
      <c r="G48" s="17">
        <f t="shared" si="2"/>
        <v>28.043871509408149</v>
      </c>
      <c r="H48" s="70">
        <f t="shared" si="3"/>
        <v>0.2079634520534531</v>
      </c>
      <c r="I48" s="40"/>
    </row>
    <row r="49" spans="2:9" x14ac:dyDescent="0.45">
      <c r="B49" s="11"/>
      <c r="C49" s="6">
        <v>20000</v>
      </c>
      <c r="D49" s="37" t="s">
        <v>64</v>
      </c>
      <c r="E49" s="225">
        <f>'Rates DSCM'!$D$13+('Bills with Surcharge DSC'!C49-2000)/1000*'Rates DSCM'!$D$14</f>
        <v>177.04999999999998</v>
      </c>
      <c r="F49" s="225">
        <f>'Rates DSCM'!$F$13+('Bills with Surcharge DSC'!C49-2000)/1000*'Rates DSCM'!$F$14+'Rates DSCM'!F26</f>
        <v>211.39387150940814</v>
      </c>
      <c r="G49" s="17">
        <f t="shared" si="2"/>
        <v>34.34387150940816</v>
      </c>
      <c r="H49" s="70">
        <f t="shared" si="3"/>
        <v>0.19397837621806363</v>
      </c>
      <c r="I49" s="40"/>
    </row>
    <row r="50" spans="2:9" x14ac:dyDescent="0.45">
      <c r="B50" s="11"/>
      <c r="C50" s="6">
        <v>25000</v>
      </c>
      <c r="D50" s="38" t="s">
        <v>24</v>
      </c>
      <c r="E50" s="225">
        <f>'Rates DSCM'!$D$13+('Bills with Surcharge DSC'!C50-2000)/1000*'Rates DSCM'!$D$14</f>
        <v>219.24999999999997</v>
      </c>
      <c r="F50" s="225">
        <f>'Rates DSCM'!$F$13+('Bills with Surcharge DSC'!C50-2000)/1000*'Rates DSCM'!$F$14+'Rates DSCM'!F26</f>
        <v>259.89387150940814</v>
      </c>
      <c r="G50" s="17">
        <f t="shared" si="2"/>
        <v>40.643871509408172</v>
      </c>
      <c r="H50" s="70">
        <f t="shared" si="3"/>
        <v>0.18537683698703844</v>
      </c>
      <c r="I50" s="40"/>
    </row>
    <row r="51" spans="2:9" x14ac:dyDescent="0.45">
      <c r="B51" s="11"/>
      <c r="C51" s="6">
        <v>30000</v>
      </c>
      <c r="D51" s="38" t="s">
        <v>24</v>
      </c>
      <c r="E51" s="225">
        <f>'Rates DSCM'!$D$13+('Bills with Surcharge DSC'!C51-2000)/1000*'Rates DSCM'!$D$14</f>
        <v>261.45</v>
      </c>
      <c r="F51" s="225">
        <f>'Rates DSCM'!$F$13+('Bills with Surcharge DSC'!C51-2000)/1000*'Rates DSCM'!$F$14+'Rates DSCM'!F26</f>
        <v>308.39387150940814</v>
      </c>
      <c r="G51" s="17">
        <f t="shared" si="2"/>
        <v>46.943871509408154</v>
      </c>
      <c r="H51" s="70">
        <f t="shared" si="3"/>
        <v>0.17955200424328996</v>
      </c>
      <c r="I51" s="40"/>
    </row>
    <row r="52" spans="2:9" x14ac:dyDescent="0.45">
      <c r="B52" s="11"/>
      <c r="C52" s="6">
        <v>40000</v>
      </c>
      <c r="D52" s="38" t="s">
        <v>24</v>
      </c>
      <c r="E52" s="225">
        <f>'Rates DSCM'!$D$13+('Bills with Surcharge DSC'!C52-2000)/1000*'Rates DSCM'!$D$14</f>
        <v>345.84999999999997</v>
      </c>
      <c r="F52" s="225">
        <f>'Rates DSCM'!$F$13+('Bills with Surcharge DSC'!C52-2000)/1000*'Rates DSCM'!$F$14+'Rates DSCM'!F26</f>
        <v>405.39387150940814</v>
      </c>
      <c r="G52" s="17">
        <f t="shared" si="2"/>
        <v>59.543871509408177</v>
      </c>
      <c r="H52" s="70">
        <f t="shared" si="3"/>
        <v>0.17216675295477282</v>
      </c>
      <c r="I52" s="40"/>
    </row>
    <row r="53" spans="2:9" x14ac:dyDescent="0.45">
      <c r="B53" s="11"/>
      <c r="C53" s="6">
        <v>50000</v>
      </c>
      <c r="D53" s="38" t="s">
        <v>24</v>
      </c>
      <c r="E53" s="225">
        <f>'Rates DSCM'!$D$13+('Bills with Surcharge DSC'!C53-2000)/1000*'Rates DSCM'!$D$14</f>
        <v>430.25</v>
      </c>
      <c r="F53" s="225">
        <f>'Rates DSCM'!$F$13+('Bills with Surcharge DSC'!C53-2000)/1000*'Rates DSCM'!$F$14+'Rates DSCM'!F26</f>
        <v>502.39387150940814</v>
      </c>
      <c r="G53" s="17">
        <f t="shared" si="2"/>
        <v>72.143871509408143</v>
      </c>
      <c r="H53" s="70">
        <f t="shared" si="3"/>
        <v>0.16767895760466739</v>
      </c>
      <c r="I53" s="40"/>
    </row>
    <row r="54" spans="2:9" x14ac:dyDescent="0.45">
      <c r="B54" s="11"/>
      <c r="C54" s="6">
        <v>75000</v>
      </c>
      <c r="D54" s="38" t="s">
        <v>25</v>
      </c>
      <c r="E54" s="225">
        <f>'Rates DSCM'!$D$13+('Bills with Surcharge DSC'!C54-2000)/1000*'Rates DSCM'!$D$14</f>
        <v>641.25</v>
      </c>
      <c r="F54" s="225">
        <f>'Rates DSCM'!$F$13+('Bills with Surcharge DSC'!C54-2000)/1000*'Rates DSCM'!$F$14+'Rates DSCM'!F26</f>
        <v>744.89387150940809</v>
      </c>
      <c r="G54" s="17">
        <f t="shared" si="2"/>
        <v>103.64387150940809</v>
      </c>
      <c r="H54" s="70">
        <f t="shared" si="3"/>
        <v>0.16162786980024652</v>
      </c>
      <c r="I54" s="40"/>
    </row>
    <row r="55" spans="2:9" x14ac:dyDescent="0.45">
      <c r="B55" s="11"/>
      <c r="C55" s="6">
        <v>100000</v>
      </c>
      <c r="D55" s="38" t="s">
        <v>25</v>
      </c>
      <c r="E55" s="225">
        <f>'Rates DSCM'!$D$13+('Bills with Surcharge DSC'!C55-2000)/1000*'Rates DSCM'!$D$14</f>
        <v>852.25</v>
      </c>
      <c r="F55" s="225">
        <f>'Rates DSCM'!$F$13+('Bills with Surcharge DSC'!C55-2000)/1000*'Rates DSCM'!$F$14+'Rates DSCM'!F26</f>
        <v>987.39387150940809</v>
      </c>
      <c r="G55" s="17">
        <f t="shared" si="2"/>
        <v>135.14387150940809</v>
      </c>
      <c r="H55" s="70">
        <f t="shared" si="3"/>
        <v>0.15857303785204821</v>
      </c>
      <c r="I55" s="40"/>
    </row>
    <row r="56" spans="2:9" x14ac:dyDescent="0.45">
      <c r="B56" s="11"/>
      <c r="C56" s="6">
        <v>200000</v>
      </c>
      <c r="D56" s="38" t="s">
        <v>25</v>
      </c>
      <c r="E56" s="225">
        <f>'Rates DSCM'!$D$13+('Bills with Surcharge DSC'!C56-2000)/1000*'Rates DSCM'!$D$14</f>
        <v>1696.25</v>
      </c>
      <c r="F56" s="225">
        <f>'Rates DSCM'!$F$13+('Bills with Surcharge DSC'!C56-2000)/1000*'Rates DSCM'!$F$14+'Rates DSCM'!F26</f>
        <v>1957.3938715094082</v>
      </c>
      <c r="G56" s="17">
        <f t="shared" si="2"/>
        <v>261.1438715094082</v>
      </c>
      <c r="H56" s="70">
        <f t="shared" si="3"/>
        <v>0.15395364569456638</v>
      </c>
      <c r="I56" s="40"/>
    </row>
    <row r="57" spans="2:9" x14ac:dyDescent="0.45">
      <c r="B57" s="11"/>
      <c r="C57" s="6">
        <v>500000</v>
      </c>
      <c r="D57" s="38" t="s">
        <v>25</v>
      </c>
      <c r="E57" s="225">
        <f>'Rates DSCM'!$D$13+('Bills with Surcharge DSC'!C57-2000)/1000*'Rates DSCM'!$D$14</f>
        <v>4228.25</v>
      </c>
      <c r="F57" s="225">
        <f>'Rates DSCM'!$F$13+('Bills with Surcharge DSC'!C57-2000)/1000*'Rates DSCM'!$F$14+'Rates DSCM'!F26</f>
        <v>4867.3938715094073</v>
      </c>
      <c r="G57" s="17">
        <f t="shared" si="2"/>
        <v>639.14387150940729</v>
      </c>
      <c r="H57" s="70">
        <f t="shared" si="3"/>
        <v>0.151160378764124</v>
      </c>
      <c r="I57" s="40"/>
    </row>
    <row r="58" spans="2:9" ht="15.4" x14ac:dyDescent="0.45">
      <c r="B58" s="13"/>
      <c r="C58" s="5"/>
      <c r="D58" s="4"/>
      <c r="E58" s="197"/>
      <c r="F58" s="219"/>
      <c r="G58" s="39"/>
      <c r="H58" s="5"/>
      <c r="I58" s="14"/>
    </row>
    <row r="60" spans="2:9" x14ac:dyDescent="0.45">
      <c r="C60" s="49" t="s">
        <v>67</v>
      </c>
    </row>
    <row r="61" spans="2:9" ht="14.35" customHeight="1" x14ac:dyDescent="0.45">
      <c r="C61" s="335" t="s">
        <v>352</v>
      </c>
      <c r="D61" s="335"/>
      <c r="E61" s="335"/>
      <c r="F61" s="335"/>
      <c r="G61" s="335"/>
      <c r="H61" s="335"/>
    </row>
  </sheetData>
  <mergeCells count="8">
    <mergeCell ref="B4:I4"/>
    <mergeCell ref="B3:I3"/>
    <mergeCell ref="C30:H30"/>
    <mergeCell ref="C61:H61"/>
    <mergeCell ref="B35:I35"/>
    <mergeCell ref="B36:I36"/>
    <mergeCell ref="C37:I37"/>
    <mergeCell ref="C5:I5"/>
  </mergeCells>
  <printOptions horizontalCentered="1"/>
  <pageMargins left="0.7" right="0.7" top="1.1000000000000001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F004-73BD-4C2A-85DA-B682B48EA656}">
  <sheetPr>
    <pageSetUpPr fitToPage="1"/>
  </sheetPr>
  <dimension ref="A1:L30"/>
  <sheetViews>
    <sheetView workbookViewId="0">
      <selection activeCell="K15" sqref="K15"/>
    </sheetView>
  </sheetViews>
  <sheetFormatPr defaultRowHeight="14.25" x14ac:dyDescent="0.4"/>
  <cols>
    <col min="1" max="1" width="8.88671875" style="238"/>
    <col min="2" max="2" width="8.88671875" style="146"/>
    <col min="3" max="3" width="9.27734375" style="146" bestFit="1" customWidth="1"/>
    <col min="4" max="4" width="7.609375" style="146" bestFit="1" customWidth="1"/>
    <col min="5" max="5" width="27.6640625" style="146" customWidth="1"/>
    <col min="6" max="9" width="11.38671875" style="146" bestFit="1" customWidth="1"/>
    <col min="10" max="10" width="10.44140625" style="146" bestFit="1" customWidth="1"/>
    <col min="11" max="11" width="11.38671875" style="146" bestFit="1" customWidth="1"/>
    <col min="12" max="16384" width="8.88671875" style="146"/>
  </cols>
  <sheetData>
    <row r="1" spans="1:12" x14ac:dyDescent="0.45">
      <c r="A1" s="21"/>
      <c r="B1" s="1"/>
      <c r="C1" s="1"/>
      <c r="D1" s="254">
        <v>2020</v>
      </c>
      <c r="E1" s="254" t="s">
        <v>187</v>
      </c>
      <c r="F1" s="338" t="s">
        <v>216</v>
      </c>
      <c r="G1" s="338"/>
      <c r="H1" s="338"/>
      <c r="I1" s="1"/>
      <c r="J1" s="1"/>
      <c r="K1" s="1"/>
    </row>
    <row r="2" spans="1:12" x14ac:dyDescent="0.45">
      <c r="A2" s="21"/>
      <c r="B2" s="1"/>
      <c r="C2" s="1"/>
      <c r="D2" s="336" t="s">
        <v>188</v>
      </c>
      <c r="E2" s="336"/>
      <c r="F2" s="199"/>
      <c r="G2" s="199"/>
      <c r="H2" s="56"/>
      <c r="I2" s="1"/>
      <c r="J2" s="1"/>
      <c r="K2" s="1"/>
    </row>
    <row r="3" spans="1:12" x14ac:dyDescent="0.45">
      <c r="A3" s="21"/>
      <c r="B3" s="1"/>
      <c r="C3" s="1"/>
      <c r="D3" s="339" t="s">
        <v>189</v>
      </c>
      <c r="E3" s="339"/>
      <c r="F3" s="198" t="s">
        <v>190</v>
      </c>
      <c r="G3" s="198" t="s">
        <v>191</v>
      </c>
      <c r="H3" s="201" t="s">
        <v>192</v>
      </c>
      <c r="I3" s="1"/>
      <c r="J3" s="1"/>
      <c r="K3" s="1"/>
    </row>
    <row r="4" spans="1:12" x14ac:dyDescent="0.45">
      <c r="A4" s="21"/>
      <c r="B4" s="1"/>
      <c r="C4" s="1"/>
      <c r="D4" s="340" t="s">
        <v>226</v>
      </c>
      <c r="E4" s="340"/>
      <c r="F4" s="200">
        <f>D23</f>
        <v>40798</v>
      </c>
      <c r="G4" s="200">
        <f>E23</f>
        <v>144805460</v>
      </c>
      <c r="H4" s="204">
        <f>G23</f>
        <v>1695479.2039999999</v>
      </c>
      <c r="I4" s="1"/>
      <c r="J4" s="1"/>
      <c r="K4" s="1"/>
    </row>
    <row r="5" spans="1:12" x14ac:dyDescent="0.45">
      <c r="A5" s="21"/>
      <c r="B5" s="1"/>
      <c r="C5" s="1"/>
      <c r="D5" s="336" t="s">
        <v>199</v>
      </c>
      <c r="E5" s="336"/>
      <c r="F5" s="199"/>
      <c r="G5" s="199"/>
      <c r="H5" s="245">
        <v>-63842</v>
      </c>
      <c r="I5" s="1" t="s">
        <v>247</v>
      </c>
      <c r="J5" s="1"/>
      <c r="K5" s="1"/>
    </row>
    <row r="6" spans="1:12" x14ac:dyDescent="0.45">
      <c r="A6" s="21"/>
      <c r="B6" s="1"/>
      <c r="C6" s="1"/>
      <c r="D6" s="336" t="s">
        <v>202</v>
      </c>
      <c r="E6" s="336"/>
      <c r="F6" s="199"/>
      <c r="G6" s="199"/>
      <c r="H6" s="205">
        <f>H4+H5</f>
        <v>1631637.2039999999</v>
      </c>
      <c r="I6" s="1"/>
      <c r="J6" s="1"/>
      <c r="K6" s="1"/>
    </row>
    <row r="7" spans="1:12" x14ac:dyDescent="0.45">
      <c r="A7" s="21"/>
      <c r="B7" s="1"/>
      <c r="C7" s="1"/>
      <c r="D7" s="336" t="s">
        <v>316</v>
      </c>
      <c r="E7" s="336"/>
      <c r="F7" s="199"/>
      <c r="G7" s="199"/>
      <c r="H7" s="278">
        <f>-SAO!D6</f>
        <v>-1787938</v>
      </c>
      <c r="I7" s="1"/>
      <c r="J7" s="1"/>
      <c r="K7" s="1"/>
    </row>
    <row r="8" spans="1:12" x14ac:dyDescent="0.45">
      <c r="A8" s="21"/>
      <c r="B8" s="1"/>
      <c r="C8" s="1"/>
      <c r="D8" s="199"/>
      <c r="E8" s="53" t="s">
        <v>317</v>
      </c>
      <c r="F8" s="199"/>
      <c r="G8" s="199"/>
      <c r="H8" s="278">
        <f>-SAO!E6</f>
        <v>152927</v>
      </c>
      <c r="I8" s="1"/>
      <c r="J8" s="1"/>
      <c r="K8" s="1"/>
    </row>
    <row r="9" spans="1:12" x14ac:dyDescent="0.45">
      <c r="A9" s="21"/>
      <c r="B9" s="1"/>
      <c r="C9" s="1"/>
      <c r="D9" s="199"/>
      <c r="E9" s="53" t="s">
        <v>318</v>
      </c>
      <c r="F9" s="199"/>
      <c r="G9" s="199"/>
      <c r="H9" s="211">
        <f>-SAO!E7</f>
        <v>9186</v>
      </c>
      <c r="I9" s="1"/>
      <c r="J9" s="1"/>
      <c r="K9" s="1"/>
    </row>
    <row r="10" spans="1:12" x14ac:dyDescent="0.45">
      <c r="A10" s="21"/>
      <c r="B10" s="1"/>
      <c r="C10" s="1"/>
      <c r="D10" s="336" t="s">
        <v>60</v>
      </c>
      <c r="E10" s="336"/>
      <c r="F10" s="199"/>
      <c r="G10" s="199"/>
      <c r="H10" s="205">
        <f>H6+H7+H8+H9</f>
        <v>5812.2039999999106</v>
      </c>
      <c r="I10" s="1" t="s">
        <v>203</v>
      </c>
      <c r="J10" s="1"/>
      <c r="K10" s="1"/>
      <c r="L10" s="209">
        <f>-H10/H7</f>
        <v>3.2507861010839922E-3</v>
      </c>
    </row>
    <row r="11" spans="1:12" x14ac:dyDescent="0.45">
      <c r="A11" s="21"/>
      <c r="B11" s="1"/>
      <c r="C11" s="1"/>
      <c r="D11" s="337"/>
      <c r="E11" s="337"/>
      <c r="F11" s="1"/>
      <c r="G11" s="1"/>
      <c r="H11" s="7"/>
      <c r="I11" s="1"/>
      <c r="J11" s="1"/>
      <c r="K11" s="1"/>
    </row>
    <row r="12" spans="1:12" x14ac:dyDescent="0.45">
      <c r="A12" s="239" t="s">
        <v>210</v>
      </c>
      <c r="B12" s="1"/>
      <c r="C12" s="1"/>
      <c r="D12" s="1"/>
      <c r="E12" s="1"/>
      <c r="F12" s="1"/>
      <c r="G12" s="1"/>
      <c r="H12" s="7"/>
      <c r="I12" s="1"/>
      <c r="J12" s="1"/>
      <c r="K12" s="1"/>
    </row>
    <row r="13" spans="1:12" x14ac:dyDescent="0.45">
      <c r="A13" s="21"/>
      <c r="B13" s="199"/>
      <c r="C13" s="199"/>
      <c r="D13" s="199"/>
      <c r="E13" s="199"/>
      <c r="F13" s="265" t="s">
        <v>193</v>
      </c>
      <c r="G13" s="265" t="s">
        <v>209</v>
      </c>
      <c r="H13" s="199" t="s">
        <v>11</v>
      </c>
    </row>
    <row r="14" spans="1:12" x14ac:dyDescent="0.45">
      <c r="A14" s="21"/>
      <c r="B14" s="199"/>
      <c r="C14" s="198" t="s">
        <v>195</v>
      </c>
      <c r="D14" s="198" t="s">
        <v>196</v>
      </c>
      <c r="E14" s="263" t="s">
        <v>12</v>
      </c>
      <c r="F14" s="263" t="s">
        <v>208</v>
      </c>
      <c r="G14" s="263" t="s">
        <v>208</v>
      </c>
      <c r="H14" s="198"/>
    </row>
    <row r="15" spans="1:12" x14ac:dyDescent="0.45">
      <c r="A15" s="21"/>
      <c r="B15" s="199" t="s">
        <v>193</v>
      </c>
      <c r="C15" s="76">
        <v>2000</v>
      </c>
      <c r="D15" s="200">
        <v>15738</v>
      </c>
      <c r="E15" s="200">
        <v>15274860</v>
      </c>
      <c r="F15" s="200">
        <f>E15</f>
        <v>15274860</v>
      </c>
      <c r="G15" s="200">
        <v>0</v>
      </c>
      <c r="H15" s="200">
        <f>SUM(F15:G15)</f>
        <v>15274860</v>
      </c>
    </row>
    <row r="16" spans="1:12" x14ac:dyDescent="0.45">
      <c r="A16" s="21"/>
      <c r="B16" s="199" t="s">
        <v>194</v>
      </c>
      <c r="C16" s="76">
        <v>2000</v>
      </c>
      <c r="D16" s="206">
        <v>25060</v>
      </c>
      <c r="E16" s="206">
        <v>129530600</v>
      </c>
      <c r="F16" s="206">
        <f>C16*D16</f>
        <v>50120000</v>
      </c>
      <c r="G16" s="206">
        <f>E16-F16</f>
        <v>79410600</v>
      </c>
      <c r="H16" s="206">
        <f>SUM(F16:G16)</f>
        <v>129530600</v>
      </c>
    </row>
    <row r="17" spans="1:11" x14ac:dyDescent="0.45">
      <c r="A17" s="21"/>
      <c r="B17" s="199"/>
      <c r="C17" s="76"/>
      <c r="D17" s="200">
        <f>SUM(D15:D16)</f>
        <v>40798</v>
      </c>
      <c r="E17" s="200">
        <f>SUM(E15:E16)</f>
        <v>144805460</v>
      </c>
      <c r="F17" s="200">
        <f>SUM(F15:F16)</f>
        <v>65394860</v>
      </c>
      <c r="G17" s="200">
        <f>SUM(G15:G16)</f>
        <v>79410600</v>
      </c>
      <c r="H17" s="200">
        <f>SUM(H15:H16)</f>
        <v>144805460</v>
      </c>
    </row>
    <row r="18" spans="1:11" x14ac:dyDescent="0.45">
      <c r="A18" s="21"/>
      <c r="B18" s="1"/>
      <c r="C18" s="1"/>
      <c r="D18" s="1"/>
      <c r="E18" s="1"/>
      <c r="F18" s="1"/>
      <c r="G18" s="1"/>
      <c r="H18" s="7"/>
      <c r="I18" s="1"/>
      <c r="J18" s="1"/>
      <c r="K18" s="1"/>
    </row>
    <row r="19" spans="1:11" x14ac:dyDescent="0.45">
      <c r="A19" s="239" t="s">
        <v>197</v>
      </c>
      <c r="B19" s="1"/>
      <c r="C19" s="1"/>
      <c r="D19" s="1"/>
      <c r="E19" s="1"/>
      <c r="F19" s="1"/>
      <c r="G19" s="1"/>
      <c r="H19" s="7"/>
      <c r="I19" s="1"/>
      <c r="J19" s="1"/>
      <c r="K19" s="1"/>
    </row>
    <row r="20" spans="1:11" x14ac:dyDescent="0.45">
      <c r="A20" s="21"/>
      <c r="B20" s="1"/>
      <c r="C20" s="241" t="s">
        <v>195</v>
      </c>
      <c r="D20" s="241" t="s">
        <v>196</v>
      </c>
      <c r="E20" s="264" t="s">
        <v>12</v>
      </c>
      <c r="F20" s="241" t="s">
        <v>198</v>
      </c>
      <c r="G20" s="266" t="s">
        <v>192</v>
      </c>
      <c r="H20" s="7"/>
      <c r="I20" s="1"/>
      <c r="J20" s="1"/>
      <c r="K20" s="1"/>
    </row>
    <row r="21" spans="1:11" x14ac:dyDescent="0.45">
      <c r="A21" s="21"/>
      <c r="B21" s="199" t="s">
        <v>193</v>
      </c>
      <c r="C21" s="76">
        <v>2000</v>
      </c>
      <c r="D21" s="2">
        <f>D17</f>
        <v>40798</v>
      </c>
      <c r="E21" s="2">
        <f>F17</f>
        <v>65394860</v>
      </c>
      <c r="F21" s="202">
        <f>'Rates DSCM'!D13</f>
        <v>25.13</v>
      </c>
      <c r="G21" s="203">
        <f>D21*F21</f>
        <v>1025253.74</v>
      </c>
      <c r="H21" s="7"/>
      <c r="I21" s="159"/>
      <c r="J21" s="1"/>
      <c r="K21" s="1"/>
    </row>
    <row r="22" spans="1:11" x14ac:dyDescent="0.45">
      <c r="A22" s="21"/>
      <c r="B22" s="199" t="s">
        <v>194</v>
      </c>
      <c r="C22" s="76">
        <v>2000</v>
      </c>
      <c r="D22" s="30"/>
      <c r="E22" s="30">
        <f>G17</f>
        <v>79410600</v>
      </c>
      <c r="F22" s="48">
        <f>'Rates DSCM'!D14</f>
        <v>8.44</v>
      </c>
      <c r="G22" s="242">
        <f>E22/1000*F22</f>
        <v>670225.46400000004</v>
      </c>
      <c r="H22" s="7"/>
      <c r="I22" s="159"/>
      <c r="J22" s="1"/>
      <c r="K22" s="1"/>
    </row>
    <row r="23" spans="1:11" x14ac:dyDescent="0.45">
      <c r="A23" s="21"/>
      <c r="B23" s="199"/>
      <c r="C23" s="76"/>
      <c r="D23" s="200">
        <f>SUM(D21:D22)</f>
        <v>40798</v>
      </c>
      <c r="E23" s="200">
        <f>SUM(E21:E22)</f>
        <v>144805460</v>
      </c>
      <c r="F23" s="200"/>
      <c r="G23" s="260">
        <f>SUM(G21:G22)</f>
        <v>1695479.2039999999</v>
      </c>
      <c r="H23" s="7"/>
      <c r="I23" s="159"/>
      <c r="J23" s="1"/>
      <c r="K23" s="1"/>
    </row>
    <row r="24" spans="1:11" x14ac:dyDescent="0.45">
      <c r="A24" s="21"/>
      <c r="B24" s="199"/>
      <c r="C24" s="76"/>
      <c r="D24" s="2"/>
      <c r="E24" s="2"/>
      <c r="F24" s="240"/>
      <c r="G24" s="203"/>
      <c r="H24" s="7"/>
      <c r="I24" s="159"/>
      <c r="J24" s="1"/>
      <c r="K24" s="1"/>
    </row>
    <row r="25" spans="1:11" x14ac:dyDescent="0.45">
      <c r="A25" s="21"/>
      <c r="B25" s="199"/>
      <c r="C25" s="76"/>
      <c r="D25" s="2"/>
      <c r="E25" s="2"/>
      <c r="F25" s="48"/>
      <c r="G25" s="259"/>
      <c r="H25" s="6"/>
      <c r="I25" s="159"/>
      <c r="J25" s="1"/>
      <c r="K25" s="1"/>
    </row>
    <row r="26" spans="1:11" x14ac:dyDescent="0.45">
      <c r="A26" s="21"/>
      <c r="B26" s="199"/>
      <c r="C26" s="76"/>
      <c r="D26" s="2"/>
      <c r="E26" s="2"/>
      <c r="F26" s="244"/>
      <c r="G26" s="259"/>
      <c r="H26" s="6"/>
      <c r="I26" s="159"/>
      <c r="J26" s="1"/>
      <c r="K26" s="1"/>
    </row>
    <row r="27" spans="1:11" x14ac:dyDescent="0.45">
      <c r="A27" s="21"/>
      <c r="B27" s="199"/>
      <c r="C27" s="76"/>
      <c r="D27" s="200"/>
      <c r="E27" s="200"/>
      <c r="F27" s="200"/>
      <c r="G27" s="200"/>
      <c r="H27" s="6"/>
      <c r="I27" s="159"/>
      <c r="J27" s="1"/>
      <c r="K27" s="1"/>
    </row>
    <row r="28" spans="1:11" x14ac:dyDescent="0.45">
      <c r="A28" s="21"/>
      <c r="B28" s="199"/>
      <c r="C28" s="76"/>
      <c r="D28" s="2"/>
      <c r="E28" s="2"/>
      <c r="F28" s="244"/>
      <c r="G28" s="259"/>
      <c r="H28" s="6"/>
      <c r="I28" s="159"/>
      <c r="J28" s="1"/>
      <c r="K28" s="1"/>
    </row>
    <row r="29" spans="1:11" x14ac:dyDescent="0.45">
      <c r="A29" s="21"/>
      <c r="B29" s="199"/>
      <c r="C29" s="76"/>
      <c r="D29" s="2"/>
      <c r="E29" s="2"/>
      <c r="F29" s="244"/>
      <c r="G29" s="237"/>
      <c r="H29" s="6"/>
      <c r="I29" s="159"/>
      <c r="J29" s="1"/>
      <c r="K29" s="1"/>
    </row>
    <row r="30" spans="1:11" x14ac:dyDescent="0.45">
      <c r="A30" s="21"/>
      <c r="B30" s="1"/>
      <c r="C30" s="1"/>
      <c r="D30" s="2"/>
      <c r="E30" s="2"/>
      <c r="F30" s="2"/>
      <c r="G30" s="2"/>
      <c r="H30" s="2"/>
      <c r="I30" s="2"/>
      <c r="J30" s="1"/>
      <c r="K30" s="1"/>
    </row>
  </sheetData>
  <mergeCells count="9">
    <mergeCell ref="D10:E10"/>
    <mergeCell ref="D11:E11"/>
    <mergeCell ref="F1:H1"/>
    <mergeCell ref="D2:E2"/>
    <mergeCell ref="D3:E3"/>
    <mergeCell ref="D4:E4"/>
    <mergeCell ref="D5:E5"/>
    <mergeCell ref="D6:E6"/>
    <mergeCell ref="D7:E7"/>
  </mergeCells>
  <printOptions horizontalCentered="1" verticalCentered="1"/>
  <pageMargins left="0.45" right="0.45" top="0.5" bottom="0.5" header="0.3" footer="0.3"/>
  <pageSetup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1388-AB01-4CAE-A21B-D2708C228A39}">
  <sheetPr>
    <pageSetUpPr fitToPage="1"/>
  </sheetPr>
  <dimension ref="A1:L28"/>
  <sheetViews>
    <sheetView showGridLines="0" workbookViewId="0">
      <selection activeCell="H23" sqref="H23"/>
    </sheetView>
  </sheetViews>
  <sheetFormatPr defaultRowHeight="14.25" x14ac:dyDescent="0.4"/>
  <cols>
    <col min="1" max="1" width="8.88671875" style="238"/>
    <col min="2" max="2" width="8.88671875" style="146"/>
    <col min="3" max="3" width="9.27734375" style="146" bestFit="1" customWidth="1"/>
    <col min="4" max="4" width="7.609375" style="146" bestFit="1" customWidth="1"/>
    <col min="5" max="5" width="20.44140625" style="146" bestFit="1" customWidth="1"/>
    <col min="6" max="9" width="11.38671875" style="146" bestFit="1" customWidth="1"/>
    <col min="10" max="10" width="10.44140625" style="146" bestFit="1" customWidth="1"/>
    <col min="11" max="11" width="11.38671875" style="146" bestFit="1" customWidth="1"/>
    <col min="12" max="16384" width="8.88671875" style="146"/>
  </cols>
  <sheetData>
    <row r="1" spans="1:12" x14ac:dyDescent="0.45">
      <c r="A1" s="21"/>
      <c r="B1" s="1"/>
      <c r="C1" s="1"/>
      <c r="D1" s="254">
        <v>2020</v>
      </c>
      <c r="E1" s="254" t="s">
        <v>211</v>
      </c>
      <c r="F1" s="338" t="s">
        <v>216</v>
      </c>
      <c r="G1" s="338"/>
      <c r="H1" s="338"/>
      <c r="I1" s="1"/>
      <c r="J1" s="1"/>
      <c r="K1" s="1"/>
    </row>
    <row r="2" spans="1:12" x14ac:dyDescent="0.45">
      <c r="A2" s="21"/>
      <c r="B2" s="1"/>
      <c r="C2" s="1"/>
      <c r="D2" s="336" t="s">
        <v>188</v>
      </c>
      <c r="E2" s="336"/>
      <c r="F2" s="199"/>
      <c r="G2" s="199"/>
      <c r="H2" s="56"/>
      <c r="I2" s="1"/>
      <c r="J2" s="1"/>
      <c r="K2" s="1"/>
    </row>
    <row r="3" spans="1:12" x14ac:dyDescent="0.45">
      <c r="A3" s="21"/>
      <c r="B3" s="1"/>
      <c r="C3" s="1"/>
      <c r="D3" s="339" t="s">
        <v>189</v>
      </c>
      <c r="E3" s="339"/>
      <c r="F3" s="198" t="s">
        <v>190</v>
      </c>
      <c r="G3" s="198" t="s">
        <v>191</v>
      </c>
      <c r="H3" s="201" t="s">
        <v>192</v>
      </c>
      <c r="I3" s="1"/>
      <c r="J3" s="1"/>
      <c r="K3" s="1"/>
    </row>
    <row r="4" spans="1:12" x14ac:dyDescent="0.45">
      <c r="A4" s="21"/>
      <c r="B4" s="1"/>
      <c r="C4" s="1"/>
      <c r="D4" s="340" t="s">
        <v>226</v>
      </c>
      <c r="E4" s="340"/>
      <c r="F4" s="200">
        <f>D21</f>
        <v>40798</v>
      </c>
      <c r="G4" s="200">
        <f>E21</f>
        <v>144805460</v>
      </c>
      <c r="H4" s="204">
        <f>G21</f>
        <v>1948529.06</v>
      </c>
      <c r="I4" s="1"/>
      <c r="J4" s="1"/>
      <c r="K4" s="1"/>
    </row>
    <row r="5" spans="1:12" x14ac:dyDescent="0.45">
      <c r="A5" s="21"/>
      <c r="B5" s="1"/>
      <c r="C5" s="1"/>
      <c r="D5" s="336" t="s">
        <v>199</v>
      </c>
      <c r="E5" s="336"/>
      <c r="F5" s="199"/>
      <c r="G5" s="199"/>
      <c r="H5" s="245">
        <v>-63842</v>
      </c>
      <c r="I5" s="1"/>
      <c r="J5" s="1"/>
      <c r="K5" s="1"/>
    </row>
    <row r="6" spans="1:12" x14ac:dyDescent="0.45">
      <c r="A6" s="21"/>
      <c r="B6" s="1"/>
      <c r="C6" s="1"/>
      <c r="D6" s="336" t="s">
        <v>228</v>
      </c>
      <c r="E6" s="336"/>
      <c r="F6" s="199"/>
      <c r="G6" s="199"/>
      <c r="H6" s="205">
        <f>H4+H5</f>
        <v>1884687.06</v>
      </c>
      <c r="I6" s="1"/>
      <c r="J6" s="1"/>
      <c r="K6" s="1"/>
    </row>
    <row r="7" spans="1:12" x14ac:dyDescent="0.45">
      <c r="A7" s="21"/>
      <c r="B7" s="1"/>
      <c r="C7" s="1"/>
      <c r="D7" s="336" t="s">
        <v>227</v>
      </c>
      <c r="E7" s="336"/>
      <c r="F7" s="199"/>
      <c r="G7" s="199"/>
      <c r="H7" s="211">
        <f>'Revenue Requirement'!G8</f>
        <v>1875013.8707185308</v>
      </c>
      <c r="I7" s="1"/>
      <c r="J7" s="1"/>
      <c r="K7" s="1"/>
    </row>
    <row r="8" spans="1:12" x14ac:dyDescent="0.45">
      <c r="A8" s="21"/>
      <c r="B8" s="1"/>
      <c r="C8" s="1"/>
      <c r="D8" s="336" t="s">
        <v>60</v>
      </c>
      <c r="E8" s="336"/>
      <c r="F8" s="199"/>
      <c r="G8" s="199"/>
      <c r="H8" s="205">
        <f>H6-H7</f>
        <v>9673.189281469211</v>
      </c>
      <c r="I8" s="1"/>
      <c r="J8" s="1"/>
      <c r="K8" s="1"/>
      <c r="L8" s="209">
        <f>H8/H7</f>
        <v>5.1589961186592785E-3</v>
      </c>
    </row>
    <row r="9" spans="1:12" x14ac:dyDescent="0.45">
      <c r="A9" s="21"/>
      <c r="B9" s="1"/>
      <c r="C9" s="1"/>
      <c r="D9" s="337"/>
      <c r="E9" s="337"/>
      <c r="F9" s="1"/>
      <c r="G9" s="1"/>
      <c r="H9" s="7"/>
      <c r="I9" s="1"/>
      <c r="J9" s="1"/>
      <c r="K9" s="1"/>
    </row>
    <row r="10" spans="1:12" x14ac:dyDescent="0.45">
      <c r="A10" s="239" t="s">
        <v>210</v>
      </c>
      <c r="B10" s="1"/>
      <c r="C10" s="1"/>
      <c r="D10" s="1"/>
      <c r="E10" s="1"/>
      <c r="F10" s="1"/>
      <c r="G10" s="1"/>
      <c r="H10" s="7"/>
      <c r="I10" s="1"/>
      <c r="J10" s="1"/>
      <c r="K10" s="1"/>
    </row>
    <row r="11" spans="1:12" x14ac:dyDescent="0.45">
      <c r="A11" s="21"/>
      <c r="B11" s="199"/>
      <c r="C11" s="199"/>
      <c r="D11" s="199"/>
      <c r="E11" s="199"/>
      <c r="F11" s="199" t="s">
        <v>193</v>
      </c>
      <c r="G11" s="199" t="s">
        <v>209</v>
      </c>
      <c r="H11" s="199" t="s">
        <v>11</v>
      </c>
    </row>
    <row r="12" spans="1:12" x14ac:dyDescent="0.45">
      <c r="A12" s="21"/>
      <c r="B12" s="199"/>
      <c r="C12" s="198" t="s">
        <v>195</v>
      </c>
      <c r="D12" s="198" t="s">
        <v>196</v>
      </c>
      <c r="E12" s="198" t="s">
        <v>12</v>
      </c>
      <c r="F12" s="198" t="s">
        <v>208</v>
      </c>
      <c r="G12" s="198" t="s">
        <v>208</v>
      </c>
      <c r="H12" s="198"/>
    </row>
    <row r="13" spans="1:12" x14ac:dyDescent="0.45">
      <c r="A13" s="21"/>
      <c r="B13" s="199" t="s">
        <v>193</v>
      </c>
      <c r="C13" s="76">
        <v>2000</v>
      </c>
      <c r="D13" s="200">
        <f>ExBA!D15</f>
        <v>15738</v>
      </c>
      <c r="E13" s="200">
        <f>ExBA!E15</f>
        <v>15274860</v>
      </c>
      <c r="F13" s="200">
        <f>E13</f>
        <v>15274860</v>
      </c>
      <c r="G13" s="200">
        <v>0</v>
      </c>
      <c r="H13" s="200">
        <f>SUM(F13:G13)</f>
        <v>15274860</v>
      </c>
    </row>
    <row r="14" spans="1:12" x14ac:dyDescent="0.45">
      <c r="A14" s="21"/>
      <c r="B14" s="199" t="s">
        <v>194</v>
      </c>
      <c r="C14" s="76">
        <v>2000</v>
      </c>
      <c r="D14" s="206">
        <f>ExBA!D16</f>
        <v>25060</v>
      </c>
      <c r="E14" s="206">
        <f>ExBA!E16</f>
        <v>129530600</v>
      </c>
      <c r="F14" s="206">
        <f>C14*D14</f>
        <v>50120000</v>
      </c>
      <c r="G14" s="206">
        <f>E14-F14</f>
        <v>79410600</v>
      </c>
      <c r="H14" s="206">
        <f>SUM(F14:G14)</f>
        <v>129530600</v>
      </c>
    </row>
    <row r="15" spans="1:12" x14ac:dyDescent="0.45">
      <c r="A15" s="21"/>
      <c r="B15" s="199"/>
      <c r="C15" s="76"/>
      <c r="D15" s="200">
        <f>SUM(D13:D14)</f>
        <v>40798</v>
      </c>
      <c r="E15" s="200">
        <f>SUM(E13:E14)</f>
        <v>144805460</v>
      </c>
      <c r="F15" s="200">
        <f>SUM(F13:F14)</f>
        <v>65394860</v>
      </c>
      <c r="G15" s="200">
        <f>SUM(G13:G14)</f>
        <v>79410600</v>
      </c>
      <c r="H15" s="200">
        <f>SUM(H13:H14)</f>
        <v>144805460</v>
      </c>
    </row>
    <row r="16" spans="1:12" x14ac:dyDescent="0.45">
      <c r="A16" s="21"/>
      <c r="B16" s="1"/>
      <c r="C16" s="1"/>
      <c r="D16" s="1"/>
      <c r="E16" s="1"/>
      <c r="F16" s="1"/>
      <c r="G16" s="1"/>
      <c r="H16" s="7"/>
      <c r="I16" s="1"/>
      <c r="J16" s="1"/>
      <c r="K16" s="1"/>
    </row>
    <row r="17" spans="1:11" x14ac:dyDescent="0.45">
      <c r="A17" s="239" t="s">
        <v>197</v>
      </c>
      <c r="B17" s="1"/>
      <c r="C17" s="1"/>
      <c r="D17" s="1"/>
      <c r="E17" s="1"/>
      <c r="F17" s="1"/>
      <c r="G17" s="1"/>
      <c r="H17" s="7"/>
      <c r="I17" s="1"/>
      <c r="J17" s="1"/>
      <c r="K17" s="1"/>
    </row>
    <row r="18" spans="1:11" x14ac:dyDescent="0.45">
      <c r="A18" s="21"/>
      <c r="B18" s="1"/>
      <c r="C18" s="241" t="s">
        <v>195</v>
      </c>
      <c r="D18" s="241" t="s">
        <v>196</v>
      </c>
      <c r="E18" s="241" t="s">
        <v>12</v>
      </c>
      <c r="F18" s="241" t="s">
        <v>198</v>
      </c>
      <c r="G18" s="243" t="s">
        <v>192</v>
      </c>
      <c r="H18" s="7"/>
      <c r="I18" s="1"/>
      <c r="J18" s="1"/>
      <c r="K18" s="1"/>
    </row>
    <row r="19" spans="1:11" x14ac:dyDescent="0.45">
      <c r="A19" s="21"/>
      <c r="B19" s="199" t="s">
        <v>193</v>
      </c>
      <c r="C19" s="76">
        <v>2000</v>
      </c>
      <c r="D19" s="2">
        <f>D15</f>
        <v>40798</v>
      </c>
      <c r="E19" s="2">
        <f>F15</f>
        <v>65394860</v>
      </c>
      <c r="F19" s="202">
        <f>'Rates DSCM'!F13</f>
        <v>28.88</v>
      </c>
      <c r="G19" s="203">
        <f>D19*F19</f>
        <v>1178246.24</v>
      </c>
      <c r="H19" s="7"/>
      <c r="I19" s="159"/>
      <c r="J19" s="1"/>
      <c r="K19" s="1"/>
    </row>
    <row r="20" spans="1:11" x14ac:dyDescent="0.45">
      <c r="A20" s="21"/>
      <c r="B20" s="199" t="s">
        <v>194</v>
      </c>
      <c r="C20" s="76">
        <v>2000</v>
      </c>
      <c r="D20" s="30"/>
      <c r="E20" s="30">
        <f>G15</f>
        <v>79410600</v>
      </c>
      <c r="F20" s="48">
        <f>'Rates DSCM'!F14</f>
        <v>9.6999999999999993</v>
      </c>
      <c r="G20" s="242">
        <f>E20/1000*F20</f>
        <v>770282.82</v>
      </c>
      <c r="H20" s="7"/>
      <c r="I20" s="159"/>
      <c r="J20" s="1"/>
      <c r="K20" s="1"/>
    </row>
    <row r="21" spans="1:11" x14ac:dyDescent="0.45">
      <c r="A21" s="21"/>
      <c r="B21" s="199"/>
      <c r="C21" s="76"/>
      <c r="D21" s="200">
        <f>SUM(D19:D20)</f>
        <v>40798</v>
      </c>
      <c r="E21" s="200">
        <f>SUM(E19:E20)</f>
        <v>144805460</v>
      </c>
      <c r="F21" s="200"/>
      <c r="G21" s="260">
        <f>SUM(G19:G20)</f>
        <v>1948529.06</v>
      </c>
      <c r="H21" s="7"/>
      <c r="I21" s="159"/>
      <c r="J21" s="1"/>
      <c r="K21" s="1"/>
    </row>
    <row r="22" spans="1:11" x14ac:dyDescent="0.45">
      <c r="A22" s="21"/>
      <c r="B22" s="199"/>
      <c r="C22" s="76"/>
      <c r="D22" s="2"/>
      <c r="E22" s="2"/>
      <c r="F22" s="240"/>
      <c r="G22" s="203"/>
      <c r="H22" s="7"/>
      <c r="I22" s="159"/>
      <c r="J22" s="1"/>
      <c r="K22" s="1"/>
    </row>
    <row r="23" spans="1:11" x14ac:dyDescent="0.45">
      <c r="A23" s="21"/>
      <c r="B23" s="199"/>
      <c r="C23" s="76"/>
      <c r="D23" s="2"/>
      <c r="E23" s="2"/>
      <c r="F23" s="48"/>
      <c r="G23" s="259"/>
      <c r="H23" s="6"/>
      <c r="I23" s="159"/>
      <c r="J23" s="1"/>
      <c r="K23" s="1"/>
    </row>
    <row r="24" spans="1:11" x14ac:dyDescent="0.45">
      <c r="A24" s="21"/>
      <c r="B24" s="199"/>
      <c r="C24" s="76"/>
      <c r="D24" s="2"/>
      <c r="E24" s="2"/>
      <c r="F24" s="244"/>
      <c r="G24" s="259"/>
      <c r="H24" s="6"/>
      <c r="I24" s="159"/>
      <c r="J24" s="1"/>
      <c r="K24" s="1"/>
    </row>
    <row r="25" spans="1:11" x14ac:dyDescent="0.45">
      <c r="A25" s="21"/>
      <c r="B25" s="199"/>
      <c r="C25" s="76"/>
      <c r="D25" s="200"/>
      <c r="E25" s="200"/>
      <c r="F25" s="200"/>
      <c r="G25" s="200"/>
      <c r="H25" s="6"/>
      <c r="I25" s="159"/>
      <c r="J25" s="1"/>
      <c r="K25" s="1"/>
    </row>
    <row r="26" spans="1:11" x14ac:dyDescent="0.45">
      <c r="A26" s="21"/>
      <c r="B26" s="199"/>
      <c r="C26" s="76"/>
      <c r="D26" s="2"/>
      <c r="E26" s="2"/>
      <c r="F26" s="244"/>
      <c r="G26" s="259"/>
      <c r="H26" s="6"/>
      <c r="I26" s="159"/>
      <c r="J26" s="1"/>
      <c r="K26" s="1"/>
    </row>
    <row r="27" spans="1:11" x14ac:dyDescent="0.45">
      <c r="A27" s="21"/>
      <c r="B27" s="199"/>
      <c r="C27" s="76"/>
      <c r="D27" s="2"/>
      <c r="E27" s="2"/>
      <c r="F27" s="244"/>
      <c r="G27" s="237"/>
      <c r="H27" s="6"/>
      <c r="I27" s="159"/>
      <c r="J27" s="1"/>
      <c r="K27" s="1"/>
    </row>
    <row r="28" spans="1:11" x14ac:dyDescent="0.45">
      <c r="A28" s="21"/>
      <c r="B28" s="1"/>
      <c r="C28" s="1"/>
      <c r="D28" s="2"/>
      <c r="E28" s="2"/>
      <c r="F28" s="2"/>
      <c r="G28" s="2"/>
      <c r="H28" s="2"/>
      <c r="I28" s="2"/>
      <c r="J28" s="1"/>
      <c r="K28" s="1"/>
    </row>
  </sheetData>
  <mergeCells count="9">
    <mergeCell ref="F1:H1"/>
    <mergeCell ref="D2:E2"/>
    <mergeCell ref="D3:E3"/>
    <mergeCell ref="D9:E9"/>
    <mergeCell ref="D4:E4"/>
    <mergeCell ref="D5:E5"/>
    <mergeCell ref="D6:E6"/>
    <mergeCell ref="D7:E7"/>
    <mergeCell ref="D8:E8"/>
  </mergeCells>
  <printOptions horizontalCentered="1" verticalCentered="1"/>
  <pageMargins left="0.45" right="0.45" top="0.5" bottom="0.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339E1-52CD-47F4-8F19-2B82D9035B84}">
  <sheetPr>
    <pageSetUpPr fitToPage="1"/>
  </sheetPr>
  <dimension ref="A1:O25"/>
  <sheetViews>
    <sheetView workbookViewId="0">
      <selection activeCell="G24" sqref="A1:G24"/>
    </sheetView>
  </sheetViews>
  <sheetFormatPr defaultRowHeight="15" x14ac:dyDescent="0.4"/>
  <cols>
    <col min="1" max="1" width="3.609375" customWidth="1"/>
    <col min="2" max="2" width="2.609375" customWidth="1"/>
    <col min="3" max="3" width="30.609375" customWidth="1"/>
    <col min="8" max="8" width="2.609375" customWidth="1"/>
  </cols>
  <sheetData>
    <row r="1" spans="1:15" ht="18" x14ac:dyDescent="0.75">
      <c r="A1" s="294" t="s">
        <v>283</v>
      </c>
      <c r="B1" s="294"/>
      <c r="C1" s="294"/>
      <c r="D1" s="294"/>
      <c r="E1" s="294"/>
      <c r="F1" s="294"/>
      <c r="G1" s="294"/>
      <c r="I1" s="67" t="s">
        <v>36</v>
      </c>
      <c r="J1" s="53"/>
      <c r="K1" s="53"/>
      <c r="L1" s="7"/>
      <c r="M1" s="7"/>
      <c r="N1" s="7"/>
      <c r="O1" s="257" t="s">
        <v>215</v>
      </c>
    </row>
    <row r="2" spans="1:15" ht="15.4" x14ac:dyDescent="0.45">
      <c r="A2" s="60" t="s">
        <v>35</v>
      </c>
      <c r="B2" s="53"/>
      <c r="C2" s="53"/>
      <c r="D2" s="66"/>
      <c r="E2" s="53"/>
      <c r="F2" s="61"/>
      <c r="G2" s="7">
        <f>SAO!G45</f>
        <v>1753093.9283185308</v>
      </c>
    </row>
    <row r="3" spans="1:15" ht="15.4" x14ac:dyDescent="0.45">
      <c r="A3" s="53" t="s">
        <v>20</v>
      </c>
      <c r="B3" s="53"/>
      <c r="C3" s="53" t="s">
        <v>92</v>
      </c>
      <c r="D3" s="66"/>
      <c r="E3" s="53"/>
      <c r="F3" s="61" t="s">
        <v>307</v>
      </c>
      <c r="G3" s="220">
        <f>'Debt Service'!M25</f>
        <v>150712.45199999999</v>
      </c>
      <c r="I3" s="276" t="s">
        <v>298</v>
      </c>
      <c r="J3" s="276"/>
      <c r="K3" s="276"/>
      <c r="L3" s="276"/>
      <c r="M3" s="276"/>
      <c r="N3" s="276"/>
      <c r="O3" s="276" t="s">
        <v>300</v>
      </c>
    </row>
    <row r="4" spans="1:15" ht="17.649999999999999" x14ac:dyDescent="0.75">
      <c r="A4" s="53"/>
      <c r="B4" s="53"/>
      <c r="C4" s="53" t="s">
        <v>93</v>
      </c>
      <c r="D4" s="66"/>
      <c r="E4" s="53"/>
      <c r="F4" s="61" t="s">
        <v>307</v>
      </c>
      <c r="G4" s="272">
        <f>'Debt Service'!M27</f>
        <v>30142.490399999999</v>
      </c>
      <c r="I4" s="276" t="s">
        <v>299</v>
      </c>
      <c r="J4" s="276"/>
      <c r="K4" s="276"/>
      <c r="L4" s="276"/>
      <c r="M4" s="276"/>
      <c r="N4" s="276"/>
      <c r="O4" s="276" t="s">
        <v>301</v>
      </c>
    </row>
    <row r="5" spans="1:15" ht="15.4" x14ac:dyDescent="0.45">
      <c r="A5" s="60" t="s">
        <v>56</v>
      </c>
      <c r="B5" s="53"/>
      <c r="C5" s="53"/>
      <c r="D5" s="66"/>
      <c r="E5" s="53"/>
      <c r="F5" s="61"/>
      <c r="G5" s="7">
        <f>G2+G3+G4</f>
        <v>1933948.8707185308</v>
      </c>
      <c r="I5" s="276"/>
      <c r="J5" s="276"/>
      <c r="K5" s="276"/>
      <c r="L5" s="276"/>
      <c r="M5" s="276"/>
      <c r="N5" s="276"/>
      <c r="O5" s="276"/>
    </row>
    <row r="6" spans="1:15" ht="15.4" x14ac:dyDescent="0.45">
      <c r="A6" s="53" t="s">
        <v>21</v>
      </c>
      <c r="B6" s="53"/>
      <c r="C6" s="53" t="s">
        <v>37</v>
      </c>
      <c r="D6" s="66"/>
      <c r="E6" s="53"/>
      <c r="F6" s="61"/>
      <c r="G6" s="7">
        <f>SAO!G13</f>
        <v>58935</v>
      </c>
      <c r="I6" s="276"/>
      <c r="J6" s="276"/>
      <c r="K6" s="276"/>
      <c r="L6" s="276"/>
      <c r="M6" s="276"/>
      <c r="N6" s="276"/>
      <c r="O6" s="276"/>
    </row>
    <row r="7" spans="1:15" ht="15.4" x14ac:dyDescent="0.45">
      <c r="A7" s="53"/>
      <c r="B7" s="53"/>
      <c r="C7" s="53" t="s">
        <v>339</v>
      </c>
      <c r="D7" s="66"/>
      <c r="E7" s="53"/>
      <c r="F7" s="61"/>
      <c r="G7" s="5">
        <f>SAO!G14</f>
        <v>0</v>
      </c>
      <c r="I7" s="276"/>
      <c r="J7" s="276"/>
      <c r="K7" s="276"/>
      <c r="L7" s="276"/>
      <c r="M7" s="276"/>
      <c r="N7" s="276"/>
      <c r="O7" s="276"/>
    </row>
    <row r="8" spans="1:15" ht="15.4" x14ac:dyDescent="0.45">
      <c r="A8" s="60" t="s">
        <v>54</v>
      </c>
      <c r="B8" s="53"/>
      <c r="C8" s="53"/>
      <c r="D8" s="66"/>
      <c r="E8" s="53"/>
      <c r="F8" s="61"/>
      <c r="G8" s="7">
        <f>G5-G6-G7</f>
        <v>1875013.8707185308</v>
      </c>
      <c r="I8" s="276"/>
      <c r="J8" s="276"/>
      <c r="K8" s="276"/>
      <c r="L8" s="276"/>
      <c r="M8" s="276"/>
      <c r="N8" s="276"/>
      <c r="O8" s="276"/>
    </row>
    <row r="9" spans="1:15" ht="17.649999999999999" x14ac:dyDescent="0.75">
      <c r="A9" s="53" t="s">
        <v>21</v>
      </c>
      <c r="B9" s="53"/>
      <c r="C9" s="53" t="s">
        <v>55</v>
      </c>
      <c r="D9" s="66"/>
      <c r="E9" s="53"/>
      <c r="F9" s="61"/>
      <c r="G9" s="24">
        <f>ExBA!H6</f>
        <v>1631637.2039999999</v>
      </c>
      <c r="I9" s="276"/>
      <c r="J9" s="276"/>
      <c r="K9" s="276"/>
      <c r="L9" s="276"/>
      <c r="M9" s="276"/>
      <c r="N9" s="276"/>
      <c r="O9" s="276"/>
    </row>
    <row r="10" spans="1:15" ht="15.4" x14ac:dyDescent="0.45">
      <c r="A10" s="60" t="s">
        <v>57</v>
      </c>
      <c r="B10" s="53"/>
      <c r="C10" s="53"/>
      <c r="D10" s="66"/>
      <c r="E10" s="53"/>
      <c r="F10" s="61"/>
      <c r="G10" s="53">
        <f>G8-G9</f>
        <v>243376.66671853093</v>
      </c>
      <c r="I10" s="276"/>
      <c r="J10" s="276"/>
      <c r="K10" s="276"/>
      <c r="L10" s="276"/>
      <c r="M10" s="276"/>
      <c r="N10" s="276"/>
      <c r="O10" s="276"/>
    </row>
    <row r="11" spans="1:15" ht="15.4" x14ac:dyDescent="0.45">
      <c r="A11" s="60" t="s">
        <v>58</v>
      </c>
      <c r="B11" s="53"/>
      <c r="C11" s="53"/>
      <c r="D11" s="66"/>
      <c r="E11" s="53"/>
      <c r="F11" s="61"/>
      <c r="G11" s="275">
        <f>G10/G9</f>
        <v>0.1491610182226091</v>
      </c>
      <c r="I11" s="276"/>
      <c r="J11" s="276"/>
      <c r="K11" s="276"/>
      <c r="L11" s="276"/>
      <c r="M11" s="276"/>
      <c r="N11" s="276"/>
      <c r="O11" s="276"/>
    </row>
    <row r="12" spans="1:15" ht="15.4" x14ac:dyDescent="0.45">
      <c r="A12" s="7"/>
      <c r="B12" s="7"/>
      <c r="C12" s="7"/>
      <c r="D12" s="7"/>
      <c r="E12" s="7"/>
      <c r="F12" s="7"/>
      <c r="G12" s="7"/>
      <c r="I12" s="276"/>
      <c r="J12" s="276"/>
      <c r="K12" s="276"/>
      <c r="L12" s="276"/>
      <c r="M12" s="276"/>
      <c r="N12" s="276"/>
      <c r="O12" s="276"/>
    </row>
    <row r="13" spans="1:15" ht="18" x14ac:dyDescent="0.55000000000000004">
      <c r="A13" s="297" t="s">
        <v>279</v>
      </c>
      <c r="B13" s="297"/>
      <c r="C13" s="297"/>
      <c r="D13" s="297"/>
      <c r="E13" s="297"/>
      <c r="F13" s="297"/>
      <c r="G13" s="297"/>
      <c r="I13" s="276"/>
      <c r="J13" s="276"/>
      <c r="K13" s="276"/>
      <c r="L13" s="276"/>
      <c r="M13" s="276"/>
      <c r="N13" s="276"/>
      <c r="O13" s="276"/>
    </row>
    <row r="14" spans="1:15" ht="15.4" x14ac:dyDescent="0.45">
      <c r="A14" s="60" t="s">
        <v>35</v>
      </c>
      <c r="B14" s="53"/>
      <c r="C14" s="53"/>
      <c r="D14" s="66"/>
      <c r="E14" s="53"/>
      <c r="F14" s="61"/>
      <c r="G14" s="53">
        <f>SAO!G45</f>
        <v>1753093.9283185308</v>
      </c>
      <c r="I14" s="276"/>
      <c r="J14" s="276"/>
      <c r="K14" s="276"/>
      <c r="L14" s="276"/>
      <c r="M14" s="276"/>
      <c r="N14" s="276"/>
      <c r="O14" s="276"/>
    </row>
    <row r="15" spans="1:15" ht="15.4" x14ac:dyDescent="0.45">
      <c r="A15" s="53" t="s">
        <v>280</v>
      </c>
      <c r="B15" s="53"/>
      <c r="C15" s="53"/>
      <c r="D15" s="66"/>
      <c r="E15" s="53"/>
      <c r="F15" s="61"/>
      <c r="G15" s="273">
        <v>0.88</v>
      </c>
      <c r="I15" s="276"/>
      <c r="J15" s="276"/>
      <c r="K15" s="276"/>
      <c r="L15" s="276"/>
      <c r="M15" s="276"/>
      <c r="N15" s="276"/>
      <c r="O15" s="276"/>
    </row>
    <row r="16" spans="1:15" ht="15.4" x14ac:dyDescent="0.45">
      <c r="A16" s="60" t="s">
        <v>281</v>
      </c>
      <c r="B16" s="53"/>
      <c r="C16" s="53"/>
      <c r="D16" s="66"/>
      <c r="E16" s="53"/>
      <c r="F16" s="61"/>
      <c r="G16" s="53">
        <f>G14/G15</f>
        <v>1992152.1912710578</v>
      </c>
      <c r="I16" s="276"/>
      <c r="J16" s="276"/>
      <c r="K16" s="276"/>
      <c r="L16" s="276"/>
      <c r="M16" s="276"/>
      <c r="N16" s="276"/>
      <c r="O16" s="276"/>
    </row>
    <row r="17" spans="1:15" ht="17.649999999999999" x14ac:dyDescent="0.75">
      <c r="A17" s="7" t="s">
        <v>20</v>
      </c>
      <c r="B17" s="7"/>
      <c r="C17" s="7" t="s">
        <v>282</v>
      </c>
      <c r="D17" s="7"/>
      <c r="E17" s="7"/>
      <c r="F17" s="61" t="s">
        <v>319</v>
      </c>
      <c r="G17" s="274">
        <f>'Debt Service'!M39</f>
        <v>41881.927461652485</v>
      </c>
      <c r="I17" s="276" t="s">
        <v>303</v>
      </c>
      <c r="J17" s="276"/>
      <c r="K17" s="276"/>
      <c r="L17" s="276"/>
      <c r="M17" s="276"/>
      <c r="N17" s="276"/>
      <c r="O17" s="276" t="s">
        <v>302</v>
      </c>
    </row>
    <row r="18" spans="1:15" ht="15.4" x14ac:dyDescent="0.45">
      <c r="A18" s="281" t="s">
        <v>56</v>
      </c>
      <c r="B18" s="7"/>
      <c r="C18" s="7"/>
      <c r="D18" s="7"/>
      <c r="E18" s="7"/>
      <c r="F18" s="7"/>
      <c r="G18" s="7">
        <f>G16+G17</f>
        <v>2034034.1187327104</v>
      </c>
      <c r="I18" s="276"/>
      <c r="J18" s="276"/>
      <c r="K18" s="276"/>
      <c r="L18" s="276"/>
      <c r="M18" s="276"/>
      <c r="N18" s="276"/>
      <c r="O18" s="276"/>
    </row>
    <row r="19" spans="1:15" ht="15.4" x14ac:dyDescent="0.45">
      <c r="A19" s="7" t="s">
        <v>21</v>
      </c>
      <c r="B19" s="7"/>
      <c r="C19" s="53" t="s">
        <v>37</v>
      </c>
      <c r="D19" s="7"/>
      <c r="E19" s="7"/>
      <c r="F19" s="7"/>
      <c r="G19" s="7">
        <f>SAO!G13</f>
        <v>58935</v>
      </c>
      <c r="I19" s="276"/>
      <c r="J19" s="276"/>
      <c r="K19" s="276"/>
      <c r="L19" s="276"/>
      <c r="M19" s="276"/>
      <c r="N19" s="276"/>
      <c r="O19" s="276"/>
    </row>
    <row r="20" spans="1:15" ht="17.649999999999999" x14ac:dyDescent="0.75">
      <c r="A20" s="7"/>
      <c r="B20" s="7"/>
      <c r="C20" s="53" t="s">
        <v>339</v>
      </c>
      <c r="D20" s="7"/>
      <c r="E20" s="7"/>
      <c r="F20" s="7"/>
      <c r="G20" s="24">
        <f>G7</f>
        <v>0</v>
      </c>
      <c r="I20" s="276"/>
      <c r="J20" s="276"/>
      <c r="K20" s="276"/>
      <c r="L20" s="276"/>
      <c r="M20" s="276"/>
      <c r="N20" s="276"/>
      <c r="O20" s="276"/>
    </row>
    <row r="21" spans="1:15" ht="15.4" x14ac:dyDescent="0.45">
      <c r="A21" s="281" t="s">
        <v>54</v>
      </c>
      <c r="B21" s="7"/>
      <c r="C21" s="7"/>
      <c r="D21" s="7"/>
      <c r="E21" s="7"/>
      <c r="F21" s="7"/>
      <c r="G21" s="7">
        <f>G18-G19-G20</f>
        <v>1975099.1187327104</v>
      </c>
      <c r="I21" s="276"/>
      <c r="J21" s="276"/>
      <c r="K21" s="276"/>
      <c r="L21" s="276"/>
      <c r="M21" s="276"/>
      <c r="N21" s="276"/>
      <c r="O21" s="276"/>
    </row>
    <row r="22" spans="1:15" ht="17.649999999999999" x14ac:dyDescent="0.75">
      <c r="A22" s="7" t="s">
        <v>21</v>
      </c>
      <c r="B22" s="7"/>
      <c r="C22" s="7" t="s">
        <v>55</v>
      </c>
      <c r="D22" s="7"/>
      <c r="E22" s="7"/>
      <c r="F22" s="7"/>
      <c r="G22" s="24">
        <f>ExBA!H6</f>
        <v>1631637.2039999999</v>
      </c>
      <c r="I22" s="276"/>
      <c r="J22" s="276"/>
      <c r="K22" s="276"/>
      <c r="L22" s="276"/>
      <c r="M22" s="276"/>
      <c r="N22" s="276"/>
      <c r="O22" s="276"/>
    </row>
    <row r="23" spans="1:15" ht="15.4" x14ac:dyDescent="0.45">
      <c r="A23" s="281" t="s">
        <v>57</v>
      </c>
      <c r="B23" s="7"/>
      <c r="C23" s="7"/>
      <c r="D23" s="7"/>
      <c r="E23" s="7"/>
      <c r="F23" s="7"/>
      <c r="G23" s="7">
        <f>G21-G22</f>
        <v>343461.91473271046</v>
      </c>
      <c r="I23" s="276"/>
      <c r="J23" s="276"/>
      <c r="K23" s="276"/>
      <c r="L23" s="276"/>
      <c r="M23" s="276"/>
      <c r="N23" s="276"/>
      <c r="O23" s="276"/>
    </row>
    <row r="24" spans="1:15" ht="15.4" x14ac:dyDescent="0.45">
      <c r="A24" s="281" t="s">
        <v>58</v>
      </c>
      <c r="B24" s="7"/>
      <c r="C24" s="7"/>
      <c r="D24" s="7"/>
      <c r="E24" s="7"/>
      <c r="F24" s="7"/>
      <c r="G24" s="275">
        <f>G23/G22</f>
        <v>0.21050139938627588</v>
      </c>
      <c r="I24" s="276"/>
      <c r="J24" s="276"/>
      <c r="K24" s="276"/>
      <c r="L24" s="276"/>
      <c r="M24" s="276"/>
      <c r="N24" s="276"/>
      <c r="O24" s="276"/>
    </row>
    <row r="25" spans="1:15" ht="15.4" x14ac:dyDescent="0.45">
      <c r="I25" s="276"/>
      <c r="J25" s="276"/>
      <c r="K25" s="276"/>
      <c r="L25" s="276"/>
      <c r="M25" s="276"/>
      <c r="N25" s="276"/>
      <c r="O25" s="276"/>
    </row>
  </sheetData>
  <mergeCells count="2">
    <mergeCell ref="A1:G1"/>
    <mergeCell ref="A13:G1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A01C-7852-4E95-BD91-257134D74ABD}">
  <dimension ref="A1:I36"/>
  <sheetViews>
    <sheetView workbookViewId="0">
      <selection activeCell="H31" sqref="H31"/>
    </sheetView>
  </sheetViews>
  <sheetFormatPr defaultRowHeight="14.25" x14ac:dyDescent="0.45"/>
  <cols>
    <col min="1" max="1" width="20.609375" style="1" customWidth="1"/>
    <col min="2" max="7" width="12.609375" style="15" customWidth="1"/>
    <col min="8" max="8" width="8.88671875" style="22"/>
    <col min="9" max="16384" width="8.88671875" style="1"/>
  </cols>
  <sheetData>
    <row r="1" spans="1:8" x14ac:dyDescent="0.45">
      <c r="A1" s="1" t="s">
        <v>69</v>
      </c>
    </row>
    <row r="2" spans="1:8" x14ac:dyDescent="0.45">
      <c r="B2" s="149"/>
      <c r="C2" s="149"/>
      <c r="D2" s="149"/>
      <c r="E2" s="149"/>
      <c r="F2" s="149"/>
      <c r="G2" s="149" t="s">
        <v>11</v>
      </c>
    </row>
    <row r="3" spans="1:8" x14ac:dyDescent="0.45">
      <c r="B3" s="149" t="s">
        <v>70</v>
      </c>
      <c r="C3" s="149" t="s">
        <v>70</v>
      </c>
      <c r="D3" s="149" t="s">
        <v>71</v>
      </c>
      <c r="E3" s="149" t="s">
        <v>70</v>
      </c>
      <c r="F3" s="149" t="s">
        <v>70</v>
      </c>
      <c r="G3" s="149" t="s">
        <v>70</v>
      </c>
      <c r="H3" s="22" t="s">
        <v>175</v>
      </c>
    </row>
    <row r="4" spans="1:8" x14ac:dyDescent="0.45">
      <c r="A4" s="1" t="s">
        <v>72</v>
      </c>
      <c r="B4" s="149" t="s">
        <v>73</v>
      </c>
      <c r="C4" s="149" t="s">
        <v>74</v>
      </c>
      <c r="D4" s="149" t="s">
        <v>75</v>
      </c>
      <c r="E4" s="149" t="s">
        <v>76</v>
      </c>
      <c r="F4" s="149" t="s">
        <v>77</v>
      </c>
      <c r="G4" s="149" t="s">
        <v>78</v>
      </c>
      <c r="H4" s="22" t="s">
        <v>176</v>
      </c>
    </row>
    <row r="5" spans="1:8" x14ac:dyDescent="0.45">
      <c r="A5" s="1" t="s">
        <v>229</v>
      </c>
      <c r="B5" s="15">
        <v>2080</v>
      </c>
      <c r="C5" s="15">
        <v>0</v>
      </c>
      <c r="D5" s="15">
        <f>50000/2080</f>
        <v>24.03846153846154</v>
      </c>
      <c r="E5" s="15">
        <f>B5*D5</f>
        <v>50000</v>
      </c>
      <c r="F5" s="15">
        <f>C5*D5*1.5</f>
        <v>0</v>
      </c>
      <c r="G5" s="15">
        <f>E5+F5</f>
        <v>50000</v>
      </c>
      <c r="H5" s="22" t="s">
        <v>212</v>
      </c>
    </row>
    <row r="6" spans="1:8" x14ac:dyDescent="0.45">
      <c r="A6" s="1" t="s">
        <v>230</v>
      </c>
      <c r="B6" s="15">
        <v>2080</v>
      </c>
      <c r="C6" s="15">
        <v>342</v>
      </c>
      <c r="D6" s="15">
        <v>16.43</v>
      </c>
      <c r="E6" s="15">
        <f t="shared" ref="E6:E13" si="0">B6*D6</f>
        <v>34174.400000000001</v>
      </c>
      <c r="F6" s="15">
        <f t="shared" ref="F6:F13" si="1">C6*D6*1.5</f>
        <v>8428.59</v>
      </c>
      <c r="G6" s="15">
        <f t="shared" ref="G6:G13" si="2">E6+F6</f>
        <v>42602.990000000005</v>
      </c>
      <c r="H6" s="22" t="s">
        <v>212</v>
      </c>
    </row>
    <row r="7" spans="1:8" x14ac:dyDescent="0.45">
      <c r="A7" s="1" t="s">
        <v>231</v>
      </c>
      <c r="B7" s="15">
        <v>1040</v>
      </c>
      <c r="C7" s="15">
        <v>0</v>
      </c>
      <c r="D7" s="15">
        <v>14.25</v>
      </c>
      <c r="E7" s="15">
        <f t="shared" si="0"/>
        <v>14820</v>
      </c>
      <c r="F7" s="15">
        <f t="shared" si="1"/>
        <v>0</v>
      </c>
      <c r="G7" s="15">
        <f t="shared" si="2"/>
        <v>14820</v>
      </c>
      <c r="H7" s="22" t="s">
        <v>212</v>
      </c>
    </row>
    <row r="8" spans="1:8" x14ac:dyDescent="0.45">
      <c r="A8" s="1" t="s">
        <v>232</v>
      </c>
      <c r="B8" s="15">
        <v>2080</v>
      </c>
      <c r="C8" s="15">
        <v>0</v>
      </c>
      <c r="D8" s="15">
        <v>10.5</v>
      </c>
      <c r="E8" s="15">
        <f t="shared" si="0"/>
        <v>21840</v>
      </c>
      <c r="F8" s="15">
        <f t="shared" si="1"/>
        <v>0</v>
      </c>
      <c r="G8" s="15">
        <f t="shared" si="2"/>
        <v>21840</v>
      </c>
      <c r="H8" s="22" t="s">
        <v>212</v>
      </c>
    </row>
    <row r="9" spans="1:8" x14ac:dyDescent="0.45">
      <c r="A9" s="1" t="s">
        <v>233</v>
      </c>
      <c r="B9" s="15">
        <v>2080</v>
      </c>
      <c r="C9" s="15">
        <v>0</v>
      </c>
      <c r="D9" s="15">
        <v>14</v>
      </c>
      <c r="E9" s="15">
        <f t="shared" ref="E9:E12" si="3">B9*D9</f>
        <v>29120</v>
      </c>
      <c r="F9" s="15">
        <f t="shared" ref="F9:F12" si="4">C9*D9*1.5</f>
        <v>0</v>
      </c>
      <c r="G9" s="15">
        <f t="shared" ref="G9:G12" si="5">E9+F9</f>
        <v>29120</v>
      </c>
      <c r="H9" s="22" t="s">
        <v>212</v>
      </c>
    </row>
    <row r="10" spans="1:8" x14ac:dyDescent="0.45">
      <c r="A10" s="1" t="s">
        <v>235</v>
      </c>
      <c r="B10" s="15">
        <v>2080</v>
      </c>
      <c r="C10" s="15">
        <v>345</v>
      </c>
      <c r="D10" s="15">
        <v>10.5</v>
      </c>
      <c r="E10" s="15">
        <f t="shared" si="3"/>
        <v>21840</v>
      </c>
      <c r="F10" s="15">
        <f t="shared" si="4"/>
        <v>5433.75</v>
      </c>
      <c r="G10" s="15">
        <f t="shared" si="5"/>
        <v>27273.75</v>
      </c>
      <c r="H10" s="22" t="s">
        <v>212</v>
      </c>
    </row>
    <row r="11" spans="1:8" x14ac:dyDescent="0.45">
      <c r="A11" s="1" t="s">
        <v>234</v>
      </c>
      <c r="B11" s="15">
        <v>2080</v>
      </c>
      <c r="C11" s="15">
        <v>310</v>
      </c>
      <c r="D11" s="15">
        <v>13.5</v>
      </c>
      <c r="E11" s="15">
        <f t="shared" si="3"/>
        <v>28080</v>
      </c>
      <c r="F11" s="15">
        <f t="shared" si="4"/>
        <v>6277.5</v>
      </c>
      <c r="G11" s="15">
        <f t="shared" si="5"/>
        <v>34357.5</v>
      </c>
      <c r="H11" s="22" t="s">
        <v>212</v>
      </c>
    </row>
    <row r="12" spans="1:8" x14ac:dyDescent="0.45">
      <c r="A12" s="1" t="s">
        <v>237</v>
      </c>
      <c r="B12" s="15">
        <v>2080</v>
      </c>
      <c r="C12" s="15">
        <v>311</v>
      </c>
      <c r="D12" s="15">
        <v>10.5</v>
      </c>
      <c r="E12" s="15">
        <f t="shared" si="3"/>
        <v>21840</v>
      </c>
      <c r="F12" s="15">
        <f t="shared" si="4"/>
        <v>4898.25</v>
      </c>
      <c r="G12" s="15">
        <f t="shared" si="5"/>
        <v>26738.25</v>
      </c>
      <c r="H12" s="22" t="s">
        <v>212</v>
      </c>
    </row>
    <row r="13" spans="1:8" x14ac:dyDescent="0.45">
      <c r="A13" s="1" t="s">
        <v>236</v>
      </c>
      <c r="B13" s="39">
        <v>2080</v>
      </c>
      <c r="C13" s="39">
        <v>315</v>
      </c>
      <c r="D13" s="17">
        <v>10.5</v>
      </c>
      <c r="E13" s="39">
        <f t="shared" si="0"/>
        <v>21840</v>
      </c>
      <c r="F13" s="39">
        <f t="shared" si="1"/>
        <v>4961.25</v>
      </c>
      <c r="G13" s="39">
        <f t="shared" si="2"/>
        <v>26801.25</v>
      </c>
      <c r="H13" s="22" t="s">
        <v>212</v>
      </c>
    </row>
    <row r="14" spans="1:8" x14ac:dyDescent="0.45">
      <c r="B14" s="15">
        <f>SUM(B5:B13)</f>
        <v>17680</v>
      </c>
      <c r="C14" s="15">
        <f>SUM(C5:C13)</f>
        <v>1623</v>
      </c>
      <c r="E14" s="15">
        <f>SUM(E5:E13)</f>
        <v>243554.4</v>
      </c>
      <c r="F14" s="15">
        <f>SUM(F5:F13)</f>
        <v>29999.34</v>
      </c>
      <c r="G14" s="15">
        <f>SUM(G5:G13)</f>
        <v>273553.74</v>
      </c>
    </row>
    <row r="16" spans="1:8" x14ac:dyDescent="0.45">
      <c r="A16" s="1" t="s">
        <v>154</v>
      </c>
      <c r="G16" s="15">
        <f>G14</f>
        <v>273553.74</v>
      </c>
    </row>
    <row r="18" spans="1:9" x14ac:dyDescent="0.45">
      <c r="A18" s="1" t="s">
        <v>155</v>
      </c>
      <c r="G18" s="15">
        <v>0</v>
      </c>
    </row>
    <row r="20" spans="1:9" x14ac:dyDescent="0.45">
      <c r="G20" s="149" t="s">
        <v>29</v>
      </c>
    </row>
    <row r="21" spans="1:9" x14ac:dyDescent="0.45">
      <c r="D21" s="15" t="s">
        <v>79</v>
      </c>
      <c r="G21" s="15">
        <f>G16</f>
        <v>273553.74</v>
      </c>
    </row>
    <row r="22" spans="1:9" x14ac:dyDescent="0.45">
      <c r="D22" s="15" t="s">
        <v>80</v>
      </c>
      <c r="G22" s="157">
        <f>-SAO!D20</f>
        <v>-327268</v>
      </c>
      <c r="I22" s="1" t="s">
        <v>329</v>
      </c>
    </row>
    <row r="23" spans="1:9" ht="16.5" x14ac:dyDescent="0.75">
      <c r="D23" s="15" t="s">
        <v>330</v>
      </c>
      <c r="G23" s="280">
        <f>-SAO!E20</f>
        <v>25644</v>
      </c>
      <c r="I23" s="1" t="s">
        <v>331</v>
      </c>
    </row>
    <row r="24" spans="1:9" x14ac:dyDescent="0.45">
      <c r="D24" s="15" t="s">
        <v>81</v>
      </c>
      <c r="G24" s="15">
        <f>G21+G22+G23</f>
        <v>-28070.260000000009</v>
      </c>
    </row>
    <row r="25" spans="1:9" x14ac:dyDescent="0.45">
      <c r="G25" s="15" t="s">
        <v>82</v>
      </c>
    </row>
    <row r="26" spans="1:9" x14ac:dyDescent="0.45">
      <c r="D26" s="15" t="s">
        <v>83</v>
      </c>
      <c r="G26" s="15">
        <f>G16</f>
        <v>273553.74</v>
      </c>
    </row>
    <row r="27" spans="1:9" x14ac:dyDescent="0.45">
      <c r="D27" s="15" t="s">
        <v>84</v>
      </c>
      <c r="G27" s="150">
        <v>7.6499999999999999E-2</v>
      </c>
    </row>
    <row r="28" spans="1:9" x14ac:dyDescent="0.45">
      <c r="D28" s="15" t="s">
        <v>85</v>
      </c>
      <c r="G28" s="15">
        <f>G26*G27</f>
        <v>20926.861109999998</v>
      </c>
    </row>
    <row r="29" spans="1:9" x14ac:dyDescent="0.45">
      <c r="D29" s="15" t="s">
        <v>332</v>
      </c>
      <c r="G29" s="219">
        <f>SAO!E20</f>
        <v>-25644</v>
      </c>
      <c r="I29" s="1" t="s">
        <v>331</v>
      </c>
    </row>
    <row r="30" spans="1:9" x14ac:dyDescent="0.45">
      <c r="D30" s="15" t="s">
        <v>86</v>
      </c>
      <c r="G30" s="15">
        <f>G28+G29</f>
        <v>-4717.138890000002</v>
      </c>
    </row>
    <row r="32" spans="1:9" x14ac:dyDescent="0.45">
      <c r="D32" s="15" t="s">
        <v>87</v>
      </c>
      <c r="G32" s="15">
        <f>G18</f>
        <v>0</v>
      </c>
    </row>
    <row r="33" spans="4:7" x14ac:dyDescent="0.45">
      <c r="D33" s="15" t="s">
        <v>88</v>
      </c>
      <c r="G33" s="150">
        <v>0.26950000000000002</v>
      </c>
    </row>
    <row r="34" spans="4:7" x14ac:dyDescent="0.45">
      <c r="D34" s="15" t="s">
        <v>89</v>
      </c>
      <c r="G34" s="15">
        <f>G32*G33</f>
        <v>0</v>
      </c>
    </row>
    <row r="35" spans="4:7" x14ac:dyDescent="0.45">
      <c r="D35" s="15" t="s">
        <v>90</v>
      </c>
      <c r="G35" s="39">
        <v>0</v>
      </c>
    </row>
    <row r="36" spans="4:7" x14ac:dyDescent="0.45">
      <c r="D36" s="15" t="s">
        <v>91</v>
      </c>
      <c r="G36" s="15">
        <f>G34+G35</f>
        <v>0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workbookViewId="0">
      <selection activeCell="C27" sqref="C27"/>
    </sheetView>
  </sheetViews>
  <sheetFormatPr defaultColWidth="8.88671875" defaultRowHeight="14.25" x14ac:dyDescent="0.45"/>
  <cols>
    <col min="1" max="1" width="20.609375" style="1" bestFit="1" customWidth="1"/>
    <col min="2" max="2" width="20.609375" style="21" customWidth="1"/>
    <col min="3" max="3" width="11.5546875" style="160" bestFit="1" customWidth="1"/>
    <col min="4" max="4" width="9.88671875" style="160" customWidth="1"/>
    <col min="5" max="5" width="9.77734375" style="166" customWidth="1"/>
    <col min="6" max="6" width="9.77734375" style="161" customWidth="1"/>
    <col min="7" max="7" width="11.44140625" style="160" customWidth="1"/>
    <col min="8" max="8" width="10.6640625" style="162" customWidth="1"/>
    <col min="9" max="9" width="10.109375" style="160" customWidth="1"/>
    <col min="10" max="10" width="10.5546875" style="1" customWidth="1"/>
    <col min="11" max="12" width="8.88671875" style="1"/>
    <col min="13" max="13" width="10.109375" style="1" customWidth="1"/>
    <col min="14" max="14" width="9" style="1" bestFit="1" customWidth="1"/>
    <col min="15" max="15" width="9.77734375" style="1" bestFit="1" customWidth="1"/>
    <col min="16" max="16384" width="8.88671875" style="1"/>
  </cols>
  <sheetData>
    <row r="1" spans="1:10" x14ac:dyDescent="0.45">
      <c r="A1" s="1" t="s">
        <v>262</v>
      </c>
    </row>
    <row r="2" spans="1:10" x14ac:dyDescent="0.45">
      <c r="C2" s="163"/>
    </row>
    <row r="3" spans="1:10" x14ac:dyDescent="0.45">
      <c r="D3" s="160" t="s">
        <v>162</v>
      </c>
      <c r="G3" s="160" t="s">
        <v>158</v>
      </c>
      <c r="H3" s="162" t="s">
        <v>159</v>
      </c>
      <c r="I3" s="160" t="s">
        <v>159</v>
      </c>
    </row>
    <row r="4" spans="1:10" x14ac:dyDescent="0.45">
      <c r="C4" s="255" t="s">
        <v>162</v>
      </c>
      <c r="D4" s="160" t="s">
        <v>160</v>
      </c>
      <c r="E4" s="166" t="s">
        <v>160</v>
      </c>
      <c r="F4" s="161" t="s">
        <v>161</v>
      </c>
      <c r="G4" s="160" t="s">
        <v>162</v>
      </c>
      <c r="H4" s="162" t="s">
        <v>163</v>
      </c>
      <c r="I4" s="160" t="s">
        <v>163</v>
      </c>
    </row>
    <row r="5" spans="1:10" x14ac:dyDescent="0.45">
      <c r="A5" s="1" t="s">
        <v>263</v>
      </c>
      <c r="B5" s="21" t="s">
        <v>258</v>
      </c>
      <c r="C5" s="160" t="s">
        <v>164</v>
      </c>
      <c r="D5" s="160" t="s">
        <v>165</v>
      </c>
      <c r="E5" s="166" t="s">
        <v>166</v>
      </c>
      <c r="F5" s="161" t="s">
        <v>166</v>
      </c>
      <c r="G5" s="160" t="s">
        <v>164</v>
      </c>
      <c r="H5" s="162" t="s">
        <v>167</v>
      </c>
      <c r="I5" s="160" t="s">
        <v>168</v>
      </c>
      <c r="J5" s="21"/>
    </row>
    <row r="6" spans="1:10" x14ac:dyDescent="0.45">
      <c r="A6" s="1" t="s">
        <v>253</v>
      </c>
      <c r="B6" s="21">
        <v>7</v>
      </c>
      <c r="C6" s="160">
        <f>880.67*12</f>
        <v>10568.039999999999</v>
      </c>
      <c r="D6" s="160">
        <v>0</v>
      </c>
      <c r="E6" s="166">
        <v>0</v>
      </c>
      <c r="F6" s="161">
        <f>1-E6</f>
        <v>1</v>
      </c>
      <c r="G6" s="160">
        <f>B6*C6*F6</f>
        <v>73976.28</v>
      </c>
      <c r="H6" s="162">
        <v>0.79</v>
      </c>
      <c r="I6" s="160">
        <f t="shared" ref="I6" si="0">IF(H6&lt;F6,H6*G6,G6)</f>
        <v>58441.261200000001</v>
      </c>
      <c r="J6" s="21"/>
    </row>
    <row r="7" spans="1:10" x14ac:dyDescent="0.45">
      <c r="A7" s="1" t="s">
        <v>254</v>
      </c>
      <c r="B7" s="21">
        <v>0</v>
      </c>
      <c r="C7" s="160">
        <f>1849.41*12</f>
        <v>22192.920000000002</v>
      </c>
      <c r="D7" s="160">
        <v>0</v>
      </c>
      <c r="E7" s="166">
        <f t="shared" ref="E7:E10" si="1">D7/C7</f>
        <v>0</v>
      </c>
      <c r="F7" s="161">
        <f t="shared" ref="F7:F10" si="2">1-E7</f>
        <v>1</v>
      </c>
      <c r="G7" s="160">
        <f t="shared" ref="G7:G10" si="3">B7*C7*F7</f>
        <v>0</v>
      </c>
      <c r="H7" s="162">
        <v>0.66</v>
      </c>
      <c r="I7" s="160">
        <f>IF(H7&lt;F7,H7*G7,G7)</f>
        <v>0</v>
      </c>
      <c r="J7" s="21"/>
    </row>
    <row r="8" spans="1:10" x14ac:dyDescent="0.45">
      <c r="A8" s="1" t="s">
        <v>255</v>
      </c>
      <c r="B8" s="21">
        <v>0</v>
      </c>
      <c r="C8" s="160">
        <f>1585.21*12</f>
        <v>19022.52</v>
      </c>
      <c r="D8" s="160">
        <v>0</v>
      </c>
      <c r="E8" s="166">
        <f t="shared" si="1"/>
        <v>0</v>
      </c>
      <c r="F8" s="161">
        <f t="shared" si="2"/>
        <v>1</v>
      </c>
      <c r="G8" s="160">
        <f t="shared" si="3"/>
        <v>0</v>
      </c>
      <c r="H8" s="162">
        <v>0.66</v>
      </c>
      <c r="I8" s="160">
        <f t="shared" ref="I8:I10" si="4">IF(H8&lt;F8,H8*G8,G8)</f>
        <v>0</v>
      </c>
      <c r="J8" s="21"/>
    </row>
    <row r="9" spans="1:10" x14ac:dyDescent="0.45">
      <c r="A9" s="1" t="s">
        <v>256</v>
      </c>
      <c r="B9" s="21">
        <v>0</v>
      </c>
      <c r="C9" s="160">
        <f>2553.94*12</f>
        <v>30647.279999999999</v>
      </c>
      <c r="D9" s="160">
        <v>0</v>
      </c>
      <c r="E9" s="166">
        <f t="shared" si="1"/>
        <v>0</v>
      </c>
      <c r="F9" s="161">
        <f t="shared" si="2"/>
        <v>1</v>
      </c>
      <c r="G9" s="160">
        <f t="shared" si="3"/>
        <v>0</v>
      </c>
      <c r="H9" s="162">
        <v>0.66</v>
      </c>
      <c r="I9" s="160">
        <f t="shared" si="4"/>
        <v>0</v>
      </c>
      <c r="J9" s="21"/>
    </row>
    <row r="10" spans="1:10" x14ac:dyDescent="0.45">
      <c r="A10" s="1" t="s">
        <v>257</v>
      </c>
      <c r="B10" s="21">
        <v>0</v>
      </c>
      <c r="C10" s="160">
        <f>1585.21*12</f>
        <v>19022.52</v>
      </c>
      <c r="D10" s="164">
        <v>0</v>
      </c>
      <c r="E10" s="166">
        <f t="shared" si="1"/>
        <v>0</v>
      </c>
      <c r="F10" s="161">
        <f t="shared" si="2"/>
        <v>1</v>
      </c>
      <c r="G10" s="165">
        <f t="shared" si="3"/>
        <v>0</v>
      </c>
      <c r="H10" s="162">
        <v>0.66</v>
      </c>
      <c r="I10" s="165">
        <f t="shared" si="4"/>
        <v>0</v>
      </c>
    </row>
    <row r="11" spans="1:10" x14ac:dyDescent="0.45">
      <c r="A11" s="270" t="s">
        <v>264</v>
      </c>
      <c r="B11" s="267"/>
      <c r="G11" s="160">
        <f>SUM(G6:G10)</f>
        <v>73976.28</v>
      </c>
      <c r="H11" s="171"/>
      <c r="I11" s="172">
        <f>SUM(I6:I10)</f>
        <v>58441.261200000001</v>
      </c>
      <c r="J11" s="46"/>
    </row>
    <row r="12" spans="1:10" x14ac:dyDescent="0.45">
      <c r="D12" s="164"/>
      <c r="F12" s="162"/>
      <c r="I12" s="173"/>
      <c r="J12" s="159"/>
    </row>
    <row r="13" spans="1:10" x14ac:dyDescent="0.45">
      <c r="D13" s="164"/>
      <c r="F13" s="162"/>
      <c r="I13" s="173"/>
      <c r="J13" s="159"/>
    </row>
    <row r="14" spans="1:10" x14ac:dyDescent="0.45">
      <c r="D14" s="160" t="s">
        <v>162</v>
      </c>
      <c r="G14" s="160" t="s">
        <v>158</v>
      </c>
      <c r="H14" s="162" t="s">
        <v>159</v>
      </c>
      <c r="I14" s="160" t="s">
        <v>159</v>
      </c>
      <c r="J14" s="159"/>
    </row>
    <row r="15" spans="1:10" x14ac:dyDescent="0.45">
      <c r="C15" s="255" t="s">
        <v>162</v>
      </c>
      <c r="D15" s="160" t="s">
        <v>160</v>
      </c>
      <c r="E15" s="166" t="s">
        <v>160</v>
      </c>
      <c r="F15" s="161" t="s">
        <v>161</v>
      </c>
      <c r="G15" s="160" t="s">
        <v>162</v>
      </c>
      <c r="H15" s="162" t="s">
        <v>163</v>
      </c>
      <c r="I15" s="160" t="s">
        <v>163</v>
      </c>
      <c r="J15" s="159"/>
    </row>
    <row r="16" spans="1:10" x14ac:dyDescent="0.45">
      <c r="A16" s="1" t="s">
        <v>265</v>
      </c>
      <c r="B16" s="21" t="s">
        <v>258</v>
      </c>
      <c r="C16" s="160" t="s">
        <v>164</v>
      </c>
      <c r="D16" s="160" t="s">
        <v>165</v>
      </c>
      <c r="E16" s="166" t="s">
        <v>166</v>
      </c>
      <c r="F16" s="161" t="s">
        <v>166</v>
      </c>
      <c r="G16" s="160" t="s">
        <v>164</v>
      </c>
      <c r="H16" s="162" t="s">
        <v>167</v>
      </c>
      <c r="I16" s="160" t="s">
        <v>168</v>
      </c>
      <c r="J16" s="159"/>
    </row>
    <row r="17" spans="1:13" x14ac:dyDescent="0.45">
      <c r="A17" s="1" t="s">
        <v>253</v>
      </c>
      <c r="B17" s="21">
        <v>4</v>
      </c>
      <c r="C17" s="160">
        <f>37.61*12</f>
        <v>451.32</v>
      </c>
      <c r="D17" s="160">
        <v>0</v>
      </c>
      <c r="E17" s="166">
        <v>0</v>
      </c>
      <c r="F17" s="161">
        <f>1-E17</f>
        <v>1</v>
      </c>
      <c r="G17" s="165">
        <f>B17*C17*F17</f>
        <v>1805.28</v>
      </c>
      <c r="H17" s="162">
        <v>0.6</v>
      </c>
      <c r="I17" s="165">
        <f t="shared" ref="I17" si="5">IF(H17&lt;F17,H17*G17,G17)</f>
        <v>1083.1679999999999</v>
      </c>
      <c r="J17" s="159"/>
    </row>
    <row r="18" spans="1:13" x14ac:dyDescent="0.45">
      <c r="A18" s="270" t="s">
        <v>266</v>
      </c>
      <c r="B18" s="267"/>
      <c r="G18" s="160">
        <f>SUM(G17:G17)</f>
        <v>1805.28</v>
      </c>
      <c r="H18" s="171"/>
      <c r="I18" s="172">
        <f>SUM(I17:I17)</f>
        <v>1083.1679999999999</v>
      </c>
      <c r="J18" s="159"/>
    </row>
    <row r="19" spans="1:13" x14ac:dyDescent="0.45">
      <c r="D19" s="164"/>
      <c r="F19" s="162"/>
      <c r="I19" s="173"/>
      <c r="J19" s="159"/>
    </row>
    <row r="20" spans="1:13" x14ac:dyDescent="0.45">
      <c r="D20" s="164"/>
      <c r="F20" s="162"/>
      <c r="I20" s="173"/>
      <c r="J20" s="159"/>
    </row>
    <row r="21" spans="1:13" x14ac:dyDescent="0.45">
      <c r="J21" s="159"/>
    </row>
    <row r="22" spans="1:13" x14ac:dyDescent="0.45">
      <c r="A22" s="1" t="s">
        <v>204</v>
      </c>
      <c r="C22" s="1"/>
      <c r="J22" s="159"/>
    </row>
    <row r="23" spans="1:13" s="213" customFormat="1" x14ac:dyDescent="0.45">
      <c r="B23" s="268"/>
      <c r="C23" s="214"/>
      <c r="D23" s="214"/>
      <c r="E23" s="215"/>
      <c r="F23" s="216"/>
      <c r="G23" s="214"/>
      <c r="H23" s="217"/>
      <c r="I23" s="214"/>
      <c r="J23" s="218"/>
    </row>
    <row r="24" spans="1:13" s="213" customFormat="1" x14ac:dyDescent="0.45">
      <c r="A24" s="1" t="s">
        <v>267</v>
      </c>
      <c r="B24" s="268"/>
      <c r="C24" s="214">
        <f>I11</f>
        <v>58441.261200000001</v>
      </c>
      <c r="D24" s="214"/>
      <c r="E24" s="215"/>
      <c r="F24" s="216"/>
      <c r="G24" s="214"/>
      <c r="H24" s="217"/>
      <c r="I24" s="214"/>
      <c r="J24" s="218"/>
    </row>
    <row r="25" spans="1:13" s="213" customFormat="1" x14ac:dyDescent="0.45">
      <c r="A25" s="1" t="s">
        <v>268</v>
      </c>
      <c r="B25" s="268"/>
      <c r="C25" s="271">
        <f>I18</f>
        <v>1083.1679999999999</v>
      </c>
      <c r="D25" s="214"/>
      <c r="E25" s="215"/>
      <c r="F25" s="216"/>
      <c r="G25" s="214"/>
      <c r="H25" s="217"/>
      <c r="I25" s="214"/>
      <c r="J25" s="218"/>
    </row>
    <row r="26" spans="1:13" s="213" customFormat="1" x14ac:dyDescent="0.45">
      <c r="A26" s="1" t="s">
        <v>269</v>
      </c>
      <c r="B26" s="268"/>
      <c r="C26" s="214">
        <f>C24+C25</f>
        <v>59524.429199999999</v>
      </c>
      <c r="D26" s="214"/>
      <c r="E26" s="215"/>
      <c r="F26" s="216"/>
      <c r="G26" s="214"/>
      <c r="H26" s="217"/>
      <c r="I26" s="214"/>
      <c r="J26" s="218"/>
    </row>
    <row r="27" spans="1:13" x14ac:dyDescent="0.45">
      <c r="A27" s="1" t="s">
        <v>214</v>
      </c>
      <c r="B27" s="268"/>
      <c r="C27" s="165">
        <v>-84928</v>
      </c>
      <c r="F27" s="168"/>
      <c r="I27" s="174"/>
      <c r="J27" s="46"/>
      <c r="L27" s="158"/>
      <c r="M27" s="158"/>
    </row>
    <row r="28" spans="1:13" x14ac:dyDescent="0.45">
      <c r="A28" s="213" t="s">
        <v>36</v>
      </c>
      <c r="B28" s="268"/>
      <c r="C28" s="160">
        <f>C26+C27</f>
        <v>-25403.570800000001</v>
      </c>
      <c r="E28" s="167"/>
      <c r="F28" s="169"/>
      <c r="I28" s="175"/>
      <c r="J28" s="155"/>
      <c r="L28" s="2"/>
    </row>
    <row r="29" spans="1:13" ht="16.5" x14ac:dyDescent="0.75">
      <c r="F29" s="170"/>
      <c r="I29" s="176"/>
      <c r="J29" s="156"/>
    </row>
    <row r="30" spans="1:13" x14ac:dyDescent="0.45">
      <c r="F30" s="169"/>
      <c r="I30" s="175"/>
      <c r="J30" s="155"/>
    </row>
    <row r="35" spans="1:2" x14ac:dyDescent="0.45">
      <c r="A35" s="166"/>
      <c r="B35" s="26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590D3-A7C3-4727-A9D4-F5C014E94ADB}">
  <sheetPr>
    <pageSetUpPr fitToPage="1"/>
  </sheetPr>
  <dimension ref="A1:R56"/>
  <sheetViews>
    <sheetView showGridLines="0" topLeftCell="A33" workbookViewId="0">
      <selection activeCell="M47" sqref="A1:M47"/>
    </sheetView>
  </sheetViews>
  <sheetFormatPr defaultRowHeight="15.4" x14ac:dyDescent="0.45"/>
  <cols>
    <col min="1" max="1" width="2" customWidth="1"/>
    <col min="2" max="2" width="1.88671875" customWidth="1"/>
    <col min="3" max="3" width="1.77734375" customWidth="1"/>
    <col min="4" max="4" width="27.44140625" style="1" customWidth="1"/>
    <col min="5" max="5" width="8.33203125" style="1" customWidth="1"/>
    <col min="6" max="6" width="10.6640625" style="184" customWidth="1"/>
    <col min="7" max="7" width="6.109375" style="1" customWidth="1"/>
    <col min="8" max="8" width="9.33203125" style="180" customWidth="1"/>
    <col min="9" max="9" width="6.109375" customWidth="1"/>
    <col min="10" max="10" width="9.33203125" style="180" customWidth="1"/>
    <col min="11" max="11" width="10.6640625" customWidth="1"/>
    <col min="12" max="12" width="1.88671875" customWidth="1"/>
    <col min="13" max="13" width="2.44140625" customWidth="1"/>
    <col min="15" max="18" width="8.88671875" style="1"/>
  </cols>
  <sheetData>
    <row r="1" spans="1:13" x14ac:dyDescent="0.45">
      <c r="A1" s="1"/>
      <c r="B1" s="1"/>
      <c r="C1" s="3"/>
      <c r="D1" s="3"/>
      <c r="E1" s="3"/>
      <c r="G1" s="133"/>
      <c r="H1" s="19"/>
      <c r="I1" s="133"/>
      <c r="J1" s="19"/>
      <c r="K1" s="3"/>
      <c r="L1" s="3"/>
      <c r="M1" s="3"/>
    </row>
    <row r="2" spans="1:13" x14ac:dyDescent="0.45">
      <c r="A2" s="1"/>
      <c r="B2" s="123"/>
      <c r="C2" s="125"/>
      <c r="D2" s="125"/>
      <c r="E2" s="125"/>
      <c r="F2" s="185"/>
      <c r="G2" s="134"/>
      <c r="H2" s="177"/>
      <c r="I2" s="134"/>
      <c r="J2" s="177"/>
      <c r="K2" s="125"/>
      <c r="L2" s="141"/>
      <c r="M2" s="144"/>
    </row>
    <row r="3" spans="1:13" ht="18" x14ac:dyDescent="0.55000000000000004">
      <c r="A3" s="1"/>
      <c r="B3" s="50"/>
      <c r="C3" s="298" t="s">
        <v>26</v>
      </c>
      <c r="D3" s="298"/>
      <c r="E3" s="298"/>
      <c r="F3" s="298"/>
      <c r="G3" s="298"/>
      <c r="H3" s="298"/>
      <c r="I3" s="298"/>
      <c r="J3" s="298"/>
      <c r="K3" s="298"/>
      <c r="L3" s="142"/>
      <c r="M3" s="144"/>
    </row>
    <row r="4" spans="1:13" ht="18" x14ac:dyDescent="0.55000000000000004">
      <c r="A4" s="1"/>
      <c r="B4" s="50"/>
      <c r="C4" s="299" t="s">
        <v>39</v>
      </c>
      <c r="D4" s="299"/>
      <c r="E4" s="299"/>
      <c r="F4" s="299"/>
      <c r="G4" s="299"/>
      <c r="H4" s="299"/>
      <c r="I4" s="299"/>
      <c r="J4" s="299"/>
      <c r="K4" s="299"/>
      <c r="L4" s="142"/>
      <c r="M4" s="144"/>
    </row>
    <row r="5" spans="1:13" ht="15.75" x14ac:dyDescent="0.45">
      <c r="A5" s="1"/>
      <c r="B5" s="50"/>
      <c r="C5" s="300" t="s">
        <v>216</v>
      </c>
      <c r="D5" s="300"/>
      <c r="E5" s="300"/>
      <c r="F5" s="300"/>
      <c r="G5" s="300"/>
      <c r="H5" s="300"/>
      <c r="I5" s="300"/>
      <c r="J5" s="300"/>
      <c r="K5" s="300"/>
      <c r="L5" s="142"/>
      <c r="M5" s="144"/>
    </row>
    <row r="6" spans="1:13" x14ac:dyDescent="0.45">
      <c r="A6" s="1"/>
      <c r="B6" s="50"/>
      <c r="C6" s="3"/>
      <c r="D6" s="3"/>
      <c r="E6" s="3"/>
      <c r="G6" s="135"/>
      <c r="H6" s="19"/>
      <c r="I6" s="135"/>
      <c r="J6" s="19"/>
      <c r="K6" s="127" t="s">
        <v>40</v>
      </c>
      <c r="L6" s="142"/>
      <c r="M6" s="144"/>
    </row>
    <row r="7" spans="1:13" x14ac:dyDescent="0.45">
      <c r="A7" s="1"/>
      <c r="B7" s="50"/>
      <c r="C7" s="126"/>
      <c r="D7" s="126"/>
      <c r="E7" s="126" t="s">
        <v>41</v>
      </c>
      <c r="F7" s="186" t="s">
        <v>42</v>
      </c>
      <c r="G7" s="301" t="s">
        <v>133</v>
      </c>
      <c r="H7" s="301"/>
      <c r="I7" s="301" t="s">
        <v>31</v>
      </c>
      <c r="J7" s="301"/>
      <c r="K7" s="127" t="s">
        <v>43</v>
      </c>
      <c r="L7" s="142"/>
      <c r="M7" s="144"/>
    </row>
    <row r="8" spans="1:13" ht="17.649999999999999" x14ac:dyDescent="0.75">
      <c r="A8" s="1"/>
      <c r="B8" s="50"/>
      <c r="C8" s="127"/>
      <c r="D8" s="131" t="s">
        <v>112</v>
      </c>
      <c r="E8" s="127" t="s">
        <v>44</v>
      </c>
      <c r="F8" s="187" t="s">
        <v>132</v>
      </c>
      <c r="G8" s="25" t="s">
        <v>45</v>
      </c>
      <c r="H8" s="127" t="s">
        <v>46</v>
      </c>
      <c r="I8" s="25" t="s">
        <v>45</v>
      </c>
      <c r="J8" s="127" t="s">
        <v>46</v>
      </c>
      <c r="K8" s="127" t="s">
        <v>36</v>
      </c>
      <c r="L8" s="142"/>
      <c r="M8" s="144"/>
    </row>
    <row r="9" spans="1:13" x14ac:dyDescent="0.45">
      <c r="A9" s="1"/>
      <c r="B9" s="50"/>
      <c r="C9" s="128" t="s">
        <v>107</v>
      </c>
      <c r="D9" s="3"/>
      <c r="E9" s="132"/>
      <c r="G9" s="135"/>
      <c r="H9" s="179"/>
      <c r="I9" s="135"/>
      <c r="J9" s="179"/>
      <c r="K9" s="2"/>
      <c r="L9" s="142"/>
      <c r="M9" s="144"/>
    </row>
    <row r="10" spans="1:13" x14ac:dyDescent="0.45">
      <c r="A10" s="1"/>
      <c r="B10" s="50"/>
      <c r="C10" s="128"/>
      <c r="D10" s="3" t="s">
        <v>113</v>
      </c>
      <c r="E10" s="132" t="s">
        <v>238</v>
      </c>
      <c r="F10" s="189">
        <f>240679.4+2437</f>
        <v>243116.4</v>
      </c>
      <c r="G10" s="69" t="s">
        <v>134</v>
      </c>
      <c r="H10" s="151">
        <f>7632+60.93</f>
        <v>7692.93</v>
      </c>
      <c r="I10" s="135">
        <v>37.5</v>
      </c>
      <c r="J10" s="151">
        <f>F10/I10</f>
        <v>6483.1040000000003</v>
      </c>
      <c r="K10" s="23">
        <f>J10-H10</f>
        <v>-1209.826</v>
      </c>
      <c r="L10" s="142"/>
      <c r="M10" s="144"/>
    </row>
    <row r="11" spans="1:13" x14ac:dyDescent="0.45">
      <c r="A11" s="1"/>
      <c r="B11" s="50"/>
      <c r="C11" s="128"/>
      <c r="D11" s="3" t="s">
        <v>114</v>
      </c>
      <c r="E11" s="253" t="s">
        <v>238</v>
      </c>
      <c r="F11" s="189">
        <v>18229</v>
      </c>
      <c r="G11" s="69">
        <v>5</v>
      </c>
      <c r="H11" s="151">
        <v>3645.8</v>
      </c>
      <c r="I11" s="135">
        <v>10</v>
      </c>
      <c r="J11" s="151">
        <f>F11/I11</f>
        <v>1822.9</v>
      </c>
      <c r="K11" s="23">
        <f>J11-H11</f>
        <v>-1822.9</v>
      </c>
      <c r="L11" s="142"/>
      <c r="M11" s="144"/>
    </row>
    <row r="12" spans="1:13" x14ac:dyDescent="0.45">
      <c r="A12" s="1"/>
      <c r="B12" s="50"/>
      <c r="C12" s="3"/>
      <c r="D12" s="3" t="s">
        <v>115</v>
      </c>
      <c r="E12" s="132"/>
      <c r="F12" s="189">
        <v>0</v>
      </c>
      <c r="G12" s="69"/>
      <c r="H12" s="151">
        <v>0</v>
      </c>
      <c r="I12" s="135">
        <v>22.5</v>
      </c>
      <c r="J12" s="151">
        <f>F12/I12</f>
        <v>0</v>
      </c>
      <c r="K12" s="23">
        <f>J12-H12</f>
        <v>0</v>
      </c>
      <c r="L12" s="142"/>
      <c r="M12" s="144"/>
    </row>
    <row r="13" spans="1:13" x14ac:dyDescent="0.45">
      <c r="A13" s="1"/>
      <c r="B13" s="50"/>
      <c r="C13" s="3"/>
      <c r="D13" s="3" t="s">
        <v>116</v>
      </c>
      <c r="E13" s="132"/>
      <c r="F13" s="189">
        <v>0</v>
      </c>
      <c r="G13" s="69"/>
      <c r="H13" s="151">
        <v>0</v>
      </c>
      <c r="I13" s="135">
        <v>12.5</v>
      </c>
      <c r="J13" s="151">
        <f t="shared" ref="J13:J15" si="0">F13/I13</f>
        <v>0</v>
      </c>
      <c r="K13" s="23">
        <f t="shared" ref="K13:K15" si="1">J13-H13</f>
        <v>0</v>
      </c>
      <c r="L13" s="142"/>
      <c r="M13" s="144"/>
    </row>
    <row r="14" spans="1:13" x14ac:dyDescent="0.45">
      <c r="A14" s="1"/>
      <c r="B14" s="50"/>
      <c r="C14" s="3"/>
      <c r="D14" s="3" t="s">
        <v>117</v>
      </c>
      <c r="E14" s="132" t="s">
        <v>238</v>
      </c>
      <c r="F14" s="189">
        <v>19876</v>
      </c>
      <c r="G14" s="69" t="s">
        <v>134</v>
      </c>
      <c r="H14" s="151">
        <v>2392</v>
      </c>
      <c r="I14" s="135">
        <v>17.5</v>
      </c>
      <c r="J14" s="151">
        <f t="shared" si="0"/>
        <v>1135.7714285714285</v>
      </c>
      <c r="K14" s="23">
        <f t="shared" si="1"/>
        <v>-1256.2285714285715</v>
      </c>
      <c r="L14" s="142"/>
      <c r="M14" s="144"/>
    </row>
    <row r="15" spans="1:13" x14ac:dyDescent="0.45">
      <c r="A15" s="1"/>
      <c r="B15" s="50"/>
      <c r="C15" s="3"/>
      <c r="D15" s="3" t="s">
        <v>118</v>
      </c>
      <c r="E15" s="132"/>
      <c r="F15" s="189"/>
      <c r="G15" s="69"/>
      <c r="H15" s="151"/>
      <c r="I15" s="135">
        <v>15</v>
      </c>
      <c r="J15" s="151">
        <f t="shared" si="0"/>
        <v>0</v>
      </c>
      <c r="K15" s="23">
        <f t="shared" si="1"/>
        <v>0</v>
      </c>
      <c r="L15" s="142"/>
      <c r="M15" s="144"/>
    </row>
    <row r="16" spans="1:13" x14ac:dyDescent="0.45">
      <c r="A16" s="1"/>
      <c r="B16" s="50"/>
      <c r="C16" s="3"/>
      <c r="D16" s="3"/>
      <c r="E16" s="132"/>
      <c r="F16" s="189"/>
      <c r="G16" s="69"/>
      <c r="H16" s="151"/>
      <c r="I16" s="135"/>
      <c r="J16" s="151"/>
      <c r="K16" s="23"/>
      <c r="L16" s="142"/>
      <c r="M16" s="144"/>
    </row>
    <row r="17" spans="1:13" x14ac:dyDescent="0.45">
      <c r="A17" s="1"/>
      <c r="B17" s="50"/>
      <c r="C17" s="128" t="s">
        <v>171</v>
      </c>
      <c r="D17" s="3"/>
      <c r="E17" s="132"/>
      <c r="F17" s="189"/>
      <c r="G17" s="69"/>
      <c r="H17" s="151"/>
      <c r="I17" s="135"/>
      <c r="J17" s="151"/>
      <c r="K17" s="23"/>
      <c r="L17" s="142"/>
      <c r="M17" s="144"/>
    </row>
    <row r="18" spans="1:13" x14ac:dyDescent="0.45">
      <c r="A18" s="1"/>
      <c r="B18" s="50"/>
      <c r="C18" s="3"/>
      <c r="D18" s="3" t="s">
        <v>172</v>
      </c>
      <c r="E18" s="132"/>
      <c r="F18" s="189">
        <v>0</v>
      </c>
      <c r="G18" s="69"/>
      <c r="H18" s="151">
        <v>0</v>
      </c>
      <c r="I18" s="135">
        <v>62.5</v>
      </c>
      <c r="J18" s="151">
        <f t="shared" ref="J18:J19" si="2">F18/I18</f>
        <v>0</v>
      </c>
      <c r="K18" s="23">
        <f t="shared" ref="K18:K19" si="3">J18-H18</f>
        <v>0</v>
      </c>
      <c r="L18" s="142"/>
      <c r="M18" s="144"/>
    </row>
    <row r="19" spans="1:13" x14ac:dyDescent="0.45">
      <c r="A19" s="1"/>
      <c r="B19" s="50"/>
      <c r="C19" s="3"/>
      <c r="D19" s="3" t="s">
        <v>173</v>
      </c>
      <c r="E19" s="132"/>
      <c r="F19" s="189">
        <v>0</v>
      </c>
      <c r="G19" s="69"/>
      <c r="H19" s="151">
        <v>0</v>
      </c>
      <c r="I19" s="135">
        <v>62.5</v>
      </c>
      <c r="J19" s="151">
        <f t="shared" si="2"/>
        <v>0</v>
      </c>
      <c r="K19" s="23">
        <f t="shared" si="3"/>
        <v>0</v>
      </c>
      <c r="L19" s="142"/>
      <c r="M19" s="144"/>
    </row>
    <row r="20" spans="1:13" x14ac:dyDescent="0.45">
      <c r="A20" s="1"/>
      <c r="B20" s="50"/>
      <c r="C20" s="127"/>
      <c r="D20" s="127"/>
      <c r="E20" s="127"/>
      <c r="F20" s="188"/>
      <c r="G20" s="25"/>
      <c r="H20" s="178"/>
      <c r="I20" s="25"/>
      <c r="J20" s="178"/>
      <c r="K20" s="127"/>
      <c r="L20" s="142"/>
      <c r="M20" s="144"/>
    </row>
    <row r="21" spans="1:13" x14ac:dyDescent="0.45">
      <c r="A21" s="1"/>
      <c r="B21" s="50"/>
      <c r="C21" s="128" t="s">
        <v>108</v>
      </c>
      <c r="D21" s="3"/>
      <c r="E21" s="132"/>
      <c r="G21" s="136"/>
      <c r="H21" s="179"/>
      <c r="I21" s="136"/>
      <c r="J21" s="179"/>
      <c r="K21" s="2"/>
      <c r="L21" s="142"/>
      <c r="M21" s="144"/>
    </row>
    <row r="22" spans="1:13" x14ac:dyDescent="0.45">
      <c r="A22" s="1"/>
      <c r="B22" s="50"/>
      <c r="C22" s="128"/>
      <c r="D22" s="3" t="s">
        <v>113</v>
      </c>
      <c r="E22" s="132"/>
      <c r="F22" s="189">
        <v>0</v>
      </c>
      <c r="G22" s="69"/>
      <c r="H22" s="151">
        <v>0</v>
      </c>
      <c r="I22" s="135">
        <v>37.5</v>
      </c>
      <c r="J22" s="151">
        <f>F22/I22</f>
        <v>0</v>
      </c>
      <c r="K22" s="23">
        <f>J22-H22</f>
        <v>0</v>
      </c>
      <c r="L22" s="142"/>
      <c r="M22" s="144"/>
    </row>
    <row r="23" spans="1:13" x14ac:dyDescent="0.45">
      <c r="A23" s="1"/>
      <c r="B23" s="50"/>
      <c r="C23" s="3"/>
      <c r="D23" s="3" t="s">
        <v>119</v>
      </c>
      <c r="E23" s="132" t="s">
        <v>238</v>
      </c>
      <c r="F23" s="184">
        <v>270401.73</v>
      </c>
      <c r="G23" s="136">
        <v>10</v>
      </c>
      <c r="H23" s="151">
        <v>27040</v>
      </c>
      <c r="I23" s="135">
        <v>10</v>
      </c>
      <c r="J23" s="179">
        <f>F23/I23</f>
        <v>27040.172999999999</v>
      </c>
      <c r="K23" s="23">
        <f>J23-H23</f>
        <v>0.17299999999886495</v>
      </c>
      <c r="L23" s="142"/>
      <c r="M23" s="144"/>
    </row>
    <row r="24" spans="1:13" x14ac:dyDescent="0.45">
      <c r="A24" s="1"/>
      <c r="B24" s="50"/>
      <c r="C24" s="3"/>
      <c r="D24" s="3" t="s">
        <v>120</v>
      </c>
      <c r="E24" s="21"/>
      <c r="F24" s="184">
        <v>0</v>
      </c>
      <c r="G24" s="136"/>
      <c r="H24" s="151">
        <v>0</v>
      </c>
      <c r="I24" s="135">
        <v>20</v>
      </c>
      <c r="J24" s="179">
        <f>F24/I24</f>
        <v>0</v>
      </c>
      <c r="K24" s="23">
        <f>J24-H24</f>
        <v>0</v>
      </c>
      <c r="L24" s="142"/>
      <c r="M24" s="144"/>
    </row>
    <row r="25" spans="1:13" x14ac:dyDescent="0.45">
      <c r="A25" s="1"/>
      <c r="B25" s="50"/>
      <c r="C25" s="127"/>
      <c r="D25" s="127"/>
      <c r="E25" s="127"/>
      <c r="G25" s="136"/>
      <c r="H25" s="179"/>
      <c r="I25" s="136"/>
      <c r="J25" s="179"/>
      <c r="K25" s="2"/>
      <c r="L25" s="142"/>
      <c r="M25" s="144"/>
    </row>
    <row r="26" spans="1:13" x14ac:dyDescent="0.45">
      <c r="A26" s="1"/>
      <c r="B26" s="50"/>
      <c r="C26" s="128" t="s">
        <v>109</v>
      </c>
      <c r="D26" s="3"/>
      <c r="E26" s="132"/>
      <c r="G26" s="135"/>
      <c r="H26" s="179"/>
      <c r="I26" s="135"/>
      <c r="J26" s="179"/>
      <c r="K26" s="2"/>
      <c r="L26" s="142"/>
      <c r="M26" s="144"/>
    </row>
    <row r="27" spans="1:13" x14ac:dyDescent="0.45">
      <c r="A27" s="1"/>
      <c r="B27" s="50"/>
      <c r="C27" s="128"/>
      <c r="D27" s="3" t="s">
        <v>121</v>
      </c>
      <c r="E27" s="21"/>
      <c r="F27" s="189"/>
      <c r="G27" s="69"/>
      <c r="H27" s="151"/>
      <c r="I27" s="135">
        <v>50</v>
      </c>
      <c r="J27" s="179">
        <f>F27/I27</f>
        <v>0</v>
      </c>
      <c r="K27" s="23">
        <f>J27-H27</f>
        <v>0</v>
      </c>
      <c r="L27" s="142"/>
      <c r="M27" s="144"/>
    </row>
    <row r="28" spans="1:13" x14ac:dyDescent="0.45">
      <c r="A28" s="1"/>
      <c r="B28" s="50"/>
      <c r="C28" s="128"/>
      <c r="D28" s="3" t="s">
        <v>122</v>
      </c>
      <c r="E28" s="132" t="s">
        <v>238</v>
      </c>
      <c r="F28" s="189">
        <v>16515519.43</v>
      </c>
      <c r="G28" s="69" t="s">
        <v>134</v>
      </c>
      <c r="H28" s="151">
        <v>331965.11</v>
      </c>
      <c r="I28" s="135">
        <v>62.5</v>
      </c>
      <c r="J28" s="151">
        <f t="shared" ref="J28:J35" si="4">F28/I28</f>
        <v>264248.31088</v>
      </c>
      <c r="K28" s="23">
        <f t="shared" ref="K28:K35" si="5">J28-H28</f>
        <v>-67716.799119999981</v>
      </c>
      <c r="L28" s="142"/>
      <c r="M28" s="144"/>
    </row>
    <row r="29" spans="1:13" x14ac:dyDescent="0.45">
      <c r="A29" s="1"/>
      <c r="B29" s="50"/>
      <c r="C29" s="128"/>
      <c r="D29" s="3" t="s">
        <v>123</v>
      </c>
      <c r="E29" s="132" t="s">
        <v>238</v>
      </c>
      <c r="F29" s="189">
        <v>645801.81000000006</v>
      </c>
      <c r="G29" s="69">
        <v>40</v>
      </c>
      <c r="H29" s="151">
        <v>16145</v>
      </c>
      <c r="I29" s="135">
        <v>45</v>
      </c>
      <c r="J29" s="151">
        <f t="shared" si="4"/>
        <v>14351.151333333335</v>
      </c>
      <c r="K29" s="23">
        <f t="shared" si="5"/>
        <v>-1793.8486666666649</v>
      </c>
      <c r="L29" s="142"/>
      <c r="M29" s="144"/>
    </row>
    <row r="30" spans="1:13" x14ac:dyDescent="0.45">
      <c r="A30" s="1"/>
      <c r="B30" s="50"/>
      <c r="C30" s="128"/>
      <c r="D30" s="3" t="s">
        <v>124</v>
      </c>
      <c r="E30" s="132"/>
      <c r="F30" s="189">
        <v>0</v>
      </c>
      <c r="G30" s="69"/>
      <c r="H30" s="151">
        <v>0</v>
      </c>
      <c r="I30" s="135">
        <v>15</v>
      </c>
      <c r="J30" s="151">
        <f t="shared" si="4"/>
        <v>0</v>
      </c>
      <c r="K30" s="23">
        <f t="shared" si="5"/>
        <v>0</v>
      </c>
      <c r="L30" s="142"/>
      <c r="M30" s="144"/>
    </row>
    <row r="31" spans="1:13" x14ac:dyDescent="0.45">
      <c r="A31" s="1"/>
      <c r="B31" s="50"/>
      <c r="C31" s="128"/>
      <c r="D31" s="3" t="s">
        <v>125</v>
      </c>
      <c r="E31" s="132" t="s">
        <v>238</v>
      </c>
      <c r="F31" s="189">
        <v>1442062.2</v>
      </c>
      <c r="G31" s="69">
        <v>25</v>
      </c>
      <c r="H31" s="151">
        <v>70325.78</v>
      </c>
      <c r="I31" s="135">
        <v>20</v>
      </c>
      <c r="J31" s="151">
        <f t="shared" si="4"/>
        <v>72103.11</v>
      </c>
      <c r="K31" s="23">
        <f t="shared" si="5"/>
        <v>1777.3300000000017</v>
      </c>
      <c r="L31" s="142"/>
      <c r="M31" s="144"/>
    </row>
    <row r="32" spans="1:13" x14ac:dyDescent="0.45">
      <c r="A32" s="1"/>
      <c r="B32" s="50"/>
      <c r="C32" s="128"/>
      <c r="D32" s="3" t="s">
        <v>126</v>
      </c>
      <c r="E32" s="132"/>
      <c r="F32" s="189">
        <v>0</v>
      </c>
      <c r="G32" s="69"/>
      <c r="H32" s="151">
        <v>0</v>
      </c>
      <c r="I32" s="135">
        <v>37.5</v>
      </c>
      <c r="J32" s="151">
        <f t="shared" si="4"/>
        <v>0</v>
      </c>
      <c r="K32" s="23">
        <f t="shared" si="5"/>
        <v>0</v>
      </c>
      <c r="L32" s="142"/>
      <c r="M32" s="144"/>
    </row>
    <row r="33" spans="1:14" x14ac:dyDescent="0.45">
      <c r="A33" s="1"/>
      <c r="B33" s="50"/>
      <c r="C33" s="128"/>
      <c r="D33" s="3" t="s">
        <v>127</v>
      </c>
      <c r="E33" s="132"/>
      <c r="F33" s="189">
        <v>0</v>
      </c>
      <c r="G33" s="69"/>
      <c r="H33" s="151">
        <v>0</v>
      </c>
      <c r="I33" s="135">
        <v>40</v>
      </c>
      <c r="J33" s="151">
        <f t="shared" si="4"/>
        <v>0</v>
      </c>
      <c r="K33" s="23">
        <f t="shared" si="5"/>
        <v>0</v>
      </c>
      <c r="L33" s="142"/>
      <c r="M33" s="144"/>
    </row>
    <row r="34" spans="1:14" x14ac:dyDescent="0.45">
      <c r="A34" s="1"/>
      <c r="B34" s="50"/>
      <c r="C34" s="128"/>
      <c r="D34" s="3" t="s">
        <v>128</v>
      </c>
      <c r="E34" s="132" t="s">
        <v>238</v>
      </c>
      <c r="F34" s="189">
        <v>1384510.81</v>
      </c>
      <c r="G34" s="69">
        <v>45</v>
      </c>
      <c r="H34" s="151">
        <v>30766</v>
      </c>
      <c r="I34" s="135">
        <v>45</v>
      </c>
      <c r="J34" s="151">
        <f t="shared" si="4"/>
        <v>30766.906888888891</v>
      </c>
      <c r="K34" s="23">
        <f t="shared" si="5"/>
        <v>0.90688888889053487</v>
      </c>
      <c r="L34" s="142"/>
      <c r="M34" s="144"/>
    </row>
    <row r="35" spans="1:14" x14ac:dyDescent="0.45">
      <c r="A35" s="1"/>
      <c r="B35" s="50"/>
      <c r="C35" s="128"/>
      <c r="D35" s="3" t="s">
        <v>129</v>
      </c>
      <c r="E35" s="132"/>
      <c r="F35" s="189">
        <v>0</v>
      </c>
      <c r="G35" s="69"/>
      <c r="H35" s="151">
        <v>0</v>
      </c>
      <c r="I35" s="135">
        <v>15</v>
      </c>
      <c r="J35" s="151">
        <f t="shared" si="4"/>
        <v>0</v>
      </c>
      <c r="K35" s="23">
        <f t="shared" si="5"/>
        <v>0</v>
      </c>
      <c r="L35" s="142"/>
      <c r="M35" s="144"/>
    </row>
    <row r="36" spans="1:14" x14ac:dyDescent="0.45">
      <c r="A36" s="1"/>
      <c r="B36" s="50"/>
      <c r="C36" s="128"/>
      <c r="E36" s="132"/>
      <c r="G36" s="136"/>
      <c r="H36" s="179"/>
      <c r="I36" s="136"/>
      <c r="J36" s="179"/>
      <c r="K36" s="23"/>
      <c r="L36" s="142"/>
      <c r="M36" s="144"/>
    </row>
    <row r="37" spans="1:14" x14ac:dyDescent="0.45">
      <c r="A37" s="1"/>
      <c r="B37" s="50"/>
      <c r="C37" s="128" t="s">
        <v>110</v>
      </c>
      <c r="E37" s="132"/>
      <c r="G37" s="135"/>
      <c r="H37" s="179"/>
      <c r="I37" s="140"/>
      <c r="J37" s="179"/>
      <c r="K37" s="2"/>
      <c r="L37" s="142"/>
      <c r="M37" s="144"/>
    </row>
    <row r="38" spans="1:14" x14ac:dyDescent="0.45">
      <c r="A38" s="1"/>
      <c r="B38" s="50"/>
      <c r="C38" s="3"/>
      <c r="D38" s="1" t="s">
        <v>130</v>
      </c>
      <c r="E38" s="132" t="s">
        <v>238</v>
      </c>
      <c r="F38" s="184">
        <v>76731.350000000006</v>
      </c>
      <c r="G38" s="135" t="s">
        <v>134</v>
      </c>
      <c r="H38" s="179">
        <v>9139.57</v>
      </c>
      <c r="I38" s="140">
        <v>7</v>
      </c>
      <c r="J38" s="179">
        <f>F38/I38</f>
        <v>10961.621428571429</v>
      </c>
      <c r="K38" s="2">
        <f>J38-H38</f>
        <v>1822.0514285714289</v>
      </c>
      <c r="L38" s="142"/>
      <c r="M38" s="144"/>
    </row>
    <row r="39" spans="1:14" x14ac:dyDescent="0.45">
      <c r="A39" s="1"/>
      <c r="B39" s="50"/>
      <c r="C39" s="127"/>
      <c r="D39" s="127"/>
      <c r="E39" s="127"/>
      <c r="G39" s="136"/>
      <c r="H39" s="179"/>
      <c r="I39" s="136"/>
      <c r="J39" s="179"/>
      <c r="K39" s="2"/>
      <c r="L39" s="142"/>
      <c r="M39" s="144"/>
    </row>
    <row r="40" spans="1:14" x14ac:dyDescent="0.45">
      <c r="A40" s="1"/>
      <c r="B40" s="50"/>
      <c r="C40" s="128" t="s">
        <v>111</v>
      </c>
      <c r="D40" s="3"/>
      <c r="E40" s="132"/>
      <c r="G40" s="137"/>
      <c r="H40" s="179"/>
      <c r="I40" s="135"/>
      <c r="J40" s="179"/>
      <c r="K40" s="2"/>
      <c r="L40" s="142"/>
      <c r="M40" s="144"/>
    </row>
    <row r="41" spans="1:14" x14ac:dyDescent="0.45">
      <c r="A41" s="1"/>
      <c r="B41" s="50"/>
      <c r="C41" s="128"/>
      <c r="D41" s="1" t="s">
        <v>169</v>
      </c>
      <c r="E41" s="132"/>
      <c r="F41" s="184">
        <v>0</v>
      </c>
      <c r="G41" s="135"/>
      <c r="H41" s="179">
        <v>0</v>
      </c>
      <c r="I41" s="140">
        <v>62.5</v>
      </c>
      <c r="J41" s="179">
        <f>F41/I41</f>
        <v>0</v>
      </c>
      <c r="K41" s="2">
        <f>J41-H41</f>
        <v>0</v>
      </c>
      <c r="L41" s="142"/>
      <c r="M41" s="144"/>
    </row>
    <row r="42" spans="1:14" x14ac:dyDescent="0.45">
      <c r="A42" s="1"/>
      <c r="B42" s="50"/>
      <c r="C42" s="128"/>
      <c r="D42" s="1" t="s">
        <v>170</v>
      </c>
      <c r="E42" s="132" t="s">
        <v>238</v>
      </c>
      <c r="F42" s="184">
        <v>141978.1</v>
      </c>
      <c r="G42" s="135">
        <v>25</v>
      </c>
      <c r="H42" s="179">
        <v>5678.88</v>
      </c>
      <c r="I42" s="140">
        <v>27.5</v>
      </c>
      <c r="J42" s="179">
        <f>F42/I42</f>
        <v>5162.84</v>
      </c>
      <c r="K42" s="2">
        <f>J42-H42</f>
        <v>-516.04</v>
      </c>
      <c r="L42" s="142"/>
      <c r="M42" s="144"/>
    </row>
    <row r="43" spans="1:14" x14ac:dyDescent="0.45">
      <c r="A43" s="1"/>
      <c r="B43" s="50"/>
      <c r="C43" s="3"/>
      <c r="D43" s="3"/>
      <c r="E43" s="3"/>
      <c r="G43" s="2"/>
      <c r="H43" s="151"/>
      <c r="I43" s="2"/>
      <c r="J43" s="183"/>
      <c r="K43" s="2"/>
      <c r="L43" s="142"/>
      <c r="M43" s="144"/>
    </row>
    <row r="44" spans="1:14" x14ac:dyDescent="0.45">
      <c r="A44" s="1"/>
      <c r="B44" s="50"/>
      <c r="C44" s="129" t="s">
        <v>65</v>
      </c>
      <c r="F44" s="181">
        <f>SUM(F10:F43)</f>
        <v>20758226.829999998</v>
      </c>
      <c r="G44" s="138"/>
      <c r="H44" s="181">
        <f>SUM(H10:H43)</f>
        <v>504791.07</v>
      </c>
      <c r="I44" s="139"/>
      <c r="J44" s="181">
        <f>SUM(J10:J43)</f>
        <v>434075.88895936514</v>
      </c>
      <c r="K44" s="139">
        <f>SUM(K10:K43)</f>
        <v>-70715.181040634896</v>
      </c>
      <c r="L44" s="142"/>
      <c r="M44" s="144"/>
      <c r="N44" s="21"/>
    </row>
    <row r="45" spans="1:14" x14ac:dyDescent="0.45">
      <c r="A45" s="1"/>
      <c r="B45" s="124"/>
      <c r="C45" s="130"/>
      <c r="D45" s="130"/>
      <c r="E45" s="130"/>
      <c r="F45" s="190"/>
      <c r="G45" s="130"/>
      <c r="H45" s="182"/>
      <c r="I45" s="130"/>
      <c r="J45" s="182"/>
      <c r="K45" s="130"/>
      <c r="L45" s="143"/>
      <c r="M45" s="145"/>
    </row>
    <row r="46" spans="1:14" x14ac:dyDescent="0.45">
      <c r="A46" s="1"/>
      <c r="B46" s="1"/>
      <c r="C46" s="3"/>
      <c r="D46" s="3"/>
      <c r="E46" s="3"/>
      <c r="G46" s="3"/>
      <c r="H46" s="183"/>
      <c r="I46" s="3"/>
      <c r="J46" s="183"/>
      <c r="K46" s="3"/>
      <c r="L46" s="3"/>
      <c r="M46" s="3"/>
    </row>
    <row r="47" spans="1:14" x14ac:dyDescent="0.45">
      <c r="D47" s="3" t="s">
        <v>131</v>
      </c>
    </row>
    <row r="51" spans="6:7" ht="17.649999999999999" x14ac:dyDescent="0.75">
      <c r="F51" s="191"/>
    </row>
    <row r="52" spans="6:7" x14ac:dyDescent="0.45">
      <c r="G52" s="21"/>
    </row>
    <row r="55" spans="6:7" ht="17.649999999999999" x14ac:dyDescent="0.75">
      <c r="F55" s="191"/>
    </row>
    <row r="56" spans="6:7" x14ac:dyDescent="0.45">
      <c r="G56" s="21"/>
    </row>
  </sheetData>
  <mergeCells count="5">
    <mergeCell ref="C3:K3"/>
    <mergeCell ref="C4:K4"/>
    <mergeCell ref="C5:K5"/>
    <mergeCell ref="G7:H7"/>
    <mergeCell ref="I7:J7"/>
  </mergeCells>
  <pageMargins left="0.7" right="0.7" top="0.75" bottom="0.75" header="0.3" footer="0.3"/>
  <pageSetup scale="7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630B1-5320-458A-B984-AF0BD6A9981A}">
  <sheetPr>
    <pageSetUpPr fitToPage="1"/>
  </sheetPr>
  <dimension ref="B1:P53"/>
  <sheetViews>
    <sheetView showGridLines="0" topLeftCell="A4" workbookViewId="0">
      <selection activeCell="B12" sqref="B12:B18"/>
    </sheetView>
  </sheetViews>
  <sheetFormatPr defaultRowHeight="15" x14ac:dyDescent="0.4"/>
  <cols>
    <col min="1" max="1" width="1.77734375" customWidth="1"/>
    <col min="2" max="2" width="20.44140625" bestFit="1" customWidth="1"/>
    <col min="3" max="12" width="7.77734375" customWidth="1"/>
    <col min="13" max="13" width="10.6640625" customWidth="1"/>
    <col min="14" max="14" width="0.77734375" customWidth="1"/>
    <col min="15" max="15" width="2.33203125" customWidth="1"/>
    <col min="16" max="16" width="9.6640625" customWidth="1"/>
  </cols>
  <sheetData>
    <row r="1" spans="2:16" ht="15.4" x14ac:dyDescent="0.4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5.4" x14ac:dyDescent="0.45"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80"/>
      <c r="O2" s="18"/>
      <c r="P2" s="18"/>
    </row>
    <row r="3" spans="2:16" ht="18" x14ac:dyDescent="0.55000000000000004">
      <c r="B3" s="81" t="s">
        <v>94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72"/>
      <c r="O3" s="18"/>
      <c r="P3" s="18"/>
    </row>
    <row r="4" spans="2:16" ht="18" x14ac:dyDescent="0.55000000000000004">
      <c r="B4" s="83" t="s">
        <v>95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72"/>
      <c r="O4" s="18"/>
      <c r="P4" s="18"/>
    </row>
    <row r="5" spans="2:16" ht="15.75" x14ac:dyDescent="0.45">
      <c r="B5" s="85" t="s">
        <v>216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72"/>
      <c r="O5" s="18"/>
      <c r="P5" s="18"/>
    </row>
    <row r="6" spans="2:16" ht="15.75" x14ac:dyDescent="0.5">
      <c r="B6" s="86" t="s">
        <v>96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72"/>
      <c r="O6" s="18"/>
      <c r="P6" s="18"/>
    </row>
    <row r="7" spans="2:16" ht="15.4" x14ac:dyDescent="0.45">
      <c r="B7" s="88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72"/>
      <c r="O7" s="18"/>
      <c r="P7" s="18"/>
    </row>
    <row r="8" spans="2:16" ht="15.4" x14ac:dyDescent="0.45">
      <c r="B8" s="89"/>
      <c r="C8" s="90"/>
      <c r="D8" s="91"/>
      <c r="E8" s="90"/>
      <c r="F8" s="92"/>
      <c r="G8" s="90"/>
      <c r="H8" s="92"/>
      <c r="I8" s="90"/>
      <c r="J8" s="92"/>
      <c r="K8" s="90"/>
      <c r="L8" s="92"/>
      <c r="M8" s="91"/>
      <c r="N8" s="80"/>
      <c r="O8" s="18"/>
      <c r="P8" s="18"/>
    </row>
    <row r="9" spans="2:16" ht="16.5" x14ac:dyDescent="0.45">
      <c r="B9" s="93"/>
      <c r="C9" s="302" t="s">
        <v>97</v>
      </c>
      <c r="D9" s="303"/>
      <c r="E9" s="302" t="s">
        <v>98</v>
      </c>
      <c r="F9" s="303"/>
      <c r="G9" s="302" t="s">
        <v>99</v>
      </c>
      <c r="H9" s="303"/>
      <c r="I9" s="302" t="s">
        <v>100</v>
      </c>
      <c r="J9" s="303"/>
      <c r="K9" s="302" t="s">
        <v>101</v>
      </c>
      <c r="L9" s="303"/>
      <c r="M9" s="18"/>
      <c r="N9" s="72"/>
      <c r="O9" s="18"/>
      <c r="P9" s="18"/>
    </row>
    <row r="10" spans="2:16" ht="16.5" x14ac:dyDescent="0.45">
      <c r="B10" s="93"/>
      <c r="C10" s="94"/>
      <c r="D10" s="95" t="s">
        <v>102</v>
      </c>
      <c r="E10" s="96"/>
      <c r="F10" s="95" t="s">
        <v>102</v>
      </c>
      <c r="G10" s="96"/>
      <c r="H10" s="95" t="s">
        <v>102</v>
      </c>
      <c r="I10" s="96"/>
      <c r="J10" s="95" t="s">
        <v>102</v>
      </c>
      <c r="K10" s="96"/>
      <c r="L10" s="95" t="s">
        <v>102</v>
      </c>
      <c r="M10" s="18"/>
      <c r="N10" s="72"/>
      <c r="O10" s="18"/>
      <c r="P10" s="18"/>
    </row>
    <row r="11" spans="2:16" ht="16.5" x14ac:dyDescent="0.45">
      <c r="B11" s="93"/>
      <c r="C11" s="94" t="s">
        <v>103</v>
      </c>
      <c r="D11" s="97" t="s">
        <v>104</v>
      </c>
      <c r="E11" s="94" t="s">
        <v>103</v>
      </c>
      <c r="F11" s="97" t="s">
        <v>104</v>
      </c>
      <c r="G11" s="94" t="s">
        <v>103</v>
      </c>
      <c r="H11" s="97" t="s">
        <v>104</v>
      </c>
      <c r="I11" s="94" t="s">
        <v>103</v>
      </c>
      <c r="J11" s="97" t="s">
        <v>104</v>
      </c>
      <c r="K11" s="94" t="s">
        <v>103</v>
      </c>
      <c r="L11" s="97" t="s">
        <v>104</v>
      </c>
      <c r="M11" s="98" t="s">
        <v>65</v>
      </c>
      <c r="N11" s="72"/>
      <c r="O11" s="18"/>
      <c r="P11" s="18"/>
    </row>
    <row r="12" spans="2:16" ht="15.4" x14ac:dyDescent="0.45">
      <c r="B12" s="99" t="s">
        <v>277</v>
      </c>
      <c r="C12" s="100">
        <v>13000</v>
      </c>
      <c r="D12" s="101">
        <f>2150+1825</f>
        <v>3975</v>
      </c>
      <c r="E12" s="100">
        <v>13000</v>
      </c>
      <c r="F12" s="102">
        <f>1825+1500</f>
        <v>3325</v>
      </c>
      <c r="G12" s="100">
        <v>14000</v>
      </c>
      <c r="H12" s="102">
        <f>1500+1150</f>
        <v>2650</v>
      </c>
      <c r="I12" s="100">
        <v>15000</v>
      </c>
      <c r="J12" s="102">
        <f>1150+775</f>
        <v>1925</v>
      </c>
      <c r="K12" s="100">
        <v>15000</v>
      </c>
      <c r="L12" s="102">
        <f>775+400</f>
        <v>1175</v>
      </c>
      <c r="M12" s="103">
        <f t="shared" ref="M12:M20" si="0">SUM(C12:L12)</f>
        <v>83050</v>
      </c>
      <c r="N12" s="72"/>
      <c r="O12" s="18"/>
      <c r="P12" s="18"/>
    </row>
    <row r="13" spans="2:16" ht="15.4" x14ac:dyDescent="0.45">
      <c r="B13" s="99" t="s">
        <v>272</v>
      </c>
      <c r="C13" s="100">
        <v>5000</v>
      </c>
      <c r="D13" s="101">
        <f>1837.5+1712.5</f>
        <v>3550</v>
      </c>
      <c r="E13" s="100">
        <v>5500</v>
      </c>
      <c r="F13" s="102">
        <f>1712.5+1575</f>
        <v>3287.5</v>
      </c>
      <c r="G13" s="100">
        <v>5500</v>
      </c>
      <c r="H13" s="102">
        <f>1575+1437.5</f>
        <v>3012.5</v>
      </c>
      <c r="I13" s="100">
        <v>6000</v>
      </c>
      <c r="J13" s="102">
        <f>1437.5+1297.5</f>
        <v>2735</v>
      </c>
      <c r="K13" s="100">
        <v>6500</v>
      </c>
      <c r="L13" s="102">
        <f>1287.5+1125</f>
        <v>2412.5</v>
      </c>
      <c r="M13" s="103">
        <f t="shared" si="0"/>
        <v>43497.5</v>
      </c>
      <c r="N13" s="72"/>
      <c r="O13" s="18"/>
      <c r="P13" s="18"/>
    </row>
    <row r="14" spans="2:16" ht="15.4" x14ac:dyDescent="0.45">
      <c r="B14" s="99" t="s">
        <v>274</v>
      </c>
      <c r="C14" s="100">
        <v>11000</v>
      </c>
      <c r="D14" s="101">
        <f>4477.5+4230</f>
        <v>8707.5</v>
      </c>
      <c r="E14" s="100">
        <v>12000</v>
      </c>
      <c r="F14" s="101">
        <f>4230+3960</f>
        <v>8190</v>
      </c>
      <c r="G14" s="100">
        <v>12000</v>
      </c>
      <c r="H14" s="101">
        <f>3960+3690</f>
        <v>7650</v>
      </c>
      <c r="I14" s="100">
        <v>13000</v>
      </c>
      <c r="J14" s="101">
        <f>3690+3397.5</f>
        <v>7087.5</v>
      </c>
      <c r="K14" s="100">
        <v>13500</v>
      </c>
      <c r="L14" s="102">
        <f>3397.5+3093.75</f>
        <v>6491.25</v>
      </c>
      <c r="M14" s="103">
        <f t="shared" si="0"/>
        <v>99626.25</v>
      </c>
      <c r="N14" s="72"/>
      <c r="O14" s="18"/>
      <c r="P14" s="18"/>
    </row>
    <row r="15" spans="2:16" ht="15.4" x14ac:dyDescent="0.45">
      <c r="B15" s="99" t="s">
        <v>278</v>
      </c>
      <c r="C15" s="100">
        <v>3100</v>
      </c>
      <c r="D15" s="101">
        <f>1183.5+1113.75</f>
        <v>2297.25</v>
      </c>
      <c r="E15" s="100">
        <v>3200</v>
      </c>
      <c r="F15" s="101">
        <f>1113.75+1041.75</f>
        <v>2155.5</v>
      </c>
      <c r="G15" s="100">
        <v>3300</v>
      </c>
      <c r="H15" s="101">
        <f>1041.75+967.5</f>
        <v>2009.25</v>
      </c>
      <c r="I15" s="100">
        <v>3500</v>
      </c>
      <c r="J15" s="101">
        <f>967.5+888.75</f>
        <v>1856.25</v>
      </c>
      <c r="K15" s="100">
        <v>3600</v>
      </c>
      <c r="L15" s="102">
        <f>888.75+807.75</f>
        <v>1696.5</v>
      </c>
      <c r="M15" s="103">
        <f t="shared" si="0"/>
        <v>26714.75</v>
      </c>
      <c r="N15" s="72"/>
      <c r="O15" s="18"/>
      <c r="P15" s="18"/>
    </row>
    <row r="16" spans="2:16" ht="15.4" x14ac:dyDescent="0.45">
      <c r="B16" s="99" t="s">
        <v>273</v>
      </c>
      <c r="C16" s="100">
        <v>7000</v>
      </c>
      <c r="D16" s="101">
        <f>2947.5+2790</f>
        <v>5737.5</v>
      </c>
      <c r="E16" s="100">
        <v>7000</v>
      </c>
      <c r="F16" s="101">
        <f>2790+2632.5</f>
        <v>5422.5</v>
      </c>
      <c r="G16" s="100">
        <v>7500</v>
      </c>
      <c r="H16" s="101">
        <f>2632.5+2463.76</f>
        <v>5096.26</v>
      </c>
      <c r="I16" s="100">
        <v>8000</v>
      </c>
      <c r="J16" s="101">
        <f>2463.75+2283.75</f>
        <v>4747.5</v>
      </c>
      <c r="K16" s="100">
        <v>8000</v>
      </c>
      <c r="L16" s="102">
        <f>2283.75+2103.75</f>
        <v>4387.5</v>
      </c>
      <c r="M16" s="103">
        <f t="shared" si="0"/>
        <v>62891.26</v>
      </c>
      <c r="N16" s="72"/>
      <c r="O16" s="18"/>
      <c r="P16" s="18"/>
    </row>
    <row r="17" spans="2:16" ht="15.4" x14ac:dyDescent="0.45">
      <c r="B17" s="99" t="s">
        <v>275</v>
      </c>
      <c r="C17" s="100">
        <v>6000</v>
      </c>
      <c r="D17" s="101">
        <f>2632.5+2497.5</f>
        <v>5130</v>
      </c>
      <c r="E17" s="100">
        <v>6500</v>
      </c>
      <c r="F17" s="101">
        <f>2497.5+2351.25</f>
        <v>4848.75</v>
      </c>
      <c r="G17" s="100">
        <v>7000</v>
      </c>
      <c r="H17" s="101">
        <f>2351.25+2193.75</f>
        <v>4545</v>
      </c>
      <c r="I17" s="100">
        <v>7000</v>
      </c>
      <c r="J17" s="101">
        <f>2193.75+2036.25</f>
        <v>4230</v>
      </c>
      <c r="K17" s="100">
        <v>7500</v>
      </c>
      <c r="L17" s="102">
        <f>2036.25+1867.5</f>
        <v>3903.75</v>
      </c>
      <c r="M17" s="103">
        <f t="shared" si="0"/>
        <v>56657.5</v>
      </c>
      <c r="N17" s="72"/>
      <c r="O17" s="18"/>
      <c r="P17" s="18"/>
    </row>
    <row r="18" spans="2:16" ht="15.4" x14ac:dyDescent="0.45">
      <c r="B18" s="99" t="s">
        <v>276</v>
      </c>
      <c r="C18" s="100">
        <v>12000</v>
      </c>
      <c r="D18" s="101">
        <f>6885+6615</f>
        <v>13500</v>
      </c>
      <c r="E18" s="100">
        <v>13000</v>
      </c>
      <c r="F18" s="101">
        <f>6615+6322.5</f>
        <v>12937.5</v>
      </c>
      <c r="G18" s="100">
        <v>13000</v>
      </c>
      <c r="H18" s="101">
        <f>6322.5+6030</f>
        <v>12352.5</v>
      </c>
      <c r="I18" s="100">
        <v>14000</v>
      </c>
      <c r="J18" s="101">
        <f>6030+5715</f>
        <v>11745</v>
      </c>
      <c r="K18" s="100">
        <v>15000</v>
      </c>
      <c r="L18" s="102">
        <f>5715+5377.5</f>
        <v>11092.5</v>
      </c>
      <c r="M18" s="103">
        <f t="shared" si="0"/>
        <v>128627.5</v>
      </c>
      <c r="N18" s="72"/>
      <c r="O18" s="18"/>
      <c r="P18" s="18"/>
    </row>
    <row r="19" spans="2:16" ht="15.4" x14ac:dyDescent="0.45">
      <c r="B19" s="99" t="s">
        <v>271</v>
      </c>
      <c r="C19" s="100">
        <f>5776.84+5805.72</f>
        <v>11582.560000000001</v>
      </c>
      <c r="D19" s="101">
        <f>574.21+143.55+545.33+136.33</f>
        <v>1399.42</v>
      </c>
      <c r="E19" s="100">
        <f>5834.76+5863.92</f>
        <v>11698.68</v>
      </c>
      <c r="F19" s="101">
        <f>516.29+129.08+487.13+121.78</f>
        <v>1254.28</v>
      </c>
      <c r="G19" s="100">
        <f>5893.25+5922.71</f>
        <v>11815.96</v>
      </c>
      <c r="H19" s="101">
        <f>457.8+114.45+428.34+107.09</f>
        <v>1107.6799999999998</v>
      </c>
      <c r="I19" s="100">
        <f>5952.32+5982.09</f>
        <v>11934.41</v>
      </c>
      <c r="J19" s="101">
        <f>398.73+99.68+368.96+92.24</f>
        <v>959.61</v>
      </c>
      <c r="K19" s="100">
        <f>6012+6042.06</f>
        <v>12054.060000000001</v>
      </c>
      <c r="L19" s="102">
        <f>339.05+84.77+308.99+77.25</f>
        <v>810.06</v>
      </c>
      <c r="M19" s="103">
        <f t="shared" si="0"/>
        <v>64616.72</v>
      </c>
      <c r="N19" s="72"/>
      <c r="O19" s="18"/>
      <c r="P19" s="18"/>
    </row>
    <row r="20" spans="2:16" ht="15.4" x14ac:dyDescent="0.45">
      <c r="B20" s="99" t="s">
        <v>270</v>
      </c>
      <c r="C20" s="100">
        <f>7308.77+7418.4</f>
        <v>14727.17</v>
      </c>
      <c r="D20" s="101">
        <f>1048+69.87+938.37+62.56</f>
        <v>2118.7999999999997</v>
      </c>
      <c r="E20" s="100">
        <f>7529.68+7642.62</f>
        <v>15172.3</v>
      </c>
      <c r="F20" s="101">
        <f>827.1+55.14+714.15+47.61</f>
        <v>1643.9999999999998</v>
      </c>
      <c r="G20" s="100">
        <f>7757.26+7873.62</f>
        <v>15630.880000000001</v>
      </c>
      <c r="H20" s="101">
        <f>599.51+39.97+483.15+32.21</f>
        <v>1154.8400000000001</v>
      </c>
      <c r="I20" s="100">
        <f>7991.73+8111.6</f>
        <v>16103.33</v>
      </c>
      <c r="J20" s="101">
        <f>365.05+24.34+245.17+16.34</f>
        <v>650.9</v>
      </c>
      <c r="K20" s="100">
        <f>8233.28</f>
        <v>8233.2800000000007</v>
      </c>
      <c r="L20" s="102">
        <f>123.5+8.23</f>
        <v>131.72999999999999</v>
      </c>
      <c r="M20" s="103">
        <f t="shared" si="0"/>
        <v>75567.229999999981</v>
      </c>
      <c r="N20" s="72"/>
      <c r="O20" s="18"/>
      <c r="P20" s="18"/>
    </row>
    <row r="21" spans="2:16" ht="15.4" x14ac:dyDescent="0.45">
      <c r="B21" s="99" t="s">
        <v>249</v>
      </c>
      <c r="C21" s="100">
        <f>C31</f>
        <v>18462.71</v>
      </c>
      <c r="D21" s="69">
        <f t="shared" ref="D21:L21" si="1">D31</f>
        <v>4000</v>
      </c>
      <c r="E21" s="100">
        <f t="shared" si="1"/>
        <v>19201.218399999998</v>
      </c>
      <c r="F21" s="69">
        <f t="shared" si="1"/>
        <v>3261.4916000000003</v>
      </c>
      <c r="G21" s="100">
        <f t="shared" si="1"/>
        <v>19969.267135999999</v>
      </c>
      <c r="H21" s="69">
        <f t="shared" si="1"/>
        <v>2493.4428640000006</v>
      </c>
      <c r="I21" s="100">
        <f t="shared" si="1"/>
        <v>20768.037821439997</v>
      </c>
      <c r="J21" s="69">
        <f t="shared" si="1"/>
        <v>1694.6721785600007</v>
      </c>
      <c r="K21" s="100">
        <f t="shared" si="1"/>
        <v>21598.7593342976</v>
      </c>
      <c r="L21" s="102">
        <f t="shared" si="1"/>
        <v>863.95066570240078</v>
      </c>
      <c r="M21" s="103">
        <f t="shared" ref="M21" si="2">SUM(C21:L21)</f>
        <v>112313.54999999999</v>
      </c>
      <c r="N21" s="72"/>
      <c r="O21" s="18"/>
      <c r="P21" s="18"/>
    </row>
    <row r="22" spans="2:16" ht="15.4" x14ac:dyDescent="0.45">
      <c r="B22" s="73" t="s">
        <v>65</v>
      </c>
      <c r="C22" s="104">
        <f t="shared" ref="C22:M22" si="3">SUM(C12:C21)</f>
        <v>101872.44</v>
      </c>
      <c r="D22" s="105">
        <f t="shared" si="3"/>
        <v>50415.47</v>
      </c>
      <c r="E22" s="104">
        <f t="shared" si="3"/>
        <v>106272.19839999999</v>
      </c>
      <c r="F22" s="106">
        <f t="shared" si="3"/>
        <v>46326.5216</v>
      </c>
      <c r="G22" s="104">
        <f t="shared" si="3"/>
        <v>109716.10713599999</v>
      </c>
      <c r="H22" s="106">
        <f t="shared" si="3"/>
        <v>42071.472863999996</v>
      </c>
      <c r="I22" s="104">
        <f t="shared" si="3"/>
        <v>115305.77782144</v>
      </c>
      <c r="J22" s="106">
        <f t="shared" si="3"/>
        <v>37631.432178560004</v>
      </c>
      <c r="K22" s="104">
        <f t="shared" si="3"/>
        <v>110986.0993342976</v>
      </c>
      <c r="L22" s="106">
        <f t="shared" si="3"/>
        <v>32964.740665702404</v>
      </c>
      <c r="M22" s="107">
        <f t="shared" si="3"/>
        <v>753562.26</v>
      </c>
      <c r="N22" s="72"/>
      <c r="O22" s="18"/>
      <c r="P22" s="18">
        <f>SUM(C22:L22)</f>
        <v>753562.25999999989</v>
      </c>
    </row>
    <row r="23" spans="2:16" ht="15.4" x14ac:dyDescent="0.45">
      <c r="B23" s="108"/>
      <c r="C23" s="109"/>
      <c r="D23" s="110"/>
      <c r="E23" s="109"/>
      <c r="F23" s="111"/>
      <c r="G23" s="109"/>
      <c r="H23" s="111"/>
      <c r="I23" s="109"/>
      <c r="J23" s="112"/>
      <c r="K23" s="109"/>
      <c r="L23" s="111"/>
      <c r="M23" s="110"/>
      <c r="N23" s="68"/>
      <c r="O23" s="18"/>
      <c r="P23" s="18"/>
    </row>
    <row r="24" spans="2:16" ht="15.4" x14ac:dyDescent="0.45">
      <c r="B24" s="113"/>
      <c r="C24" s="114"/>
      <c r="D24" s="114"/>
      <c r="E24" s="114"/>
      <c r="F24" s="114"/>
      <c r="G24" s="114"/>
      <c r="H24" s="114"/>
      <c r="I24" s="114"/>
      <c r="J24" s="115"/>
      <c r="K24" s="115"/>
      <c r="L24" s="115"/>
      <c r="M24" s="114"/>
      <c r="N24" s="72"/>
      <c r="O24" s="18"/>
      <c r="P24" s="18"/>
    </row>
    <row r="25" spans="2:16" ht="15.4" x14ac:dyDescent="0.45">
      <c r="B25" s="116"/>
      <c r="C25" s="117"/>
      <c r="D25" s="118"/>
      <c r="E25" s="117"/>
      <c r="F25" s="117"/>
      <c r="G25" s="117"/>
      <c r="H25" s="117"/>
      <c r="I25" s="118" t="s">
        <v>105</v>
      </c>
      <c r="J25" s="18"/>
      <c r="K25" s="119"/>
      <c r="L25" s="120"/>
      <c r="M25" s="117">
        <f>M22/5</f>
        <v>150712.45199999999</v>
      </c>
      <c r="N25" s="72"/>
      <c r="O25" s="18"/>
      <c r="P25" s="18"/>
    </row>
    <row r="26" spans="2:16" ht="15.4" x14ac:dyDescent="0.45">
      <c r="B26" s="20"/>
      <c r="C26" s="118"/>
      <c r="D26" s="18"/>
      <c r="E26" s="118"/>
      <c r="F26" s="118"/>
      <c r="G26" s="118"/>
      <c r="H26" s="118"/>
      <c r="I26" s="118"/>
      <c r="J26" s="18"/>
      <c r="K26" s="23"/>
      <c r="L26" s="119"/>
      <c r="M26" s="31"/>
      <c r="N26" s="72"/>
      <c r="O26" s="18"/>
      <c r="P26" s="18"/>
    </row>
    <row r="27" spans="2:16" ht="15.4" x14ac:dyDescent="0.45">
      <c r="B27" s="116"/>
      <c r="C27" s="118"/>
      <c r="D27" s="118"/>
      <c r="E27" s="118"/>
      <c r="F27" s="118"/>
      <c r="G27" s="118"/>
      <c r="H27" s="118"/>
      <c r="I27" s="118" t="s">
        <v>106</v>
      </c>
      <c r="J27" s="18"/>
      <c r="K27" s="119"/>
      <c r="L27" s="118"/>
      <c r="M27" s="117">
        <f>M25*0.2</f>
        <v>30142.490399999999</v>
      </c>
      <c r="N27" s="72"/>
      <c r="O27" s="18"/>
      <c r="P27" s="18">
        <f>M27+M25</f>
        <v>180854.9424</v>
      </c>
    </row>
    <row r="28" spans="2:16" ht="15.4" x14ac:dyDescent="0.45">
      <c r="B28" s="121"/>
      <c r="C28" s="122"/>
      <c r="D28" s="122"/>
      <c r="E28" s="122"/>
      <c r="F28" s="122" t="s">
        <v>174</v>
      </c>
      <c r="G28" s="122"/>
      <c r="H28" s="122"/>
      <c r="I28" s="122"/>
      <c r="J28" s="122"/>
      <c r="K28" s="122"/>
      <c r="L28" s="122"/>
      <c r="M28" s="122"/>
      <c r="N28" s="68"/>
      <c r="O28" s="18"/>
      <c r="P28" s="18"/>
    </row>
    <row r="29" spans="2:16" ht="15.4" x14ac:dyDescent="0.4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6" ht="15.4" x14ac:dyDescent="0.4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6" ht="71.25" x14ac:dyDescent="0.45">
      <c r="B31" s="213" t="s">
        <v>250</v>
      </c>
      <c r="C31" s="7">
        <f>22462.71-D31</f>
        <v>18462.71</v>
      </c>
      <c r="D31" s="7">
        <f>100000*0.04</f>
        <v>4000</v>
      </c>
      <c r="E31" s="7">
        <f>22462.71-F31</f>
        <v>19201.218399999998</v>
      </c>
      <c r="F31" s="7">
        <f>(100000-C31)*0.04</f>
        <v>3261.4916000000003</v>
      </c>
      <c r="G31" s="7">
        <f>22462.71-H31</f>
        <v>19969.267135999999</v>
      </c>
      <c r="H31" s="7">
        <f>(100000-C31-E31)*0.04</f>
        <v>2493.4428640000006</v>
      </c>
      <c r="I31" s="7">
        <f>22462.71-J31</f>
        <v>20768.037821439997</v>
      </c>
      <c r="J31" s="7">
        <f>(100000-C31-E31-G31)*0.04</f>
        <v>1694.6721785600007</v>
      </c>
      <c r="K31" s="7">
        <f>22462.71-L31</f>
        <v>21598.7593342976</v>
      </c>
      <c r="L31" s="7">
        <f>(100000-C31-E31-G31-I31)*0.04</f>
        <v>863.95066570240078</v>
      </c>
      <c r="M31" s="107">
        <f>SUM(C31:L31)</f>
        <v>112313.54999999999</v>
      </c>
    </row>
    <row r="32" spans="2:16" ht="15.4" x14ac:dyDescent="0.4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5.4" x14ac:dyDescent="0.45">
      <c r="B33" s="1"/>
      <c r="C33" s="1"/>
      <c r="D33" s="1"/>
      <c r="E33" s="1"/>
      <c r="F33" s="1"/>
      <c r="G33" s="1"/>
      <c r="H33" s="1"/>
      <c r="I33" s="1"/>
      <c r="J33" s="1"/>
      <c r="K33" s="1"/>
      <c r="L33" s="1" t="s">
        <v>103</v>
      </c>
      <c r="M33" s="2">
        <f>C31+E31+G31+I31+K31</f>
        <v>99999.9926917376</v>
      </c>
    </row>
    <row r="34" spans="2:13" ht="15.4" x14ac:dyDescent="0.4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5.4" x14ac:dyDescent="0.45">
      <c r="B35" s="1"/>
      <c r="C35" s="1"/>
      <c r="D35" s="1"/>
      <c r="E35" s="1"/>
      <c r="F35" s="1"/>
      <c r="G35" s="1"/>
      <c r="H35" s="1"/>
      <c r="I35" s="1"/>
      <c r="J35" s="1"/>
      <c r="K35" s="1"/>
      <c r="L35" s="1" t="s">
        <v>102</v>
      </c>
      <c r="M35" s="2">
        <f>D31+F31+H31+J31+L31</f>
        <v>12313.557308262403</v>
      </c>
    </row>
    <row r="36" spans="2:13" ht="15.4" x14ac:dyDescent="0.4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5.4" x14ac:dyDescent="0.45">
      <c r="B37" s="1" t="s">
        <v>284</v>
      </c>
      <c r="C37" s="1"/>
      <c r="D37" s="2">
        <f>D22</f>
        <v>50415.47</v>
      </c>
      <c r="E37" s="2"/>
      <c r="F37" s="2">
        <f t="shared" ref="F37:L37" si="4">F22</f>
        <v>46326.5216</v>
      </c>
      <c r="G37" s="2"/>
      <c r="H37" s="2">
        <f t="shared" si="4"/>
        <v>42071.472863999996</v>
      </c>
      <c r="I37" s="2"/>
      <c r="J37" s="2">
        <f t="shared" si="4"/>
        <v>37631.432178560004</v>
      </c>
      <c r="K37" s="2"/>
      <c r="L37" s="2">
        <f t="shared" si="4"/>
        <v>32964.740665702404</v>
      </c>
      <c r="M37" s="2">
        <f>D37+F37+H37+J37+L37</f>
        <v>209409.63730826243</v>
      </c>
    </row>
    <row r="38" spans="2:13" ht="15.4" x14ac:dyDescent="0.4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5.4" x14ac:dyDescent="0.45">
      <c r="B39" s="1" t="s">
        <v>285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2">
        <f>M37/5</f>
        <v>41881.927461652485</v>
      </c>
    </row>
    <row r="40" spans="2:13" ht="15.4" x14ac:dyDescent="0.4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5.4" x14ac:dyDescent="0.4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5.4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5.4" x14ac:dyDescent="0.4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.4" x14ac:dyDescent="0.4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5.4" x14ac:dyDescent="0.4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5.4" x14ac:dyDescent="0.4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5.4" x14ac:dyDescent="0.4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5.4" x14ac:dyDescent="0.4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.4" x14ac:dyDescent="0.4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5.4" x14ac:dyDescent="0.4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5.4" x14ac:dyDescent="0.4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5.4" x14ac:dyDescent="0.4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5.4" x14ac:dyDescent="0.4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</sheetData>
  <mergeCells count="5">
    <mergeCell ref="C9:D9"/>
    <mergeCell ref="E9:F9"/>
    <mergeCell ref="G9:H9"/>
    <mergeCell ref="I9:J9"/>
    <mergeCell ref="K9:L9"/>
  </mergeCells>
  <printOptions horizontalCentered="1" verticalCentered="1"/>
  <pageMargins left="0.7" right="0.7" top="0.75" bottom="0.75" header="0.3" footer="0.3"/>
  <pageSetup scale="76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B32F-4CA1-4F84-B54A-FE6CF749D13D}">
  <dimension ref="A1:D6"/>
  <sheetViews>
    <sheetView workbookViewId="0">
      <selection activeCell="F15" sqref="F15"/>
    </sheetView>
  </sheetViews>
  <sheetFormatPr defaultRowHeight="15" x14ac:dyDescent="0.4"/>
  <cols>
    <col min="1" max="1" width="11.21875" customWidth="1"/>
  </cols>
  <sheetData>
    <row r="1" spans="1:4" ht="15.4" x14ac:dyDescent="0.45">
      <c r="A1" s="1" t="s">
        <v>213</v>
      </c>
      <c r="B1" s="1"/>
      <c r="C1" s="1"/>
      <c r="D1" s="1"/>
    </row>
    <row r="2" spans="1:4" ht="15.4" x14ac:dyDescent="0.45">
      <c r="A2" s="1"/>
      <c r="B2" s="1"/>
      <c r="C2" s="1"/>
      <c r="D2" s="1"/>
    </row>
    <row r="3" spans="1:4" ht="15.4" x14ac:dyDescent="0.45">
      <c r="A3" s="1" t="s">
        <v>157</v>
      </c>
      <c r="B3" s="1"/>
      <c r="C3" s="153">
        <v>6200</v>
      </c>
      <c r="D3" s="1"/>
    </row>
    <row r="4" spans="1:4" ht="15.4" x14ac:dyDescent="0.45">
      <c r="A4" s="1"/>
      <c r="B4" s="1"/>
      <c r="C4" s="1"/>
      <c r="D4" s="1"/>
    </row>
    <row r="5" spans="1:4" ht="15.4" x14ac:dyDescent="0.45">
      <c r="A5" s="1" t="s">
        <v>323</v>
      </c>
      <c r="B5" s="154">
        <v>0.3</v>
      </c>
      <c r="C5" s="153">
        <f>B5*C3</f>
        <v>1860</v>
      </c>
      <c r="D5" s="1"/>
    </row>
    <row r="6" spans="1:4" ht="15.4" x14ac:dyDescent="0.45">
      <c r="A6" s="1" t="s">
        <v>156</v>
      </c>
      <c r="B6" s="154">
        <v>0.7</v>
      </c>
      <c r="C6" s="153">
        <f>B6*C3</f>
        <v>4340</v>
      </c>
      <c r="D6" s="1"/>
    </row>
  </sheetData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52889-0321-45D3-A9A4-AE60C9D6113F}">
  <dimension ref="A1:H56"/>
  <sheetViews>
    <sheetView showGridLines="0" topLeftCell="A23" workbookViewId="0">
      <selection activeCell="H35" sqref="H35"/>
    </sheetView>
  </sheetViews>
  <sheetFormatPr defaultRowHeight="13.5" x14ac:dyDescent="0.35"/>
  <cols>
    <col min="1" max="1" width="22.0546875" style="147" customWidth="1"/>
    <col min="2" max="3" width="9.88671875" style="148" bestFit="1" customWidth="1"/>
    <col min="4" max="4" width="10.38671875" style="147" bestFit="1" customWidth="1"/>
    <col min="5" max="16384" width="8.88671875" style="147"/>
  </cols>
  <sheetData>
    <row r="1" spans="1:7" ht="14.25" x14ac:dyDescent="0.45">
      <c r="A1" s="1" t="s">
        <v>135</v>
      </c>
      <c r="B1" s="7"/>
      <c r="C1" s="7"/>
      <c r="D1" s="1"/>
      <c r="E1" s="1"/>
      <c r="F1" s="1"/>
      <c r="G1" s="1"/>
    </row>
    <row r="2" spans="1:7" ht="14.25" x14ac:dyDescent="0.45">
      <c r="A2" s="1" t="s">
        <v>141</v>
      </c>
      <c r="B2" s="7"/>
      <c r="C2" s="7">
        <v>0</v>
      </c>
      <c r="D2" s="1"/>
      <c r="E2" s="1"/>
      <c r="F2" s="1"/>
      <c r="G2" s="1"/>
    </row>
    <row r="3" spans="1:7" ht="14.25" x14ac:dyDescent="0.45">
      <c r="A3" s="1" t="s">
        <v>142</v>
      </c>
      <c r="B3" s="7"/>
      <c r="C3" s="5">
        <v>281972830</v>
      </c>
      <c r="D3" s="1"/>
      <c r="E3" s="1"/>
      <c r="F3" s="1"/>
      <c r="G3" s="1"/>
    </row>
    <row r="4" spans="1:7" ht="14.25" x14ac:dyDescent="0.45">
      <c r="A4" s="1" t="s">
        <v>143</v>
      </c>
      <c r="B4" s="7"/>
      <c r="C4" s="7">
        <f>C2+C3</f>
        <v>281972830</v>
      </c>
      <c r="D4" s="1"/>
      <c r="E4" s="1"/>
      <c r="F4" s="1"/>
      <c r="G4" s="1"/>
    </row>
    <row r="5" spans="1:7" ht="14.25" x14ac:dyDescent="0.45">
      <c r="A5" s="1"/>
      <c r="B5" s="7"/>
      <c r="C5" s="7"/>
      <c r="D5" s="1"/>
      <c r="E5" s="1"/>
      <c r="F5" s="1"/>
      <c r="G5" s="1"/>
    </row>
    <row r="6" spans="1:7" ht="14.25" x14ac:dyDescent="0.45">
      <c r="A6" s="1" t="s">
        <v>136</v>
      </c>
      <c r="B6" s="7"/>
      <c r="C6" s="7">
        <v>143390697</v>
      </c>
      <c r="D6" s="1"/>
      <c r="E6" s="1"/>
      <c r="F6" s="1"/>
      <c r="G6" s="1"/>
    </row>
    <row r="7" spans="1:7" ht="14.25" x14ac:dyDescent="0.45">
      <c r="A7" s="1"/>
      <c r="B7" s="7"/>
      <c r="C7" s="7"/>
      <c r="D7" s="1"/>
      <c r="E7" s="1"/>
      <c r="F7" s="1"/>
      <c r="G7" s="1"/>
    </row>
    <row r="8" spans="1:7" ht="14.25" x14ac:dyDescent="0.45">
      <c r="A8" s="1" t="s">
        <v>137</v>
      </c>
      <c r="B8" s="7"/>
      <c r="C8" s="7"/>
      <c r="D8" s="1"/>
      <c r="E8" s="1"/>
      <c r="F8" s="1"/>
      <c r="G8" s="1"/>
    </row>
    <row r="9" spans="1:7" ht="14.25" x14ac:dyDescent="0.45">
      <c r="A9" s="1" t="s">
        <v>146</v>
      </c>
      <c r="B9" s="7">
        <v>0</v>
      </c>
      <c r="C9" s="7"/>
      <c r="D9" s="1"/>
      <c r="E9" s="1"/>
      <c r="F9" s="1"/>
      <c r="G9" s="1"/>
    </row>
    <row r="10" spans="1:7" ht="14.25" x14ac:dyDescent="0.45">
      <c r="A10" s="1" t="s">
        <v>147</v>
      </c>
      <c r="B10" s="7">
        <v>1858670</v>
      </c>
      <c r="C10" s="7"/>
      <c r="D10" s="1"/>
      <c r="E10" s="1"/>
      <c r="F10" s="1"/>
      <c r="G10" s="1"/>
    </row>
    <row r="11" spans="1:7" ht="14.25" x14ac:dyDescent="0.45">
      <c r="A11" s="1" t="s">
        <v>148</v>
      </c>
      <c r="B11" s="7">
        <v>28700</v>
      </c>
      <c r="C11" s="7"/>
      <c r="D11" s="1"/>
      <c r="E11" s="1"/>
      <c r="F11" s="1"/>
      <c r="G11" s="1"/>
    </row>
    <row r="12" spans="1:7" ht="14.25" x14ac:dyDescent="0.45">
      <c r="A12" s="1" t="s">
        <v>149</v>
      </c>
      <c r="B12" s="7">
        <v>1603000</v>
      </c>
      <c r="C12" s="7"/>
      <c r="D12" s="1"/>
      <c r="E12" s="1"/>
      <c r="F12" s="1"/>
      <c r="G12" s="1"/>
    </row>
    <row r="13" spans="1:7" ht="14.25" x14ac:dyDescent="0.45">
      <c r="A13" s="1" t="s">
        <v>144</v>
      </c>
      <c r="B13" s="7"/>
      <c r="C13" s="7">
        <f>SUM(B9:B12)</f>
        <v>3490370</v>
      </c>
      <c r="D13" s="1"/>
      <c r="E13" s="1"/>
      <c r="F13" s="1"/>
      <c r="G13" s="1"/>
    </row>
    <row r="14" spans="1:7" ht="14.25" x14ac:dyDescent="0.45">
      <c r="A14" s="1"/>
      <c r="B14" s="7"/>
      <c r="C14" s="7"/>
      <c r="D14" s="1"/>
      <c r="E14" s="1"/>
      <c r="F14" s="1"/>
      <c r="G14" s="1"/>
    </row>
    <row r="15" spans="1:7" ht="14.25" x14ac:dyDescent="0.45">
      <c r="A15" s="1" t="s">
        <v>145</v>
      </c>
      <c r="B15" s="7"/>
      <c r="C15" s="7"/>
      <c r="D15" s="1"/>
      <c r="E15" s="1"/>
      <c r="F15" s="1"/>
      <c r="G15" s="1"/>
    </row>
    <row r="16" spans="1:7" ht="14.25" x14ac:dyDescent="0.45">
      <c r="A16" s="1" t="s">
        <v>185</v>
      </c>
      <c r="B16" s="7">
        <v>0</v>
      </c>
      <c r="C16" s="7"/>
      <c r="D16" s="1"/>
      <c r="E16" s="1"/>
      <c r="F16" s="1"/>
      <c r="G16" s="1"/>
    </row>
    <row r="17" spans="1:7" ht="14.25" x14ac:dyDescent="0.45">
      <c r="A17" s="1" t="s">
        <v>186</v>
      </c>
      <c r="B17" s="7">
        <v>12668600</v>
      </c>
      <c r="C17" s="7"/>
      <c r="D17" s="1"/>
      <c r="E17" s="1"/>
      <c r="F17" s="1"/>
      <c r="G17" s="1"/>
    </row>
    <row r="18" spans="1:7" ht="14.25" x14ac:dyDescent="0.45">
      <c r="A18" s="1" t="s">
        <v>150</v>
      </c>
      <c r="B18" s="7">
        <v>79607731</v>
      </c>
      <c r="C18" s="7"/>
      <c r="D18" s="1"/>
      <c r="E18" s="1"/>
      <c r="F18" s="1"/>
      <c r="G18" s="1"/>
    </row>
    <row r="19" spans="1:7" ht="14.25" x14ac:dyDescent="0.45">
      <c r="A19" s="1" t="s">
        <v>151</v>
      </c>
      <c r="B19" s="7">
        <f>16110650+26704781</f>
        <v>42815431</v>
      </c>
      <c r="C19" s="7"/>
    </row>
    <row r="20" spans="1:7" ht="14.25" x14ac:dyDescent="0.45">
      <c r="A20" s="1" t="s">
        <v>152</v>
      </c>
      <c r="B20" s="7"/>
      <c r="C20" s="5">
        <f>SUM(B16:B19)</f>
        <v>135091762</v>
      </c>
    </row>
    <row r="21" spans="1:7" ht="14.25" x14ac:dyDescent="0.45">
      <c r="A21" s="1" t="s">
        <v>153</v>
      </c>
      <c r="B21" s="7"/>
      <c r="C21" s="7">
        <f>C6+C13+C20</f>
        <v>281972829</v>
      </c>
    </row>
    <row r="22" spans="1:7" ht="14.25" x14ac:dyDescent="0.45">
      <c r="A22" s="1"/>
    </row>
    <row r="24" spans="1:7" ht="14.25" x14ac:dyDescent="0.45">
      <c r="D24" s="47">
        <f>C20/C4</f>
        <v>0.47909496102869203</v>
      </c>
      <c r="E24" s="1" t="s">
        <v>138</v>
      </c>
      <c r="F24" s="1"/>
      <c r="G24" s="1"/>
    </row>
    <row r="25" spans="1:7" ht="14.25" x14ac:dyDescent="0.45">
      <c r="D25" s="47">
        <v>0.15</v>
      </c>
      <c r="E25" s="1" t="s">
        <v>139</v>
      </c>
      <c r="F25" s="1"/>
      <c r="G25" s="1"/>
    </row>
    <row r="26" spans="1:7" ht="14.25" x14ac:dyDescent="0.45">
      <c r="D26" s="47">
        <f>IF(D24&gt;D25,D24-D25,0)</f>
        <v>0.32909496102869207</v>
      </c>
      <c r="E26" s="1" t="s">
        <v>140</v>
      </c>
      <c r="F26" s="1"/>
      <c r="G26" s="21"/>
    </row>
    <row r="28" spans="1:7" ht="14.25" x14ac:dyDescent="0.45">
      <c r="A28" s="1" t="s">
        <v>200</v>
      </c>
      <c r="B28" s="7"/>
      <c r="C28" s="7"/>
      <c r="D28" s="22" t="s">
        <v>36</v>
      </c>
    </row>
    <row r="29" spans="1:7" ht="14.25" x14ac:dyDescent="0.45">
      <c r="A29" s="1" t="str">
        <f>SAO!C26</f>
        <v>Purchased Water</v>
      </c>
      <c r="B29" s="207">
        <f>SAO!D26</f>
        <v>862185</v>
      </c>
      <c r="C29" s="194"/>
      <c r="D29" s="159">
        <f>-SAO!D26*$D$26</f>
        <v>-283740.73897452286</v>
      </c>
      <c r="F29" s="21"/>
    </row>
    <row r="30" spans="1:7" ht="14.25" x14ac:dyDescent="0.45">
      <c r="A30" s="1" t="str">
        <f>SAO!C27</f>
        <v>Purchased Power</v>
      </c>
      <c r="B30" s="207">
        <f>SAO!D27</f>
        <v>118900</v>
      </c>
      <c r="C30" s="194"/>
      <c r="D30" s="159">
        <f>-SAO!D27*$D$26</f>
        <v>-39129.390866311485</v>
      </c>
      <c r="F30" s="21"/>
    </row>
    <row r="31" spans="1:7" ht="14.25" x14ac:dyDescent="0.45">
      <c r="A31" s="1" t="str">
        <f>SAO!C28</f>
        <v>Chemicals</v>
      </c>
      <c r="B31" s="208">
        <f>SAO!D28</f>
        <v>0</v>
      </c>
      <c r="C31" s="195"/>
      <c r="D31" s="196">
        <f>-SAO!D28*$D$26</f>
        <v>0</v>
      </c>
    </row>
    <row r="32" spans="1:7" ht="14.25" x14ac:dyDescent="0.45">
      <c r="A32" s="1" t="s">
        <v>11</v>
      </c>
      <c r="B32" s="207">
        <f>SUM(B29:B31)</f>
        <v>981085</v>
      </c>
      <c r="C32" s="195"/>
      <c r="D32" s="207">
        <f>SUM(D29:D31)</f>
        <v>-322870.12984083436</v>
      </c>
    </row>
    <row r="33" spans="1:8" ht="14.25" x14ac:dyDescent="0.45">
      <c r="A33" s="1"/>
      <c r="B33" s="207"/>
      <c r="C33" s="195"/>
      <c r="D33" s="207"/>
    </row>
    <row r="34" spans="1:8" ht="14.25" x14ac:dyDescent="0.45">
      <c r="A34" s="1" t="s">
        <v>201</v>
      </c>
      <c r="B34" s="7"/>
      <c r="C34" s="195"/>
      <c r="D34" s="159"/>
    </row>
    <row r="35" spans="1:8" ht="14.25" x14ac:dyDescent="0.45">
      <c r="A35" s="1" t="s">
        <v>177</v>
      </c>
      <c r="B35" s="7"/>
      <c r="C35" s="195"/>
      <c r="D35" s="210">
        <f>D32</f>
        <v>-322870.12984083436</v>
      </c>
    </row>
    <row r="36" spans="1:8" ht="14.25" x14ac:dyDescent="0.45">
      <c r="A36" s="1" t="s">
        <v>180</v>
      </c>
      <c r="B36" s="7"/>
      <c r="C36" s="6"/>
      <c r="D36" s="30">
        <f>ExBA!F4</f>
        <v>40798</v>
      </c>
    </row>
    <row r="37" spans="1:8" ht="14.25" x14ac:dyDescent="0.45">
      <c r="A37" s="1" t="s">
        <v>178</v>
      </c>
      <c r="B37" s="7"/>
      <c r="C37" s="195"/>
      <c r="D37" s="159">
        <f>-D35/D36</f>
        <v>7.9138715094081657</v>
      </c>
    </row>
    <row r="38" spans="1:8" ht="14.25" x14ac:dyDescent="0.45">
      <c r="A38" s="276"/>
      <c r="B38" s="290"/>
      <c r="C38" s="290"/>
      <c r="D38" s="276"/>
      <c r="E38" s="276"/>
      <c r="F38" s="276"/>
      <c r="G38" s="276"/>
      <c r="H38" s="276"/>
    </row>
    <row r="39" spans="1:8" ht="14.25" x14ac:dyDescent="0.45">
      <c r="A39" s="276" t="s">
        <v>218</v>
      </c>
      <c r="B39" s="290"/>
      <c r="C39" s="290"/>
      <c r="D39" s="276"/>
      <c r="E39" s="276"/>
      <c r="F39" s="276"/>
      <c r="G39" s="276"/>
      <c r="H39" s="276"/>
    </row>
    <row r="40" spans="1:8" ht="14.25" x14ac:dyDescent="0.45">
      <c r="A40" s="1" t="s">
        <v>341</v>
      </c>
      <c r="B40" s="7"/>
      <c r="C40" s="195"/>
      <c r="D40" s="159">
        <f>D37</f>
        <v>7.9138715094081657</v>
      </c>
      <c r="E40" s="276"/>
      <c r="F40" s="276"/>
      <c r="G40" s="276"/>
      <c r="H40" s="276"/>
    </row>
    <row r="41" spans="1:8" ht="14.25" x14ac:dyDescent="0.45">
      <c r="A41" s="276" t="s">
        <v>340</v>
      </c>
      <c r="B41" s="290"/>
      <c r="C41" s="290"/>
      <c r="D41" s="291">
        <f>-'Rates DSCM'!F15</f>
        <v>-4.26</v>
      </c>
      <c r="E41" s="276"/>
      <c r="F41" s="276"/>
      <c r="G41" s="276"/>
      <c r="H41" s="276"/>
    </row>
    <row r="42" spans="1:8" ht="14.65" thickBot="1" x14ac:dyDescent="0.5">
      <c r="A42" s="276" t="s">
        <v>342</v>
      </c>
      <c r="B42" s="290"/>
      <c r="C42" s="290"/>
      <c r="D42" s="292">
        <f>D40+D41</f>
        <v>3.653871509408166</v>
      </c>
      <c r="E42" s="276"/>
      <c r="F42" s="276"/>
      <c r="G42" s="276"/>
      <c r="H42" s="276"/>
    </row>
    <row r="43" spans="1:8" ht="14.65" thickTop="1" x14ac:dyDescent="0.45">
      <c r="A43" s="276"/>
      <c r="B43" s="290"/>
      <c r="C43" s="290"/>
      <c r="D43" s="276"/>
      <c r="E43" s="276"/>
      <c r="F43" s="276"/>
      <c r="G43" s="276"/>
      <c r="H43" s="276"/>
    </row>
    <row r="44" spans="1:8" ht="14.25" x14ac:dyDescent="0.45">
      <c r="A44" s="276" t="s">
        <v>219</v>
      </c>
      <c r="B44" s="290"/>
      <c r="C44" s="290"/>
      <c r="D44" s="276"/>
      <c r="E44" s="276"/>
      <c r="F44" s="276"/>
      <c r="G44" s="276"/>
      <c r="H44" s="276"/>
    </row>
    <row r="45" spans="1:8" ht="14.65" thickBot="1" x14ac:dyDescent="0.5">
      <c r="A45" s="1" t="s">
        <v>343</v>
      </c>
      <c r="B45" s="7"/>
      <c r="C45" s="195"/>
      <c r="D45" s="293">
        <f>D37</f>
        <v>7.9138715094081657</v>
      </c>
      <c r="E45" s="276"/>
      <c r="F45" s="276"/>
      <c r="G45" s="276"/>
      <c r="H45" s="276"/>
    </row>
    <row r="46" spans="1:8" ht="14.65" thickTop="1" x14ac:dyDescent="0.45">
      <c r="A46" s="276"/>
      <c r="B46" s="290"/>
      <c r="C46" s="290"/>
      <c r="D46" s="276"/>
      <c r="E46" s="276"/>
      <c r="F46" s="276"/>
      <c r="G46" s="276"/>
      <c r="H46" s="276"/>
    </row>
    <row r="47" spans="1:8" ht="14.25" x14ac:dyDescent="0.45">
      <c r="A47" s="276"/>
      <c r="B47" s="290"/>
      <c r="C47" s="290"/>
      <c r="D47" s="276"/>
      <c r="E47" s="276"/>
      <c r="F47" s="276"/>
      <c r="G47" s="276"/>
      <c r="H47" s="276"/>
    </row>
    <row r="48" spans="1:8" ht="14.25" x14ac:dyDescent="0.45">
      <c r="A48" s="276"/>
      <c r="B48" s="290"/>
      <c r="C48" s="290"/>
      <c r="D48" s="276"/>
      <c r="E48" s="276"/>
      <c r="F48" s="276"/>
      <c r="G48" s="276"/>
      <c r="H48" s="276"/>
    </row>
    <row r="49" spans="1:8" ht="14.25" x14ac:dyDescent="0.45">
      <c r="A49" s="276"/>
      <c r="B49" s="290"/>
      <c r="C49" s="290"/>
      <c r="D49" s="276"/>
      <c r="E49" s="276"/>
      <c r="F49" s="276"/>
      <c r="G49" s="276"/>
      <c r="H49" s="276"/>
    </row>
    <row r="50" spans="1:8" ht="14.25" x14ac:dyDescent="0.45">
      <c r="A50" s="276"/>
      <c r="B50" s="290"/>
      <c r="C50" s="290"/>
      <c r="D50" s="276"/>
      <c r="E50" s="276"/>
      <c r="F50" s="276"/>
      <c r="G50" s="276"/>
      <c r="H50" s="276"/>
    </row>
    <row r="51" spans="1:8" ht="14.25" x14ac:dyDescent="0.45">
      <c r="A51" s="276"/>
      <c r="B51" s="290"/>
      <c r="C51" s="290"/>
      <c r="D51" s="276"/>
      <c r="E51" s="276"/>
      <c r="F51" s="276"/>
      <c r="G51" s="276"/>
      <c r="H51" s="276"/>
    </row>
    <row r="52" spans="1:8" ht="14.25" x14ac:dyDescent="0.45">
      <c r="A52" s="276"/>
      <c r="B52" s="290"/>
      <c r="C52" s="290"/>
      <c r="D52" s="276"/>
      <c r="E52" s="276"/>
      <c r="F52" s="276"/>
      <c r="G52" s="276"/>
      <c r="H52" s="276"/>
    </row>
    <row r="53" spans="1:8" ht="14.25" x14ac:dyDescent="0.45">
      <c r="A53" s="276"/>
      <c r="B53" s="290"/>
      <c r="C53" s="290"/>
      <c r="D53" s="276"/>
      <c r="E53" s="276"/>
      <c r="F53" s="276"/>
      <c r="G53" s="276"/>
      <c r="H53" s="276"/>
    </row>
    <row r="54" spans="1:8" ht="14.25" x14ac:dyDescent="0.45">
      <c r="A54" s="276"/>
      <c r="B54" s="290"/>
      <c r="C54" s="290"/>
      <c r="D54" s="276"/>
      <c r="E54" s="276"/>
      <c r="F54" s="276"/>
      <c r="G54" s="276"/>
      <c r="H54" s="276"/>
    </row>
    <row r="55" spans="1:8" ht="14.25" x14ac:dyDescent="0.45">
      <c r="A55" s="276"/>
      <c r="B55" s="290"/>
      <c r="C55" s="290"/>
      <c r="D55" s="276"/>
      <c r="E55" s="276"/>
      <c r="F55" s="276"/>
      <c r="G55" s="276"/>
      <c r="H55" s="276"/>
    </row>
    <row r="56" spans="1:8" ht="14.25" x14ac:dyDescent="0.45">
      <c r="A56" s="276"/>
      <c r="B56" s="290"/>
      <c r="C56" s="290"/>
      <c r="D56" s="276"/>
      <c r="E56" s="276"/>
      <c r="F56" s="276"/>
      <c r="G56" s="276"/>
      <c r="H56" s="276"/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I27"/>
  <sheetViews>
    <sheetView showGridLines="0" workbookViewId="0">
      <selection sqref="A1:K28"/>
    </sheetView>
  </sheetViews>
  <sheetFormatPr defaultColWidth="8.88671875" defaultRowHeight="14.25" x14ac:dyDescent="0.45"/>
  <cols>
    <col min="1" max="1" width="3.0546875" style="26" customWidth="1"/>
    <col min="2" max="2" width="9.6640625" style="26" customWidth="1"/>
    <col min="3" max="3" width="11.109375" style="26" customWidth="1"/>
    <col min="4" max="4" width="8.44140625" style="26" customWidth="1"/>
    <col min="5" max="5" width="14.109375" style="26" customWidth="1"/>
    <col min="6" max="6" width="9.6640625" style="26" customWidth="1"/>
    <col min="7" max="7" width="14.109375" style="26" customWidth="1"/>
    <col min="8" max="8" width="9.6640625" style="26" customWidth="1"/>
    <col min="9" max="9" width="9.6640625" style="212" customWidth="1"/>
    <col min="10" max="10" width="2.77734375" style="26" customWidth="1"/>
    <col min="11" max="11" width="2.5546875" style="26" customWidth="1"/>
    <col min="12" max="12" width="9.6640625" style="192" customWidth="1"/>
    <col min="13" max="191" width="9.6640625" style="26" customWidth="1"/>
    <col min="192" max="16384" width="8.88671875" style="17"/>
  </cols>
  <sheetData>
    <row r="1" spans="2:14" ht="14.65" thickBot="1" x14ac:dyDescent="0.5"/>
    <row r="2" spans="2:14" ht="18.399999999999999" customHeight="1" x14ac:dyDescent="0.55000000000000004">
      <c r="B2" s="317"/>
      <c r="C2" s="318"/>
      <c r="D2" s="318"/>
      <c r="E2" s="318"/>
      <c r="F2" s="318"/>
      <c r="G2" s="318"/>
      <c r="H2" s="318"/>
      <c r="I2" s="318"/>
      <c r="J2" s="319"/>
    </row>
    <row r="3" spans="2:14" ht="18" hidden="1" customHeight="1" x14ac:dyDescent="0.55000000000000004">
      <c r="B3" s="312" t="s">
        <v>286</v>
      </c>
      <c r="C3" s="313"/>
      <c r="D3" s="313"/>
      <c r="E3" s="313"/>
      <c r="F3" s="313"/>
      <c r="G3" s="313"/>
      <c r="H3" s="313"/>
      <c r="I3" s="313"/>
      <c r="J3" s="314"/>
    </row>
    <row r="4" spans="2:14" ht="18" hidden="1" customHeight="1" x14ac:dyDescent="0.55000000000000004">
      <c r="B4" s="284"/>
      <c r="C4" s="285"/>
      <c r="D4" s="285"/>
      <c r="E4" s="285"/>
      <c r="F4" s="285"/>
      <c r="G4" s="285"/>
      <c r="H4" s="285"/>
      <c r="I4" s="285"/>
      <c r="J4" s="286"/>
    </row>
    <row r="5" spans="2:14" ht="18" hidden="1" customHeight="1" x14ac:dyDescent="0.55000000000000004">
      <c r="B5" s="312" t="s">
        <v>338</v>
      </c>
      <c r="C5" s="313"/>
      <c r="D5" s="313"/>
      <c r="E5" s="313"/>
      <c r="F5" s="313"/>
      <c r="G5" s="313"/>
      <c r="H5" s="313"/>
      <c r="I5" s="313"/>
      <c r="J5" s="314"/>
    </row>
    <row r="6" spans="2:14" ht="18" hidden="1" customHeight="1" x14ac:dyDescent="0.45">
      <c r="B6" s="228"/>
      <c r="J6" s="229"/>
    </row>
    <row r="7" spans="2:14" ht="21" x14ac:dyDescent="0.65">
      <c r="B7" s="320" t="s">
        <v>47</v>
      </c>
      <c r="C7" s="321"/>
      <c r="D7" s="321"/>
      <c r="E7" s="321"/>
      <c r="F7" s="321"/>
      <c r="G7" s="321"/>
      <c r="H7" s="321"/>
      <c r="I7" s="321"/>
      <c r="J7" s="322"/>
    </row>
    <row r="8" spans="2:14" ht="18" customHeight="1" x14ac:dyDescent="0.45">
      <c r="B8" s="323" t="s">
        <v>217</v>
      </c>
      <c r="C8" s="324"/>
      <c r="D8" s="324"/>
      <c r="E8" s="324"/>
      <c r="F8" s="324"/>
      <c r="G8" s="324"/>
      <c r="H8" s="324"/>
      <c r="I8" s="324"/>
      <c r="J8" s="325"/>
    </row>
    <row r="9" spans="2:14" ht="18" customHeight="1" x14ac:dyDescent="0.45">
      <c r="B9" s="282"/>
      <c r="C9" s="34"/>
      <c r="D9" s="34"/>
      <c r="E9" s="34"/>
      <c r="F9" s="34"/>
      <c r="G9" s="34"/>
      <c r="H9" s="34"/>
      <c r="I9" s="34"/>
      <c r="J9" s="283"/>
    </row>
    <row r="10" spans="2:14" ht="18" customHeight="1" x14ac:dyDescent="0.45">
      <c r="B10" s="307" t="s">
        <v>335</v>
      </c>
      <c r="C10" s="308"/>
      <c r="D10" s="308"/>
      <c r="E10" s="308"/>
      <c r="F10" s="308"/>
      <c r="G10" s="308"/>
      <c r="H10" s="308"/>
      <c r="I10" s="308"/>
      <c r="J10" s="309"/>
    </row>
    <row r="11" spans="2:14" ht="30.4" customHeight="1" x14ac:dyDescent="0.75">
      <c r="B11" s="326" t="s">
        <v>205</v>
      </c>
      <c r="C11" s="327"/>
      <c r="D11" s="315" t="s">
        <v>48</v>
      </c>
      <c r="E11" s="316"/>
      <c r="F11" s="315" t="s">
        <v>10</v>
      </c>
      <c r="G11" s="316"/>
      <c r="H11" s="315" t="s">
        <v>60</v>
      </c>
      <c r="I11" s="315"/>
      <c r="J11" s="230"/>
    </row>
    <row r="12" spans="2:14" x14ac:dyDescent="0.45">
      <c r="B12" s="231"/>
      <c r="C12" s="27" t="s">
        <v>218</v>
      </c>
      <c r="D12" s="28"/>
      <c r="E12" s="28"/>
      <c r="F12" s="29"/>
      <c r="G12" s="28"/>
      <c r="H12" s="28"/>
      <c r="J12" s="232"/>
      <c r="M12" s="193"/>
      <c r="N12" s="193"/>
    </row>
    <row r="13" spans="2:14" x14ac:dyDescent="0.45">
      <c r="B13" s="246" t="s">
        <v>193</v>
      </c>
      <c r="C13" s="247" t="s">
        <v>222</v>
      </c>
      <c r="D13" s="248">
        <v>25.13</v>
      </c>
      <c r="E13" s="248" t="s">
        <v>206</v>
      </c>
      <c r="F13" s="249">
        <f>ROUND(D13*(1+'Revenue Requirement'!$G$11),2)</f>
        <v>28.88</v>
      </c>
      <c r="G13" s="248" t="s">
        <v>206</v>
      </c>
      <c r="H13" s="248">
        <f t="shared" ref="H13:H14" si="0">F13-D13</f>
        <v>3.75</v>
      </c>
      <c r="I13" s="250">
        <f t="shared" ref="I13:I14" si="1">H13/D13</f>
        <v>0.1492240350179069</v>
      </c>
      <c r="J13" s="251"/>
      <c r="M13" s="193"/>
      <c r="N13" s="193"/>
    </row>
    <row r="14" spans="2:14" x14ac:dyDescent="0.45">
      <c r="B14" s="246" t="s">
        <v>207</v>
      </c>
      <c r="C14" s="247" t="s">
        <v>222</v>
      </c>
      <c r="D14" s="248">
        <v>8.44</v>
      </c>
      <c r="E14" s="248" t="s">
        <v>223</v>
      </c>
      <c r="F14" s="249">
        <f>ROUND(D14*(1+'Revenue Requirement'!$G$11),2)</f>
        <v>9.6999999999999993</v>
      </c>
      <c r="G14" s="248" t="s">
        <v>223</v>
      </c>
      <c r="H14" s="248">
        <f t="shared" si="0"/>
        <v>1.2599999999999998</v>
      </c>
      <c r="I14" s="250">
        <f t="shared" si="1"/>
        <v>0.14928909952606634</v>
      </c>
      <c r="J14" s="251"/>
      <c r="M14" s="193"/>
      <c r="N14" s="193"/>
    </row>
    <row r="15" spans="2:14" x14ac:dyDescent="0.45">
      <c r="B15" s="246"/>
      <c r="C15" s="247" t="s">
        <v>224</v>
      </c>
      <c r="D15" s="248">
        <v>4.26</v>
      </c>
      <c r="E15" s="248" t="s">
        <v>225</v>
      </c>
      <c r="F15" s="249">
        <v>4.26</v>
      </c>
      <c r="G15" s="248" t="s">
        <v>225</v>
      </c>
      <c r="H15" s="252">
        <f t="shared" ref="H15" si="2">F15-D15</f>
        <v>0</v>
      </c>
      <c r="I15" s="250">
        <f t="shared" ref="I15" si="3">H15/D15</f>
        <v>0</v>
      </c>
      <c r="J15" s="251"/>
      <c r="M15" s="193"/>
      <c r="N15" s="193"/>
    </row>
    <row r="16" spans="2:14" x14ac:dyDescent="0.45">
      <c r="B16" s="246"/>
      <c r="C16" s="247"/>
      <c r="D16" s="248"/>
      <c r="E16" s="248"/>
      <c r="F16" s="249"/>
      <c r="G16" s="248"/>
      <c r="H16" s="248"/>
      <c r="I16" s="250"/>
      <c r="J16" s="251"/>
      <c r="M16" s="193"/>
      <c r="N16" s="193"/>
    </row>
    <row r="17" spans="2:15" x14ac:dyDescent="0.45">
      <c r="B17" s="246"/>
      <c r="C17" s="247" t="s">
        <v>219</v>
      </c>
      <c r="D17" s="248"/>
      <c r="E17" s="248"/>
      <c r="F17" s="249"/>
      <c r="G17" s="248"/>
      <c r="H17" s="248"/>
      <c r="I17" s="250"/>
      <c r="J17" s="251"/>
      <c r="M17" s="193"/>
      <c r="N17" s="193"/>
    </row>
    <row r="18" spans="2:15" x14ac:dyDescent="0.45">
      <c r="B18" s="246" t="s">
        <v>193</v>
      </c>
      <c r="C18" s="247" t="s">
        <v>222</v>
      </c>
      <c r="D18" s="248">
        <v>25.13</v>
      </c>
      <c r="E18" s="248" t="s">
        <v>206</v>
      </c>
      <c r="F18" s="249">
        <f>ROUND(D18*(1+'Revenue Requirement'!$G$11),2)</f>
        <v>28.88</v>
      </c>
      <c r="G18" s="248" t="s">
        <v>206</v>
      </c>
      <c r="H18" s="248">
        <f t="shared" ref="H18:H19" si="4">F18-D18</f>
        <v>3.75</v>
      </c>
      <c r="I18" s="250">
        <f t="shared" ref="I18:I19" si="5">H18/D18</f>
        <v>0.1492240350179069</v>
      </c>
      <c r="J18" s="251"/>
      <c r="L18" s="28"/>
      <c r="M18" s="193"/>
      <c r="N18" s="193"/>
    </row>
    <row r="19" spans="2:15" x14ac:dyDescent="0.45">
      <c r="B19" s="246" t="s">
        <v>207</v>
      </c>
      <c r="C19" s="247" t="s">
        <v>222</v>
      </c>
      <c r="D19" s="248">
        <v>8.44</v>
      </c>
      <c r="E19" s="248" t="s">
        <v>223</v>
      </c>
      <c r="F19" s="249">
        <f>ROUND(D19*(1+'Revenue Requirement'!$G$11),2)</f>
        <v>9.6999999999999993</v>
      </c>
      <c r="G19" s="248" t="s">
        <v>223</v>
      </c>
      <c r="H19" s="248">
        <f t="shared" si="4"/>
        <v>1.2599999999999998</v>
      </c>
      <c r="I19" s="250">
        <f t="shared" si="5"/>
        <v>0.14928909952606634</v>
      </c>
      <c r="J19" s="251"/>
      <c r="M19" s="193"/>
      <c r="N19" s="193"/>
    </row>
    <row r="20" spans="2:15" x14ac:dyDescent="0.45">
      <c r="B20" s="246"/>
      <c r="C20" s="247"/>
      <c r="D20" s="248"/>
      <c r="E20" s="248"/>
      <c r="F20" s="249"/>
      <c r="G20" s="248"/>
      <c r="H20" s="248"/>
      <c r="I20" s="250"/>
      <c r="J20" s="251"/>
      <c r="M20" s="193"/>
      <c r="N20" s="193"/>
    </row>
    <row r="21" spans="2:15" ht="31.15" customHeight="1" x14ac:dyDescent="0.45">
      <c r="B21" s="310" t="s">
        <v>220</v>
      </c>
      <c r="C21" s="311"/>
      <c r="D21" s="248"/>
      <c r="E21" s="248"/>
      <c r="F21" s="249"/>
      <c r="G21" s="248"/>
      <c r="H21" s="248"/>
      <c r="I21" s="250"/>
      <c r="J21" s="251"/>
      <c r="M21" s="193"/>
      <c r="N21" s="193"/>
    </row>
    <row r="22" spans="2:15" ht="16.5" x14ac:dyDescent="0.75">
      <c r="B22" s="246"/>
      <c r="C22" s="247" t="s">
        <v>221</v>
      </c>
      <c r="D22" s="248">
        <v>4.5999999999999996</v>
      </c>
      <c r="E22" s="248" t="s">
        <v>223</v>
      </c>
      <c r="F22" s="249">
        <f>ROUND(D22*(1+'Revenue Requirement'!$G$11),2)</f>
        <v>5.29</v>
      </c>
      <c r="G22" s="248" t="s">
        <v>223</v>
      </c>
      <c r="H22" s="248">
        <f t="shared" ref="H22" si="6">F22-D22</f>
        <v>0.69000000000000039</v>
      </c>
      <c r="I22" s="250">
        <f t="shared" ref="I22" si="7">H22/D22</f>
        <v>0.15000000000000011</v>
      </c>
      <c r="J22" s="251"/>
      <c r="L22" s="28"/>
      <c r="M22" s="193"/>
      <c r="N22" s="193"/>
      <c r="O22" s="258"/>
    </row>
    <row r="23" spans="2:15" ht="16.5" x14ac:dyDescent="0.75">
      <c r="B23" s="246"/>
      <c r="C23" s="247"/>
      <c r="D23" s="248"/>
      <c r="E23" s="248"/>
      <c r="F23" s="249"/>
      <c r="G23" s="248"/>
      <c r="H23" s="248"/>
      <c r="I23" s="250"/>
      <c r="J23" s="251"/>
      <c r="L23" s="28"/>
      <c r="M23" s="193"/>
      <c r="N23" s="193"/>
      <c r="O23" s="258"/>
    </row>
    <row r="24" spans="2:15" ht="19.5" x14ac:dyDescent="0.75">
      <c r="B24" s="304" t="s">
        <v>336</v>
      </c>
      <c r="C24" s="305"/>
      <c r="D24" s="305"/>
      <c r="E24" s="305"/>
      <c r="F24" s="305"/>
      <c r="G24" s="305"/>
      <c r="H24" s="305"/>
      <c r="I24" s="305"/>
      <c r="J24" s="306"/>
      <c r="L24" s="28"/>
      <c r="M24" s="193"/>
      <c r="N24" s="193"/>
      <c r="O24" s="258"/>
    </row>
    <row r="25" spans="2:15" ht="19.5" x14ac:dyDescent="0.75">
      <c r="B25" s="287"/>
      <c r="C25" s="247" t="s">
        <v>218</v>
      </c>
      <c r="D25" s="248">
        <v>0</v>
      </c>
      <c r="E25" s="248" t="s">
        <v>337</v>
      </c>
      <c r="F25" s="249">
        <f>'Water Loss'!D37-F15</f>
        <v>3.653871509408166</v>
      </c>
      <c r="G25" s="248" t="s">
        <v>337</v>
      </c>
      <c r="H25" s="248">
        <f t="shared" ref="H25:H26" si="8">F25-D25</f>
        <v>3.653871509408166</v>
      </c>
      <c r="I25" s="250">
        <v>1</v>
      </c>
      <c r="J25" s="288"/>
      <c r="L25" s="28"/>
      <c r="M25" s="193"/>
      <c r="N25" s="193"/>
      <c r="O25" s="258"/>
    </row>
    <row r="26" spans="2:15" ht="16.5" x14ac:dyDescent="0.75">
      <c r="B26" s="246"/>
      <c r="C26" s="247" t="s">
        <v>219</v>
      </c>
      <c r="D26" s="248">
        <v>0</v>
      </c>
      <c r="E26" s="248" t="s">
        <v>337</v>
      </c>
      <c r="F26" s="249">
        <f>'Water Loss'!D37</f>
        <v>7.9138715094081657</v>
      </c>
      <c r="G26" s="248" t="s">
        <v>337</v>
      </c>
      <c r="H26" s="248">
        <f t="shared" si="8"/>
        <v>7.9138715094081657</v>
      </c>
      <c r="I26" s="250">
        <v>1</v>
      </c>
      <c r="J26" s="251"/>
      <c r="L26" s="28"/>
      <c r="M26" s="193"/>
      <c r="N26" s="193"/>
      <c r="O26" s="258"/>
    </row>
    <row r="27" spans="2:15" x14ac:dyDescent="0.45">
      <c r="B27" s="233"/>
      <c r="C27" s="234"/>
      <c r="D27" s="234"/>
      <c r="E27" s="234"/>
      <c r="F27" s="234"/>
      <c r="G27" s="234"/>
      <c r="H27" s="234"/>
      <c r="I27" s="235"/>
      <c r="J27" s="236"/>
    </row>
  </sheetData>
  <mergeCells count="12">
    <mergeCell ref="B2:J2"/>
    <mergeCell ref="B7:J7"/>
    <mergeCell ref="B8:J8"/>
    <mergeCell ref="B11:C11"/>
    <mergeCell ref="H11:I11"/>
    <mergeCell ref="B5:J5"/>
    <mergeCell ref="B24:J24"/>
    <mergeCell ref="B10:J10"/>
    <mergeCell ref="B21:C21"/>
    <mergeCell ref="B3:J3"/>
    <mergeCell ref="D11:E11"/>
    <mergeCell ref="F11:G11"/>
  </mergeCells>
  <printOptions horizontalCentered="1"/>
  <pageMargins left="0.55000000000000004" right="0.55000000000000004" top="1.6" bottom="0.5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SAO</vt:lpstr>
      <vt:lpstr>Revenue Requirement</vt:lpstr>
      <vt:lpstr>Wages</vt:lpstr>
      <vt:lpstr>Medical</vt:lpstr>
      <vt:lpstr>Depreciation</vt:lpstr>
      <vt:lpstr>Debt Service</vt:lpstr>
      <vt:lpstr>Capital</vt:lpstr>
      <vt:lpstr>Water Loss</vt:lpstr>
      <vt:lpstr>Rates DSCM</vt:lpstr>
      <vt:lpstr>Bills DSC</vt:lpstr>
      <vt:lpstr>Bills with Surcharge DSC</vt:lpstr>
      <vt:lpstr>ExBA</vt:lpstr>
      <vt:lpstr>PrBA</vt:lpstr>
      <vt:lpstr>'Bills DSC'!Print_Area</vt:lpstr>
      <vt:lpstr>'Bills with Surcharge DSC'!Print_Area</vt:lpstr>
      <vt:lpstr>'Debt Service'!Print_Area</vt:lpstr>
      <vt:lpstr>Depreciation!Print_Area</vt:lpstr>
      <vt:lpstr>ExBA!Print_Area</vt:lpstr>
      <vt:lpstr>PrBA!Print_Area</vt:lpstr>
      <vt:lpstr>'Rates DSCM'!Print_Area</vt:lpstr>
      <vt:lpstr>'Revenue Requirement'!Print_Area</vt:lpstr>
      <vt:lpstr>SAO!Print_Area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2022-08-12T21:00:33Z</cp:lastPrinted>
  <dcterms:created xsi:type="dcterms:W3CDTF">2016-05-18T14:12:06Z</dcterms:created>
  <dcterms:modified xsi:type="dcterms:W3CDTF">2022-12-05T20:24:28Z</dcterms:modified>
</cp:coreProperties>
</file>