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620783bd5d64abe/Black Mountain UD/"/>
    </mc:Choice>
  </mc:AlternateContent>
  <xr:revisionPtr revIDLastSave="0" documentId="8_{2CA77E79-3E39-4294-B3CA-78E8BD764C19}" xr6:coauthVersionLast="47" xr6:coauthVersionMax="47" xr10:uidLastSave="{00000000-0000-0000-0000-000000000000}"/>
  <bookViews>
    <workbookView xWindow="-98" yWindow="-98" windowWidth="20715" windowHeight="13155" xr2:uid="{00000000-000D-0000-FFFF-FFFF00000000}"/>
  </bookViews>
  <sheets>
    <sheet name="Adjusted Trial Bal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6" i="1" l="1"/>
  <c r="F176" i="1"/>
  <c r="E176" i="1"/>
  <c r="D176" i="1"/>
  <c r="C176" i="1"/>
  <c r="G175" i="1"/>
  <c r="C175" i="1"/>
  <c r="F174" i="1"/>
  <c r="B174" i="1"/>
  <c r="G173" i="1"/>
  <c r="C173" i="1"/>
  <c r="G172" i="1"/>
  <c r="C172" i="1"/>
  <c r="G171" i="1"/>
  <c r="C171" i="1"/>
  <c r="G170" i="1"/>
  <c r="C170" i="1"/>
  <c r="F169" i="1"/>
  <c r="B169" i="1"/>
  <c r="G168" i="1"/>
  <c r="C168" i="1"/>
  <c r="G167" i="1"/>
  <c r="C167" i="1"/>
  <c r="G166" i="1"/>
  <c r="C166" i="1"/>
  <c r="G165" i="1"/>
  <c r="C165" i="1"/>
  <c r="G164" i="1"/>
  <c r="C164" i="1"/>
  <c r="F163" i="1"/>
  <c r="B163" i="1"/>
  <c r="F162" i="1"/>
  <c r="B162" i="1"/>
  <c r="F161" i="1"/>
  <c r="B161" i="1"/>
  <c r="F160" i="1"/>
  <c r="B160" i="1"/>
  <c r="F159" i="1"/>
  <c r="B159" i="1"/>
  <c r="F158" i="1"/>
  <c r="B158" i="1"/>
  <c r="F157" i="1"/>
  <c r="B157" i="1"/>
  <c r="F156" i="1"/>
  <c r="B156" i="1"/>
  <c r="F155" i="1"/>
  <c r="B155" i="1"/>
  <c r="F154" i="1"/>
  <c r="B154" i="1"/>
  <c r="F153" i="1"/>
  <c r="B153" i="1"/>
  <c r="F152" i="1"/>
  <c r="B152" i="1"/>
  <c r="F151" i="1"/>
  <c r="B151" i="1"/>
  <c r="F150" i="1"/>
  <c r="B150" i="1"/>
  <c r="F149" i="1"/>
  <c r="B149" i="1"/>
  <c r="G148" i="1"/>
  <c r="C148" i="1"/>
  <c r="F147" i="1"/>
  <c r="B147" i="1"/>
  <c r="F146" i="1"/>
  <c r="B146" i="1"/>
  <c r="F145" i="1"/>
  <c r="B145" i="1"/>
  <c r="F144" i="1"/>
  <c r="B144" i="1"/>
  <c r="F143" i="1"/>
  <c r="B143" i="1"/>
  <c r="F142" i="1"/>
  <c r="B142" i="1"/>
  <c r="F141" i="1"/>
  <c r="B141" i="1"/>
  <c r="F140" i="1"/>
  <c r="B140" i="1"/>
  <c r="F139" i="1"/>
  <c r="B139" i="1"/>
  <c r="F138" i="1"/>
  <c r="B138" i="1"/>
  <c r="F137" i="1"/>
  <c r="B137" i="1"/>
  <c r="F136" i="1"/>
  <c r="B136" i="1"/>
  <c r="F135" i="1"/>
  <c r="B135" i="1"/>
  <c r="F134" i="1"/>
  <c r="B134" i="1"/>
  <c r="F133" i="1"/>
  <c r="B133" i="1"/>
  <c r="F132" i="1"/>
  <c r="B132" i="1"/>
  <c r="F131" i="1"/>
  <c r="B131" i="1"/>
  <c r="F130" i="1"/>
  <c r="B130" i="1"/>
  <c r="F129" i="1"/>
  <c r="B129" i="1"/>
  <c r="F128" i="1"/>
  <c r="B128" i="1"/>
  <c r="F127" i="1"/>
  <c r="B127" i="1"/>
  <c r="F126" i="1"/>
  <c r="B126" i="1"/>
  <c r="F125" i="1"/>
  <c r="B125" i="1"/>
  <c r="F124" i="1"/>
  <c r="B124" i="1"/>
  <c r="F123" i="1"/>
  <c r="B123" i="1"/>
  <c r="F122" i="1"/>
  <c r="B122" i="1"/>
  <c r="F121" i="1"/>
  <c r="B121" i="1"/>
  <c r="F120" i="1"/>
  <c r="B120" i="1"/>
  <c r="G119" i="1"/>
  <c r="C119" i="1"/>
  <c r="F118" i="1"/>
  <c r="B118" i="1"/>
  <c r="F117" i="1"/>
  <c r="B117" i="1"/>
  <c r="F116" i="1"/>
  <c r="B116" i="1"/>
  <c r="F115" i="1"/>
  <c r="B115" i="1"/>
  <c r="F114" i="1"/>
  <c r="B114" i="1"/>
  <c r="F113" i="1"/>
  <c r="B113" i="1"/>
  <c r="F112" i="1"/>
  <c r="B112" i="1"/>
  <c r="F111" i="1"/>
  <c r="B111" i="1"/>
  <c r="F110" i="1"/>
  <c r="B110" i="1"/>
  <c r="G109" i="1"/>
  <c r="C109" i="1"/>
  <c r="F108" i="1"/>
  <c r="B108" i="1"/>
  <c r="F107" i="1"/>
  <c r="B107" i="1"/>
  <c r="F106" i="1"/>
  <c r="B106" i="1"/>
  <c r="F105" i="1"/>
  <c r="B105" i="1"/>
  <c r="F104" i="1"/>
  <c r="B104" i="1"/>
  <c r="F103" i="1"/>
  <c r="B103" i="1"/>
  <c r="F102" i="1"/>
  <c r="B102" i="1"/>
  <c r="F101" i="1"/>
  <c r="B101" i="1"/>
  <c r="F100" i="1"/>
  <c r="B100" i="1"/>
  <c r="F99" i="1"/>
  <c r="B99" i="1"/>
  <c r="G98" i="1"/>
  <c r="C98" i="1"/>
  <c r="G97" i="1"/>
  <c r="C97" i="1"/>
  <c r="G96" i="1"/>
  <c r="C96" i="1"/>
  <c r="F95" i="1"/>
  <c r="B95" i="1"/>
  <c r="G94" i="1"/>
  <c r="C94" i="1"/>
  <c r="F93" i="1"/>
  <c r="B93" i="1"/>
  <c r="G92" i="1"/>
  <c r="C92" i="1"/>
  <c r="F91" i="1"/>
  <c r="B91" i="1"/>
  <c r="F90" i="1"/>
  <c r="B90" i="1"/>
  <c r="G89" i="1"/>
  <c r="C89" i="1"/>
  <c r="G88" i="1"/>
  <c r="C88" i="1"/>
  <c r="G87" i="1"/>
  <c r="C87" i="1"/>
  <c r="G86" i="1"/>
  <c r="C86" i="1"/>
  <c r="G85" i="1"/>
  <c r="C85" i="1"/>
  <c r="G84" i="1"/>
  <c r="C84" i="1"/>
  <c r="G83" i="1"/>
  <c r="C83" i="1"/>
  <c r="G82" i="1"/>
  <c r="C82" i="1"/>
  <c r="G81" i="1"/>
  <c r="C81" i="1"/>
  <c r="G80" i="1"/>
  <c r="C80" i="1"/>
  <c r="G79" i="1"/>
  <c r="C79" i="1"/>
  <c r="G78" i="1"/>
  <c r="C78" i="1"/>
  <c r="G77" i="1"/>
  <c r="C77" i="1"/>
  <c r="G76" i="1"/>
  <c r="C76" i="1"/>
  <c r="G75" i="1"/>
  <c r="C75" i="1"/>
  <c r="G74" i="1"/>
  <c r="C74" i="1"/>
  <c r="G73" i="1"/>
  <c r="C73" i="1"/>
  <c r="G72" i="1"/>
  <c r="C72" i="1"/>
  <c r="G71" i="1"/>
  <c r="C71" i="1"/>
  <c r="G70" i="1"/>
  <c r="C70" i="1"/>
  <c r="G69" i="1"/>
  <c r="C69" i="1"/>
  <c r="G68" i="1"/>
  <c r="C68" i="1"/>
  <c r="G67" i="1"/>
  <c r="C67" i="1"/>
  <c r="G66" i="1"/>
  <c r="C66" i="1"/>
  <c r="G65" i="1"/>
  <c r="C65" i="1"/>
  <c r="G64" i="1"/>
  <c r="C64" i="1"/>
  <c r="F63" i="1"/>
  <c r="B63" i="1"/>
  <c r="G62" i="1"/>
  <c r="C62" i="1"/>
  <c r="F61" i="1"/>
  <c r="B61" i="1"/>
  <c r="G60" i="1"/>
  <c r="C60" i="1"/>
  <c r="F59" i="1"/>
  <c r="B59" i="1"/>
  <c r="G58" i="1"/>
  <c r="C58" i="1"/>
  <c r="F57" i="1"/>
  <c r="B57" i="1"/>
  <c r="G56" i="1"/>
  <c r="C56" i="1"/>
  <c r="F55" i="1"/>
  <c r="B55" i="1"/>
  <c r="G54" i="1"/>
  <c r="C54" i="1"/>
  <c r="F53" i="1"/>
  <c r="B53" i="1"/>
  <c r="G52" i="1"/>
  <c r="C52" i="1"/>
  <c r="F51" i="1"/>
  <c r="B51" i="1"/>
  <c r="G50" i="1"/>
  <c r="C50" i="1"/>
  <c r="F49" i="1"/>
  <c r="B49" i="1"/>
  <c r="G48" i="1"/>
  <c r="C48" i="1"/>
  <c r="F47" i="1"/>
  <c r="B47" i="1"/>
  <c r="G46" i="1"/>
  <c r="C46" i="1"/>
  <c r="F45" i="1"/>
  <c r="B45" i="1"/>
  <c r="G44" i="1"/>
  <c r="C44" i="1"/>
  <c r="F43" i="1"/>
  <c r="B43" i="1"/>
  <c r="G42" i="1"/>
  <c r="C42" i="1"/>
  <c r="F41" i="1"/>
  <c r="B41" i="1"/>
  <c r="F40" i="1"/>
  <c r="B40" i="1"/>
  <c r="F39" i="1"/>
  <c r="B39" i="1"/>
  <c r="G38" i="1"/>
  <c r="C38" i="1"/>
  <c r="G37" i="1"/>
  <c r="C37" i="1"/>
  <c r="F36" i="1"/>
  <c r="B36" i="1"/>
  <c r="G35" i="1"/>
  <c r="C35" i="1"/>
  <c r="F34" i="1"/>
  <c r="B34" i="1"/>
  <c r="G33" i="1"/>
  <c r="C33" i="1"/>
  <c r="F32" i="1"/>
  <c r="B32" i="1"/>
  <c r="G31" i="1"/>
  <c r="C31" i="1"/>
  <c r="F30" i="1"/>
  <c r="B30" i="1"/>
  <c r="F29" i="1"/>
  <c r="B29" i="1"/>
  <c r="F28" i="1"/>
  <c r="B28" i="1"/>
  <c r="G27" i="1"/>
  <c r="C27" i="1"/>
  <c r="F26" i="1"/>
  <c r="B26" i="1"/>
  <c r="F25" i="1"/>
  <c r="B25" i="1"/>
  <c r="F24" i="1"/>
  <c r="B24" i="1"/>
  <c r="G23" i="1"/>
  <c r="C23" i="1"/>
  <c r="F22" i="1"/>
  <c r="B22" i="1"/>
  <c r="F21" i="1"/>
  <c r="B21" i="1"/>
  <c r="F20" i="1"/>
  <c r="B20" i="1"/>
  <c r="F19" i="1"/>
  <c r="B19" i="1"/>
  <c r="F18" i="1"/>
  <c r="B18" i="1"/>
  <c r="F17" i="1"/>
  <c r="B17" i="1"/>
  <c r="F16" i="1"/>
  <c r="B16" i="1"/>
  <c r="F15" i="1"/>
  <c r="B15" i="1"/>
  <c r="F14" i="1"/>
  <c r="B14" i="1"/>
  <c r="F13" i="1"/>
  <c r="B13" i="1"/>
  <c r="G12" i="1"/>
  <c r="C12" i="1"/>
  <c r="F11" i="1"/>
  <c r="B11" i="1"/>
  <c r="G10" i="1"/>
  <c r="C10" i="1"/>
  <c r="F9" i="1"/>
  <c r="B9" i="1"/>
  <c r="G8" i="1"/>
  <c r="C8" i="1"/>
  <c r="F7" i="1"/>
  <c r="B7" i="1"/>
  <c r="B176" i="1" s="1"/>
</calcChain>
</file>

<file path=xl/sharedStrings.xml><?xml version="1.0" encoding="utf-8"?>
<sst xmlns="http://schemas.openxmlformats.org/spreadsheetml/2006/main" count="183" uniqueCount="179">
  <si>
    <t>Unadjusted Balance</t>
  </si>
  <si>
    <t>Adjustments</t>
  </si>
  <si>
    <t>Adjusted Balance</t>
  </si>
  <si>
    <t>Debit</t>
  </si>
  <si>
    <t>Credit</t>
  </si>
  <si>
    <t>BB&amp;T-NEW CUSTOMER DEPOSITS (deleted)</t>
  </si>
  <si>
    <t>BB&amp;T-REVENUE ACCOUNT (deleted)</t>
  </si>
  <si>
    <t>BB&amp;T-SEWAGE FUND (deleted)</t>
  </si>
  <si>
    <t>HFB - HOLDING</t>
  </si>
  <si>
    <t>HFB - HOLDING:HFB - CONTINGENCY</t>
  </si>
  <si>
    <t>HFB - HOLDING:HFB - GARBAGE</t>
  </si>
  <si>
    <t>HFB - HOLDING:HFB - SALES TAX</t>
  </si>
  <si>
    <t>HFB - HOLDING:HFB - SCHOOL TAX</t>
  </si>
  <si>
    <t>HFB - HOLDING:HFB - SEWER</t>
  </si>
  <si>
    <t>HFB - HOLDING:HFB - WATER</t>
  </si>
  <si>
    <t>HFB - NEW CUSTOMER</t>
  </si>
  <si>
    <t>HFB - O&amp;M</t>
  </si>
  <si>
    <t>HFB - PAYROLL</t>
  </si>
  <si>
    <t>HFB - PETTY CASH</t>
  </si>
  <si>
    <t>HFB - REVENUE</t>
  </si>
  <si>
    <t>HFB - SEWAGE</t>
  </si>
  <si>
    <t>HFB - SURCHARGE, BOND &amp; INTEREST</t>
  </si>
  <si>
    <t>MBC-BOND &amp; INTEREST ACCOUNT (deleted)</t>
  </si>
  <si>
    <t>MBC-OPERATION &amp; MAINT. FUND (deleted)</t>
  </si>
  <si>
    <t>ACCTS RECEIVABLE-WATER</t>
  </si>
  <si>
    <t>ACCTS RECEIVABLE-WATER:Allow. for Doubtful Accounts</t>
  </si>
  <si>
    <t>Unbilled Accts Receivable</t>
  </si>
  <si>
    <t>DUE FROM SEWER FUND</t>
  </si>
  <si>
    <t>1</t>
  </si>
  <si>
    <t>ACCUMULATED DEPRECIATION</t>
  </si>
  <si>
    <t>BUILDING</t>
  </si>
  <si>
    <t>BUILDING:BUIDLING-ACCUM DEPR</t>
  </si>
  <si>
    <t>DIST.RES. &amp; STANDPIPES</t>
  </si>
  <si>
    <t>DIST.RES. &amp; STANDPIPES:DIST. RES. &amp; STANPIPE-ACC. DEPR</t>
  </si>
  <si>
    <t>FRANCHISE FEES</t>
  </si>
  <si>
    <t>FRANCHISE FEES:FRANCHISE FEES-ACCUM DEPR</t>
  </si>
  <si>
    <t>GREEN HILLS WATER:ACCUM DEPR-GH</t>
  </si>
  <si>
    <t>GREEN HILLS WATER:GH-STRUCTURES</t>
  </si>
  <si>
    <t>LAND &amp; LAND RIGHTS</t>
  </si>
  <si>
    <t>METERS &amp; INSTALLATION</t>
  </si>
  <si>
    <t>METERS &amp; INSTALLATION:METERS &amp; INSTALL.-ACCUM DEPR</t>
  </si>
  <si>
    <t>OFFICE EQUIP.</t>
  </si>
  <si>
    <t>OFFICE EQUIP.:OFFICE EQ. - ACCUM DEPR</t>
  </si>
  <si>
    <t>ORGANIZATIONAL COSTS</t>
  </si>
  <si>
    <t>ORGANIZATIONAL COSTS:ORG. COST-ACCUM DEPR</t>
  </si>
  <si>
    <t>OTHER PLANT EQUIPMENT</t>
  </si>
  <si>
    <t>OTHER PLANT EQUIPMENT:OTHER PLANT EQ-ACCUM DEPR</t>
  </si>
  <si>
    <t>POWER EQUIP.</t>
  </si>
  <si>
    <t>POWER EQUIP.:POWER EQ.-ACCUM DEPR</t>
  </si>
  <si>
    <t>PUMPING EQUIPMENT</t>
  </si>
  <si>
    <t>PUMPING EQUIPMENT:PUMPING EQ-ACCUM DEPR</t>
  </si>
  <si>
    <t>TELEMETRY</t>
  </si>
  <si>
    <t>TELEMETRY:ACCUM DEPR-TELEMETRY</t>
  </si>
  <si>
    <t>TRANS &amp; DIST. MAINS</t>
  </si>
  <si>
    <t>TRANS &amp; DIST. MAINS:TRANS &amp; DIST MAINS-ACCUM DEPR</t>
  </si>
  <si>
    <t>VEHICLES</t>
  </si>
  <si>
    <t>VEHICLES:VEHICLES-ACCUM DEPR</t>
  </si>
  <si>
    <t>WALLINS WATER SYSTEM</t>
  </si>
  <si>
    <t>WALLINS WATER SYSTEM:WALLINS-ACCUM DEPR.</t>
  </si>
  <si>
    <t>WATER TRATMENT EQUIP.</t>
  </si>
  <si>
    <t>WATER TRATMENT EQUIP.:WATER TREATMENT EQ-ACCUM DEPR</t>
  </si>
  <si>
    <t>WELLS &amp; SPRINGS</t>
  </si>
  <si>
    <t>WELLS &amp; SPRINGS:WELLS &amp; SPRINGS-ACCUM DEPR</t>
  </si>
  <si>
    <t>ACCOUNTS PAYABLE</t>
  </si>
  <si>
    <t>COLLECTIONS PAYABLE:DUE TO CITY OF HARLAN SEWER</t>
  </si>
  <si>
    <t>COLLECTIONS PAYABLE:HARLAN COUNTY GARBAGE</t>
  </si>
  <si>
    <t>CUSTOMER DEPOSITS</t>
  </si>
  <si>
    <t>GARNISHMENT PAYABLE</t>
  </si>
  <si>
    <t>INSURANCE PAYABLE</t>
  </si>
  <si>
    <t>PAYROLL TAX PAYABLES:KY W/H PAYABLE</t>
  </si>
  <si>
    <t>TAXES PAYABLE:HARLAN COUNTY SCH TAX PAYABLE</t>
  </si>
  <si>
    <t>TAXES PAYABLE:KY SALES TAX PAYABLE</t>
  </si>
  <si>
    <t>LONG TERM NOTES PAYABLE:LONG TERM BONDS PAYABLE</t>
  </si>
  <si>
    <t>LONG TERM NOTES PAYABLE:NOTE PAYBALE-KIA</t>
  </si>
  <si>
    <t>LONG TERM NOTES PAYABLE:NP-KIA 2010</t>
  </si>
  <si>
    <t>NP-BOH LINE OF CREDIT</t>
  </si>
  <si>
    <t>CONTRIBUTIONS - IN - AID:CONT-IN-AID--COUNTY</t>
  </si>
  <si>
    <t>CONTRIBUTIONS - IN - AID:CONT-IN-AID--KIA 2011</t>
  </si>
  <si>
    <t>CONTRIBUTIONS - IN - AID:CONT-IN-AID-Other</t>
  </si>
  <si>
    <t>CONTRIBUTIONS - IN - AID:CONT-IN-AID/RUD GRANTS</t>
  </si>
  <si>
    <t>CONTRIBUTIONS - IN - AID:CONT.- IN-AID/ PSC AUDIT</t>
  </si>
  <si>
    <t>CONTRIBUTIONS - IN - AID:CONT.-IN-AID--CDBG FUNDS</t>
  </si>
  <si>
    <t>CONTRIBUTIONS - IN - AID:CONY-IN-AID--ARC FUNDS</t>
  </si>
  <si>
    <t>CONTRIBUTIONS - IN - AID:CUST-TAP-FEES</t>
  </si>
  <si>
    <t>CONTRIBUTIONS - IN - AID:Grants-Coal Sev.</t>
  </si>
  <si>
    <t>CONTRIBUTIONS - IN - AID:Grants-County</t>
  </si>
  <si>
    <t>CONTRIBUTIONS - IN - AID:GREEN HILLS WATER DIST</t>
  </si>
  <si>
    <t>Opening Bal Equity</t>
  </si>
  <si>
    <t>Retained Earnings</t>
  </si>
  <si>
    <t>Sales</t>
  </si>
  <si>
    <t>Uncategorized Income</t>
  </si>
  <si>
    <t>WATER NSF - RETURNS</t>
  </si>
  <si>
    <t>WATER SALES:PENALTY</t>
  </si>
  <si>
    <t>WATER SALES:WATER ADJUSTMENTS</t>
  </si>
  <si>
    <t>WATER SALES:WATER SALES-COMM</t>
  </si>
  <si>
    <t>WATER SALES:WATER SALES-GOVT.</t>
  </si>
  <si>
    <t>WATER SALES:WATER SALES-RESIDENTIAL</t>
  </si>
  <si>
    <t>ADVERTISING</t>
  </si>
  <si>
    <t>BAD DEBTS</t>
  </si>
  <si>
    <t>BANK SERVICE CHARGES</t>
  </si>
  <si>
    <t>COMPUTER SUPPORT</t>
  </si>
  <si>
    <t>DUES AND SUBSCRIPTIONS</t>
  </si>
  <si>
    <t>EASEMENTS</t>
  </si>
  <si>
    <t>EMPLOYEE UNIFORMS</t>
  </si>
  <si>
    <t>INSURANCE</t>
  </si>
  <si>
    <t>INSURANCE:PROPERTY &amp; LIABILITY INS.</t>
  </si>
  <si>
    <t>INSURANCE:WORKER'S COMP. INS.</t>
  </si>
  <si>
    <t>INTEREST</t>
  </si>
  <si>
    <t>INTEREST:BOH-LOC</t>
  </si>
  <si>
    <t>INTEREST:CUSTOMER DEPOSIT INTEREST</t>
  </si>
  <si>
    <t>INTEREST:INT. EXP-KIA-2010</t>
  </si>
  <si>
    <t>INTEREST:KIA INTEREST EXPENSE</t>
  </si>
  <si>
    <t>INTEREST:LONG TERM BOND INTEREST</t>
  </si>
  <si>
    <t>LATE FEES</t>
  </si>
  <si>
    <t>LICENSES AND PERMITS</t>
  </si>
  <si>
    <t>OFFICE SUPPLIES</t>
  </si>
  <si>
    <t>POSTAGE AND DELIVERY</t>
  </si>
  <si>
    <t>PROFESSIONAL FEES</t>
  </si>
  <si>
    <t>PROFESSIONAL FEES:ACCOUNTING</t>
  </si>
  <si>
    <t>PROFESSIONAL FEES:LEGAL FEES</t>
  </si>
  <si>
    <t>PROMTIONAL EXPENSE</t>
  </si>
  <si>
    <t>PSC FILING EXPENSE</t>
  </si>
  <si>
    <t>PURCHASED WATER</t>
  </si>
  <si>
    <t>RADIO COMMUNICATION EXP.</t>
  </si>
  <si>
    <t>REPAIRS</t>
  </si>
  <si>
    <t>REPAIRS:BUILDING REPAIRS</t>
  </si>
  <si>
    <t>REPAIRS:COMPUTER REPAIRS</t>
  </si>
  <si>
    <t>REPAIRS:EQUIPMENT REPAIRS</t>
  </si>
  <si>
    <t>REPAIRS:METER REPAIRS</t>
  </si>
  <si>
    <t>REPAIRS:VEH. MAINT</t>
  </si>
  <si>
    <t>SAMPLES</t>
  </si>
  <si>
    <t>SECURITY MONITORING</t>
  </si>
  <si>
    <t>SOFTWARE</t>
  </si>
  <si>
    <t>SUPPLIES</t>
  </si>
  <si>
    <t>SUPPLIES:OFFICE</t>
  </si>
  <si>
    <t>SUPPLIES:OFFICE CLEANING SUPPLIES</t>
  </si>
  <si>
    <t>SUPPLIES:OPERATING SUPPLIES</t>
  </si>
  <si>
    <t>TELEPHONE</t>
  </si>
  <si>
    <t>TRAINING &amp; TRAVEL EXPENSE</t>
  </si>
  <si>
    <t>UTILITIES</t>
  </si>
  <si>
    <t>UTILITIES:ELECTRIC</t>
  </si>
  <si>
    <t>UTILITIES:OTHER UTILITIES</t>
  </si>
  <si>
    <t>UTILITIES:WATER</t>
  </si>
  <si>
    <t>VEHICLE FUEL &amp; MAINT.</t>
  </si>
  <si>
    <t>VEHICLE LEASE</t>
  </si>
  <si>
    <t>WAGES</t>
  </si>
  <si>
    <t>WAGES:GROSS WAGE</t>
  </si>
  <si>
    <t>WAGES:GROSS WAGE:BONUS</t>
  </si>
  <si>
    <t>WAGES:GROSS WAGE:COVID WAGES</t>
  </si>
  <si>
    <t>WAGES:GROSS WAGE:GROSS WAGES</t>
  </si>
  <si>
    <t>WAGES:GROSS WAGE:HOLIDAY WAGES</t>
  </si>
  <si>
    <t>WAGES:GROSS WAGE:OT WAGES</t>
  </si>
  <si>
    <t>WAGES:GROSS WAGE:SICK WAGES</t>
  </si>
  <si>
    <t>WAGES:GROSS WAGE:VACATION WAGES</t>
  </si>
  <si>
    <t>WAGES:HEALTH INSURANCE</t>
  </si>
  <si>
    <t>WAGES:PAYROLL TAX EXPENSE</t>
  </si>
  <si>
    <t>WAGES:PAYROLL TAX EXPENSE:FICA/MED</t>
  </si>
  <si>
    <t>WAGES:RETIREMENT EXP (MATCH)</t>
  </si>
  <si>
    <t>WAGES:SALARIES &amp; WAGES</t>
  </si>
  <si>
    <t>WAGES:SALARIES &amp; WAGES:SALARIES-MAINTENANCE</t>
  </si>
  <si>
    <t>WAGES:SALARIES &amp; WAGES:SALARIES-OFFICE</t>
  </si>
  <si>
    <t>WATER ANALYSIS</t>
  </si>
  <si>
    <t>COLLECTION FEE-SEWER</t>
  </si>
  <si>
    <t>COLLECTION FEES</t>
  </si>
  <si>
    <t>CONSUMER FEES</t>
  </si>
  <si>
    <t>INT INCOME-OTHER</t>
  </si>
  <si>
    <t>INTEREST INCOME</t>
  </si>
  <si>
    <t>LATE CHARGE FEES</t>
  </si>
  <si>
    <t>OTHER INCOME</t>
  </si>
  <si>
    <t>PAYMENT FROM COUNTY</t>
  </si>
  <si>
    <t>SURCHARGE INCOME</t>
  </si>
  <si>
    <t>Uncategorized Income - Sewage</t>
  </si>
  <si>
    <t>Depreciation Expense</t>
  </si>
  <si>
    <t>Reconciliation Discrepancies</t>
  </si>
  <si>
    <t>TOTAL</t>
  </si>
  <si>
    <t>Monday, Oct 03, 2022 07:45:39 AM GMT-7 - Accrual Basis</t>
  </si>
  <si>
    <t>BLACK MOUNTAIN UTILITY DISTRICT</t>
  </si>
  <si>
    <t>Adjusted Trial Balance</t>
  </si>
  <si>
    <t>As of December 31,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</si>
</sst>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&quot;$&quot;* #,##0.00\ _€"/>
  </numFmts>
  <fonts count="6" x14ac:knownFonts="1">
    <font>
      <sz val="11"/>
      <color indexed="8"/>
      <name val="Calibri"/>
      <family val="2"/>
      <scheme val="minor"/>
    </font>
    <font>
      <b/>
      <sz val="9"/>
      <color indexed="8"/>
      <name val="Arial"/>
    </font>
    <font>
      <b/>
      <sz val="8"/>
      <color indexed="8"/>
      <name val="Arial"/>
    </font>
    <font>
      <sz val="8"/>
      <color indexed="8"/>
      <name val="Arial"/>
    </font>
    <font>
      <b/>
      <sz val="14"/>
      <color indexed="8"/>
      <name val="Arial"/>
    </font>
    <font>
      <b/>
      <sz val="10"/>
      <color indexed="8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164" fontId="3" fillId="0" borderId="0" xfId="0" applyNumberFormat="1" applyFont="1" applyAlignment="1">
      <alignment horizontal="right" wrapText="1"/>
    </xf>
    <xf numFmtId="164" fontId="3" fillId="0" borderId="0" xfId="0" applyNumberFormat="1" applyFont="1" applyAlignment="1">
      <alignment wrapText="1"/>
    </xf>
    <xf numFmtId="165" fontId="2" fillId="0" borderId="2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0"/>
  <sheetViews>
    <sheetView tabSelected="1" topLeftCell="A165" workbookViewId="0">
      <selection sqref="A1:G1"/>
    </sheetView>
  </sheetViews>
  <sheetFormatPr defaultRowHeight="14.25" x14ac:dyDescent="0.45"/>
  <cols>
    <col min="1" max="1" width="47.265625" customWidth="1"/>
    <col min="2" max="3" width="12.86328125" customWidth="1"/>
    <col min="4" max="5" width="7.73046875" customWidth="1"/>
    <col min="6" max="7" width="12.86328125" customWidth="1"/>
  </cols>
  <sheetData>
    <row r="1" spans="1:7" ht="17.649999999999999" x14ac:dyDescent="0.5">
      <c r="A1" s="11" t="s">
        <v>176</v>
      </c>
      <c r="B1" s="10"/>
      <c r="C1" s="10"/>
      <c r="D1" s="10"/>
      <c r="E1" s="10"/>
      <c r="F1" s="10"/>
      <c r="G1" s="10"/>
    </row>
    <row r="2" spans="1:7" ht="17.649999999999999" x14ac:dyDescent="0.5">
      <c r="A2" s="11" t="s">
        <v>177</v>
      </c>
      <c r="B2" s="10"/>
      <c r="C2" s="10"/>
      <c r="D2" s="10"/>
      <c r="E2" s="10"/>
      <c r="F2" s="10"/>
      <c r="G2" s="10"/>
    </row>
    <row r="3" spans="1:7" x14ac:dyDescent="0.45">
      <c r="A3" s="12" t="s">
        <v>178</v>
      </c>
      <c r="B3" s="10"/>
      <c r="C3" s="10"/>
      <c r="D3" s="10"/>
      <c r="E3" s="10"/>
      <c r="F3" s="10"/>
      <c r="G3" s="10"/>
    </row>
    <row r="5" spans="1:7" x14ac:dyDescent="0.45">
      <c r="A5" s="1"/>
      <c r="B5" s="7" t="s">
        <v>0</v>
      </c>
      <c r="C5" s="8"/>
      <c r="D5" s="7" t="s">
        <v>1</v>
      </c>
      <c r="E5" s="8"/>
      <c r="F5" s="7" t="s">
        <v>2</v>
      </c>
      <c r="G5" s="8"/>
    </row>
    <row r="6" spans="1:7" x14ac:dyDescent="0.45">
      <c r="A6" s="1"/>
      <c r="B6" s="2" t="s">
        <v>3</v>
      </c>
      <c r="C6" s="2" t="s">
        <v>4</v>
      </c>
      <c r="D6" s="2" t="s">
        <v>3</v>
      </c>
      <c r="E6" s="2" t="s">
        <v>4</v>
      </c>
      <c r="F6" s="2" t="s">
        <v>3</v>
      </c>
      <c r="G6" s="2" t="s">
        <v>4</v>
      </c>
    </row>
    <row r="7" spans="1:7" x14ac:dyDescent="0.45">
      <c r="A7" s="3" t="s">
        <v>5</v>
      </c>
      <c r="B7" s="4">
        <f>32670.46</f>
        <v>32670.46</v>
      </c>
      <c r="C7" s="5"/>
      <c r="D7" s="5"/>
      <c r="E7" s="5"/>
      <c r="F7" s="4">
        <f>32670.46</f>
        <v>32670.46</v>
      </c>
      <c r="G7" s="5"/>
    </row>
    <row r="8" spans="1:7" x14ac:dyDescent="0.45">
      <c r="A8" s="3" t="s">
        <v>6</v>
      </c>
      <c r="B8" s="5"/>
      <c r="C8" s="4">
        <f>29.43</f>
        <v>29.43</v>
      </c>
      <c r="D8" s="5"/>
      <c r="E8" s="5"/>
      <c r="F8" s="5"/>
      <c r="G8" s="4">
        <f>29.43</f>
        <v>29.43</v>
      </c>
    </row>
    <row r="9" spans="1:7" x14ac:dyDescent="0.45">
      <c r="A9" s="3" t="s">
        <v>7</v>
      </c>
      <c r="B9" s="4">
        <f>2904.58</f>
        <v>2904.58</v>
      </c>
      <c r="C9" s="5"/>
      <c r="D9" s="5"/>
      <c r="E9" s="5"/>
      <c r="F9" s="4">
        <f>2904.58</f>
        <v>2904.58</v>
      </c>
      <c r="G9" s="5"/>
    </row>
    <row r="10" spans="1:7" x14ac:dyDescent="0.45">
      <c r="A10" s="3" t="s">
        <v>8</v>
      </c>
      <c r="B10" s="5"/>
      <c r="C10" s="4">
        <f>25.36</f>
        <v>25.36</v>
      </c>
      <c r="D10" s="5"/>
      <c r="E10" s="5"/>
      <c r="F10" s="5"/>
      <c r="G10" s="4">
        <f>25.36</f>
        <v>25.36</v>
      </c>
    </row>
    <row r="11" spans="1:7" x14ac:dyDescent="0.45">
      <c r="A11" s="3" t="s">
        <v>9</v>
      </c>
      <c r="B11" s="4">
        <f>50000</f>
        <v>50000</v>
      </c>
      <c r="C11" s="5"/>
      <c r="D11" s="5"/>
      <c r="E11" s="5"/>
      <c r="F11" s="4">
        <f>50000</f>
        <v>50000</v>
      </c>
      <c r="G11" s="5"/>
    </row>
    <row r="12" spans="1:7" x14ac:dyDescent="0.45">
      <c r="A12" s="3" t="s">
        <v>10</v>
      </c>
      <c r="B12" s="5"/>
      <c r="C12" s="4">
        <f>7636.45</f>
        <v>7636.45</v>
      </c>
      <c r="D12" s="5"/>
      <c r="E12" s="5"/>
      <c r="F12" s="5"/>
      <c r="G12" s="4">
        <f>7636.45</f>
        <v>7636.45</v>
      </c>
    </row>
    <row r="13" spans="1:7" x14ac:dyDescent="0.45">
      <c r="A13" s="3" t="s">
        <v>11</v>
      </c>
      <c r="B13" s="4">
        <f>749.42</f>
        <v>749.42</v>
      </c>
      <c r="C13" s="5"/>
      <c r="D13" s="5"/>
      <c r="E13" s="5"/>
      <c r="F13" s="4">
        <f>749.42</f>
        <v>749.42</v>
      </c>
      <c r="G13" s="5"/>
    </row>
    <row r="14" spans="1:7" x14ac:dyDescent="0.45">
      <c r="A14" s="3" t="s">
        <v>12</v>
      </c>
      <c r="B14" s="4">
        <f>4305.2</f>
        <v>4305.2</v>
      </c>
      <c r="C14" s="5"/>
      <c r="D14" s="5"/>
      <c r="E14" s="5"/>
      <c r="F14" s="4">
        <f>4305.2</f>
        <v>4305.2</v>
      </c>
      <c r="G14" s="5"/>
    </row>
    <row r="15" spans="1:7" x14ac:dyDescent="0.45">
      <c r="A15" s="3" t="s">
        <v>13</v>
      </c>
      <c r="B15" s="4">
        <f>15872.36</f>
        <v>15872.36</v>
      </c>
      <c r="C15" s="5"/>
      <c r="D15" s="5"/>
      <c r="E15" s="5"/>
      <c r="F15" s="4">
        <f>15872.36</f>
        <v>15872.36</v>
      </c>
      <c r="G15" s="5"/>
    </row>
    <row r="16" spans="1:7" x14ac:dyDescent="0.45">
      <c r="A16" s="3" t="s">
        <v>14</v>
      </c>
      <c r="B16" s="4">
        <f>66965.38</f>
        <v>66965.38</v>
      </c>
      <c r="C16" s="5"/>
      <c r="D16" s="5"/>
      <c r="E16" s="5"/>
      <c r="F16" s="4">
        <f>66965.38</f>
        <v>66965.38</v>
      </c>
      <c r="G16" s="5"/>
    </row>
    <row r="17" spans="1:7" x14ac:dyDescent="0.45">
      <c r="A17" s="3" t="s">
        <v>15</v>
      </c>
      <c r="B17" s="4">
        <f>20781.33</f>
        <v>20781.330000000002</v>
      </c>
      <c r="C17" s="5"/>
      <c r="D17" s="5"/>
      <c r="E17" s="5"/>
      <c r="F17" s="4">
        <f>20781.33</f>
        <v>20781.330000000002</v>
      </c>
      <c r="G17" s="5"/>
    </row>
    <row r="18" spans="1:7" x14ac:dyDescent="0.45">
      <c r="A18" s="3" t="s">
        <v>16</v>
      </c>
      <c r="B18" s="4">
        <f>2138.9</f>
        <v>2138.9</v>
      </c>
      <c r="C18" s="5"/>
      <c r="D18" s="5"/>
      <c r="E18" s="5"/>
      <c r="F18" s="4">
        <f>2138.9</f>
        <v>2138.9</v>
      </c>
      <c r="G18" s="5"/>
    </row>
    <row r="19" spans="1:7" x14ac:dyDescent="0.45">
      <c r="A19" s="3" t="s">
        <v>17</v>
      </c>
      <c r="B19" s="4">
        <f>10377.78</f>
        <v>10377.780000000001</v>
      </c>
      <c r="C19" s="5"/>
      <c r="D19" s="5"/>
      <c r="E19" s="5"/>
      <c r="F19" s="4">
        <f>10377.78</f>
        <v>10377.780000000001</v>
      </c>
      <c r="G19" s="5"/>
    </row>
    <row r="20" spans="1:7" x14ac:dyDescent="0.45">
      <c r="A20" s="3" t="s">
        <v>18</v>
      </c>
      <c r="B20" s="4">
        <f>986.65</f>
        <v>986.65</v>
      </c>
      <c r="C20" s="5"/>
      <c r="D20" s="5"/>
      <c r="E20" s="5"/>
      <c r="F20" s="4">
        <f>986.65</f>
        <v>986.65</v>
      </c>
      <c r="G20" s="5"/>
    </row>
    <row r="21" spans="1:7" x14ac:dyDescent="0.45">
      <c r="A21" s="3" t="s">
        <v>19</v>
      </c>
      <c r="B21" s="4">
        <f>11205.3</f>
        <v>11205.3</v>
      </c>
      <c r="C21" s="5"/>
      <c r="D21" s="5"/>
      <c r="E21" s="5"/>
      <c r="F21" s="4">
        <f>11205.3</f>
        <v>11205.3</v>
      </c>
      <c r="G21" s="5"/>
    </row>
    <row r="22" spans="1:7" x14ac:dyDescent="0.45">
      <c r="A22" s="3" t="s">
        <v>20</v>
      </c>
      <c r="B22" s="4">
        <f>42.05</f>
        <v>42.05</v>
      </c>
      <c r="C22" s="5"/>
      <c r="D22" s="5"/>
      <c r="E22" s="5"/>
      <c r="F22" s="4">
        <f>42.05</f>
        <v>42.05</v>
      </c>
      <c r="G22" s="5"/>
    </row>
    <row r="23" spans="1:7" x14ac:dyDescent="0.45">
      <c r="A23" s="3" t="s">
        <v>21</v>
      </c>
      <c r="B23" s="5"/>
      <c r="C23" s="4">
        <f>6390.11</f>
        <v>6390.11</v>
      </c>
      <c r="D23" s="5"/>
      <c r="E23" s="5"/>
      <c r="F23" s="5"/>
      <c r="G23" s="4">
        <f>6390.11</f>
        <v>6390.11</v>
      </c>
    </row>
    <row r="24" spans="1:7" x14ac:dyDescent="0.45">
      <c r="A24" s="3" t="s">
        <v>22</v>
      </c>
      <c r="B24" s="4">
        <f>4497.21</f>
        <v>4497.21</v>
      </c>
      <c r="C24" s="5"/>
      <c r="D24" s="5"/>
      <c r="E24" s="5"/>
      <c r="F24" s="4">
        <f>4497.21</f>
        <v>4497.21</v>
      </c>
      <c r="G24" s="5"/>
    </row>
    <row r="25" spans="1:7" x14ac:dyDescent="0.45">
      <c r="A25" s="3" t="s">
        <v>23</v>
      </c>
      <c r="B25" s="4">
        <f>20.48</f>
        <v>20.48</v>
      </c>
      <c r="C25" s="5"/>
      <c r="D25" s="5"/>
      <c r="E25" s="5"/>
      <c r="F25" s="4">
        <f>20.48</f>
        <v>20.48</v>
      </c>
      <c r="G25" s="5"/>
    </row>
    <row r="26" spans="1:7" x14ac:dyDescent="0.45">
      <c r="A26" s="3" t="s">
        <v>24</v>
      </c>
      <c r="B26" s="4">
        <f>111167.9</f>
        <v>111167.9</v>
      </c>
      <c r="C26" s="5"/>
      <c r="D26" s="5"/>
      <c r="E26" s="5"/>
      <c r="F26" s="4">
        <f>111167.9</f>
        <v>111167.9</v>
      </c>
      <c r="G26" s="5"/>
    </row>
    <row r="27" spans="1:7" x14ac:dyDescent="0.45">
      <c r="A27" s="3" t="s">
        <v>25</v>
      </c>
      <c r="B27" s="5"/>
      <c r="C27" s="4">
        <f>64000</f>
        <v>64000</v>
      </c>
      <c r="D27" s="5"/>
      <c r="E27" s="5"/>
      <c r="F27" s="5"/>
      <c r="G27" s="4">
        <f>64000</f>
        <v>64000</v>
      </c>
    </row>
    <row r="28" spans="1:7" x14ac:dyDescent="0.45">
      <c r="A28" s="3" t="s">
        <v>26</v>
      </c>
      <c r="B28" s="4">
        <f>83000</f>
        <v>83000</v>
      </c>
      <c r="C28" s="5"/>
      <c r="D28" s="5"/>
      <c r="E28" s="5"/>
      <c r="F28" s="4">
        <f>83000</f>
        <v>83000</v>
      </c>
      <c r="G28" s="5"/>
    </row>
    <row r="29" spans="1:7" x14ac:dyDescent="0.45">
      <c r="A29" s="3" t="s">
        <v>27</v>
      </c>
      <c r="B29" s="4">
        <f>132251.64</f>
        <v>132251.64000000001</v>
      </c>
      <c r="C29" s="5"/>
      <c r="D29" s="5"/>
      <c r="E29" s="5"/>
      <c r="F29" s="4">
        <f>132251.64</f>
        <v>132251.64000000001</v>
      </c>
      <c r="G29" s="5"/>
    </row>
    <row r="30" spans="1:7" x14ac:dyDescent="0.45">
      <c r="A30" s="3" t="s">
        <v>28</v>
      </c>
      <c r="B30" s="4">
        <f>44760.43</f>
        <v>44760.43</v>
      </c>
      <c r="C30" s="5"/>
      <c r="D30" s="5"/>
      <c r="E30" s="5"/>
      <c r="F30" s="4">
        <f>44760.43</f>
        <v>44760.43</v>
      </c>
      <c r="G30" s="5"/>
    </row>
    <row r="31" spans="1:7" x14ac:dyDescent="0.45">
      <c r="A31" s="3" t="s">
        <v>29</v>
      </c>
      <c r="B31" s="5"/>
      <c r="C31" s="4">
        <f>492713</f>
        <v>492713</v>
      </c>
      <c r="D31" s="5"/>
      <c r="E31" s="5"/>
      <c r="F31" s="5"/>
      <c r="G31" s="4">
        <f>492713</f>
        <v>492713</v>
      </c>
    </row>
    <row r="32" spans="1:7" x14ac:dyDescent="0.45">
      <c r="A32" s="3" t="s">
        <v>30</v>
      </c>
      <c r="B32" s="4">
        <f>165068.43</f>
        <v>165068.43</v>
      </c>
      <c r="C32" s="5"/>
      <c r="D32" s="5"/>
      <c r="E32" s="5"/>
      <c r="F32" s="4">
        <f>165068.43</f>
        <v>165068.43</v>
      </c>
      <c r="G32" s="5"/>
    </row>
    <row r="33" spans="1:7" x14ac:dyDescent="0.45">
      <c r="A33" s="3" t="s">
        <v>31</v>
      </c>
      <c r="B33" s="5"/>
      <c r="C33" s="4">
        <f>93780.39</f>
        <v>93780.39</v>
      </c>
      <c r="D33" s="5"/>
      <c r="E33" s="5"/>
      <c r="F33" s="5"/>
      <c r="G33" s="4">
        <f>93780.39</f>
        <v>93780.39</v>
      </c>
    </row>
    <row r="34" spans="1:7" x14ac:dyDescent="0.45">
      <c r="A34" s="3" t="s">
        <v>32</v>
      </c>
      <c r="B34" s="4">
        <f>2263361.52</f>
        <v>2263361.52</v>
      </c>
      <c r="C34" s="5"/>
      <c r="D34" s="5"/>
      <c r="E34" s="5"/>
      <c r="F34" s="4">
        <f>2263361.52</f>
        <v>2263361.52</v>
      </c>
      <c r="G34" s="5"/>
    </row>
    <row r="35" spans="1:7" x14ac:dyDescent="0.45">
      <c r="A35" s="3" t="s">
        <v>33</v>
      </c>
      <c r="B35" s="5"/>
      <c r="C35" s="4">
        <f>912633.62</f>
        <v>912633.62</v>
      </c>
      <c r="D35" s="5"/>
      <c r="E35" s="5"/>
      <c r="F35" s="5"/>
      <c r="G35" s="4">
        <f>912633.62</f>
        <v>912633.62</v>
      </c>
    </row>
    <row r="36" spans="1:7" x14ac:dyDescent="0.45">
      <c r="A36" s="3" t="s">
        <v>34</v>
      </c>
      <c r="B36" s="4">
        <f>840</f>
        <v>840</v>
      </c>
      <c r="C36" s="5"/>
      <c r="D36" s="5"/>
      <c r="E36" s="5"/>
      <c r="F36" s="4">
        <f>840</f>
        <v>840</v>
      </c>
      <c r="G36" s="5"/>
    </row>
    <row r="37" spans="1:7" x14ac:dyDescent="0.45">
      <c r="A37" s="3" t="s">
        <v>35</v>
      </c>
      <c r="B37" s="5"/>
      <c r="C37" s="4">
        <f>763.61</f>
        <v>763.61</v>
      </c>
      <c r="D37" s="5"/>
      <c r="E37" s="5"/>
      <c r="F37" s="5"/>
      <c r="G37" s="4">
        <f>763.61</f>
        <v>763.61</v>
      </c>
    </row>
    <row r="38" spans="1:7" x14ac:dyDescent="0.45">
      <c r="A38" s="3" t="s">
        <v>36</v>
      </c>
      <c r="B38" s="5"/>
      <c r="C38" s="4">
        <f>29150</f>
        <v>29150</v>
      </c>
      <c r="D38" s="5"/>
      <c r="E38" s="5"/>
      <c r="F38" s="5"/>
      <c r="G38" s="4">
        <f>29150</f>
        <v>29150</v>
      </c>
    </row>
    <row r="39" spans="1:7" x14ac:dyDescent="0.45">
      <c r="A39" s="3" t="s">
        <v>37</v>
      </c>
      <c r="B39" s="4">
        <f>89220</f>
        <v>89220</v>
      </c>
      <c r="C39" s="5"/>
      <c r="D39" s="5"/>
      <c r="E39" s="5"/>
      <c r="F39" s="4">
        <f>89220</f>
        <v>89220</v>
      </c>
      <c r="G39" s="5"/>
    </row>
    <row r="40" spans="1:7" x14ac:dyDescent="0.45">
      <c r="A40" s="3" t="s">
        <v>38</v>
      </c>
      <c r="B40" s="4">
        <f>44112</f>
        <v>44112</v>
      </c>
      <c r="C40" s="5"/>
      <c r="D40" s="5"/>
      <c r="E40" s="5"/>
      <c r="F40" s="4">
        <f>44112</f>
        <v>44112</v>
      </c>
      <c r="G40" s="5"/>
    </row>
    <row r="41" spans="1:7" x14ac:dyDescent="0.45">
      <c r="A41" s="3" t="s">
        <v>39</v>
      </c>
      <c r="B41" s="4">
        <f>645801.81</f>
        <v>645801.81000000006</v>
      </c>
      <c r="C41" s="5"/>
      <c r="D41" s="5"/>
      <c r="E41" s="5"/>
      <c r="F41" s="4">
        <f>645801.81</f>
        <v>645801.81000000006</v>
      </c>
      <c r="G41" s="5"/>
    </row>
    <row r="42" spans="1:7" x14ac:dyDescent="0.45">
      <c r="A42" s="3" t="s">
        <v>40</v>
      </c>
      <c r="B42" s="5"/>
      <c r="C42" s="4">
        <f>194926</f>
        <v>194926</v>
      </c>
      <c r="D42" s="5"/>
      <c r="E42" s="5"/>
      <c r="F42" s="5"/>
      <c r="G42" s="4">
        <f>194926</f>
        <v>194926</v>
      </c>
    </row>
    <row r="43" spans="1:7" x14ac:dyDescent="0.45">
      <c r="A43" s="3" t="s">
        <v>41</v>
      </c>
      <c r="B43" s="4">
        <f>60131.25</f>
        <v>60131.25</v>
      </c>
      <c r="C43" s="5"/>
      <c r="D43" s="5"/>
      <c r="E43" s="5"/>
      <c r="F43" s="4">
        <f>60131.25</f>
        <v>60131.25</v>
      </c>
      <c r="G43" s="5"/>
    </row>
    <row r="44" spans="1:7" x14ac:dyDescent="0.45">
      <c r="A44" s="3" t="s">
        <v>42</v>
      </c>
      <c r="B44" s="5"/>
      <c r="C44" s="4">
        <f>54123.65</f>
        <v>54123.65</v>
      </c>
      <c r="D44" s="5"/>
      <c r="E44" s="5"/>
      <c r="F44" s="5"/>
      <c r="G44" s="4">
        <f>54123.65</f>
        <v>54123.65</v>
      </c>
    </row>
    <row r="45" spans="1:7" x14ac:dyDescent="0.45">
      <c r="A45" s="3" t="s">
        <v>43</v>
      </c>
      <c r="B45" s="4">
        <f>1597</f>
        <v>1597</v>
      </c>
      <c r="C45" s="5"/>
      <c r="D45" s="5"/>
      <c r="E45" s="5"/>
      <c r="F45" s="4">
        <f>1597</f>
        <v>1597</v>
      </c>
      <c r="G45" s="5"/>
    </row>
    <row r="46" spans="1:7" x14ac:dyDescent="0.45">
      <c r="A46" s="3" t="s">
        <v>44</v>
      </c>
      <c r="B46" s="5"/>
      <c r="C46" s="4">
        <f>1449.94</f>
        <v>1449.94</v>
      </c>
      <c r="D46" s="5"/>
      <c r="E46" s="5"/>
      <c r="F46" s="5"/>
      <c r="G46" s="4">
        <f>1449.94</f>
        <v>1449.94</v>
      </c>
    </row>
    <row r="47" spans="1:7" x14ac:dyDescent="0.45">
      <c r="A47" s="3" t="s">
        <v>45</v>
      </c>
      <c r="B47" s="4">
        <f>49271.46</f>
        <v>49271.46</v>
      </c>
      <c r="C47" s="5"/>
      <c r="D47" s="5"/>
      <c r="E47" s="5"/>
      <c r="F47" s="4">
        <f>49271.46</f>
        <v>49271.46</v>
      </c>
      <c r="G47" s="5"/>
    </row>
    <row r="48" spans="1:7" x14ac:dyDescent="0.45">
      <c r="A48" s="3" t="s">
        <v>46</v>
      </c>
      <c r="B48" s="5"/>
      <c r="C48" s="4">
        <f>38878.66</f>
        <v>38878.660000000003</v>
      </c>
      <c r="D48" s="5"/>
      <c r="E48" s="5"/>
      <c r="F48" s="5"/>
      <c r="G48" s="4">
        <f>38878.66</f>
        <v>38878.660000000003</v>
      </c>
    </row>
    <row r="49" spans="1:7" x14ac:dyDescent="0.45">
      <c r="A49" s="3" t="s">
        <v>47</v>
      </c>
      <c r="B49" s="4">
        <f>83172.42</f>
        <v>83172.42</v>
      </c>
      <c r="C49" s="5"/>
      <c r="D49" s="5"/>
      <c r="E49" s="5"/>
      <c r="F49" s="4">
        <f>83172.42</f>
        <v>83172.42</v>
      </c>
      <c r="G49" s="5"/>
    </row>
    <row r="50" spans="1:7" x14ac:dyDescent="0.45">
      <c r="A50" s="3" t="s">
        <v>48</v>
      </c>
      <c r="B50" s="5"/>
      <c r="C50" s="4">
        <f>79082.06</f>
        <v>79082.06</v>
      </c>
      <c r="D50" s="5"/>
      <c r="E50" s="5"/>
      <c r="F50" s="5"/>
      <c r="G50" s="4">
        <f>79082.06</f>
        <v>79082.06</v>
      </c>
    </row>
    <row r="51" spans="1:7" x14ac:dyDescent="0.45">
      <c r="A51" s="3" t="s">
        <v>49</v>
      </c>
      <c r="B51" s="4">
        <f>1460855.2</f>
        <v>1460855.2</v>
      </c>
      <c r="C51" s="5"/>
      <c r="D51" s="5"/>
      <c r="E51" s="5"/>
      <c r="F51" s="4">
        <f>1460855.2</f>
        <v>1460855.2</v>
      </c>
      <c r="G51" s="5"/>
    </row>
    <row r="52" spans="1:7" x14ac:dyDescent="0.45">
      <c r="A52" s="3" t="s">
        <v>50</v>
      </c>
      <c r="B52" s="5"/>
      <c r="C52" s="4">
        <f>728369.02</f>
        <v>728369.02</v>
      </c>
      <c r="D52" s="5"/>
      <c r="E52" s="5"/>
      <c r="F52" s="5"/>
      <c r="G52" s="4">
        <f>728369.02</f>
        <v>728369.02</v>
      </c>
    </row>
    <row r="53" spans="1:7" x14ac:dyDescent="0.45">
      <c r="A53" s="3" t="s">
        <v>51</v>
      </c>
      <c r="B53" s="4">
        <f>270401.73</f>
        <v>270401.73</v>
      </c>
      <c r="C53" s="5"/>
      <c r="D53" s="5"/>
      <c r="E53" s="5"/>
      <c r="F53" s="4">
        <f>270401.73</f>
        <v>270401.73</v>
      </c>
      <c r="G53" s="5"/>
    </row>
    <row r="54" spans="1:7" x14ac:dyDescent="0.45">
      <c r="A54" s="3" t="s">
        <v>52</v>
      </c>
      <c r="B54" s="5"/>
      <c r="C54" s="4">
        <f>198294</f>
        <v>198294</v>
      </c>
      <c r="D54" s="5"/>
      <c r="E54" s="5"/>
      <c r="F54" s="5"/>
      <c r="G54" s="4">
        <f>198294</f>
        <v>198294</v>
      </c>
    </row>
    <row r="55" spans="1:7" x14ac:dyDescent="0.45">
      <c r="A55" s="3" t="s">
        <v>53</v>
      </c>
      <c r="B55" s="4">
        <f>15383842.31</f>
        <v>15383842.310000001</v>
      </c>
      <c r="C55" s="5"/>
      <c r="D55" s="5"/>
      <c r="E55" s="5"/>
      <c r="F55" s="4">
        <f>15383842.31</f>
        <v>15383842.310000001</v>
      </c>
      <c r="G55" s="5"/>
    </row>
    <row r="56" spans="1:7" x14ac:dyDescent="0.45">
      <c r="A56" s="3" t="s">
        <v>54</v>
      </c>
      <c r="B56" s="5"/>
      <c r="C56" s="4">
        <f>4961332.27</f>
        <v>4961332.2699999996</v>
      </c>
      <c r="D56" s="5"/>
      <c r="E56" s="5"/>
      <c r="F56" s="5"/>
      <c r="G56" s="4">
        <f>4961332.27</f>
        <v>4961332.2699999996</v>
      </c>
    </row>
    <row r="57" spans="1:7" x14ac:dyDescent="0.45">
      <c r="A57" s="3" t="s">
        <v>55</v>
      </c>
      <c r="B57" s="4">
        <f>121120.37</f>
        <v>121120.37</v>
      </c>
      <c r="C57" s="5"/>
      <c r="D57" s="5"/>
      <c r="E57" s="5"/>
      <c r="F57" s="4">
        <f>121120.37</f>
        <v>121120.37</v>
      </c>
      <c r="G57" s="5"/>
    </row>
    <row r="58" spans="1:7" x14ac:dyDescent="0.45">
      <c r="A58" s="3" t="s">
        <v>56</v>
      </c>
      <c r="B58" s="5"/>
      <c r="C58" s="4">
        <f>96200.18</f>
        <v>96200.18</v>
      </c>
      <c r="D58" s="5"/>
      <c r="E58" s="5"/>
      <c r="F58" s="5"/>
      <c r="G58" s="4">
        <f>96200.18</f>
        <v>96200.18</v>
      </c>
    </row>
    <row r="59" spans="1:7" x14ac:dyDescent="0.45">
      <c r="A59" s="3" t="s">
        <v>57</v>
      </c>
      <c r="B59" s="4">
        <f>294556.41</f>
        <v>294556.40999999997</v>
      </c>
      <c r="C59" s="5"/>
      <c r="D59" s="5"/>
      <c r="E59" s="5"/>
      <c r="F59" s="4">
        <f>294556.41</f>
        <v>294556.40999999997</v>
      </c>
      <c r="G59" s="5"/>
    </row>
    <row r="60" spans="1:7" x14ac:dyDescent="0.45">
      <c r="A60" s="3" t="s">
        <v>58</v>
      </c>
      <c r="B60" s="5"/>
      <c r="C60" s="4">
        <f>130827.25</f>
        <v>130827.25</v>
      </c>
      <c r="D60" s="5"/>
      <c r="E60" s="5"/>
      <c r="F60" s="5"/>
      <c r="G60" s="4">
        <f>130827.25</f>
        <v>130827.25</v>
      </c>
    </row>
    <row r="61" spans="1:7" x14ac:dyDescent="0.45">
      <c r="A61" s="3" t="s">
        <v>59</v>
      </c>
      <c r="B61" s="4">
        <f>141978.1</f>
        <v>141978.1</v>
      </c>
      <c r="C61" s="5"/>
      <c r="D61" s="5"/>
      <c r="E61" s="5"/>
      <c r="F61" s="4">
        <f>141978.1</f>
        <v>141978.1</v>
      </c>
      <c r="G61" s="5"/>
    </row>
    <row r="62" spans="1:7" x14ac:dyDescent="0.45">
      <c r="A62" s="3" t="s">
        <v>60</v>
      </c>
      <c r="B62" s="5"/>
      <c r="C62" s="4">
        <f>121147.79</f>
        <v>121147.79</v>
      </c>
      <c r="D62" s="5"/>
      <c r="E62" s="5"/>
      <c r="F62" s="5"/>
      <c r="G62" s="4">
        <f>121147.79</f>
        <v>121147.79</v>
      </c>
    </row>
    <row r="63" spans="1:7" x14ac:dyDescent="0.45">
      <c r="A63" s="3" t="s">
        <v>61</v>
      </c>
      <c r="B63" s="4">
        <f>10507.71</f>
        <v>10507.71</v>
      </c>
      <c r="C63" s="5"/>
      <c r="D63" s="5"/>
      <c r="E63" s="5"/>
      <c r="F63" s="4">
        <f>10507.71</f>
        <v>10507.71</v>
      </c>
      <c r="G63" s="5"/>
    </row>
    <row r="64" spans="1:7" x14ac:dyDescent="0.45">
      <c r="A64" s="3" t="s">
        <v>62</v>
      </c>
      <c r="B64" s="5"/>
      <c r="C64" s="4">
        <f>10507.71</f>
        <v>10507.71</v>
      </c>
      <c r="D64" s="5"/>
      <c r="E64" s="5"/>
      <c r="F64" s="5"/>
      <c r="G64" s="4">
        <f>10507.71</f>
        <v>10507.71</v>
      </c>
    </row>
    <row r="65" spans="1:7" x14ac:dyDescent="0.45">
      <c r="A65" s="3" t="s">
        <v>63</v>
      </c>
      <c r="B65" s="5"/>
      <c r="C65" s="4">
        <f>163834.58</f>
        <v>163834.57999999999</v>
      </c>
      <c r="D65" s="5"/>
      <c r="E65" s="5"/>
      <c r="F65" s="5"/>
      <c r="G65" s="4">
        <f>163834.58</f>
        <v>163834.57999999999</v>
      </c>
    </row>
    <row r="66" spans="1:7" x14ac:dyDescent="0.45">
      <c r="A66" s="3" t="s">
        <v>64</v>
      </c>
      <c r="B66" s="5"/>
      <c r="C66" s="4">
        <f>70383.16</f>
        <v>70383.16</v>
      </c>
      <c r="D66" s="5"/>
      <c r="E66" s="5"/>
      <c r="F66" s="5"/>
      <c r="G66" s="4">
        <f>70383.16</f>
        <v>70383.16</v>
      </c>
    </row>
    <row r="67" spans="1:7" x14ac:dyDescent="0.45">
      <c r="A67" s="3" t="s">
        <v>65</v>
      </c>
      <c r="B67" s="5"/>
      <c r="C67" s="4">
        <f>57493.04</f>
        <v>57493.04</v>
      </c>
      <c r="D67" s="5"/>
      <c r="E67" s="5"/>
      <c r="F67" s="5"/>
      <c r="G67" s="4">
        <f>57493.04</f>
        <v>57493.04</v>
      </c>
    </row>
    <row r="68" spans="1:7" x14ac:dyDescent="0.45">
      <c r="A68" s="3" t="s">
        <v>66</v>
      </c>
      <c r="B68" s="5"/>
      <c r="C68" s="4">
        <f>97863.04</f>
        <v>97863.039999999994</v>
      </c>
      <c r="D68" s="5"/>
      <c r="E68" s="5"/>
      <c r="F68" s="5"/>
      <c r="G68" s="4">
        <f>97863.04</f>
        <v>97863.039999999994</v>
      </c>
    </row>
    <row r="69" spans="1:7" x14ac:dyDescent="0.45">
      <c r="A69" s="3" t="s">
        <v>67</v>
      </c>
      <c r="B69" s="5"/>
      <c r="C69" s="4">
        <f>97</f>
        <v>97</v>
      </c>
      <c r="D69" s="5"/>
      <c r="E69" s="5"/>
      <c r="F69" s="5"/>
      <c r="G69" s="4">
        <f>97</f>
        <v>97</v>
      </c>
    </row>
    <row r="70" spans="1:7" x14ac:dyDescent="0.45">
      <c r="A70" s="3" t="s">
        <v>68</v>
      </c>
      <c r="B70" s="5"/>
      <c r="C70" s="4">
        <f>14.19</f>
        <v>14.19</v>
      </c>
      <c r="D70" s="5"/>
      <c r="E70" s="5"/>
      <c r="F70" s="5"/>
      <c r="G70" s="4">
        <f>14.19</f>
        <v>14.19</v>
      </c>
    </row>
    <row r="71" spans="1:7" x14ac:dyDescent="0.45">
      <c r="A71" s="3" t="s">
        <v>69</v>
      </c>
      <c r="B71" s="5"/>
      <c r="C71" s="4">
        <f>1629.15</f>
        <v>1629.15</v>
      </c>
      <c r="D71" s="5"/>
      <c r="E71" s="5"/>
      <c r="F71" s="5"/>
      <c r="G71" s="4">
        <f>1629.15</f>
        <v>1629.15</v>
      </c>
    </row>
    <row r="72" spans="1:7" x14ac:dyDescent="0.45">
      <c r="A72" s="3" t="s">
        <v>70</v>
      </c>
      <c r="B72" s="5"/>
      <c r="C72" s="4">
        <f>3042.31</f>
        <v>3042.31</v>
      </c>
      <c r="D72" s="5"/>
      <c r="E72" s="5"/>
      <c r="F72" s="5"/>
      <c r="G72" s="4">
        <f>3042.31</f>
        <v>3042.31</v>
      </c>
    </row>
    <row r="73" spans="1:7" x14ac:dyDescent="0.45">
      <c r="A73" s="3" t="s">
        <v>71</v>
      </c>
      <c r="B73" s="5"/>
      <c r="C73" s="4">
        <f>102.58</f>
        <v>102.58</v>
      </c>
      <c r="D73" s="5"/>
      <c r="E73" s="5"/>
      <c r="F73" s="5"/>
      <c r="G73" s="4">
        <f>102.58</f>
        <v>102.58</v>
      </c>
    </row>
    <row r="74" spans="1:7" x14ac:dyDescent="0.45">
      <c r="A74" s="3" t="s">
        <v>72</v>
      </c>
      <c r="B74" s="5"/>
      <c r="C74" s="4">
        <f>908000.5</f>
        <v>908000.5</v>
      </c>
      <c r="D74" s="5"/>
      <c r="E74" s="5"/>
      <c r="F74" s="5"/>
      <c r="G74" s="4">
        <f>908000.5</f>
        <v>908000.5</v>
      </c>
    </row>
    <row r="75" spans="1:7" x14ac:dyDescent="0.45">
      <c r="A75" s="3" t="s">
        <v>73</v>
      </c>
      <c r="B75" s="5"/>
      <c r="C75" s="4">
        <f>69866.96</f>
        <v>69866.960000000006</v>
      </c>
      <c r="D75" s="5"/>
      <c r="E75" s="5"/>
      <c r="F75" s="5"/>
      <c r="G75" s="4">
        <f>69866.96</f>
        <v>69866.960000000006</v>
      </c>
    </row>
    <row r="76" spans="1:7" x14ac:dyDescent="0.45">
      <c r="A76" s="3" t="s">
        <v>74</v>
      </c>
      <c r="B76" s="5"/>
      <c r="C76" s="4">
        <f>114842.05</f>
        <v>114842.05</v>
      </c>
      <c r="D76" s="5"/>
      <c r="E76" s="5"/>
      <c r="F76" s="5"/>
      <c r="G76" s="4">
        <f>114842.05</f>
        <v>114842.05</v>
      </c>
    </row>
    <row r="77" spans="1:7" x14ac:dyDescent="0.45">
      <c r="A77" s="3" t="s">
        <v>75</v>
      </c>
      <c r="B77" s="5"/>
      <c r="C77" s="4">
        <f>101191.54</f>
        <v>101191.54</v>
      </c>
      <c r="D77" s="5"/>
      <c r="E77" s="5"/>
      <c r="F77" s="5"/>
      <c r="G77" s="4">
        <f>101191.54</f>
        <v>101191.54</v>
      </c>
    </row>
    <row r="78" spans="1:7" x14ac:dyDescent="0.45">
      <c r="A78" s="3" t="s">
        <v>76</v>
      </c>
      <c r="B78" s="5"/>
      <c r="C78" s="4">
        <f>308861.11</f>
        <v>308861.11</v>
      </c>
      <c r="D78" s="5"/>
      <c r="E78" s="5"/>
      <c r="F78" s="5"/>
      <c r="G78" s="4">
        <f>308861.11</f>
        <v>308861.11</v>
      </c>
    </row>
    <row r="79" spans="1:7" x14ac:dyDescent="0.45">
      <c r="A79" s="3" t="s">
        <v>77</v>
      </c>
      <c r="B79" s="5"/>
      <c r="C79" s="4">
        <f>250000</f>
        <v>250000</v>
      </c>
      <c r="D79" s="5"/>
      <c r="E79" s="5"/>
      <c r="F79" s="5"/>
      <c r="G79" s="4">
        <f>250000</f>
        <v>250000</v>
      </c>
    </row>
    <row r="80" spans="1:7" x14ac:dyDescent="0.45">
      <c r="A80" s="3" t="s">
        <v>78</v>
      </c>
      <c r="B80" s="5"/>
      <c r="C80" s="4">
        <f>7728165.88</f>
        <v>7728165.8799999999</v>
      </c>
      <c r="D80" s="5"/>
      <c r="E80" s="5"/>
      <c r="F80" s="5"/>
      <c r="G80" s="4">
        <f>7728165.88</f>
        <v>7728165.8799999999</v>
      </c>
    </row>
    <row r="81" spans="1:7" x14ac:dyDescent="0.45">
      <c r="A81" s="3" t="s">
        <v>79</v>
      </c>
      <c r="B81" s="5"/>
      <c r="C81" s="4">
        <f>1262400</f>
        <v>1262400</v>
      </c>
      <c r="D81" s="5"/>
      <c r="E81" s="5"/>
      <c r="F81" s="5"/>
      <c r="G81" s="4">
        <f>1262400</f>
        <v>1262400</v>
      </c>
    </row>
    <row r="82" spans="1:7" x14ac:dyDescent="0.45">
      <c r="A82" s="3" t="s">
        <v>80</v>
      </c>
      <c r="B82" s="5"/>
      <c r="C82" s="4">
        <f>3322839.29</f>
        <v>3322839.29</v>
      </c>
      <c r="D82" s="5"/>
      <c r="E82" s="5"/>
      <c r="F82" s="5"/>
      <c r="G82" s="4">
        <f>3322839.29</f>
        <v>3322839.29</v>
      </c>
    </row>
    <row r="83" spans="1:7" x14ac:dyDescent="0.45">
      <c r="A83" s="3" t="s">
        <v>81</v>
      </c>
      <c r="B83" s="5"/>
      <c r="C83" s="4">
        <f>750000</f>
        <v>750000</v>
      </c>
      <c r="D83" s="5"/>
      <c r="E83" s="5"/>
      <c r="F83" s="5"/>
      <c r="G83" s="4">
        <f>750000</f>
        <v>750000</v>
      </c>
    </row>
    <row r="84" spans="1:7" x14ac:dyDescent="0.45">
      <c r="A84" s="3" t="s">
        <v>82</v>
      </c>
      <c r="B84" s="5"/>
      <c r="C84" s="4">
        <f>350000</f>
        <v>350000</v>
      </c>
      <c r="D84" s="5"/>
      <c r="E84" s="5"/>
      <c r="F84" s="5"/>
      <c r="G84" s="4">
        <f>350000</f>
        <v>350000</v>
      </c>
    </row>
    <row r="85" spans="1:7" x14ac:dyDescent="0.45">
      <c r="A85" s="3" t="s">
        <v>83</v>
      </c>
      <c r="B85" s="5"/>
      <c r="C85" s="4">
        <f>188266.17</f>
        <v>188266.17</v>
      </c>
      <c r="D85" s="5"/>
      <c r="E85" s="5"/>
      <c r="F85" s="5"/>
      <c r="G85" s="4">
        <f>188266.17</f>
        <v>188266.17</v>
      </c>
    </row>
    <row r="86" spans="1:7" x14ac:dyDescent="0.45">
      <c r="A86" s="3" t="s">
        <v>84</v>
      </c>
      <c r="B86" s="5"/>
      <c r="C86" s="4">
        <f>1331217.81</f>
        <v>1331217.81</v>
      </c>
      <c r="D86" s="5"/>
      <c r="E86" s="5"/>
      <c r="F86" s="5"/>
      <c r="G86" s="4">
        <f>1331217.81</f>
        <v>1331217.81</v>
      </c>
    </row>
    <row r="87" spans="1:7" x14ac:dyDescent="0.45">
      <c r="A87" s="3" t="s">
        <v>85</v>
      </c>
      <c r="B87" s="5"/>
      <c r="C87" s="4">
        <f>2555300</f>
        <v>2555300</v>
      </c>
      <c r="D87" s="5"/>
      <c r="E87" s="5"/>
      <c r="F87" s="5"/>
      <c r="G87" s="4">
        <f>2555300</f>
        <v>2555300</v>
      </c>
    </row>
    <row r="88" spans="1:7" x14ac:dyDescent="0.45">
      <c r="A88" s="3" t="s">
        <v>86</v>
      </c>
      <c r="B88" s="5"/>
      <c r="C88" s="4">
        <f>2189750.84</f>
        <v>2189750.84</v>
      </c>
      <c r="D88" s="5"/>
      <c r="E88" s="5"/>
      <c r="F88" s="5"/>
      <c r="G88" s="4">
        <f>2189750.84</f>
        <v>2189750.84</v>
      </c>
    </row>
    <row r="89" spans="1:7" x14ac:dyDescent="0.45">
      <c r="A89" s="3" t="s">
        <v>87</v>
      </c>
      <c r="B89" s="5"/>
      <c r="C89" s="4">
        <f>2867.24</f>
        <v>2867.24</v>
      </c>
      <c r="D89" s="5"/>
      <c r="E89" s="5"/>
      <c r="F89" s="5"/>
      <c r="G89" s="4">
        <f>2867.24</f>
        <v>2867.24</v>
      </c>
    </row>
    <row r="90" spans="1:7" x14ac:dyDescent="0.45">
      <c r="A90" s="3" t="s">
        <v>88</v>
      </c>
      <c r="B90" s="4">
        <f>7884467.59</f>
        <v>7884467.5899999999</v>
      </c>
      <c r="C90" s="5"/>
      <c r="D90" s="5"/>
      <c r="E90" s="5"/>
      <c r="F90" s="4">
        <f>7884467.59</f>
        <v>7884467.5899999999</v>
      </c>
      <c r="G90" s="5"/>
    </row>
    <row r="91" spans="1:7" x14ac:dyDescent="0.45">
      <c r="A91" s="3" t="s">
        <v>89</v>
      </c>
      <c r="B91" s="4">
        <f>1862</f>
        <v>1862</v>
      </c>
      <c r="C91" s="5"/>
      <c r="D91" s="5"/>
      <c r="E91" s="5"/>
      <c r="F91" s="4">
        <f>1862</f>
        <v>1862</v>
      </c>
      <c r="G91" s="5"/>
    </row>
    <row r="92" spans="1:7" x14ac:dyDescent="0.45">
      <c r="A92" s="3" t="s">
        <v>90</v>
      </c>
      <c r="B92" s="5"/>
      <c r="C92" s="4">
        <f>18956.4</f>
        <v>18956.400000000001</v>
      </c>
      <c r="D92" s="5"/>
      <c r="E92" s="5"/>
      <c r="F92" s="5"/>
      <c r="G92" s="4">
        <f>18956.4</f>
        <v>18956.400000000001</v>
      </c>
    </row>
    <row r="93" spans="1:7" x14ac:dyDescent="0.45">
      <c r="A93" s="3" t="s">
        <v>91</v>
      </c>
      <c r="B93" s="4">
        <f>1877.35</f>
        <v>1877.35</v>
      </c>
      <c r="C93" s="5"/>
      <c r="D93" s="5"/>
      <c r="E93" s="5"/>
      <c r="F93" s="4">
        <f>1877.35</f>
        <v>1877.35</v>
      </c>
      <c r="G93" s="5"/>
    </row>
    <row r="94" spans="1:7" x14ac:dyDescent="0.45">
      <c r="A94" s="3" t="s">
        <v>92</v>
      </c>
      <c r="B94" s="5"/>
      <c r="C94" s="4">
        <f>44852.91</f>
        <v>44852.91</v>
      </c>
      <c r="D94" s="5"/>
      <c r="E94" s="5"/>
      <c r="F94" s="5"/>
      <c r="G94" s="4">
        <f>44852.91</f>
        <v>44852.91</v>
      </c>
    </row>
    <row r="95" spans="1:7" x14ac:dyDescent="0.45">
      <c r="A95" s="3" t="s">
        <v>93</v>
      </c>
      <c r="B95" s="4">
        <f>323847.58</f>
        <v>323847.58</v>
      </c>
      <c r="C95" s="5"/>
      <c r="D95" s="5"/>
      <c r="E95" s="5"/>
      <c r="F95" s="4">
        <f>323847.58</f>
        <v>323847.58</v>
      </c>
      <c r="G95" s="5"/>
    </row>
    <row r="96" spans="1:7" x14ac:dyDescent="0.45">
      <c r="A96" s="3" t="s">
        <v>94</v>
      </c>
      <c r="B96" s="5"/>
      <c r="C96" s="4">
        <f>97796.9</f>
        <v>97796.9</v>
      </c>
      <c r="D96" s="5"/>
      <c r="E96" s="5"/>
      <c r="F96" s="5"/>
      <c r="G96" s="4">
        <f>97796.9</f>
        <v>97796.9</v>
      </c>
    </row>
    <row r="97" spans="1:7" x14ac:dyDescent="0.45">
      <c r="A97" s="3" t="s">
        <v>95</v>
      </c>
      <c r="B97" s="5"/>
      <c r="C97" s="4">
        <f>29034.49</f>
        <v>29034.49</v>
      </c>
      <c r="D97" s="5"/>
      <c r="E97" s="5"/>
      <c r="F97" s="5"/>
      <c r="G97" s="4">
        <f>29034.49</f>
        <v>29034.49</v>
      </c>
    </row>
    <row r="98" spans="1:7" x14ac:dyDescent="0.45">
      <c r="A98" s="3" t="s">
        <v>96</v>
      </c>
      <c r="B98" s="5"/>
      <c r="C98" s="4">
        <f>1859075.68</f>
        <v>1859075.68</v>
      </c>
      <c r="D98" s="5"/>
      <c r="E98" s="5"/>
      <c r="F98" s="5"/>
      <c r="G98" s="4">
        <f>1859075.68</f>
        <v>1859075.68</v>
      </c>
    </row>
    <row r="99" spans="1:7" x14ac:dyDescent="0.45">
      <c r="A99" s="3" t="s">
        <v>97</v>
      </c>
      <c r="B99" s="4">
        <f>222.71</f>
        <v>222.71</v>
      </c>
      <c r="C99" s="5"/>
      <c r="D99" s="5"/>
      <c r="E99" s="5"/>
      <c r="F99" s="4">
        <f>222.71</f>
        <v>222.71</v>
      </c>
      <c r="G99" s="5"/>
    </row>
    <row r="100" spans="1:7" x14ac:dyDescent="0.45">
      <c r="A100" s="3" t="s">
        <v>98</v>
      </c>
      <c r="B100" s="4">
        <f>264114.07</f>
        <v>264114.07</v>
      </c>
      <c r="C100" s="5"/>
      <c r="D100" s="5"/>
      <c r="E100" s="5"/>
      <c r="F100" s="4">
        <f>264114.07</f>
        <v>264114.07</v>
      </c>
      <c r="G100" s="5"/>
    </row>
    <row r="101" spans="1:7" x14ac:dyDescent="0.45">
      <c r="A101" s="3" t="s">
        <v>99</v>
      </c>
      <c r="B101" s="4">
        <f>5549.64</f>
        <v>5549.64</v>
      </c>
      <c r="C101" s="5"/>
      <c r="D101" s="5"/>
      <c r="E101" s="5"/>
      <c r="F101" s="4">
        <f>5549.64</f>
        <v>5549.64</v>
      </c>
      <c r="G101" s="5"/>
    </row>
    <row r="102" spans="1:7" x14ac:dyDescent="0.45">
      <c r="A102" s="3" t="s">
        <v>100</v>
      </c>
      <c r="B102" s="4">
        <f>900</f>
        <v>900</v>
      </c>
      <c r="C102" s="5"/>
      <c r="D102" s="5"/>
      <c r="E102" s="5"/>
      <c r="F102" s="4">
        <f>900</f>
        <v>900</v>
      </c>
      <c r="G102" s="5"/>
    </row>
    <row r="103" spans="1:7" x14ac:dyDescent="0.45">
      <c r="A103" s="3" t="s">
        <v>101</v>
      </c>
      <c r="B103" s="4">
        <f>2418</f>
        <v>2418</v>
      </c>
      <c r="C103" s="5"/>
      <c r="D103" s="5"/>
      <c r="E103" s="5"/>
      <c r="F103" s="4">
        <f>2418</f>
        <v>2418</v>
      </c>
      <c r="G103" s="5"/>
    </row>
    <row r="104" spans="1:7" x14ac:dyDescent="0.45">
      <c r="A104" s="3" t="s">
        <v>102</v>
      </c>
      <c r="B104" s="4">
        <f>3052.07</f>
        <v>3052.07</v>
      </c>
      <c r="C104" s="5"/>
      <c r="D104" s="5"/>
      <c r="E104" s="5"/>
      <c r="F104" s="4">
        <f>3052.07</f>
        <v>3052.07</v>
      </c>
      <c r="G104" s="5"/>
    </row>
    <row r="105" spans="1:7" x14ac:dyDescent="0.45">
      <c r="A105" s="3" t="s">
        <v>103</v>
      </c>
      <c r="B105" s="4">
        <f>2596.51</f>
        <v>2596.5100000000002</v>
      </c>
      <c r="C105" s="5"/>
      <c r="D105" s="5"/>
      <c r="E105" s="5"/>
      <c r="F105" s="4">
        <f>2596.51</f>
        <v>2596.5100000000002</v>
      </c>
      <c r="G105" s="5"/>
    </row>
    <row r="106" spans="1:7" x14ac:dyDescent="0.45">
      <c r="A106" s="3" t="s">
        <v>104</v>
      </c>
      <c r="B106" s="4">
        <f>45760.66</f>
        <v>45760.66</v>
      </c>
      <c r="C106" s="5"/>
      <c r="D106" s="5"/>
      <c r="E106" s="5"/>
      <c r="F106" s="4">
        <f>45760.66</f>
        <v>45760.66</v>
      </c>
      <c r="G106" s="5"/>
    </row>
    <row r="107" spans="1:7" x14ac:dyDescent="0.45">
      <c r="A107" s="3" t="s">
        <v>105</v>
      </c>
      <c r="B107" s="4">
        <f>3668.34</f>
        <v>3668.34</v>
      </c>
      <c r="C107" s="5"/>
      <c r="D107" s="5"/>
      <c r="E107" s="5"/>
      <c r="F107" s="4">
        <f>3668.34</f>
        <v>3668.34</v>
      </c>
      <c r="G107" s="5"/>
    </row>
    <row r="108" spans="1:7" x14ac:dyDescent="0.45">
      <c r="A108" s="3" t="s">
        <v>106</v>
      </c>
      <c r="B108" s="4">
        <f>1853.5</f>
        <v>1853.5</v>
      </c>
      <c r="C108" s="5"/>
      <c r="D108" s="5"/>
      <c r="E108" s="5"/>
      <c r="F108" s="4">
        <f>1853.5</f>
        <v>1853.5</v>
      </c>
      <c r="G108" s="5"/>
    </row>
    <row r="109" spans="1:7" x14ac:dyDescent="0.45">
      <c r="A109" s="3" t="s">
        <v>107</v>
      </c>
      <c r="B109" s="5"/>
      <c r="C109" s="4">
        <f>5313.87</f>
        <v>5313.87</v>
      </c>
      <c r="D109" s="5"/>
      <c r="E109" s="5"/>
      <c r="F109" s="5"/>
      <c r="G109" s="4">
        <f>5313.87</f>
        <v>5313.87</v>
      </c>
    </row>
    <row r="110" spans="1:7" x14ac:dyDescent="0.45">
      <c r="A110" s="3" t="s">
        <v>108</v>
      </c>
      <c r="B110" s="4">
        <f>478.29</f>
        <v>478.29</v>
      </c>
      <c r="C110" s="5"/>
      <c r="D110" s="5"/>
      <c r="E110" s="5"/>
      <c r="F110" s="4">
        <f>478.29</f>
        <v>478.29</v>
      </c>
      <c r="G110" s="5"/>
    </row>
    <row r="111" spans="1:7" x14ac:dyDescent="0.45">
      <c r="A111" s="3" t="s">
        <v>109</v>
      </c>
      <c r="B111" s="4">
        <f>44.61</f>
        <v>44.61</v>
      </c>
      <c r="C111" s="5"/>
      <c r="D111" s="5"/>
      <c r="E111" s="5"/>
      <c r="F111" s="4">
        <f>44.61</f>
        <v>44.61</v>
      </c>
      <c r="G111" s="5"/>
    </row>
    <row r="112" spans="1:7" x14ac:dyDescent="0.45">
      <c r="A112" s="3" t="s">
        <v>110</v>
      </c>
      <c r="B112" s="4">
        <f>882.97</f>
        <v>882.97</v>
      </c>
      <c r="C112" s="5"/>
      <c r="D112" s="5"/>
      <c r="E112" s="5"/>
      <c r="F112" s="4">
        <f>882.97</f>
        <v>882.97</v>
      </c>
      <c r="G112" s="5"/>
    </row>
    <row r="113" spans="1:7" x14ac:dyDescent="0.45">
      <c r="A113" s="3" t="s">
        <v>111</v>
      </c>
      <c r="B113" s="4">
        <f>1753.19</f>
        <v>1753.19</v>
      </c>
      <c r="C113" s="5"/>
      <c r="D113" s="5"/>
      <c r="E113" s="5"/>
      <c r="F113" s="4">
        <f>1753.19</f>
        <v>1753.19</v>
      </c>
      <c r="G113" s="5"/>
    </row>
    <row r="114" spans="1:7" x14ac:dyDescent="0.45">
      <c r="A114" s="3" t="s">
        <v>112</v>
      </c>
      <c r="B114" s="4">
        <f>51813.98</f>
        <v>51813.98</v>
      </c>
      <c r="C114" s="5"/>
      <c r="D114" s="5"/>
      <c r="E114" s="5"/>
      <c r="F114" s="4">
        <f>51813.98</f>
        <v>51813.98</v>
      </c>
      <c r="G114" s="5"/>
    </row>
    <row r="115" spans="1:7" x14ac:dyDescent="0.45">
      <c r="A115" s="3" t="s">
        <v>113</v>
      </c>
      <c r="B115" s="4">
        <f>30.98</f>
        <v>30.98</v>
      </c>
      <c r="C115" s="5"/>
      <c r="D115" s="5"/>
      <c r="E115" s="5"/>
      <c r="F115" s="4">
        <f>30.98</f>
        <v>30.98</v>
      </c>
      <c r="G115" s="5"/>
    </row>
    <row r="116" spans="1:7" x14ac:dyDescent="0.45">
      <c r="A116" s="3" t="s">
        <v>114</v>
      </c>
      <c r="B116" s="4">
        <f>1500</f>
        <v>1500</v>
      </c>
      <c r="C116" s="5"/>
      <c r="D116" s="5"/>
      <c r="E116" s="5"/>
      <c r="F116" s="4">
        <f>1500</f>
        <v>1500</v>
      </c>
      <c r="G116" s="5"/>
    </row>
    <row r="117" spans="1:7" x14ac:dyDescent="0.45">
      <c r="A117" s="3" t="s">
        <v>115</v>
      </c>
      <c r="B117" s="4">
        <f>3900.17</f>
        <v>3900.17</v>
      </c>
      <c r="C117" s="5"/>
      <c r="D117" s="5"/>
      <c r="E117" s="5"/>
      <c r="F117" s="4">
        <f>3900.17</f>
        <v>3900.17</v>
      </c>
      <c r="G117" s="5"/>
    </row>
    <row r="118" spans="1:7" x14ac:dyDescent="0.45">
      <c r="A118" s="3" t="s">
        <v>116</v>
      </c>
      <c r="B118" s="4">
        <f>15496.83</f>
        <v>15496.83</v>
      </c>
      <c r="C118" s="5"/>
      <c r="D118" s="5"/>
      <c r="E118" s="5"/>
      <c r="F118" s="4">
        <f>15496.83</f>
        <v>15496.83</v>
      </c>
      <c r="G118" s="5"/>
    </row>
    <row r="119" spans="1:7" x14ac:dyDescent="0.45">
      <c r="A119" s="3" t="s">
        <v>117</v>
      </c>
      <c r="B119" s="5"/>
      <c r="C119" s="4">
        <f>1400</f>
        <v>1400</v>
      </c>
      <c r="D119" s="5"/>
      <c r="E119" s="5"/>
      <c r="F119" s="5"/>
      <c r="G119" s="4">
        <f>1400</f>
        <v>1400</v>
      </c>
    </row>
    <row r="120" spans="1:7" x14ac:dyDescent="0.45">
      <c r="A120" s="3" t="s">
        <v>118</v>
      </c>
      <c r="B120" s="4">
        <f>15675</f>
        <v>15675</v>
      </c>
      <c r="C120" s="5"/>
      <c r="D120" s="5"/>
      <c r="E120" s="5"/>
      <c r="F120" s="4">
        <f>15675</f>
        <v>15675</v>
      </c>
      <c r="G120" s="5"/>
    </row>
    <row r="121" spans="1:7" x14ac:dyDescent="0.45">
      <c r="A121" s="3" t="s">
        <v>119</v>
      </c>
      <c r="B121" s="4">
        <f>1050</f>
        <v>1050</v>
      </c>
      <c r="C121" s="5"/>
      <c r="D121" s="5"/>
      <c r="E121" s="5"/>
      <c r="F121" s="4">
        <f>1050</f>
        <v>1050</v>
      </c>
      <c r="G121" s="5"/>
    </row>
    <row r="122" spans="1:7" x14ac:dyDescent="0.45">
      <c r="A122" s="3" t="s">
        <v>120</v>
      </c>
      <c r="B122" s="4">
        <f>97.52</f>
        <v>97.52</v>
      </c>
      <c r="C122" s="5"/>
      <c r="D122" s="5"/>
      <c r="E122" s="5"/>
      <c r="F122" s="4">
        <f>97.52</f>
        <v>97.52</v>
      </c>
      <c r="G122" s="5"/>
    </row>
    <row r="123" spans="1:7" x14ac:dyDescent="0.45">
      <c r="A123" s="3" t="s">
        <v>121</v>
      </c>
      <c r="B123" s="4">
        <f>4005.82</f>
        <v>4005.82</v>
      </c>
      <c r="C123" s="5"/>
      <c r="D123" s="5"/>
      <c r="E123" s="5"/>
      <c r="F123" s="4">
        <f>4005.82</f>
        <v>4005.82</v>
      </c>
      <c r="G123" s="5"/>
    </row>
    <row r="124" spans="1:7" x14ac:dyDescent="0.45">
      <c r="A124" s="3" t="s">
        <v>122</v>
      </c>
      <c r="B124" s="4">
        <f>773781.94</f>
        <v>773781.94</v>
      </c>
      <c r="C124" s="5"/>
      <c r="D124" s="5"/>
      <c r="E124" s="5"/>
      <c r="F124" s="4">
        <f>773781.94</f>
        <v>773781.94</v>
      </c>
      <c r="G124" s="5"/>
    </row>
    <row r="125" spans="1:7" x14ac:dyDescent="0.45">
      <c r="A125" s="3" t="s">
        <v>123</v>
      </c>
      <c r="B125" s="4">
        <f>2760</f>
        <v>2760</v>
      </c>
      <c r="C125" s="5"/>
      <c r="D125" s="5"/>
      <c r="E125" s="5"/>
      <c r="F125" s="4">
        <f>2760</f>
        <v>2760</v>
      </c>
      <c r="G125" s="5"/>
    </row>
    <row r="126" spans="1:7" x14ac:dyDescent="0.45">
      <c r="A126" s="3" t="s">
        <v>124</v>
      </c>
      <c r="B126" s="4">
        <f>545.62</f>
        <v>545.62</v>
      </c>
      <c r="C126" s="5"/>
      <c r="D126" s="5"/>
      <c r="E126" s="5"/>
      <c r="F126" s="4">
        <f>545.62</f>
        <v>545.62</v>
      </c>
      <c r="G126" s="5"/>
    </row>
    <row r="127" spans="1:7" x14ac:dyDescent="0.45">
      <c r="A127" s="3" t="s">
        <v>125</v>
      </c>
      <c r="B127" s="4">
        <f>1594.58</f>
        <v>1594.58</v>
      </c>
      <c r="C127" s="5"/>
      <c r="D127" s="5"/>
      <c r="E127" s="5"/>
      <c r="F127" s="4">
        <f>1594.58</f>
        <v>1594.58</v>
      </c>
      <c r="G127" s="5"/>
    </row>
    <row r="128" spans="1:7" x14ac:dyDescent="0.45">
      <c r="A128" s="3" t="s">
        <v>126</v>
      </c>
      <c r="B128" s="4">
        <f>97.5</f>
        <v>97.5</v>
      </c>
      <c r="C128" s="5"/>
      <c r="D128" s="5"/>
      <c r="E128" s="5"/>
      <c r="F128" s="4">
        <f>97.5</f>
        <v>97.5</v>
      </c>
      <c r="G128" s="5"/>
    </row>
    <row r="129" spans="1:7" x14ac:dyDescent="0.45">
      <c r="A129" s="3" t="s">
        <v>127</v>
      </c>
      <c r="B129" s="4">
        <f>6832.62</f>
        <v>6832.62</v>
      </c>
      <c r="C129" s="5"/>
      <c r="D129" s="5"/>
      <c r="E129" s="5"/>
      <c r="F129" s="4">
        <f>6832.62</f>
        <v>6832.62</v>
      </c>
      <c r="G129" s="5"/>
    </row>
    <row r="130" spans="1:7" x14ac:dyDescent="0.45">
      <c r="A130" s="3" t="s">
        <v>128</v>
      </c>
      <c r="B130" s="4">
        <f>326.55</f>
        <v>326.55</v>
      </c>
      <c r="C130" s="5"/>
      <c r="D130" s="5"/>
      <c r="E130" s="5"/>
      <c r="F130" s="4">
        <f>326.55</f>
        <v>326.55</v>
      </c>
      <c r="G130" s="5"/>
    </row>
    <row r="131" spans="1:7" x14ac:dyDescent="0.45">
      <c r="A131" s="3" t="s">
        <v>129</v>
      </c>
      <c r="B131" s="4">
        <f>19669.57</f>
        <v>19669.57</v>
      </c>
      <c r="C131" s="5"/>
      <c r="D131" s="5"/>
      <c r="E131" s="5"/>
      <c r="F131" s="4">
        <f>19669.57</f>
        <v>19669.57</v>
      </c>
      <c r="G131" s="5"/>
    </row>
    <row r="132" spans="1:7" x14ac:dyDescent="0.45">
      <c r="A132" s="3" t="s">
        <v>130</v>
      </c>
      <c r="B132" s="4">
        <f>19985</f>
        <v>19985</v>
      </c>
      <c r="C132" s="5"/>
      <c r="D132" s="5"/>
      <c r="E132" s="5"/>
      <c r="F132" s="4">
        <f>19985</f>
        <v>19985</v>
      </c>
      <c r="G132" s="5"/>
    </row>
    <row r="133" spans="1:7" x14ac:dyDescent="0.45">
      <c r="A133" s="3" t="s">
        <v>131</v>
      </c>
      <c r="B133" s="4">
        <f>928.31</f>
        <v>928.31</v>
      </c>
      <c r="C133" s="5"/>
      <c r="D133" s="5"/>
      <c r="E133" s="5"/>
      <c r="F133" s="4">
        <f>928.31</f>
        <v>928.31</v>
      </c>
      <c r="G133" s="5"/>
    </row>
    <row r="134" spans="1:7" x14ac:dyDescent="0.45">
      <c r="A134" s="3" t="s">
        <v>132</v>
      </c>
      <c r="B134" s="4">
        <f>10083.07</f>
        <v>10083.07</v>
      </c>
      <c r="C134" s="5"/>
      <c r="D134" s="5"/>
      <c r="E134" s="5"/>
      <c r="F134" s="4">
        <f>10083.07</f>
        <v>10083.07</v>
      </c>
      <c r="G134" s="5"/>
    </row>
    <row r="135" spans="1:7" x14ac:dyDescent="0.45">
      <c r="A135" s="3" t="s">
        <v>133</v>
      </c>
      <c r="B135" s="4">
        <f>792.19</f>
        <v>792.19</v>
      </c>
      <c r="C135" s="5"/>
      <c r="D135" s="5"/>
      <c r="E135" s="5"/>
      <c r="F135" s="4">
        <f>792.19</f>
        <v>792.19</v>
      </c>
      <c r="G135" s="5"/>
    </row>
    <row r="136" spans="1:7" x14ac:dyDescent="0.45">
      <c r="A136" s="3" t="s">
        <v>134</v>
      </c>
      <c r="B136" s="4">
        <f>17279.11</f>
        <v>17279.11</v>
      </c>
      <c r="C136" s="5"/>
      <c r="D136" s="5"/>
      <c r="E136" s="5"/>
      <c r="F136" s="4">
        <f>17279.11</f>
        <v>17279.11</v>
      </c>
      <c r="G136" s="5"/>
    </row>
    <row r="137" spans="1:7" x14ac:dyDescent="0.45">
      <c r="A137" s="3" t="s">
        <v>135</v>
      </c>
      <c r="B137" s="4">
        <f>248.54</f>
        <v>248.54</v>
      </c>
      <c r="C137" s="5"/>
      <c r="D137" s="5"/>
      <c r="E137" s="5"/>
      <c r="F137" s="4">
        <f>248.54</f>
        <v>248.54</v>
      </c>
      <c r="G137" s="5"/>
    </row>
    <row r="138" spans="1:7" x14ac:dyDescent="0.45">
      <c r="A138" s="3" t="s">
        <v>136</v>
      </c>
      <c r="B138" s="4">
        <f>123454.62</f>
        <v>123454.62</v>
      </c>
      <c r="C138" s="5"/>
      <c r="D138" s="5"/>
      <c r="E138" s="5"/>
      <c r="F138" s="4">
        <f>123454.62</f>
        <v>123454.62</v>
      </c>
      <c r="G138" s="5"/>
    </row>
    <row r="139" spans="1:7" x14ac:dyDescent="0.45">
      <c r="A139" s="3" t="s">
        <v>137</v>
      </c>
      <c r="B139" s="4">
        <f>8653.14</f>
        <v>8653.14</v>
      </c>
      <c r="C139" s="5"/>
      <c r="D139" s="5"/>
      <c r="E139" s="5"/>
      <c r="F139" s="4">
        <f>8653.14</f>
        <v>8653.14</v>
      </c>
      <c r="G139" s="5"/>
    </row>
    <row r="140" spans="1:7" x14ac:dyDescent="0.45">
      <c r="A140" s="3" t="s">
        <v>138</v>
      </c>
      <c r="B140" s="4">
        <f>491.4</f>
        <v>491.4</v>
      </c>
      <c r="C140" s="5"/>
      <c r="D140" s="5"/>
      <c r="E140" s="5"/>
      <c r="F140" s="4">
        <f>491.4</f>
        <v>491.4</v>
      </c>
      <c r="G140" s="5"/>
    </row>
    <row r="141" spans="1:7" x14ac:dyDescent="0.45">
      <c r="A141" s="3" t="s">
        <v>139</v>
      </c>
      <c r="B141" s="4">
        <f>33955.45</f>
        <v>33955.449999999997</v>
      </c>
      <c r="C141" s="5"/>
      <c r="D141" s="5"/>
      <c r="E141" s="5"/>
      <c r="F141" s="4">
        <f>33955.45</f>
        <v>33955.449999999997</v>
      </c>
      <c r="G141" s="5"/>
    </row>
    <row r="142" spans="1:7" x14ac:dyDescent="0.45">
      <c r="A142" s="3" t="s">
        <v>140</v>
      </c>
      <c r="B142" s="4">
        <f>76436.58</f>
        <v>76436.58</v>
      </c>
      <c r="C142" s="5"/>
      <c r="D142" s="5"/>
      <c r="E142" s="5"/>
      <c r="F142" s="4">
        <f>76436.58</f>
        <v>76436.58</v>
      </c>
      <c r="G142" s="5"/>
    </row>
    <row r="143" spans="1:7" x14ac:dyDescent="0.45">
      <c r="A143" s="3" t="s">
        <v>141</v>
      </c>
      <c r="B143" s="4">
        <f>5370.18</f>
        <v>5370.18</v>
      </c>
      <c r="C143" s="5"/>
      <c r="D143" s="5"/>
      <c r="E143" s="5"/>
      <c r="F143" s="4">
        <f>5370.18</f>
        <v>5370.18</v>
      </c>
      <c r="G143" s="5"/>
    </row>
    <row r="144" spans="1:7" x14ac:dyDescent="0.45">
      <c r="A144" s="3" t="s">
        <v>142</v>
      </c>
      <c r="B144" s="4">
        <f>288.65</f>
        <v>288.64999999999998</v>
      </c>
      <c r="C144" s="5"/>
      <c r="D144" s="5"/>
      <c r="E144" s="5"/>
      <c r="F144" s="4">
        <f>288.65</f>
        <v>288.64999999999998</v>
      </c>
      <c r="G144" s="5"/>
    </row>
    <row r="145" spans="1:7" x14ac:dyDescent="0.45">
      <c r="A145" s="3" t="s">
        <v>143</v>
      </c>
      <c r="B145" s="4">
        <f>37498.19</f>
        <v>37498.19</v>
      </c>
      <c r="C145" s="5"/>
      <c r="D145" s="5"/>
      <c r="E145" s="5"/>
      <c r="F145" s="4">
        <f>37498.19</f>
        <v>37498.19</v>
      </c>
      <c r="G145" s="5"/>
    </row>
    <row r="146" spans="1:7" x14ac:dyDescent="0.45">
      <c r="A146" s="3" t="s">
        <v>144</v>
      </c>
      <c r="B146" s="4">
        <f>9191.17</f>
        <v>9191.17</v>
      </c>
      <c r="C146" s="5"/>
      <c r="D146" s="5"/>
      <c r="E146" s="5"/>
      <c r="F146" s="4">
        <f>9191.17</f>
        <v>9191.17</v>
      </c>
      <c r="G146" s="5"/>
    </row>
    <row r="147" spans="1:7" x14ac:dyDescent="0.45">
      <c r="A147" s="3" t="s">
        <v>145</v>
      </c>
      <c r="B147" s="4">
        <f>21458.24</f>
        <v>21458.240000000002</v>
      </c>
      <c r="C147" s="5"/>
      <c r="D147" s="5"/>
      <c r="E147" s="5"/>
      <c r="F147" s="4">
        <f>21458.24</f>
        <v>21458.240000000002</v>
      </c>
      <c r="G147" s="5"/>
    </row>
    <row r="148" spans="1:7" x14ac:dyDescent="0.45">
      <c r="A148" s="3" t="s">
        <v>146</v>
      </c>
      <c r="B148" s="5"/>
      <c r="C148" s="4">
        <f>19859.57</f>
        <v>19859.57</v>
      </c>
      <c r="D148" s="5"/>
      <c r="E148" s="5"/>
      <c r="F148" s="5"/>
      <c r="G148" s="4">
        <f>19859.57</f>
        <v>19859.57</v>
      </c>
    </row>
    <row r="149" spans="1:7" x14ac:dyDescent="0.45">
      <c r="A149" s="3" t="s">
        <v>147</v>
      </c>
      <c r="B149" s="4">
        <f>3000</f>
        <v>3000</v>
      </c>
      <c r="C149" s="5"/>
      <c r="D149" s="5"/>
      <c r="E149" s="5"/>
      <c r="F149" s="4">
        <f>3000</f>
        <v>3000</v>
      </c>
      <c r="G149" s="5"/>
    </row>
    <row r="150" spans="1:7" x14ac:dyDescent="0.45">
      <c r="A150" s="3" t="s">
        <v>148</v>
      </c>
      <c r="B150" s="4">
        <f>5354.4</f>
        <v>5354.4</v>
      </c>
      <c r="C150" s="5"/>
      <c r="D150" s="5"/>
      <c r="E150" s="5"/>
      <c r="F150" s="4">
        <f>5354.4</f>
        <v>5354.4</v>
      </c>
      <c r="G150" s="5"/>
    </row>
    <row r="151" spans="1:7" x14ac:dyDescent="0.45">
      <c r="A151" s="3" t="s">
        <v>149</v>
      </c>
      <c r="B151" s="4">
        <f>181633.84</f>
        <v>181633.84</v>
      </c>
      <c r="C151" s="5"/>
      <c r="D151" s="5"/>
      <c r="E151" s="5"/>
      <c r="F151" s="4">
        <f>181633.84</f>
        <v>181633.84</v>
      </c>
      <c r="G151" s="5"/>
    </row>
    <row r="152" spans="1:7" x14ac:dyDescent="0.45">
      <c r="A152" s="3" t="s">
        <v>150</v>
      </c>
      <c r="B152" s="4">
        <f>11570.06</f>
        <v>11570.06</v>
      </c>
      <c r="C152" s="5"/>
      <c r="D152" s="5"/>
      <c r="E152" s="5"/>
      <c r="F152" s="4">
        <f>11570.06</f>
        <v>11570.06</v>
      </c>
      <c r="G152" s="5"/>
    </row>
    <row r="153" spans="1:7" x14ac:dyDescent="0.45">
      <c r="A153" s="3" t="s">
        <v>151</v>
      </c>
      <c r="B153" s="4">
        <f>31833.79</f>
        <v>31833.79</v>
      </c>
      <c r="C153" s="5"/>
      <c r="D153" s="5"/>
      <c r="E153" s="5"/>
      <c r="F153" s="4">
        <f>31833.79</f>
        <v>31833.79</v>
      </c>
      <c r="G153" s="5"/>
    </row>
    <row r="154" spans="1:7" x14ac:dyDescent="0.45">
      <c r="A154" s="3" t="s">
        <v>152</v>
      </c>
      <c r="B154" s="4">
        <f>3215.42</f>
        <v>3215.42</v>
      </c>
      <c r="C154" s="5"/>
      <c r="D154" s="5"/>
      <c r="E154" s="5"/>
      <c r="F154" s="4">
        <f>3215.42</f>
        <v>3215.42</v>
      </c>
      <c r="G154" s="5"/>
    </row>
    <row r="155" spans="1:7" x14ac:dyDescent="0.45">
      <c r="A155" s="3" t="s">
        <v>153</v>
      </c>
      <c r="B155" s="4">
        <f>6770.72</f>
        <v>6770.72</v>
      </c>
      <c r="C155" s="5"/>
      <c r="D155" s="5"/>
      <c r="E155" s="5"/>
      <c r="F155" s="4">
        <f>6770.72</f>
        <v>6770.72</v>
      </c>
      <c r="G155" s="5"/>
    </row>
    <row r="156" spans="1:7" x14ac:dyDescent="0.45">
      <c r="A156" s="3" t="s">
        <v>154</v>
      </c>
      <c r="B156" s="4">
        <f>75811.95</f>
        <v>75811.95</v>
      </c>
      <c r="C156" s="5"/>
      <c r="D156" s="5"/>
      <c r="E156" s="5"/>
      <c r="F156" s="4">
        <f>75811.95</f>
        <v>75811.95</v>
      </c>
      <c r="G156" s="5"/>
    </row>
    <row r="157" spans="1:7" x14ac:dyDescent="0.45">
      <c r="A157" s="3" t="s">
        <v>155</v>
      </c>
      <c r="B157" s="4">
        <f>2826.02</f>
        <v>2826.02</v>
      </c>
      <c r="C157" s="5"/>
      <c r="D157" s="5"/>
      <c r="E157" s="5"/>
      <c r="F157" s="4">
        <f>2826.02</f>
        <v>2826.02</v>
      </c>
      <c r="G157" s="5"/>
    </row>
    <row r="158" spans="1:7" x14ac:dyDescent="0.45">
      <c r="A158" s="3" t="s">
        <v>156</v>
      </c>
      <c r="B158" s="4">
        <f>17684.39</f>
        <v>17684.39</v>
      </c>
      <c r="C158" s="5"/>
      <c r="D158" s="5"/>
      <c r="E158" s="5"/>
      <c r="F158" s="4">
        <f>17684.39</f>
        <v>17684.39</v>
      </c>
      <c r="G158" s="5"/>
    </row>
    <row r="159" spans="1:7" x14ac:dyDescent="0.45">
      <c r="A159" s="3" t="s">
        <v>157</v>
      </c>
      <c r="B159" s="4">
        <f>2487.47</f>
        <v>2487.4699999999998</v>
      </c>
      <c r="C159" s="5"/>
      <c r="D159" s="5"/>
      <c r="E159" s="5"/>
      <c r="F159" s="4">
        <f>2487.47</f>
        <v>2487.4699999999998</v>
      </c>
      <c r="G159" s="5"/>
    </row>
    <row r="160" spans="1:7" x14ac:dyDescent="0.45">
      <c r="A160" s="3" t="s">
        <v>158</v>
      </c>
      <c r="B160" s="4">
        <f>6537.29</f>
        <v>6537.29</v>
      </c>
      <c r="C160" s="5"/>
      <c r="D160" s="5"/>
      <c r="E160" s="5"/>
      <c r="F160" s="4">
        <f>6537.29</f>
        <v>6537.29</v>
      </c>
      <c r="G160" s="5"/>
    </row>
    <row r="161" spans="1:7" x14ac:dyDescent="0.45">
      <c r="A161" s="3" t="s">
        <v>159</v>
      </c>
      <c r="B161" s="4">
        <f>53571.18</f>
        <v>53571.18</v>
      </c>
      <c r="C161" s="5"/>
      <c r="D161" s="5"/>
      <c r="E161" s="5"/>
      <c r="F161" s="4">
        <f>53571.18</f>
        <v>53571.18</v>
      </c>
      <c r="G161" s="5"/>
    </row>
    <row r="162" spans="1:7" x14ac:dyDescent="0.45">
      <c r="A162" s="3" t="s">
        <v>160</v>
      </c>
      <c r="B162" s="4">
        <f>16702.78</f>
        <v>16702.78</v>
      </c>
      <c r="C162" s="5"/>
      <c r="D162" s="5"/>
      <c r="E162" s="5"/>
      <c r="F162" s="4">
        <f>16702.78</f>
        <v>16702.78</v>
      </c>
      <c r="G162" s="5"/>
    </row>
    <row r="163" spans="1:7" x14ac:dyDescent="0.45">
      <c r="A163" s="3" t="s">
        <v>161</v>
      </c>
      <c r="B163" s="4">
        <f>4075</f>
        <v>4075</v>
      </c>
      <c r="C163" s="5"/>
      <c r="D163" s="5"/>
      <c r="E163" s="5"/>
      <c r="F163" s="4">
        <f>4075</f>
        <v>4075</v>
      </c>
      <c r="G163" s="5"/>
    </row>
    <row r="164" spans="1:7" x14ac:dyDescent="0.45">
      <c r="A164" s="3" t="s">
        <v>162</v>
      </c>
      <c r="B164" s="5"/>
      <c r="C164" s="4">
        <f>12557.97</f>
        <v>12557.97</v>
      </c>
      <c r="D164" s="5"/>
      <c r="E164" s="5"/>
      <c r="F164" s="5"/>
      <c r="G164" s="4">
        <f>12557.97</f>
        <v>12557.97</v>
      </c>
    </row>
    <row r="165" spans="1:7" x14ac:dyDescent="0.45">
      <c r="A165" s="3" t="s">
        <v>163</v>
      </c>
      <c r="B165" s="5"/>
      <c r="C165" s="4">
        <f>52599.06</f>
        <v>52599.06</v>
      </c>
      <c r="D165" s="5"/>
      <c r="E165" s="5"/>
      <c r="F165" s="5"/>
      <c r="G165" s="4">
        <f>52599.06</f>
        <v>52599.06</v>
      </c>
    </row>
    <row r="166" spans="1:7" x14ac:dyDescent="0.45">
      <c r="A166" s="3" t="s">
        <v>164</v>
      </c>
      <c r="B166" s="5"/>
      <c r="C166" s="4">
        <f>50</f>
        <v>50</v>
      </c>
      <c r="D166" s="5"/>
      <c r="E166" s="5"/>
      <c r="F166" s="5"/>
      <c r="G166" s="4">
        <f>50</f>
        <v>50</v>
      </c>
    </row>
    <row r="167" spans="1:7" x14ac:dyDescent="0.45">
      <c r="A167" s="3" t="s">
        <v>165</v>
      </c>
      <c r="B167" s="5"/>
      <c r="C167" s="4">
        <f>0.22</f>
        <v>0.22</v>
      </c>
      <c r="D167" s="5"/>
      <c r="E167" s="5"/>
      <c r="F167" s="5"/>
      <c r="G167" s="4">
        <f>0.22</f>
        <v>0.22</v>
      </c>
    </row>
    <row r="168" spans="1:7" x14ac:dyDescent="0.45">
      <c r="A168" s="3" t="s">
        <v>166</v>
      </c>
      <c r="B168" s="5"/>
      <c r="C168" s="4">
        <f>128.56</f>
        <v>128.56</v>
      </c>
      <c r="D168" s="5"/>
      <c r="E168" s="5"/>
      <c r="F168" s="5"/>
      <c r="G168" s="4">
        <f>128.56</f>
        <v>128.56</v>
      </c>
    </row>
    <row r="169" spans="1:7" x14ac:dyDescent="0.45">
      <c r="A169" s="3" t="s">
        <v>167</v>
      </c>
      <c r="B169" s="4">
        <f>7.1</f>
        <v>7.1</v>
      </c>
      <c r="C169" s="5"/>
      <c r="D169" s="5"/>
      <c r="E169" s="5"/>
      <c r="F169" s="4">
        <f>7.1</f>
        <v>7.1</v>
      </c>
      <c r="G169" s="5"/>
    </row>
    <row r="170" spans="1:7" x14ac:dyDescent="0.45">
      <c r="A170" s="3" t="s">
        <v>168</v>
      </c>
      <c r="B170" s="5"/>
      <c r="C170" s="4">
        <f>19.29</f>
        <v>19.29</v>
      </c>
      <c r="D170" s="5"/>
      <c r="E170" s="5"/>
      <c r="F170" s="5"/>
      <c r="G170" s="4">
        <f>19.29</f>
        <v>19.29</v>
      </c>
    </row>
    <row r="171" spans="1:7" x14ac:dyDescent="0.45">
      <c r="A171" s="3" t="s">
        <v>169</v>
      </c>
      <c r="B171" s="5"/>
      <c r="C171" s="4">
        <f>50000</f>
        <v>50000</v>
      </c>
      <c r="D171" s="5"/>
      <c r="E171" s="5"/>
      <c r="F171" s="5"/>
      <c r="G171" s="4">
        <f>50000</f>
        <v>50000</v>
      </c>
    </row>
    <row r="172" spans="1:7" x14ac:dyDescent="0.45">
      <c r="A172" s="3" t="s">
        <v>170</v>
      </c>
      <c r="B172" s="5"/>
      <c r="C172" s="4">
        <f>151175.07</f>
        <v>151175.07</v>
      </c>
      <c r="D172" s="5"/>
      <c r="E172" s="5"/>
      <c r="F172" s="5"/>
      <c r="G172" s="4">
        <f>151175.07</f>
        <v>151175.07</v>
      </c>
    </row>
    <row r="173" spans="1:7" x14ac:dyDescent="0.45">
      <c r="A173" s="3" t="s">
        <v>171</v>
      </c>
      <c r="B173" s="5"/>
      <c r="C173" s="4">
        <f>81.34</f>
        <v>81.34</v>
      </c>
      <c r="D173" s="5"/>
      <c r="E173" s="5"/>
      <c r="F173" s="5"/>
      <c r="G173" s="4">
        <f>81.34</f>
        <v>81.34</v>
      </c>
    </row>
    <row r="174" spans="1:7" x14ac:dyDescent="0.45">
      <c r="A174" s="3" t="s">
        <v>172</v>
      </c>
      <c r="B174" s="4">
        <f>492713</f>
        <v>492713</v>
      </c>
      <c r="C174" s="5"/>
      <c r="D174" s="5"/>
      <c r="E174" s="5"/>
      <c r="F174" s="4">
        <f>492713</f>
        <v>492713</v>
      </c>
      <c r="G174" s="5"/>
    </row>
    <row r="175" spans="1:7" x14ac:dyDescent="0.45">
      <c r="A175" s="3" t="s">
        <v>173</v>
      </c>
      <c r="B175" s="5"/>
      <c r="C175" s="4">
        <f>13780.53</f>
        <v>13780.53</v>
      </c>
      <c r="D175" s="5"/>
      <c r="E175" s="5"/>
      <c r="F175" s="5"/>
      <c r="G175" s="4">
        <f>13780.53</f>
        <v>13780.53</v>
      </c>
    </row>
    <row r="176" spans="1:7" x14ac:dyDescent="0.45">
      <c r="A176" s="3" t="s">
        <v>174</v>
      </c>
      <c r="B176" s="6">
        <f t="shared" ref="B176:G176" si="0">((((((((((((((((((((((((((((((((((((((((((((((((((((((((((((((((((((((((((((((((((((((((((((((((((((((((((((((((((((((((((((((((((((((((((((((((((((((((((((((((((((((((B7)+(B8))+(B9))+(B10))+(B11))+(B12))+(B13))+(B14))+(B15))+(B16))+(B17))+(B18))+(B19))+(B20))+(B21))+(B22))+(B23))+(B24))+(B25))+(B26))+(B27))+(B28))+(B29))+(B30))+(B31))+(B32))+(B33))+(B34))+(B35))+(B36))+(B37))+(B38))+(B39))+(B40))+(B41))+(B42))+(B43))+(B44))+(B45))+(B46))+(B47))+(B48))+(B49))+(B50))+(B51))+(B52))+(B53))+(B54))+(B55))+(B56))+(B57))+(B58))+(B59))+(B60))+(B61))+(B62))+(B63))+(B64))+(B65))+(B66))+(B67))+(B68))+(B69))+(B70))+(B71))+(B72))+(B73))+(B74))+(B75))+(B76))+(B77))+(B78))+(B79))+(B80))+(B81))+(B82))+(B83))+(B84))+(B85))+(B86))+(B87))+(B88))+(B89))+(B90))+(B91))+(B92))+(B93))+(B94))+(B95))+(B96))+(B97))+(B98))+(B99))+(B100))+(B101))+(B102))+(B103))+(B104))+(B105))+(B106))+(B107))+(B108))+(B109))+(B110))+(B111))+(B112))+(B113))+(B114))+(B115))+(B116))+(B117))+(B118))+(B119))+(B120))+(B121))+(B122))+(B123))+(B124))+(B125))+(B126))+(B127))+(B128))+(B129))+(B130))+(B131))+(B132))+(B133))+(B134))+(B135))+(B136))+(B137))+(B138))+(B139))+(B140))+(B141))+(B142))+(B143))+(B144))+(B145))+(B146))+(B147))+(B148))+(B149))+(B150))+(B151))+(B152))+(B153))+(B154))+(B155))+(B156))+(B157))+(B158))+(B159))+(B160))+(B161))+(B162))+(B163))+(B164))+(B165))+(B166))+(B167))+(B168))+(B169))+(B170))+(B171))+(B172))+(B173))+(B174))+(B175)</f>
        <v>32406970.800000004</v>
      </c>
      <c r="C176" s="6">
        <f t="shared" si="0"/>
        <v>32406970.799999986</v>
      </c>
      <c r="D176" s="6">
        <f t="shared" si="0"/>
        <v>0</v>
      </c>
      <c r="E176" s="6">
        <f t="shared" si="0"/>
        <v>0</v>
      </c>
      <c r="F176" s="6">
        <f t="shared" si="0"/>
        <v>32406970.800000004</v>
      </c>
      <c r="G176" s="6">
        <f t="shared" si="0"/>
        <v>32406970.799999986</v>
      </c>
    </row>
    <row r="177" spans="1:7" x14ac:dyDescent="0.45">
      <c r="A177" s="3"/>
      <c r="B177" s="5"/>
      <c r="C177" s="5"/>
      <c r="D177" s="5"/>
      <c r="E177" s="5"/>
      <c r="F177" s="5"/>
      <c r="G177" s="5"/>
    </row>
    <row r="180" spans="1:7" x14ac:dyDescent="0.45">
      <c r="A180" s="9" t="s">
        <v>175</v>
      </c>
      <c r="B180" s="10"/>
      <c r="C180" s="10"/>
      <c r="D180" s="10"/>
      <c r="E180" s="10"/>
      <c r="F180" s="10"/>
      <c r="G180" s="10"/>
    </row>
  </sheetData>
  <mergeCells count="7">
    <mergeCell ref="B5:C5"/>
    <mergeCell ref="D5:E5"/>
    <mergeCell ref="F5:G5"/>
    <mergeCell ref="A180:G180"/>
    <mergeCell ref="A1:G1"/>
    <mergeCell ref="A2:G2"/>
    <mergeCell ref="A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Adjusted Trial Balance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</cp:lastModifiedBy>
  <dcterms:created xsi:type="dcterms:W3CDTF">2022-10-03T14:45:39Z</dcterms:created>
  <dcterms:modified xsi:type="dcterms:W3CDTF">2022-10-20T18:29:50Z</dcterms:modified>
</cp:coreProperties>
</file>