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6800 - Rowan Water\Drafts\ARF Filing\Attachments for ARF Filing\Amortization\"/>
    </mc:Choice>
  </mc:AlternateContent>
  <xr:revisionPtr revIDLastSave="0" documentId="8_{D48F84C1-671D-45F1-A537-BD8F71551FAA}" xr6:coauthVersionLast="47" xr6:coauthVersionMax="47" xr10:uidLastSave="{00000000-0000-0000-0000-000000000000}"/>
  <bookViews>
    <workbookView xWindow="675" yWindow="1200" windowWidth="20205" windowHeight="11595" xr2:uid="{00000000-000D-0000-FFFF-FFFF00000000}"/>
  </bookViews>
  <sheets>
    <sheet name="Lead Schedule" sheetId="5" r:id="rId1"/>
    <sheet name="Sinking Fund Payments" sheetId="8" r:id="rId2"/>
    <sheet name="Amortization Schedules" sheetId="6" r:id="rId3"/>
    <sheet name="Refunding Amounts" sheetId="7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5" l="1"/>
  <c r="C43" i="5" s="1"/>
  <c r="B18" i="5"/>
  <c r="B19" i="5" s="1"/>
  <c r="G15" i="5"/>
  <c r="E15" i="5"/>
  <c r="D15" i="5"/>
  <c r="C38" i="5" s="1"/>
  <c r="D39" i="5" s="1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C45" i="5"/>
  <c r="I16" i="5"/>
  <c r="C16" i="5"/>
  <c r="B11" i="6"/>
  <c r="B12" i="6"/>
  <c r="B13" i="6"/>
  <c r="B14" i="6"/>
  <c r="B10" i="6"/>
  <c r="AR25" i="6"/>
  <c r="AR26" i="6"/>
  <c r="AR27" i="6"/>
  <c r="AR28" i="6"/>
  <c r="AR29" i="6"/>
  <c r="AR30" i="6"/>
  <c r="AR31" i="6"/>
  <c r="AR32" i="6"/>
  <c r="AR35" i="6"/>
  <c r="AR38" i="6"/>
  <c r="AR37" i="6"/>
  <c r="AR36" i="6"/>
  <c r="AR34" i="6"/>
  <c r="AR33" i="6"/>
  <c r="AR24" i="6"/>
  <c r="AR23" i="6"/>
  <c r="AR22" i="6"/>
  <c r="AR21" i="6"/>
  <c r="AR20" i="6"/>
  <c r="AR19" i="6"/>
  <c r="AR18" i="6"/>
  <c r="AR17" i="6"/>
  <c r="AR16" i="6"/>
  <c r="AQ57" i="6"/>
  <c r="AQ58" i="6" s="1"/>
  <c r="D54" i="5"/>
  <c r="D52" i="5"/>
  <c r="D51" i="5"/>
  <c r="C50" i="5"/>
  <c r="B8" i="8"/>
  <c r="B10" i="8" s="1"/>
  <c r="B12" i="8" s="1"/>
  <c r="E21" i="8"/>
  <c r="U57" i="6"/>
  <c r="I14" i="5"/>
  <c r="I13" i="5"/>
  <c r="I12" i="5"/>
  <c r="I11" i="5"/>
  <c r="I10" i="5"/>
  <c r="I9" i="5"/>
  <c r="I8" i="5"/>
  <c r="I7" i="5"/>
  <c r="I6" i="5"/>
  <c r="I5" i="5"/>
  <c r="E5" i="5"/>
  <c r="I15" i="6" s="1"/>
  <c r="E10" i="5"/>
  <c r="AA15" i="6" s="1"/>
  <c r="E9" i="5"/>
  <c r="X15" i="6" s="1"/>
  <c r="E8" i="5"/>
  <c r="U15" i="6" s="1"/>
  <c r="E7" i="5"/>
  <c r="O15" i="6" s="1"/>
  <c r="E6" i="5"/>
  <c r="L15" i="6" s="1"/>
  <c r="D10" i="5"/>
  <c r="Z15" i="6" s="1"/>
  <c r="D9" i="5"/>
  <c r="W15" i="6" s="1"/>
  <c r="D8" i="5"/>
  <c r="T15" i="6" s="1"/>
  <c r="D7" i="5"/>
  <c r="N15" i="6" s="1"/>
  <c r="D5" i="5"/>
  <c r="H15" i="6" s="1"/>
  <c r="D6" i="5"/>
  <c r="K15" i="6" s="1"/>
  <c r="D5" i="7"/>
  <c r="D6" i="7"/>
  <c r="D7" i="7"/>
  <c r="D8" i="7"/>
  <c r="D9" i="7"/>
  <c r="D10" i="7"/>
  <c r="C11" i="7"/>
  <c r="B11" i="7"/>
  <c r="AI51" i="6"/>
  <c r="AI57" i="6" s="1"/>
  <c r="AO14" i="6"/>
  <c r="AL15" i="6" s="1"/>
  <c r="AO15" i="6" s="1"/>
  <c r="AL16" i="6" s="1"/>
  <c r="J22" i="5"/>
  <c r="G16" i="5" l="1"/>
  <c r="L16" i="5" s="1"/>
  <c r="B15" i="6"/>
  <c r="D46" i="5"/>
  <c r="C58" i="5"/>
  <c r="F16" i="5"/>
  <c r="AR57" i="6"/>
  <c r="AR58" i="6" s="1"/>
  <c r="B16" i="8"/>
  <c r="D11" i="7"/>
  <c r="D13" i="7" s="1"/>
  <c r="B16" i="6"/>
  <c r="F14" i="5"/>
  <c r="H14" i="5" s="1"/>
  <c r="H16" i="5" l="1"/>
  <c r="B17" i="8"/>
  <c r="D53" i="5"/>
  <c r="I15" i="5"/>
  <c r="I18" i="5" s="1"/>
  <c r="AO16" i="6"/>
  <c r="AL17" i="6" s="1"/>
  <c r="J14" i="5"/>
  <c r="E41" i="6"/>
  <c r="Z57" i="6"/>
  <c r="W57" i="6"/>
  <c r="N57" i="6"/>
  <c r="K57" i="6"/>
  <c r="H57" i="6"/>
  <c r="L5" i="5" s="1"/>
  <c r="E25" i="5"/>
  <c r="E24" i="5"/>
  <c r="E57" i="6" l="1"/>
  <c r="L11" i="5" s="1"/>
  <c r="D55" i="5"/>
  <c r="D58" i="5" s="1"/>
  <c r="E58" i="5" s="1"/>
  <c r="L9" i="5"/>
  <c r="L7" i="5"/>
  <c r="L14" i="5"/>
  <c r="L10" i="5"/>
  <c r="L6" i="5"/>
  <c r="E26" i="5"/>
  <c r="AJ51" i="6"/>
  <c r="AJ57" i="6" l="1"/>
  <c r="F13" i="5"/>
  <c r="J19" i="5"/>
  <c r="I19" i="5"/>
  <c r="J16" i="5" l="1"/>
  <c r="B17" i="6"/>
  <c r="AO17" i="6"/>
  <c r="AL18" i="6" s="1"/>
  <c r="J13" i="5"/>
  <c r="F15" i="5"/>
  <c r="I10" i="6"/>
  <c r="C10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G39" i="6"/>
  <c r="AG40" i="6"/>
  <c r="AG41" i="6"/>
  <c r="AG42" i="6"/>
  <c r="AG43" i="6"/>
  <c r="AG44" i="6"/>
  <c r="AG45" i="6"/>
  <c r="AG29" i="6"/>
  <c r="AG30" i="6"/>
  <c r="AG31" i="6"/>
  <c r="AG32" i="6"/>
  <c r="AG33" i="6"/>
  <c r="AG34" i="6"/>
  <c r="AG35" i="6"/>
  <c r="AG36" i="6"/>
  <c r="AG37" i="6"/>
  <c r="AG38" i="6"/>
  <c r="AG14" i="6"/>
  <c r="C14" i="6" s="1"/>
  <c r="AG15" i="6"/>
  <c r="C15" i="6" s="1"/>
  <c r="AG16" i="6"/>
  <c r="C16" i="6" s="1"/>
  <c r="AG17" i="6"/>
  <c r="C17" i="6" s="1"/>
  <c r="AG18" i="6"/>
  <c r="AG19" i="6"/>
  <c r="AG20" i="6"/>
  <c r="AG21" i="6"/>
  <c r="AG22" i="6"/>
  <c r="AG23" i="6"/>
  <c r="AG24" i="6"/>
  <c r="AG25" i="6"/>
  <c r="AG26" i="6"/>
  <c r="AG27" i="6"/>
  <c r="AG28" i="6"/>
  <c r="AF46" i="6"/>
  <c r="AF57" i="6" s="1"/>
  <c r="AG12" i="6"/>
  <c r="C12" i="6" s="1"/>
  <c r="AG13" i="6"/>
  <c r="C13" i="6" s="1"/>
  <c r="AG11" i="6"/>
  <c r="C11" i="6" s="1"/>
  <c r="AC46" i="6"/>
  <c r="T57" i="6"/>
  <c r="AA57" i="6"/>
  <c r="X57" i="6"/>
  <c r="O57" i="6"/>
  <c r="L57" i="6"/>
  <c r="F41" i="6"/>
  <c r="I57" i="6"/>
  <c r="Q57" i="6"/>
  <c r="R57" i="6"/>
  <c r="S57" i="6"/>
  <c r="F7" i="5"/>
  <c r="F11" i="5"/>
  <c r="F12" i="5"/>
  <c r="B6" i="6"/>
  <c r="B7" i="6"/>
  <c r="B8" i="6"/>
  <c r="C5" i="6"/>
  <c r="B5" i="6"/>
  <c r="B9" i="6"/>
  <c r="C9" i="6"/>
  <c r="C8" i="6"/>
  <c r="C7" i="6"/>
  <c r="C6" i="6"/>
  <c r="F8" i="5"/>
  <c r="F10" i="5"/>
  <c r="F9" i="5"/>
  <c r="F5" i="5"/>
  <c r="F6" i="5"/>
  <c r="C18" i="5"/>
  <c r="E18" i="5"/>
  <c r="F4" i="5"/>
  <c r="I22" i="5"/>
  <c r="B4" i="5"/>
  <c r="AC57" i="6" l="1"/>
  <c r="L12" i="5" s="1"/>
  <c r="F57" i="6"/>
  <c r="E19" i="5"/>
  <c r="C18" i="6"/>
  <c r="H15" i="5"/>
  <c r="J15" i="5"/>
  <c r="L13" i="5"/>
  <c r="L8" i="5"/>
  <c r="E28" i="5"/>
  <c r="AG46" i="6"/>
  <c r="AG57" i="6" s="1"/>
  <c r="AD46" i="6"/>
  <c r="H13" i="5"/>
  <c r="J9" i="5"/>
  <c r="J6" i="5"/>
  <c r="J12" i="5"/>
  <c r="H7" i="5"/>
  <c r="H8" i="5"/>
  <c r="H6" i="5"/>
  <c r="H12" i="5"/>
  <c r="J10" i="5"/>
  <c r="H10" i="5"/>
  <c r="J8" i="5"/>
  <c r="H5" i="5"/>
  <c r="H11" i="5"/>
  <c r="H9" i="5"/>
  <c r="F18" i="5"/>
  <c r="F19" i="5" s="1"/>
  <c r="J7" i="5"/>
  <c r="J5" i="5"/>
  <c r="D18" i="5"/>
  <c r="D19" i="5" s="1"/>
  <c r="J11" i="5"/>
  <c r="K19" i="5"/>
  <c r="K22" i="5"/>
  <c r="J18" i="5" l="1"/>
  <c r="J20" i="5" s="1"/>
  <c r="AD57" i="6"/>
  <c r="B18" i="6"/>
  <c r="I23" i="5"/>
  <c r="G18" i="5"/>
  <c r="I20" i="5"/>
  <c r="H18" i="5"/>
  <c r="C32" i="5" l="1"/>
  <c r="D33" i="5" s="1"/>
  <c r="AO18" i="6"/>
  <c r="AL19" i="6" s="1"/>
  <c r="K18" i="5"/>
  <c r="K20" i="5" s="1"/>
  <c r="J23" i="5"/>
  <c r="K23" i="5" s="1"/>
  <c r="C19" i="6" l="1"/>
  <c r="B19" i="6" l="1"/>
  <c r="AO19" i="6" l="1"/>
  <c r="AL20" i="6" s="1"/>
  <c r="C20" i="6" l="1"/>
  <c r="B20" i="6" l="1"/>
  <c r="AO20" i="6" l="1"/>
  <c r="AL21" i="6" s="1"/>
  <c r="C21" i="6" l="1"/>
  <c r="B21" i="6" l="1"/>
  <c r="AO21" i="6" l="1"/>
  <c r="AL22" i="6" s="1"/>
  <c r="C22" i="6" l="1"/>
  <c r="B22" i="6" l="1"/>
  <c r="AO22" i="6" l="1"/>
  <c r="AL23" i="6" s="1"/>
  <c r="C23" i="6" l="1"/>
  <c r="B23" i="6" l="1"/>
  <c r="AO23" i="6" l="1"/>
  <c r="AL24" i="6" s="1"/>
  <c r="C24" i="6" l="1"/>
  <c r="B24" i="6" l="1"/>
  <c r="AO24" i="6" l="1"/>
  <c r="AL25" i="6" s="1"/>
  <c r="C25" i="6" l="1"/>
  <c r="B25" i="6" l="1"/>
  <c r="AO25" i="6" l="1"/>
  <c r="AL26" i="6" s="1"/>
  <c r="C26" i="6" l="1"/>
  <c r="B26" i="6" l="1"/>
  <c r="AO26" i="6" l="1"/>
  <c r="AL27" i="6" s="1"/>
  <c r="C27" i="6" l="1"/>
  <c r="B27" i="6" l="1"/>
  <c r="AO27" i="6" l="1"/>
  <c r="AL28" i="6" s="1"/>
  <c r="C28" i="6" l="1"/>
  <c r="B28" i="6" l="1"/>
  <c r="AO28" i="6" l="1"/>
  <c r="AL29" i="6" s="1"/>
  <c r="C29" i="6" l="1"/>
  <c r="B29" i="6" l="1"/>
  <c r="AO29" i="6" l="1"/>
  <c r="AL30" i="6" s="1"/>
  <c r="C30" i="6" l="1"/>
  <c r="B30" i="6" l="1"/>
  <c r="AO30" i="6" l="1"/>
  <c r="AL31" i="6" s="1"/>
  <c r="C31" i="6" l="1"/>
  <c r="B31" i="6" l="1"/>
  <c r="AO31" i="6" l="1"/>
  <c r="AL32" i="6" s="1"/>
  <c r="C32" i="6" l="1"/>
  <c r="B32" i="6" l="1"/>
  <c r="AO32" i="6" l="1"/>
  <c r="AL33" i="6" s="1"/>
  <c r="C33" i="6" l="1"/>
  <c r="B33" i="6" l="1"/>
  <c r="AO33" i="6" l="1"/>
  <c r="AL34" i="6" s="1"/>
  <c r="C34" i="6" l="1"/>
  <c r="B34" i="6" l="1"/>
  <c r="AO34" i="6" l="1"/>
  <c r="AL35" i="6" s="1"/>
  <c r="C35" i="6" l="1"/>
  <c r="B35" i="6" l="1"/>
  <c r="AO35" i="6" l="1"/>
  <c r="AL36" i="6" s="1"/>
  <c r="C36" i="6" l="1"/>
  <c r="B36" i="6" l="1"/>
  <c r="AO36" i="6" l="1"/>
  <c r="AL37" i="6" s="1"/>
  <c r="C37" i="6" l="1"/>
  <c r="B37" i="6" l="1"/>
  <c r="AO37" i="6" l="1"/>
  <c r="AL38" i="6" s="1"/>
  <c r="C38" i="6" l="1"/>
  <c r="B38" i="6" l="1"/>
  <c r="AO38" i="6" l="1"/>
  <c r="AL39" i="6" s="1"/>
  <c r="B39" i="6" l="1"/>
  <c r="C39" i="6"/>
  <c r="AO39" i="6" l="1"/>
  <c r="AL40" i="6" s="1"/>
  <c r="C40" i="6" s="1"/>
  <c r="B40" i="6" l="1"/>
  <c r="AO40" i="6" l="1"/>
  <c r="AL41" i="6" s="1"/>
  <c r="C41" i="6" l="1"/>
  <c r="B41" i="6" l="1"/>
  <c r="AO41" i="6" l="1"/>
  <c r="AL42" i="6" s="1"/>
  <c r="C42" i="6" s="1"/>
  <c r="B42" i="6" l="1"/>
  <c r="AO42" i="6" l="1"/>
  <c r="AL43" i="6" s="1"/>
  <c r="C43" i="6" s="1"/>
  <c r="B43" i="6" l="1"/>
  <c r="AO43" i="6" l="1"/>
  <c r="AL44" i="6" s="1"/>
  <c r="C44" i="6" s="1"/>
  <c r="B44" i="6" l="1"/>
  <c r="AO44" i="6" l="1"/>
  <c r="AL45" i="6" s="1"/>
  <c r="C45" i="6" s="1"/>
  <c r="B45" i="6" l="1"/>
  <c r="AO45" i="6" l="1"/>
  <c r="AL46" i="6" s="1"/>
  <c r="C46" i="6" s="1"/>
  <c r="B46" i="6" l="1"/>
  <c r="AO46" i="6" l="1"/>
  <c r="AL47" i="6" s="1"/>
  <c r="C47" i="6" s="1"/>
  <c r="B47" i="6" l="1"/>
  <c r="AO47" i="6" l="1"/>
  <c r="AL48" i="6" s="1"/>
  <c r="C48" i="6" s="1"/>
  <c r="B48" i="6" l="1"/>
  <c r="AO48" i="6" l="1"/>
  <c r="AL49" i="6" s="1"/>
  <c r="C49" i="6" s="1"/>
  <c r="B49" i="6" l="1"/>
  <c r="AO49" i="6" l="1"/>
  <c r="AL50" i="6" s="1"/>
  <c r="C50" i="6" s="1"/>
  <c r="B50" i="6" l="1"/>
  <c r="AO50" i="6" l="1"/>
  <c r="AL51" i="6" s="1"/>
  <c r="C51" i="6" s="1"/>
  <c r="B51" i="6" l="1"/>
  <c r="AO51" i="6" l="1"/>
  <c r="AL52" i="6" s="1"/>
  <c r="C52" i="6" s="1"/>
  <c r="B52" i="6" l="1"/>
  <c r="AO52" i="6" l="1"/>
  <c r="AL53" i="6" s="1"/>
  <c r="C53" i="6" s="1"/>
  <c r="AO53" i="6" l="1"/>
  <c r="AL54" i="6" s="1"/>
  <c r="C54" i="6" s="1"/>
  <c r="B53" i="6"/>
  <c r="AO54" i="6" l="1"/>
  <c r="AL55" i="6" s="1"/>
  <c r="C55" i="6" l="1"/>
  <c r="C57" i="6" s="1"/>
  <c r="B55" i="6"/>
  <c r="AN57" i="6"/>
  <c r="B54" i="6"/>
  <c r="AO55" i="6" l="1"/>
  <c r="AM57" i="6"/>
  <c r="B57" i="6"/>
  <c r="G19" i="5" s="1"/>
  <c r="L15" i="5" l="1"/>
  <c r="B58" i="6"/>
</calcChain>
</file>

<file path=xl/sharedStrings.xml><?xml version="1.0" encoding="utf-8"?>
<sst xmlns="http://schemas.openxmlformats.org/spreadsheetml/2006/main" count="134" uniqueCount="87">
  <si>
    <t>Principal</t>
  </si>
  <si>
    <t>Interest</t>
  </si>
  <si>
    <t>Additions</t>
  </si>
  <si>
    <t>Payments</t>
  </si>
  <si>
    <t>Total</t>
  </si>
  <si>
    <t>Issuance</t>
  </si>
  <si>
    <t>Variance</t>
  </si>
  <si>
    <t>Amortization Schedules</t>
  </si>
  <si>
    <t>Year</t>
  </si>
  <si>
    <t xml:space="preserve"> </t>
  </si>
  <si>
    <t>USDA - 91-15</t>
  </si>
  <si>
    <t>USDA - 91-12</t>
  </si>
  <si>
    <t>USDA - 91-14</t>
  </si>
  <si>
    <t>USDA - 91-21</t>
  </si>
  <si>
    <t>USDA - 91-22</t>
  </si>
  <si>
    <t>USDA - 91-24</t>
  </si>
  <si>
    <t>USDA - 91-25</t>
  </si>
  <si>
    <t>Loan 25</t>
  </si>
  <si>
    <t>Loan 12</t>
  </si>
  <si>
    <t>Loan 14</t>
  </si>
  <si>
    <t>Loan 15</t>
  </si>
  <si>
    <t>Loan 17</t>
  </si>
  <si>
    <t>Loan 21</t>
  </si>
  <si>
    <t>Loan 22</t>
  </si>
  <si>
    <t>Loan 24</t>
  </si>
  <si>
    <t>USDA - 91-29</t>
  </si>
  <si>
    <t>USDA - 91-27</t>
  </si>
  <si>
    <t>Loan 27</t>
  </si>
  <si>
    <t>Loan 29</t>
  </si>
  <si>
    <t>Debt Lead Schedule</t>
  </si>
  <si>
    <t>Current</t>
  </si>
  <si>
    <t>Noncurrent</t>
  </si>
  <si>
    <t>Final Trial Balances</t>
  </si>
  <si>
    <t>USDA - 91-30</t>
  </si>
  <si>
    <t>ADJ TB</t>
  </si>
  <si>
    <t>Loan 30</t>
  </si>
  <si>
    <t>Confirmation</t>
  </si>
  <si>
    <t>Balance</t>
  </si>
  <si>
    <t>Per PY Comp</t>
  </si>
  <si>
    <t>DR Notes Payable-FMHA 23050</t>
  </si>
  <si>
    <t>Beginning USDA Loan-Current 23060 per PY</t>
  </si>
  <si>
    <t>Beginning Notes Payable-FMHA 23050 per PY</t>
  </si>
  <si>
    <t>IM variance - same as PY</t>
  </si>
  <si>
    <t>USDA - 992215451</t>
  </si>
  <si>
    <t>2020 RUS Loan</t>
  </si>
  <si>
    <t>Beginning</t>
  </si>
  <si>
    <t>Ending</t>
  </si>
  <si>
    <t>Schedule of Refunding Amounts</t>
  </si>
  <si>
    <t>Loan</t>
  </si>
  <si>
    <t>Refunded</t>
  </si>
  <si>
    <t>9120-12</t>
  </si>
  <si>
    <t>9120-14</t>
  </si>
  <si>
    <t>9120-21</t>
  </si>
  <si>
    <t>9120-15</t>
  </si>
  <si>
    <t>Deposit to Current Refunding Fund per Sources &amp; Uses Statement</t>
  </si>
  <si>
    <t>9120-22</t>
  </si>
  <si>
    <t>9120-24</t>
  </si>
  <si>
    <t>Schedule of Sinking Fund Payments</t>
  </si>
  <si>
    <t>23040</t>
  </si>
  <si>
    <t>60290</t>
  </si>
  <si>
    <t>September</t>
  </si>
  <si>
    <t>October</t>
  </si>
  <si>
    <t>November</t>
  </si>
  <si>
    <t>December</t>
  </si>
  <si>
    <t>January</t>
  </si>
  <si>
    <t>23050</t>
  </si>
  <si>
    <t>CR Notes Payable-FMHA 23050</t>
  </si>
  <si>
    <t>Regions Statement</t>
  </si>
  <si>
    <t>Deposit to Regions from Sources and Uses Statement</t>
  </si>
  <si>
    <t>Interest Earnings-Regions Statement</t>
  </si>
  <si>
    <t>DR Sinking Fund Investment 15600</t>
  </si>
  <si>
    <t>CR Regions Bank 23040</t>
  </si>
  <si>
    <t>CR Interest Income 40050</t>
  </si>
  <si>
    <t>CR Interest Expense 60290</t>
  </si>
  <si>
    <t>KRWFC Bonds Series 2021B</t>
  </si>
  <si>
    <t>CR Bonds Payable KRWFC 23300</t>
  </si>
  <si>
    <t>DR USDA Loan-Current 23060</t>
  </si>
  <si>
    <t>DR Interest Expense 60290</t>
  </si>
  <si>
    <t>(to record new bond issuance)</t>
  </si>
  <si>
    <t>(to record sinking fund cash balance)</t>
  </si>
  <si>
    <t>KRWFC Bonds</t>
  </si>
  <si>
    <t>Company posted 44,947.84 to #60290 and 1,708.16 to #23050 - will reclass accordingly.</t>
  </si>
  <si>
    <t>(to reclassify debt posting)</t>
  </si>
  <si>
    <t>(to correct current vs. noncurrent portions)</t>
  </si>
  <si>
    <t>RJE #10</t>
  </si>
  <si>
    <t>CR USDA Loan-Current 23060</t>
  </si>
  <si>
    <t>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</si>
</sst>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1"/>
      <color rgb="FFFF0000"/>
      <name val="Calibri"/>
      <family val="2"/>
      <scheme val="minor"/>
    </font>
    <font>
      <b/>
      <sz val="8"/>
      <color rgb="FF0000FF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3" borderId="2" applyNumberFormat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4" borderId="2" applyNumberFormat="0" applyAlignment="0" applyProtection="0"/>
    <xf numFmtId="0" fontId="7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5" borderId="0" xfId="0" applyFill="1"/>
    <xf numFmtId="43" fontId="3" fillId="0" borderId="0" xfId="3" applyFont="1"/>
    <xf numFmtId="43" fontId="3" fillId="0" borderId="1" xfId="3" applyFont="1" applyBorder="1" applyAlignment="1">
      <alignment horizontal="center"/>
    </xf>
    <xf numFmtId="0" fontId="9" fillId="0" borderId="0" xfId="3" quotePrefix="1" applyNumberFormat="1" applyFont="1"/>
    <xf numFmtId="0" fontId="0" fillId="6" borderId="0" xfId="0" applyFill="1"/>
    <xf numFmtId="43" fontId="3" fillId="0" borderId="0" xfId="3" applyFont="1"/>
    <xf numFmtId="43" fontId="3" fillId="0" borderId="1" xfId="3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1" xfId="3" applyFont="1" applyBorder="1" applyAlignment="1">
      <alignment horizontal="center"/>
    </xf>
    <xf numFmtId="43" fontId="3" fillId="6" borderId="0" xfId="3" applyFont="1" applyFill="1"/>
    <xf numFmtId="43" fontId="3" fillId="0" borderId="0" xfId="3" applyFont="1"/>
    <xf numFmtId="43" fontId="3" fillId="0" borderId="0" xfId="3" applyFont="1"/>
    <xf numFmtId="43" fontId="3" fillId="0" borderId="0" xfId="3" applyFont="1" applyFill="1"/>
    <xf numFmtId="43" fontId="3" fillId="0" borderId="0" xfId="3" applyFont="1"/>
    <xf numFmtId="43" fontId="3" fillId="0" borderId="0" xfId="3" applyFont="1" applyBorder="1" applyAlignment="1">
      <alignment horizontal="center"/>
    </xf>
    <xf numFmtId="43" fontId="8" fillId="0" borderId="0" xfId="3" applyFont="1"/>
    <xf numFmtId="43" fontId="10" fillId="0" borderId="0" xfId="3" applyFont="1" applyFill="1"/>
    <xf numFmtId="43" fontId="10" fillId="0" borderId="0" xfId="3" applyFont="1"/>
    <xf numFmtId="43" fontId="10" fillId="0" borderId="1" xfId="3" applyFont="1" applyFill="1" applyBorder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43" fontId="3" fillId="0" borderId="1" xfId="3" applyFont="1" applyBorder="1" applyAlignment="1">
      <alignment horizontal="center"/>
    </xf>
    <xf numFmtId="43" fontId="8" fillId="0" borderId="0" xfId="3" applyFont="1" applyFill="1"/>
    <xf numFmtId="43" fontId="3" fillId="0" borderId="0" xfId="3" applyFo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43" fontId="3" fillId="5" borderId="0" xfId="3" applyFont="1" applyFill="1"/>
    <xf numFmtId="43" fontId="10" fillId="0" borderId="0" xfId="3" applyFont="1" applyFill="1" applyBorder="1"/>
    <xf numFmtId="43" fontId="3" fillId="0" borderId="0" xfId="3" applyFont="1"/>
    <xf numFmtId="0" fontId="0" fillId="7" borderId="0" xfId="0" applyFill="1" applyAlignment="1">
      <alignment horizontal="center"/>
    </xf>
    <xf numFmtId="43" fontId="3" fillId="7" borderId="0" xfId="3" applyFont="1" applyFill="1"/>
    <xf numFmtId="0" fontId="0" fillId="7" borderId="0" xfId="0" applyFill="1"/>
    <xf numFmtId="43" fontId="3" fillId="0" borderId="0" xfId="3" applyFont="1" applyBorder="1"/>
    <xf numFmtId="43" fontId="3" fillId="0" borderId="1" xfId="3" applyFont="1" applyBorder="1"/>
    <xf numFmtId="43" fontId="10" fillId="0" borderId="1" xfId="3" applyFont="1" applyFill="1" applyBorder="1" applyAlignment="1">
      <alignment horizontal="center"/>
    </xf>
    <xf numFmtId="43" fontId="3" fillId="0" borderId="0" xfId="3" applyFont="1"/>
    <xf numFmtId="38" fontId="3" fillId="0" borderId="1" xfId="3" applyNumberFormat="1" applyFont="1" applyBorder="1"/>
    <xf numFmtId="43" fontId="10" fillId="0" borderId="0" xfId="3" applyFont="1" applyBorder="1"/>
    <xf numFmtId="43" fontId="0" fillId="0" borderId="0" xfId="3" applyFont="1"/>
    <xf numFmtId="164" fontId="3" fillId="0" borderId="0" xfId="8" applyNumberFormat="1" applyFont="1"/>
    <xf numFmtId="14" fontId="3" fillId="0" borderId="0" xfId="3" applyNumberFormat="1" applyFont="1"/>
    <xf numFmtId="43" fontId="3" fillId="0" borderId="1" xfId="3" applyFont="1" applyFill="1" applyBorder="1" applyAlignment="1">
      <alignment horizontal="center"/>
    </xf>
    <xf numFmtId="43" fontId="3" fillId="0" borderId="0" xfId="3" applyFont="1" applyFill="1" applyBorder="1"/>
    <xf numFmtId="43" fontId="3" fillId="0" borderId="1" xfId="3" applyFont="1" applyBorder="1" applyAlignment="1">
      <alignment horizontal="center"/>
    </xf>
    <xf numFmtId="43" fontId="0" fillId="0" borderId="0" xfId="3" applyFont="1" applyAlignment="1">
      <alignment horizontal="center"/>
    </xf>
    <xf numFmtId="43" fontId="0" fillId="0" borderId="0" xfId="0" applyNumberFormat="1"/>
    <xf numFmtId="165" fontId="3" fillId="0" borderId="0" xfId="3" applyNumberFormat="1" applyFont="1"/>
    <xf numFmtId="38" fontId="3" fillId="0" borderId="0" xfId="3" applyNumberFormat="1" applyFont="1"/>
    <xf numFmtId="43" fontId="3" fillId="0" borderId="1" xfId="3" applyFont="1" applyBorder="1" applyAlignment="1">
      <alignment horizontal="center"/>
    </xf>
    <xf numFmtId="43" fontId="0" fillId="5" borderId="0" xfId="3" applyFont="1" applyFill="1"/>
    <xf numFmtId="43" fontId="3" fillId="0" borderId="0" xfId="3" applyFont="1" applyFill="1" applyBorder="1" applyAlignment="1">
      <alignment horizontal="center"/>
    </xf>
    <xf numFmtId="43" fontId="0" fillId="7" borderId="0" xfId="3" applyFont="1" applyFill="1"/>
    <xf numFmtId="43" fontId="3" fillId="0" borderId="1" xfId="3" applyFont="1" applyBorder="1" applyAlignment="1">
      <alignment horizontal="center"/>
    </xf>
    <xf numFmtId="43" fontId="0" fillId="0" borderId="0" xfId="3" applyFont="1" applyBorder="1"/>
    <xf numFmtId="43" fontId="0" fillId="0" borderId="1" xfId="3" applyFont="1" applyBorder="1"/>
    <xf numFmtId="43" fontId="0" fillId="0" borderId="0" xfId="3" applyFont="1" applyBorder="1" applyAlignment="1">
      <alignment horizontal="center"/>
    </xf>
    <xf numFmtId="43" fontId="0" fillId="0" borderId="1" xfId="3" applyFont="1" applyBorder="1" applyAlignment="1">
      <alignment horizontal="center"/>
    </xf>
    <xf numFmtId="17" fontId="0" fillId="0" borderId="0" xfId="0" applyNumberFormat="1"/>
    <xf numFmtId="0" fontId="0" fillId="0" borderId="0" xfId="0" quotePrefix="1"/>
    <xf numFmtId="14" fontId="0" fillId="0" borderId="0" xfId="0" applyNumberFormat="1"/>
    <xf numFmtId="43" fontId="0" fillId="0" borderId="0" xfId="3" applyFont="1" applyFill="1"/>
    <xf numFmtId="165" fontId="3" fillId="0" borderId="0" xfId="3" applyNumberFormat="1" applyFont="1" applyFill="1"/>
    <xf numFmtId="43" fontId="11" fillId="0" borderId="0" xfId="3" applyFont="1" applyFill="1"/>
    <xf numFmtId="43" fontId="3" fillId="0" borderId="1" xfId="3" applyFont="1" applyFill="1" applyBorder="1"/>
    <xf numFmtId="43" fontId="10" fillId="8" borderId="0" xfId="3" applyFont="1" applyFill="1" applyBorder="1"/>
    <xf numFmtId="43" fontId="3" fillId="8" borderId="0" xfId="3" applyFont="1" applyFill="1"/>
    <xf numFmtId="43" fontId="0" fillId="0" borderId="0" xfId="3" applyNumberFormat="1" applyFont="1" applyFill="1"/>
    <xf numFmtId="43" fontId="3" fillId="0" borderId="0" xfId="3" applyNumberFormat="1" applyFont="1" applyFill="1"/>
    <xf numFmtId="38" fontId="3" fillId="0" borderId="1" xfId="3" applyNumberFormat="1" applyFont="1" applyFill="1" applyBorder="1"/>
    <xf numFmtId="43" fontId="0" fillId="9" borderId="0" xfId="3" applyNumberFormat="1" applyFont="1" applyFill="1"/>
    <xf numFmtId="43" fontId="3" fillId="9" borderId="0" xfId="3" applyFont="1" applyFill="1"/>
    <xf numFmtId="43" fontId="3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9">
    <cellStyle name="20% - Accent3 2" xfId="1" xr:uid="{00000000-0005-0000-0000-000000000000}"/>
    <cellStyle name="Calculation 2" xfId="2" xr:uid="{00000000-0005-0000-0000-000001000000}"/>
    <cellStyle name="Comma" xfId="3" builtinId="3"/>
    <cellStyle name="Currency 2" xfId="4" xr:uid="{00000000-0005-0000-0000-000003000000}"/>
    <cellStyle name="Currency 3" xfId="5" xr:uid="{00000000-0005-0000-0000-000004000000}"/>
    <cellStyle name="Input 2" xfId="6" xr:uid="{00000000-0005-0000-0000-000005000000}"/>
    <cellStyle name="Normal" xfId="0" builtinId="0"/>
    <cellStyle name="Normal 2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epac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pace"/>
    </sheetNames>
    <definedNames>
      <definedName name="CY"/>
      <definedName name="PY"/>
      <definedName name="TBLin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/>
  </sheetViews>
  <sheetFormatPr defaultColWidth="9.1328125" defaultRowHeight="14.25" x14ac:dyDescent="0.45"/>
  <cols>
    <col min="1" max="1" width="26.265625" style="3" customWidth="1"/>
    <col min="2" max="2" width="14.265625" style="3" bestFit="1" customWidth="1"/>
    <col min="3" max="4" width="13.265625" style="3" bestFit="1" customWidth="1"/>
    <col min="5" max="5" width="14" style="3" bestFit="1" customWidth="1"/>
    <col min="6" max="6" width="14.265625" style="3" bestFit="1" customWidth="1"/>
    <col min="7" max="7" width="18.1328125" style="3" bestFit="1" customWidth="1"/>
    <col min="8" max="8" width="14.265625" style="3" bestFit="1" customWidth="1"/>
    <col min="9" max="9" width="12.1328125" style="3" bestFit="1" customWidth="1"/>
    <col min="10" max="11" width="14" style="3" bestFit="1" customWidth="1"/>
    <col min="12" max="12" width="19.3984375" style="3" bestFit="1" customWidth="1"/>
    <col min="13" max="13" width="13.265625" style="3" bestFit="1" customWidth="1"/>
    <col min="14" max="16384" width="9.1328125" style="3"/>
  </cols>
  <sheetData>
    <row r="1" spans="1:12" x14ac:dyDescent="0.45">
      <c r="A1" s="31" t="s">
        <v>29</v>
      </c>
    </row>
    <row r="3" spans="1:12" x14ac:dyDescent="0.45">
      <c r="C3" s="5"/>
      <c r="D3" s="74" t="s">
        <v>3</v>
      </c>
      <c r="E3" s="74"/>
      <c r="G3" s="47" t="s">
        <v>36</v>
      </c>
      <c r="I3" s="17"/>
    </row>
    <row r="4" spans="1:12" s="15" customFormat="1" x14ac:dyDescent="0.45">
      <c r="A4" s="37" t="s">
        <v>5</v>
      </c>
      <c r="B4" s="37" t="str">
        <f>[1]!PY(1)</f>
        <v>2020</v>
      </c>
      <c r="C4" s="37" t="s">
        <v>2</v>
      </c>
      <c r="D4" s="37" t="s">
        <v>0</v>
      </c>
      <c r="E4" s="37" t="s">
        <v>1</v>
      </c>
      <c r="F4" s="37" t="str">
        <f>[1]!CY()</f>
        <v>2021</v>
      </c>
      <c r="G4" s="37" t="s">
        <v>37</v>
      </c>
      <c r="H4" s="37" t="s">
        <v>6</v>
      </c>
      <c r="I4" s="37" t="s">
        <v>30</v>
      </c>
      <c r="J4" s="44" t="s">
        <v>31</v>
      </c>
    </row>
    <row r="5" spans="1:12" s="15" customFormat="1" x14ac:dyDescent="0.45">
      <c r="A5" s="19" t="s">
        <v>11</v>
      </c>
      <c r="B5" s="19">
        <v>637968.53</v>
      </c>
      <c r="C5" s="19">
        <v>0</v>
      </c>
      <c r="D5" s="19">
        <f>+'Refunding Amounts'!B5+45060.57-0.9</f>
        <v>637968.52999999991</v>
      </c>
      <c r="E5" s="19">
        <f>+'Refunding Amounts'!C5+31898.43-24.38</f>
        <v>32223.309999999998</v>
      </c>
      <c r="F5" s="19">
        <f t="shared" ref="F5:F15" si="0">B5+C5-D5</f>
        <v>0</v>
      </c>
      <c r="G5" s="19">
        <v>0</v>
      </c>
      <c r="H5" s="19">
        <f t="shared" ref="H5:H15" si="1">F5-G5</f>
        <v>0</v>
      </c>
      <c r="I5" s="19">
        <f>+'Amortization Schedules'!H16</f>
        <v>0</v>
      </c>
      <c r="J5" s="45">
        <f t="shared" ref="J5:J15" si="2">+F5-I5</f>
        <v>0</v>
      </c>
      <c r="L5" s="15">
        <f>+G5-'Amortization Schedules'!H57</f>
        <v>0</v>
      </c>
    </row>
    <row r="6" spans="1:12" s="15" customFormat="1" x14ac:dyDescent="0.45">
      <c r="A6" s="19" t="s">
        <v>12</v>
      </c>
      <c r="B6" s="19">
        <v>202691.49</v>
      </c>
      <c r="C6" s="19">
        <v>0</v>
      </c>
      <c r="D6" s="19">
        <f>+'Refunding Amounts'!B6</f>
        <v>202691.49</v>
      </c>
      <c r="E6" s="19">
        <f>+'Refunding Amounts'!C6</f>
        <v>8635.2199999999993</v>
      </c>
      <c r="F6" s="19">
        <f t="shared" si="0"/>
        <v>0</v>
      </c>
      <c r="G6" s="19">
        <v>0</v>
      </c>
      <c r="H6" s="19">
        <f t="shared" si="1"/>
        <v>0</v>
      </c>
      <c r="I6" s="19">
        <f>+'Amortization Schedules'!K16</f>
        <v>0</v>
      </c>
      <c r="J6" s="45">
        <f t="shared" si="2"/>
        <v>0</v>
      </c>
      <c r="L6" s="15">
        <f>+'Lead Schedule'!G6-'Amortization Schedules'!K57</f>
        <v>0</v>
      </c>
    </row>
    <row r="7" spans="1:12" s="15" customFormat="1" x14ac:dyDescent="0.45">
      <c r="A7" s="19" t="s">
        <v>10</v>
      </c>
      <c r="B7" s="19">
        <v>827586.87</v>
      </c>
      <c r="C7" s="19">
        <v>0</v>
      </c>
      <c r="D7" s="19">
        <f>+'Refunding Amounts'!B7+30913.59</f>
        <v>827586.87</v>
      </c>
      <c r="E7" s="19">
        <f>+'Refunding Amounts'!C7+37241.41</f>
        <v>44215.030000000006</v>
      </c>
      <c r="F7" s="19">
        <f t="shared" si="0"/>
        <v>0</v>
      </c>
      <c r="G7" s="19">
        <v>0</v>
      </c>
      <c r="H7" s="19">
        <f t="shared" si="1"/>
        <v>0</v>
      </c>
      <c r="I7" s="19">
        <f>+'Amortization Schedules'!N16</f>
        <v>0</v>
      </c>
      <c r="J7" s="15">
        <f t="shared" si="2"/>
        <v>0</v>
      </c>
      <c r="L7" s="15">
        <f>+G7-'Amortization Schedules'!N57</f>
        <v>0</v>
      </c>
    </row>
    <row r="8" spans="1:12" s="15" customFormat="1" x14ac:dyDescent="0.45">
      <c r="A8" s="19" t="s">
        <v>13</v>
      </c>
      <c r="B8" s="30">
        <v>259347.97</v>
      </c>
      <c r="C8" s="19">
        <v>0</v>
      </c>
      <c r="D8" s="19">
        <f>+'Refunding Amounts'!B8+8222.35</f>
        <v>259347.97</v>
      </c>
      <c r="E8" s="19">
        <f>+'Refunding Amounts'!C8+11670.65</f>
        <v>13992.71</v>
      </c>
      <c r="F8" s="19">
        <f t="shared" si="0"/>
        <v>0</v>
      </c>
      <c r="G8" s="19">
        <v>0</v>
      </c>
      <c r="H8" s="19">
        <f t="shared" si="1"/>
        <v>0</v>
      </c>
      <c r="I8" s="19">
        <f>+'Amortization Schedules'!T16</f>
        <v>0</v>
      </c>
      <c r="J8" s="45">
        <f t="shared" si="2"/>
        <v>0</v>
      </c>
      <c r="L8" s="15">
        <f>+G8-'Amortization Schedules'!T57</f>
        <v>0</v>
      </c>
    </row>
    <row r="9" spans="1:12" s="15" customFormat="1" x14ac:dyDescent="0.45">
      <c r="A9" s="19" t="s">
        <v>14</v>
      </c>
      <c r="B9" s="30">
        <v>381339.45</v>
      </c>
      <c r="C9" s="19">
        <v>0</v>
      </c>
      <c r="D9" s="19">
        <f>+'Refunding Amounts'!B9+9159.73</f>
        <v>381339.44999999995</v>
      </c>
      <c r="E9" s="19">
        <f>+'Refunding Amounts'!C9+17160.27</f>
        <v>25281.940000000002</v>
      </c>
      <c r="F9" s="19">
        <f t="shared" si="0"/>
        <v>0</v>
      </c>
      <c r="G9" s="19">
        <v>0</v>
      </c>
      <c r="H9" s="19">
        <f t="shared" si="1"/>
        <v>0</v>
      </c>
      <c r="I9" s="19">
        <f>+'Amortization Schedules'!W16</f>
        <v>0</v>
      </c>
      <c r="J9" s="45">
        <f t="shared" si="2"/>
        <v>0</v>
      </c>
      <c r="L9" s="15">
        <f>+G9-'Amortization Schedules'!W57</f>
        <v>0</v>
      </c>
    </row>
    <row r="10" spans="1:12" s="15" customFormat="1" x14ac:dyDescent="0.45">
      <c r="A10" s="19" t="s">
        <v>15</v>
      </c>
      <c r="B10" s="30">
        <v>168739.34</v>
      </c>
      <c r="C10" s="19">
        <v>0</v>
      </c>
      <c r="D10" s="19">
        <f>+'Refunding Amounts'!B10+4054.73</f>
        <v>168739.34</v>
      </c>
      <c r="E10" s="19">
        <f>+'Refunding Amounts'!C10+7593.27</f>
        <v>11187</v>
      </c>
      <c r="F10" s="19">
        <f t="shared" si="0"/>
        <v>0</v>
      </c>
      <c r="G10" s="19">
        <v>0</v>
      </c>
      <c r="H10" s="19">
        <f t="shared" si="1"/>
        <v>0</v>
      </c>
      <c r="I10" s="19">
        <f>+'Amortization Schedules'!Z16</f>
        <v>0</v>
      </c>
      <c r="J10" s="45">
        <f t="shared" si="2"/>
        <v>0</v>
      </c>
      <c r="L10" s="15">
        <f>+G10-'Amortization Schedules'!Z57</f>
        <v>0</v>
      </c>
    </row>
    <row r="11" spans="1:12" s="15" customFormat="1" x14ac:dyDescent="0.45">
      <c r="A11" s="19" t="s">
        <v>16</v>
      </c>
      <c r="B11" s="30">
        <v>507769.49</v>
      </c>
      <c r="C11" s="19">
        <v>0</v>
      </c>
      <c r="D11" s="19">
        <v>10596.51</v>
      </c>
      <c r="E11" s="19">
        <v>20945.490000000002</v>
      </c>
      <c r="F11" s="19">
        <f t="shared" si="0"/>
        <v>497172.98</v>
      </c>
      <c r="G11" s="19">
        <v>497172.98</v>
      </c>
      <c r="H11" s="19">
        <f t="shared" si="1"/>
        <v>0</v>
      </c>
      <c r="I11" s="19">
        <f>+'Amortization Schedules'!E16</f>
        <v>11033.61</v>
      </c>
      <c r="J11" s="45">
        <f t="shared" si="2"/>
        <v>486139.37</v>
      </c>
      <c r="L11" s="15">
        <f>+G11-'Amortization Schedules'!E57</f>
        <v>-1.0000000067520887E-2</v>
      </c>
    </row>
    <row r="12" spans="1:12" s="13" customFormat="1" x14ac:dyDescent="0.45">
      <c r="A12" s="19" t="s">
        <v>26</v>
      </c>
      <c r="B12" s="30">
        <v>839732.88</v>
      </c>
      <c r="C12" s="19">
        <v>0</v>
      </c>
      <c r="D12" s="19">
        <v>16708.349999999999</v>
      </c>
      <c r="E12" s="19">
        <v>23092.65</v>
      </c>
      <c r="F12" s="19">
        <f t="shared" si="0"/>
        <v>823024.53</v>
      </c>
      <c r="G12" s="19">
        <v>823024.53</v>
      </c>
      <c r="H12" s="19">
        <f t="shared" si="1"/>
        <v>0</v>
      </c>
      <c r="I12" s="19">
        <f>+'Amortization Schedules'!AC16</f>
        <v>17167.830000000002</v>
      </c>
      <c r="J12" s="35">
        <f t="shared" si="2"/>
        <v>805856.70000000007</v>
      </c>
      <c r="L12" s="13">
        <f>+G12-'Amortization Schedules'!AC57</f>
        <v>0</v>
      </c>
    </row>
    <row r="13" spans="1:12" s="35" customFormat="1" x14ac:dyDescent="0.45">
      <c r="A13" s="40" t="s">
        <v>25</v>
      </c>
      <c r="B13" s="30">
        <v>90197.39</v>
      </c>
      <c r="C13" s="30">
        <v>0</v>
      </c>
      <c r="D13" s="30">
        <v>1794.57</v>
      </c>
      <c r="E13" s="30">
        <v>2480.4299999999998</v>
      </c>
      <c r="F13" s="30">
        <f t="shared" si="0"/>
        <v>88402.819999999992</v>
      </c>
      <c r="G13" s="30">
        <v>88402.82</v>
      </c>
      <c r="H13" s="30">
        <f t="shared" si="1"/>
        <v>0</v>
      </c>
      <c r="I13" s="30">
        <f>+'Amortization Schedules'!AF16</f>
        <v>1843.92</v>
      </c>
      <c r="J13" s="35">
        <f t="shared" si="2"/>
        <v>86558.9</v>
      </c>
      <c r="L13" s="35">
        <f>+G13-'Amortization Schedules'!AF57</f>
        <v>0</v>
      </c>
    </row>
    <row r="14" spans="1:12" s="35" customFormat="1" x14ac:dyDescent="0.45">
      <c r="A14" s="40" t="s">
        <v>33</v>
      </c>
      <c r="B14" s="30">
        <v>1048082.59</v>
      </c>
      <c r="C14" s="30">
        <v>0</v>
      </c>
      <c r="D14" s="30">
        <v>17486.39</v>
      </c>
      <c r="E14" s="30">
        <v>27506.61</v>
      </c>
      <c r="F14" s="30">
        <f t="shared" ref="F14" si="3">B14+C14-D14</f>
        <v>1030596.2</v>
      </c>
      <c r="G14" s="30">
        <v>1030384.46</v>
      </c>
      <c r="H14" s="30">
        <f t="shared" ref="H14" si="4">F14-G14</f>
        <v>211.73999999999069</v>
      </c>
      <c r="I14" s="30">
        <f>+'Amortization Schedules'!AI16</f>
        <v>17945.41</v>
      </c>
      <c r="J14" s="35">
        <f t="shared" ref="J14" si="5">+F14-I14</f>
        <v>1012650.7899999999</v>
      </c>
      <c r="K14" s="45"/>
      <c r="L14" s="35">
        <f>+G14-'Amortization Schedules'!AI57</f>
        <v>-211.00000000046566</v>
      </c>
    </row>
    <row r="15" spans="1:12" x14ac:dyDescent="0.45">
      <c r="A15" s="20" t="s">
        <v>43</v>
      </c>
      <c r="B15" s="30">
        <v>1222000</v>
      </c>
      <c r="C15" s="30">
        <v>0</v>
      </c>
      <c r="D15" s="67">
        <f>+'Amortization Schedules'!AM15</f>
        <v>28326</v>
      </c>
      <c r="E15" s="67">
        <f>+'Amortization Schedules'!AN15</f>
        <v>18330</v>
      </c>
      <c r="F15" s="30">
        <f t="shared" si="0"/>
        <v>1193674</v>
      </c>
      <c r="G15" s="30">
        <f>+'Amortization Schedules'!AO15</f>
        <v>1193674</v>
      </c>
      <c r="H15" s="30">
        <f t="shared" si="1"/>
        <v>0</v>
      </c>
      <c r="I15" s="30">
        <f>+'Amortization Schedules'!AM16</f>
        <v>28751</v>
      </c>
      <c r="J15" s="35">
        <f t="shared" si="2"/>
        <v>1164923</v>
      </c>
      <c r="K15" s="15"/>
      <c r="L15" s="15">
        <f>+G15-'Amortization Schedules'!AM57</f>
        <v>0</v>
      </c>
    </row>
    <row r="16" spans="1:12" s="15" customFormat="1" x14ac:dyDescent="0.45">
      <c r="A16" s="19" t="s">
        <v>74</v>
      </c>
      <c r="B16" s="21">
        <v>0</v>
      </c>
      <c r="C16" s="21">
        <f>+ROUND((2400000),0)</f>
        <v>2400000</v>
      </c>
      <c r="D16" s="21">
        <v>0</v>
      </c>
      <c r="E16" s="21">
        <v>0</v>
      </c>
      <c r="F16" s="21">
        <f t="shared" ref="F16" si="6">B16+C16-D16</f>
        <v>2400000</v>
      </c>
      <c r="G16" s="21">
        <f>+'Amortization Schedules'!AQ57</f>
        <v>2400000</v>
      </c>
      <c r="H16" s="21">
        <f t="shared" ref="H16" si="7">F16-G16</f>
        <v>0</v>
      </c>
      <c r="I16" s="21">
        <f>+'Amortization Schedules'!AQ16</f>
        <v>135000</v>
      </c>
      <c r="J16" s="66">
        <f t="shared" ref="J16" si="8">+F16-I16</f>
        <v>2265000</v>
      </c>
      <c r="L16" s="15">
        <f>+G16-'Amortization Schedules'!AQ57</f>
        <v>0</v>
      </c>
    </row>
    <row r="17" spans="1:13" x14ac:dyDescent="0.45">
      <c r="B17" s="18"/>
      <c r="C17" s="18"/>
      <c r="D17" s="25"/>
      <c r="E17" s="25"/>
      <c r="F17" s="18"/>
      <c r="G17" s="25"/>
      <c r="H17" s="25"/>
      <c r="I17" s="25"/>
      <c r="J17" s="15"/>
      <c r="K17" s="15"/>
    </row>
    <row r="18" spans="1:13" x14ac:dyDescent="0.45">
      <c r="B18" s="20">
        <f>SUM(B5:B17)</f>
        <v>6185456</v>
      </c>
      <c r="C18" s="20">
        <f t="shared" ref="C18:J18" si="9">SUM(C5:C17)</f>
        <v>2400000</v>
      </c>
      <c r="D18" s="20">
        <f t="shared" si="9"/>
        <v>2552585.4699999993</v>
      </c>
      <c r="E18" s="19">
        <f t="shared" si="9"/>
        <v>227890.38999999996</v>
      </c>
      <c r="F18" s="20">
        <f>SUM(F5:F17)</f>
        <v>6032870.5300000003</v>
      </c>
      <c r="G18" s="19">
        <f t="shared" si="9"/>
        <v>6032658.79</v>
      </c>
      <c r="H18" s="19">
        <f t="shared" si="9"/>
        <v>211.73999999999069</v>
      </c>
      <c r="I18" s="19">
        <f t="shared" si="9"/>
        <v>211741.77000000002</v>
      </c>
      <c r="J18" s="19">
        <f t="shared" si="9"/>
        <v>5821128.7599999998</v>
      </c>
      <c r="K18" s="15">
        <f>+SUM(I18:J18)</f>
        <v>6032870.5299999993</v>
      </c>
    </row>
    <row r="19" spans="1:13" x14ac:dyDescent="0.45">
      <c r="B19" s="33">
        <f>+B18-6185244</f>
        <v>212</v>
      </c>
      <c r="D19" s="15">
        <f>ROUND((D18-'Amortization Schedules'!B15),0)</f>
        <v>0</v>
      </c>
      <c r="E19" s="15">
        <f>+E18-'Amortization Schedules'!C15</f>
        <v>0</v>
      </c>
      <c r="F19" s="15">
        <f>ROUND(('Amortization Schedules'!B57-F18),0)+1</f>
        <v>0</v>
      </c>
      <c r="G19" s="33">
        <f>+G18-'Amortization Schedules'!B57</f>
        <v>-211.00999999977648</v>
      </c>
      <c r="I19" s="66">
        <f>ROUND(-([1]!TBLink("Trial Balance","ADJ[5]","23000","15","1")),0)</f>
        <v>174753</v>
      </c>
      <c r="J19" s="66">
        <f>ROUND(-([1]!TBLink("Trial Balance","ADJ[5]","23500","15","1")),0)</f>
        <v>5852725</v>
      </c>
      <c r="K19" s="66">
        <f>+SUM(I19:J19)</f>
        <v>6027478</v>
      </c>
      <c r="L19" s="63" t="s">
        <v>34</v>
      </c>
      <c r="M19" s="15"/>
    </row>
    <row r="20" spans="1:13" x14ac:dyDescent="0.45">
      <c r="A20" s="38"/>
      <c r="B20" s="38"/>
      <c r="C20" s="38"/>
      <c r="D20" s="15"/>
      <c r="E20" s="15"/>
      <c r="F20" s="15"/>
      <c r="G20" s="15"/>
      <c r="H20" s="38"/>
      <c r="I20" s="73">
        <f>+I18-I19</f>
        <v>36988.770000000019</v>
      </c>
      <c r="J20" s="15">
        <f>+J18-J19</f>
        <v>-31596.240000000224</v>
      </c>
      <c r="K20" s="15">
        <f>+K18-K19</f>
        <v>5392.5299999993294</v>
      </c>
      <c r="L20" s="63"/>
      <c r="M20" s="15"/>
    </row>
    <row r="21" spans="1:13" x14ac:dyDescent="0.45">
      <c r="A21" s="33"/>
      <c r="B21" s="38" t="s">
        <v>42</v>
      </c>
      <c r="C21" s="38"/>
      <c r="D21" s="38"/>
      <c r="E21" s="38"/>
      <c r="F21" s="38"/>
      <c r="G21" s="38"/>
      <c r="H21" s="15"/>
      <c r="I21" s="15"/>
      <c r="J21" s="15"/>
      <c r="K21" s="15"/>
      <c r="L21" s="15"/>
      <c r="M21" s="15"/>
    </row>
    <row r="22" spans="1:13" x14ac:dyDescent="0.45">
      <c r="A22" s="68"/>
      <c r="B22" s="15" t="s">
        <v>81</v>
      </c>
      <c r="C22" s="15"/>
      <c r="D22" s="15"/>
      <c r="E22" s="15"/>
      <c r="F22" s="15"/>
      <c r="G22" s="15"/>
      <c r="H22" s="15"/>
      <c r="I22" s="71">
        <f>ROUND(-([1]!TBLink("Trial Balance","FINAL[7]","23060","15","3")),0)</f>
        <v>211742</v>
      </c>
      <c r="J22" s="71">
        <f>ROUND(-([1]!TBLink("Trial Balance","FINAL[7]","23050","15","3")),0)+ROUND(-([1]!TBLink("Trial Balance","FINAL[7]","23300","15","3")),0)</f>
        <v>5821127</v>
      </c>
      <c r="K22" s="66">
        <f>+SUM(I22:J22)</f>
        <v>6032869</v>
      </c>
      <c r="L22" s="15" t="s">
        <v>32</v>
      </c>
      <c r="M22" s="15"/>
    </row>
    <row r="23" spans="1:13" x14ac:dyDescent="0.45">
      <c r="A23" s="15"/>
      <c r="B23" s="15"/>
      <c r="C23" s="15"/>
      <c r="D23" s="15"/>
      <c r="E23" s="15"/>
      <c r="F23" s="15"/>
      <c r="G23" s="15"/>
      <c r="I23" s="15">
        <f>+I18-I22</f>
        <v>-0.22999999998137355</v>
      </c>
      <c r="J23" s="15">
        <f>+J18-J22</f>
        <v>1.7599999997764826</v>
      </c>
      <c r="K23" s="15">
        <f>+SUM(I23:J23)</f>
        <v>1.529999999795109</v>
      </c>
      <c r="L23" s="63" t="s">
        <v>86</v>
      </c>
      <c r="M23" s="15"/>
    </row>
    <row r="24" spans="1:13" x14ac:dyDescent="0.45">
      <c r="A24" s="41" t="s">
        <v>40</v>
      </c>
      <c r="B24" s="41"/>
      <c r="E24" s="50">
        <f>ROUND(-([1]!TBLink("Trial Balance","1st PP-FINAL[200]","23060","15","3")),0)</f>
        <v>174753</v>
      </c>
      <c r="J24" s="50"/>
    </row>
    <row r="25" spans="1:13" x14ac:dyDescent="0.45">
      <c r="A25" s="41" t="s">
        <v>41</v>
      </c>
      <c r="B25" s="41"/>
      <c r="C25" s="38"/>
      <c r="D25" s="38"/>
      <c r="E25" s="39">
        <f>ROUND(-([1]!TBLink("Trial Balance","1st PP-FINAL[200]","23050","15","3")),0)</f>
        <v>6010703</v>
      </c>
    </row>
    <row r="26" spans="1:13" s="38" customFormat="1" x14ac:dyDescent="0.45">
      <c r="B26" s="41"/>
      <c r="E26" s="38">
        <f>SUM(E24:E25)</f>
        <v>6185456</v>
      </c>
      <c r="F26" s="3"/>
      <c r="G26" s="3"/>
    </row>
    <row r="27" spans="1:13" s="38" customFormat="1" x14ac:dyDescent="0.45">
      <c r="A27" s="38" t="s">
        <v>38</v>
      </c>
      <c r="B27" s="41"/>
      <c r="E27" s="36">
        <v>6185244.2599999998</v>
      </c>
    </row>
    <row r="28" spans="1:13" s="38" customFormat="1" x14ac:dyDescent="0.45">
      <c r="A28" s="38" t="s">
        <v>6</v>
      </c>
      <c r="B28" s="41"/>
      <c r="E28" s="33">
        <f>+E26-E27</f>
        <v>211.74000000022352</v>
      </c>
    </row>
    <row r="29" spans="1:13" x14ac:dyDescent="0.45">
      <c r="A29" s="38"/>
      <c r="B29" s="41"/>
      <c r="C29" s="38"/>
      <c r="D29" s="38"/>
      <c r="E29" s="38"/>
      <c r="F29" s="38"/>
      <c r="G29" s="38"/>
    </row>
    <row r="31" spans="1:13" x14ac:dyDescent="0.45">
      <c r="A31" s="63" t="s">
        <v>84</v>
      </c>
      <c r="B31" s="15"/>
      <c r="C31" s="63"/>
      <c r="D31" s="15"/>
    </row>
    <row r="32" spans="1:13" x14ac:dyDescent="0.45">
      <c r="A32" s="63" t="s">
        <v>39</v>
      </c>
      <c r="B32" s="15"/>
      <c r="C32" s="72">
        <f>I20</f>
        <v>36988.770000000019</v>
      </c>
      <c r="D32" s="70"/>
      <c r="E32" s="42"/>
    </row>
    <row r="33" spans="1:7" x14ac:dyDescent="0.45">
      <c r="A33" s="63" t="s">
        <v>85</v>
      </c>
      <c r="B33" s="15"/>
      <c r="C33" s="69"/>
      <c r="D33" s="70">
        <f>+C32</f>
        <v>36988.770000000019</v>
      </c>
      <c r="E33" s="43"/>
    </row>
    <row r="34" spans="1:7" s="38" customFormat="1" x14ac:dyDescent="0.45">
      <c r="A34" s="63"/>
      <c r="B34" s="15"/>
      <c r="C34" s="69"/>
      <c r="D34" s="70"/>
      <c r="E34" s="43"/>
    </row>
    <row r="35" spans="1:7" s="38" customFormat="1" x14ac:dyDescent="0.45">
      <c r="A35" s="65" t="s">
        <v>83</v>
      </c>
      <c r="B35" s="15"/>
      <c r="C35" s="69"/>
      <c r="D35" s="70"/>
      <c r="E35" s="43"/>
    </row>
    <row r="36" spans="1:7" s="38" customFormat="1" x14ac:dyDescent="0.45">
      <c r="A36" s="41"/>
      <c r="B36" s="3"/>
      <c r="C36" s="41"/>
      <c r="D36" s="3"/>
      <c r="E36" s="41"/>
      <c r="F36" s="3"/>
      <c r="G36" s="3"/>
    </row>
    <row r="37" spans="1:7" s="38" customFormat="1" x14ac:dyDescent="0.45">
      <c r="A37" s="63" t="s">
        <v>84</v>
      </c>
      <c r="B37" s="15"/>
      <c r="C37" s="63"/>
      <c r="D37" s="15"/>
    </row>
    <row r="38" spans="1:7" s="38" customFormat="1" x14ac:dyDescent="0.45">
      <c r="A38" s="63" t="s">
        <v>39</v>
      </c>
      <c r="C38" s="49">
        <f>+ROUND((D15-1708.16),0)</f>
        <v>26618</v>
      </c>
      <c r="D38" s="49"/>
    </row>
    <row r="39" spans="1:7" s="38" customFormat="1" x14ac:dyDescent="0.45">
      <c r="A39" s="63" t="s">
        <v>73</v>
      </c>
      <c r="B39" s="15"/>
      <c r="C39" s="64"/>
      <c r="D39" s="49">
        <f>+C38</f>
        <v>26618</v>
      </c>
    </row>
    <row r="40" spans="1:7" s="38" customFormat="1" x14ac:dyDescent="0.45">
      <c r="A40" s="65" t="s">
        <v>82</v>
      </c>
      <c r="C40" s="49"/>
      <c r="D40" s="49"/>
    </row>
    <row r="41" spans="1:7" s="38" customFormat="1" x14ac:dyDescent="0.45">
      <c r="D41" s="49"/>
    </row>
    <row r="42" spans="1:7" s="38" customFormat="1" x14ac:dyDescent="0.45">
      <c r="A42" s="63" t="s">
        <v>84</v>
      </c>
      <c r="B42" s="15"/>
      <c r="C42" s="63"/>
      <c r="D42" s="15"/>
    </row>
    <row r="43" spans="1:7" s="38" customFormat="1" x14ac:dyDescent="0.45">
      <c r="A43" s="63" t="s">
        <v>39</v>
      </c>
      <c r="B43" s="15"/>
      <c r="C43" s="64">
        <f>+ROUND(('Refunding Amounts'!B11),0)-C44</f>
        <v>2380264</v>
      </c>
      <c r="D43" s="49"/>
    </row>
    <row r="44" spans="1:7" s="38" customFormat="1" hidden="1" x14ac:dyDescent="0.45">
      <c r="A44" s="63" t="s">
        <v>76</v>
      </c>
      <c r="C44" s="64">
        <f>174753-174753</f>
        <v>0</v>
      </c>
      <c r="D44" s="49"/>
    </row>
    <row r="45" spans="1:7" s="38" customFormat="1" x14ac:dyDescent="0.45">
      <c r="A45" s="63" t="s">
        <v>77</v>
      </c>
      <c r="C45" s="49">
        <f>+ROUND(('Refunding Amounts'!C11),0)+ROUND((46944+41900),0)-100913-1</f>
        <v>17926</v>
      </c>
      <c r="D45" s="49"/>
    </row>
    <row r="46" spans="1:7" s="38" customFormat="1" x14ac:dyDescent="0.45">
      <c r="A46" s="63" t="s">
        <v>75</v>
      </c>
      <c r="C46" s="49"/>
      <c r="D46" s="49">
        <f>+ROUND((C16),0)-D54</f>
        <v>2398190</v>
      </c>
    </row>
    <row r="47" spans="1:7" s="38" customFormat="1" x14ac:dyDescent="0.45">
      <c r="A47" s="65" t="s">
        <v>78</v>
      </c>
      <c r="C47" s="49"/>
      <c r="D47" s="49"/>
    </row>
    <row r="48" spans="1:7" x14ac:dyDescent="0.45">
      <c r="A48" s="38"/>
      <c r="B48" s="38"/>
      <c r="C48" s="38"/>
      <c r="D48" s="49"/>
      <c r="E48" s="38"/>
      <c r="F48" s="38"/>
      <c r="G48" s="38"/>
    </row>
    <row r="49" spans="1:7" x14ac:dyDescent="0.45">
      <c r="A49" s="63" t="s">
        <v>84</v>
      </c>
      <c r="B49" s="15"/>
      <c r="C49" s="15"/>
    </row>
    <row r="50" spans="1:7" x14ac:dyDescent="0.45">
      <c r="A50" s="63" t="s">
        <v>70</v>
      </c>
      <c r="B50" s="15"/>
      <c r="C50" s="64">
        <f>+ROUND(('Sinking Fund Payments'!B11),0)</f>
        <v>99668</v>
      </c>
    </row>
    <row r="51" spans="1:7" x14ac:dyDescent="0.45">
      <c r="A51" s="63" t="s">
        <v>66</v>
      </c>
      <c r="B51" s="15"/>
      <c r="C51" s="64"/>
      <c r="D51" s="49">
        <f>+ROUND(('Sinking Fund Payments'!B15),0)</f>
        <v>12273</v>
      </c>
    </row>
    <row r="52" spans="1:7" s="38" customFormat="1" x14ac:dyDescent="0.45">
      <c r="A52" s="63" t="s">
        <v>71</v>
      </c>
      <c r="B52" s="3"/>
      <c r="C52" s="3"/>
      <c r="D52" s="49">
        <f>+ROUND(('Sinking Fund Payments'!B14),0)</f>
        <v>49091</v>
      </c>
      <c r="E52" s="3"/>
      <c r="F52" s="3"/>
      <c r="G52" s="3"/>
    </row>
    <row r="53" spans="1:7" s="38" customFormat="1" x14ac:dyDescent="0.45">
      <c r="A53" s="63" t="s">
        <v>73</v>
      </c>
      <c r="D53" s="49">
        <f>+ROUND(('Sinking Fund Payments'!B16),0)</f>
        <v>36492</v>
      </c>
    </row>
    <row r="54" spans="1:7" x14ac:dyDescent="0.45">
      <c r="A54" s="63" t="s">
        <v>75</v>
      </c>
      <c r="B54" s="38"/>
      <c r="C54" s="38"/>
      <c r="D54" s="49">
        <f>+ROUND(('Sinking Fund Payments'!B9),0)</f>
        <v>1810</v>
      </c>
      <c r="E54" s="38"/>
      <c r="F54" s="38"/>
      <c r="G54" s="38"/>
    </row>
    <row r="55" spans="1:7" x14ac:dyDescent="0.45">
      <c r="A55" s="3" t="s">
        <v>72</v>
      </c>
      <c r="D55" s="49">
        <f>+C50-SUM(D51:D54)</f>
        <v>2</v>
      </c>
    </row>
    <row r="56" spans="1:7" x14ac:dyDescent="0.45">
      <c r="A56" s="65" t="s">
        <v>79</v>
      </c>
      <c r="E56" s="49"/>
    </row>
    <row r="58" spans="1:7" x14ac:dyDescent="0.45">
      <c r="C58" s="3">
        <f>SUM(C43:C57)</f>
        <v>2497858</v>
      </c>
      <c r="D58" s="3">
        <f>SUM(D43:D57)</f>
        <v>2497858</v>
      </c>
      <c r="E58" s="3">
        <f>+C58-D58</f>
        <v>0</v>
      </c>
    </row>
  </sheetData>
  <sortState xmlns:xlrd2="http://schemas.microsoft.com/office/spreadsheetml/2017/richdata2" ref="A5:L13">
    <sortCondition ref="A5:A13"/>
  </sortState>
  <mergeCells count="1">
    <mergeCell ref="D3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EED82-EDD2-438A-B0E1-D826ACBBFD15}">
  <dimension ref="A1:F21"/>
  <sheetViews>
    <sheetView workbookViewId="0">
      <selection activeCell="C13" sqref="C13"/>
    </sheetView>
  </sheetViews>
  <sheetFormatPr defaultRowHeight="14.25" x14ac:dyDescent="0.45"/>
  <cols>
    <col min="2" max="2" width="10.59765625" style="41" bestFit="1" customWidth="1"/>
    <col min="4" max="4" width="10.86328125" bestFit="1" customWidth="1"/>
    <col min="5" max="5" width="10.59765625" bestFit="1" customWidth="1"/>
    <col min="6" max="6" width="10.73046875" bestFit="1" customWidth="1"/>
  </cols>
  <sheetData>
    <row r="1" spans="1:6" x14ac:dyDescent="0.45">
      <c r="A1" t="s">
        <v>57</v>
      </c>
    </row>
    <row r="3" spans="1:6" x14ac:dyDescent="0.45">
      <c r="A3" s="60">
        <v>44440</v>
      </c>
      <c r="B3" s="41">
        <v>19571.099999999999</v>
      </c>
    </row>
    <row r="4" spans="1:6" x14ac:dyDescent="0.45">
      <c r="A4" s="60">
        <v>44470</v>
      </c>
      <c r="B4" s="41">
        <v>19571.099999999999</v>
      </c>
    </row>
    <row r="5" spans="1:6" x14ac:dyDescent="0.45">
      <c r="A5" s="60">
        <v>44501</v>
      </c>
      <c r="B5" s="41">
        <v>19571.099999999999</v>
      </c>
    </row>
    <row r="6" spans="1:6" x14ac:dyDescent="0.45">
      <c r="A6" s="60">
        <v>44531</v>
      </c>
      <c r="B6" s="56">
        <v>19571.099999999999</v>
      </c>
    </row>
    <row r="7" spans="1:6" s="1" customFormat="1" x14ac:dyDescent="0.45">
      <c r="A7" s="60">
        <v>44562</v>
      </c>
      <c r="B7" s="57">
        <v>19571.099999999999</v>
      </c>
    </row>
    <row r="8" spans="1:6" x14ac:dyDescent="0.45">
      <c r="B8" s="41">
        <f>SUM(B3:B7)</f>
        <v>97855.5</v>
      </c>
    </row>
    <row r="9" spans="1:6" s="1" customFormat="1" x14ac:dyDescent="0.45">
      <c r="B9" s="57">
        <v>1809.66</v>
      </c>
      <c r="C9" s="1" t="s">
        <v>68</v>
      </c>
    </row>
    <row r="10" spans="1:6" s="1" customFormat="1" x14ac:dyDescent="0.45">
      <c r="B10" s="41">
        <f>+SUM(B8:B9)</f>
        <v>99665.16</v>
      </c>
    </row>
    <row r="11" spans="1:6" s="1" customFormat="1" x14ac:dyDescent="0.45">
      <c r="B11" s="57">
        <v>99668.28</v>
      </c>
      <c r="C11" s="1" t="s">
        <v>67</v>
      </c>
    </row>
    <row r="12" spans="1:6" s="1" customFormat="1" x14ac:dyDescent="0.45">
      <c r="B12" s="41">
        <f>+B11-B10</f>
        <v>3.1199999999953434</v>
      </c>
      <c r="C12" s="1" t="s">
        <v>69</v>
      </c>
    </row>
    <row r="14" spans="1:6" x14ac:dyDescent="0.45">
      <c r="A14" s="61" t="s">
        <v>58</v>
      </c>
      <c r="B14" s="41">
        <v>49090.92</v>
      </c>
    </row>
    <row r="15" spans="1:6" s="1" customFormat="1" x14ac:dyDescent="0.45">
      <c r="A15" s="61" t="s">
        <v>65</v>
      </c>
      <c r="B15" s="41">
        <v>12272.73</v>
      </c>
    </row>
    <row r="16" spans="1:6" x14ac:dyDescent="0.45">
      <c r="A16" s="61" t="s">
        <v>59</v>
      </c>
      <c r="B16" s="57">
        <f>+E21</f>
        <v>36491.85</v>
      </c>
      <c r="D16" t="s">
        <v>60</v>
      </c>
      <c r="E16" s="41">
        <v>7298.37</v>
      </c>
      <c r="F16" s="62">
        <v>44448</v>
      </c>
    </row>
    <row r="17" spans="2:6" x14ac:dyDescent="0.45">
      <c r="B17" s="41">
        <f>SUM(B14:B16)</f>
        <v>97855.5</v>
      </c>
      <c r="D17" t="s">
        <v>61</v>
      </c>
      <c r="E17" s="41">
        <v>7298.37</v>
      </c>
      <c r="F17" s="62">
        <v>44482</v>
      </c>
    </row>
    <row r="18" spans="2:6" x14ac:dyDescent="0.45">
      <c r="D18" t="s">
        <v>62</v>
      </c>
      <c r="E18" s="41">
        <v>7298.37</v>
      </c>
      <c r="F18" s="62">
        <v>44495</v>
      </c>
    </row>
    <row r="19" spans="2:6" x14ac:dyDescent="0.45">
      <c r="D19" t="s">
        <v>63</v>
      </c>
      <c r="E19" s="41">
        <v>7298.37</v>
      </c>
      <c r="F19" s="62">
        <v>44530</v>
      </c>
    </row>
    <row r="20" spans="2:6" x14ac:dyDescent="0.45">
      <c r="D20" t="s">
        <v>64</v>
      </c>
      <c r="E20" s="57">
        <v>7298.37</v>
      </c>
      <c r="F20" s="62">
        <v>44557</v>
      </c>
    </row>
    <row r="21" spans="2:6" x14ac:dyDescent="0.45">
      <c r="E21" s="48">
        <f>SUM(E16:E20)</f>
        <v>36491.85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9"/>
  <sheetViews>
    <sheetView topLeftCell="A3" workbookViewId="0">
      <pane xSplit="1" ySplit="7" topLeftCell="B52" activePane="bottomRight" state="frozen"/>
      <selection activeCell="A3" sqref="A3"/>
      <selection pane="topRight" activeCell="B3" sqref="B3"/>
      <selection pane="bottomLeft" activeCell="A10" sqref="A10"/>
      <selection pane="bottomRight" activeCell="B10" sqref="B10"/>
    </sheetView>
  </sheetViews>
  <sheetFormatPr defaultRowHeight="14.25" x14ac:dyDescent="0.45"/>
  <cols>
    <col min="1" max="1" width="9.1328125" style="10"/>
    <col min="2" max="3" width="13.265625" style="3" bestFit="1" customWidth="1"/>
    <col min="4" max="4" width="1.73046875" customWidth="1"/>
    <col min="5" max="5" width="11.59765625" style="3" bestFit="1" customWidth="1"/>
    <col min="6" max="6" width="13.265625" style="3" bestFit="1" customWidth="1"/>
    <col min="7" max="7" width="1.73046875" style="1" customWidth="1"/>
    <col min="8" max="9" width="11.59765625" style="3" bestFit="1" customWidth="1"/>
    <col min="10" max="10" width="1.73046875" style="1" customWidth="1"/>
    <col min="11" max="12" width="11.59765625" style="3" bestFit="1" customWidth="1"/>
    <col min="13" max="13" width="1.73046875" style="1" customWidth="1"/>
    <col min="14" max="14" width="13.265625" style="3" bestFit="1" customWidth="1"/>
    <col min="15" max="15" width="11.59765625" style="3" bestFit="1" customWidth="1"/>
    <col min="16" max="16" width="1.73046875" customWidth="1"/>
    <col min="17" max="18" width="10.59765625" style="7" hidden="1" customWidth="1"/>
    <col min="19" max="19" width="1.73046875" style="1" hidden="1" customWidth="1"/>
    <col min="20" max="21" width="11.59765625" style="7" bestFit="1" customWidth="1"/>
    <col min="22" max="22" width="1.73046875" style="1" customWidth="1"/>
    <col min="23" max="24" width="11.59765625" style="7" bestFit="1" customWidth="1"/>
    <col min="25" max="25" width="1.73046875" style="1" customWidth="1"/>
    <col min="26" max="26" width="13.265625" style="7" bestFit="1" customWidth="1"/>
    <col min="27" max="27" width="11.59765625" style="7" bestFit="1" customWidth="1"/>
    <col min="28" max="28" width="1.73046875" customWidth="1"/>
    <col min="29" max="30" width="11.59765625" bestFit="1" customWidth="1"/>
    <col min="31" max="31" width="2" customWidth="1"/>
    <col min="32" max="32" width="11.59765625" bestFit="1" customWidth="1"/>
    <col min="33" max="33" width="11" customWidth="1"/>
    <col min="34" max="34" width="2" style="1" customWidth="1"/>
    <col min="35" max="35" width="13.265625" style="1" bestFit="1" customWidth="1"/>
    <col min="36" max="36" width="14" style="1" bestFit="1" customWidth="1"/>
    <col min="37" max="37" width="2" style="1" customWidth="1"/>
    <col min="38" max="38" width="13.265625" style="41" customWidth="1"/>
    <col min="39" max="40" width="13.265625" style="1" customWidth="1"/>
    <col min="41" max="41" width="15" style="41" bestFit="1" customWidth="1"/>
    <col min="42" max="42" width="2" style="1" customWidth="1"/>
    <col min="43" max="43" width="13.265625" style="1" bestFit="1" customWidth="1"/>
    <col min="44" max="44" width="14" style="1" bestFit="1" customWidth="1"/>
  </cols>
  <sheetData>
    <row r="1" spans="1:44" x14ac:dyDescent="0.45">
      <c r="A1" s="10" t="s">
        <v>7</v>
      </c>
    </row>
    <row r="3" spans="1:44" x14ac:dyDescent="0.45">
      <c r="A3" s="22"/>
      <c r="B3" s="75" t="s">
        <v>4</v>
      </c>
      <c r="C3" s="75"/>
      <c r="E3" s="75" t="s">
        <v>17</v>
      </c>
      <c r="F3" s="75"/>
      <c r="H3" s="76" t="s">
        <v>18</v>
      </c>
      <c r="I3" s="76"/>
      <c r="K3" s="75" t="s">
        <v>19</v>
      </c>
      <c r="L3" s="75"/>
      <c r="N3" s="75" t="s">
        <v>20</v>
      </c>
      <c r="O3" s="75"/>
      <c r="Q3" s="75" t="s">
        <v>21</v>
      </c>
      <c r="R3" s="75"/>
      <c r="T3" s="77" t="s">
        <v>22</v>
      </c>
      <c r="U3" s="77"/>
      <c r="W3" s="75" t="s">
        <v>23</v>
      </c>
      <c r="X3" s="75"/>
      <c r="Z3" s="75" t="s">
        <v>24</v>
      </c>
      <c r="AA3" s="75"/>
      <c r="AC3" s="76" t="s">
        <v>27</v>
      </c>
      <c r="AD3" s="76"/>
      <c r="AF3" s="76" t="s">
        <v>28</v>
      </c>
      <c r="AG3" s="76"/>
      <c r="AI3" s="76" t="s">
        <v>35</v>
      </c>
      <c r="AJ3" s="76"/>
      <c r="AL3" s="76" t="s">
        <v>44</v>
      </c>
      <c r="AM3" s="76"/>
      <c r="AN3" s="76"/>
      <c r="AO3" s="76"/>
      <c r="AQ3" s="76" t="s">
        <v>80</v>
      </c>
      <c r="AR3" s="76"/>
    </row>
    <row r="4" spans="1:44" x14ac:dyDescent="0.45">
      <c r="A4" s="23" t="s">
        <v>8</v>
      </c>
      <c r="B4" s="4" t="s">
        <v>0</v>
      </c>
      <c r="C4" s="4" t="s">
        <v>1</v>
      </c>
      <c r="E4" s="4" t="s">
        <v>0</v>
      </c>
      <c r="F4" s="4" t="s">
        <v>1</v>
      </c>
      <c r="H4" s="4" t="s">
        <v>0</v>
      </c>
      <c r="I4" s="4" t="s">
        <v>1</v>
      </c>
      <c r="K4" s="4" t="s">
        <v>0</v>
      </c>
      <c r="L4" s="4" t="s">
        <v>1</v>
      </c>
      <c r="N4" s="11" t="s">
        <v>0</v>
      </c>
      <c r="O4" s="4" t="s">
        <v>1</v>
      </c>
      <c r="Q4" s="8" t="s">
        <v>0</v>
      </c>
      <c r="R4" s="8" t="s">
        <v>1</v>
      </c>
      <c r="T4" s="8" t="s">
        <v>0</v>
      </c>
      <c r="U4" s="8" t="s">
        <v>1</v>
      </c>
      <c r="W4" s="8" t="s">
        <v>0</v>
      </c>
      <c r="X4" s="8" t="s">
        <v>1</v>
      </c>
      <c r="Z4" s="11" t="s">
        <v>0</v>
      </c>
      <c r="AA4" s="8" t="s">
        <v>1</v>
      </c>
      <c r="AC4" s="24" t="s">
        <v>0</v>
      </c>
      <c r="AD4" s="24" t="s">
        <v>1</v>
      </c>
      <c r="AF4" s="24" t="s">
        <v>0</v>
      </c>
      <c r="AG4" s="24" t="s">
        <v>1</v>
      </c>
      <c r="AI4" s="46" t="s">
        <v>0</v>
      </c>
      <c r="AJ4" s="46" t="s">
        <v>1</v>
      </c>
      <c r="AL4" s="53" t="s">
        <v>45</v>
      </c>
      <c r="AM4" s="51" t="s">
        <v>0</v>
      </c>
      <c r="AN4" s="51" t="s">
        <v>1</v>
      </c>
      <c r="AO4" s="53" t="s">
        <v>46</v>
      </c>
      <c r="AQ4" s="55" t="s">
        <v>0</v>
      </c>
      <c r="AR4" s="55" t="s">
        <v>1</v>
      </c>
    </row>
    <row r="5" spans="1:44" s="1" customFormat="1" hidden="1" x14ac:dyDescent="0.45">
      <c r="A5" s="9">
        <v>2003</v>
      </c>
      <c r="B5" s="3">
        <f>+E5+H5+K5+N5</f>
        <v>0</v>
      </c>
      <c r="C5" s="3">
        <f>F5+I5+L5+O5</f>
        <v>0</v>
      </c>
      <c r="E5" s="3">
        <v>0</v>
      </c>
      <c r="F5" s="3">
        <v>0</v>
      </c>
      <c r="H5" s="3">
        <v>0</v>
      </c>
      <c r="I5" s="3">
        <v>0</v>
      </c>
      <c r="K5" s="3">
        <v>0</v>
      </c>
      <c r="L5" s="3">
        <v>0</v>
      </c>
      <c r="N5" s="3">
        <v>0</v>
      </c>
      <c r="O5" s="3">
        <v>0</v>
      </c>
      <c r="Q5" s="7">
        <v>0</v>
      </c>
      <c r="R5" s="7">
        <v>0</v>
      </c>
      <c r="T5" s="7">
        <v>0</v>
      </c>
      <c r="U5" s="7">
        <v>0</v>
      </c>
      <c r="W5" s="7">
        <v>0</v>
      </c>
      <c r="X5" s="7">
        <v>0</v>
      </c>
      <c r="Z5" s="7">
        <v>0</v>
      </c>
      <c r="AA5" s="7">
        <v>0</v>
      </c>
      <c r="AL5" s="41"/>
      <c r="AO5" s="41"/>
    </row>
    <row r="6" spans="1:44" hidden="1" x14ac:dyDescent="0.45">
      <c r="A6" s="9">
        <v>2004</v>
      </c>
      <c r="B6" s="3">
        <f>+E6+H6+K6+N6</f>
        <v>0</v>
      </c>
      <c r="C6" s="3">
        <f>F6+I6+L6+O6</f>
        <v>0</v>
      </c>
      <c r="E6" s="3">
        <v>0</v>
      </c>
      <c r="F6" s="3">
        <v>0</v>
      </c>
      <c r="H6" s="3">
        <v>0</v>
      </c>
      <c r="I6" s="3">
        <v>0</v>
      </c>
      <c r="K6" s="3">
        <v>0</v>
      </c>
      <c r="L6" s="3">
        <v>0</v>
      </c>
      <c r="N6" s="3">
        <v>0</v>
      </c>
      <c r="O6" s="3">
        <v>0</v>
      </c>
      <c r="Q6" s="7">
        <v>0</v>
      </c>
      <c r="R6" s="7">
        <v>0</v>
      </c>
      <c r="T6" s="7">
        <v>0</v>
      </c>
      <c r="U6" s="7">
        <v>0</v>
      </c>
      <c r="W6" s="7">
        <v>0</v>
      </c>
      <c r="X6" s="7">
        <v>0</v>
      </c>
      <c r="Z6" s="7">
        <v>0</v>
      </c>
      <c r="AA6" s="7">
        <v>0</v>
      </c>
    </row>
    <row r="7" spans="1:44" hidden="1" x14ac:dyDescent="0.45">
      <c r="A7" s="9">
        <v>2005</v>
      </c>
      <c r="B7" s="3">
        <f>+E7+H7+K7+N7</f>
        <v>0</v>
      </c>
      <c r="C7" s="3">
        <f>F7+I7+L7+O7</f>
        <v>0</v>
      </c>
      <c r="E7" s="3">
        <v>0</v>
      </c>
      <c r="F7" s="3">
        <v>0</v>
      </c>
      <c r="H7" s="3">
        <v>0</v>
      </c>
      <c r="I7" s="3">
        <v>0</v>
      </c>
      <c r="K7" s="3">
        <v>0</v>
      </c>
      <c r="L7" s="3">
        <v>0</v>
      </c>
      <c r="N7" s="3">
        <v>0</v>
      </c>
      <c r="O7" s="3">
        <v>0</v>
      </c>
      <c r="Q7" s="7">
        <v>0</v>
      </c>
      <c r="R7" s="7">
        <v>0</v>
      </c>
      <c r="T7" s="7">
        <v>0</v>
      </c>
      <c r="U7" s="7">
        <v>0</v>
      </c>
      <c r="W7" s="7">
        <v>0</v>
      </c>
      <c r="X7" s="7">
        <v>0</v>
      </c>
      <c r="Z7" s="7">
        <v>0</v>
      </c>
      <c r="AA7" s="7">
        <v>0</v>
      </c>
    </row>
    <row r="8" spans="1:44" hidden="1" x14ac:dyDescent="0.45">
      <c r="A8" s="9">
        <v>2006</v>
      </c>
      <c r="B8" s="3">
        <f>+E8+H8+K8+N8</f>
        <v>0</v>
      </c>
      <c r="C8" s="3">
        <f>F8+I8+L8+O8</f>
        <v>0</v>
      </c>
      <c r="E8" s="3">
        <v>0</v>
      </c>
      <c r="F8" s="3">
        <v>0</v>
      </c>
      <c r="H8" s="3">
        <v>0</v>
      </c>
      <c r="I8" s="3">
        <v>0</v>
      </c>
      <c r="K8" s="3">
        <v>0</v>
      </c>
      <c r="L8" s="3">
        <v>0</v>
      </c>
      <c r="N8" s="3">
        <v>0</v>
      </c>
      <c r="O8" s="3">
        <v>0</v>
      </c>
      <c r="Q8" s="7">
        <v>0</v>
      </c>
      <c r="R8" s="7">
        <v>0</v>
      </c>
      <c r="T8" s="7">
        <v>0</v>
      </c>
      <c r="U8" s="7">
        <v>0</v>
      </c>
      <c r="W8" s="7">
        <v>0</v>
      </c>
      <c r="X8" s="7">
        <v>0</v>
      </c>
      <c r="Z8" s="7">
        <v>0</v>
      </c>
      <c r="AA8" s="7">
        <v>0</v>
      </c>
    </row>
    <row r="9" spans="1:44" hidden="1" x14ac:dyDescent="0.45">
      <c r="A9" s="9">
        <v>2007</v>
      </c>
      <c r="B9" s="3">
        <f>+E9+H9+K9+N9</f>
        <v>0</v>
      </c>
      <c r="C9" s="3">
        <f>F9+I9+L9+O9</f>
        <v>0</v>
      </c>
      <c r="E9" s="3">
        <v>0</v>
      </c>
      <c r="F9" s="3">
        <v>0</v>
      </c>
      <c r="H9" s="3">
        <v>0</v>
      </c>
      <c r="I9" s="3">
        <v>0</v>
      </c>
      <c r="K9" s="3">
        <v>0</v>
      </c>
      <c r="L9" s="3">
        <v>0</v>
      </c>
      <c r="N9" s="3">
        <v>0</v>
      </c>
      <c r="O9" s="3">
        <v>0</v>
      </c>
      <c r="Q9" s="7">
        <v>0</v>
      </c>
      <c r="R9" s="7">
        <v>0</v>
      </c>
      <c r="T9" s="7">
        <v>0</v>
      </c>
      <c r="U9" s="7">
        <v>0</v>
      </c>
      <c r="W9" s="7">
        <v>0</v>
      </c>
      <c r="X9" s="7">
        <v>0</v>
      </c>
      <c r="Z9" s="7">
        <v>0</v>
      </c>
      <c r="AA9" s="7">
        <v>0</v>
      </c>
    </row>
    <row r="10" spans="1:44" s="34" customFormat="1" x14ac:dyDescent="0.45">
      <c r="A10" s="32">
        <v>2016</v>
      </c>
      <c r="B10" s="33">
        <f>+E10+H10+K10+N10+Q10+T10+W10+Z10+AC10+AF10+AI10+AM10+AQ10</f>
        <v>112118.53</v>
      </c>
      <c r="C10" s="33">
        <f>+F10+I10+L10+O10+R10+U10+X10+AA10+AD10+AG10+AJ10+AN10+AR10</f>
        <v>189360.47</v>
      </c>
      <c r="E10" s="33">
        <v>8657.4</v>
      </c>
      <c r="F10" s="33">
        <v>22884.6</v>
      </c>
      <c r="H10" s="33">
        <v>35305.53</v>
      </c>
      <c r="I10" s="33">
        <f>41652.89+0.58</f>
        <v>41653.47</v>
      </c>
      <c r="K10" s="33">
        <v>9991.08</v>
      </c>
      <c r="L10" s="33">
        <v>12894.92</v>
      </c>
      <c r="N10" s="33">
        <v>24806.639999999999</v>
      </c>
      <c r="O10" s="33">
        <v>43348.36</v>
      </c>
      <c r="Q10" s="33">
        <v>0</v>
      </c>
      <c r="R10" s="33">
        <v>0</v>
      </c>
      <c r="T10" s="33">
        <v>6598.03</v>
      </c>
      <c r="U10" s="33">
        <v>13294.97</v>
      </c>
      <c r="W10" s="33">
        <v>7350.23</v>
      </c>
      <c r="X10" s="33">
        <v>18969.77</v>
      </c>
      <c r="Z10" s="33">
        <v>3253.72</v>
      </c>
      <c r="AA10" s="33">
        <v>8394.2800000000007</v>
      </c>
      <c r="AC10" s="33">
        <v>14588.96</v>
      </c>
      <c r="AD10" s="33">
        <v>25212.04</v>
      </c>
      <c r="AF10" s="33">
        <v>1566.94</v>
      </c>
      <c r="AG10" s="33">
        <v>2708.06</v>
      </c>
      <c r="AI10" s="33">
        <v>0</v>
      </c>
      <c r="AJ10" s="33">
        <v>0</v>
      </c>
      <c r="AL10" s="54"/>
      <c r="AM10" s="33">
        <v>0</v>
      </c>
      <c r="AN10" s="33">
        <v>0</v>
      </c>
      <c r="AO10" s="54"/>
      <c r="AQ10" s="33">
        <v>0</v>
      </c>
      <c r="AR10" s="33">
        <v>0</v>
      </c>
    </row>
    <row r="11" spans="1:44" s="34" customFormat="1" x14ac:dyDescent="0.45">
      <c r="A11" s="32">
        <f t="shared" ref="A11:A44" si="0">A10+1</f>
        <v>2017</v>
      </c>
      <c r="B11" s="33">
        <f t="shared" ref="B11:B55" si="1">+E11+H11+K11+N11+Q11+T11+W11+Z11+AC11+AF11+AI11+AM11+AQ11</f>
        <v>117075.15000000001</v>
      </c>
      <c r="C11" s="33">
        <f t="shared" ref="C11:C55" si="2">+F11+I11+L11+O11+R11+U11+X11+AA11+AD11+AG11+AJ11+AN11+AR11</f>
        <v>184403.27000000002</v>
      </c>
      <c r="E11" s="33">
        <v>9014.52</v>
      </c>
      <c r="F11" s="33">
        <v>22527.48</v>
      </c>
      <c r="H11" s="33">
        <v>37070.800000000003</v>
      </c>
      <c r="I11" s="33">
        <v>39887.620000000003</v>
      </c>
      <c r="K11" s="33">
        <v>10490.63</v>
      </c>
      <c r="L11" s="33">
        <v>12395.37</v>
      </c>
      <c r="N11" s="33">
        <v>25922.94</v>
      </c>
      <c r="O11" s="33">
        <v>42232.06</v>
      </c>
      <c r="Q11" s="33">
        <v>0</v>
      </c>
      <c r="R11" s="33">
        <v>0</v>
      </c>
      <c r="T11" s="33">
        <v>6894.94</v>
      </c>
      <c r="U11" s="33">
        <v>12998.06</v>
      </c>
      <c r="W11" s="33">
        <v>7681</v>
      </c>
      <c r="X11" s="33">
        <v>18639.009999999998</v>
      </c>
      <c r="Z11" s="33">
        <v>3400.13</v>
      </c>
      <c r="AA11" s="33">
        <v>8247.86</v>
      </c>
      <c r="AC11" s="33">
        <v>14990.16</v>
      </c>
      <c r="AD11" s="33">
        <v>24810.84</v>
      </c>
      <c r="AF11" s="33">
        <v>1610.03</v>
      </c>
      <c r="AG11" s="33">
        <f>4275-AF11</f>
        <v>2664.9700000000003</v>
      </c>
      <c r="AI11" s="33">
        <v>0</v>
      </c>
      <c r="AJ11" s="33">
        <v>0</v>
      </c>
      <c r="AL11" s="54"/>
      <c r="AM11" s="33">
        <v>0</v>
      </c>
      <c r="AN11" s="33">
        <v>0</v>
      </c>
      <c r="AO11" s="54"/>
      <c r="AQ11" s="33">
        <v>0</v>
      </c>
      <c r="AR11" s="33">
        <v>0</v>
      </c>
    </row>
    <row r="12" spans="1:44" s="34" customFormat="1" x14ac:dyDescent="0.45">
      <c r="A12" s="32">
        <f t="shared" si="0"/>
        <v>2018</v>
      </c>
      <c r="B12" s="33">
        <f t="shared" si="1"/>
        <v>146743.77000000002</v>
      </c>
      <c r="C12" s="33">
        <f t="shared" si="2"/>
        <v>199727.65000000002</v>
      </c>
      <c r="E12" s="33">
        <v>9386.3700000000008</v>
      </c>
      <c r="F12" s="33">
        <v>22155.63</v>
      </c>
      <c r="H12" s="33">
        <v>38924.339999999997</v>
      </c>
      <c r="I12" s="33">
        <v>38034.080000000002</v>
      </c>
      <c r="K12" s="33">
        <v>11015.16</v>
      </c>
      <c r="L12" s="33">
        <v>11870.84</v>
      </c>
      <c r="N12" s="33">
        <v>27089.48</v>
      </c>
      <c r="O12" s="33">
        <v>41065.519999999997</v>
      </c>
      <c r="Q12" s="33">
        <v>0</v>
      </c>
      <c r="R12" s="33">
        <v>0</v>
      </c>
      <c r="T12" s="33">
        <v>7205.21</v>
      </c>
      <c r="U12" s="33">
        <v>12687.79</v>
      </c>
      <c r="W12" s="33">
        <v>8026.64</v>
      </c>
      <c r="X12" s="33">
        <v>18293.36</v>
      </c>
      <c r="Z12" s="33">
        <v>3553.14</v>
      </c>
      <c r="AA12" s="33">
        <v>8094.86</v>
      </c>
      <c r="AC12" s="33">
        <v>15402.38</v>
      </c>
      <c r="AD12" s="33">
        <v>24398.62</v>
      </c>
      <c r="AF12" s="33">
        <v>1654.3</v>
      </c>
      <c r="AG12" s="33">
        <f t="shared" ref="AG12:AG46" si="3">4275-AF12</f>
        <v>2620.6999999999998</v>
      </c>
      <c r="AI12" s="33">
        <v>24486.75</v>
      </c>
      <c r="AJ12" s="33">
        <v>20506.25</v>
      </c>
      <c r="AL12" s="54"/>
      <c r="AM12" s="33">
        <v>0</v>
      </c>
      <c r="AN12" s="33">
        <v>0</v>
      </c>
      <c r="AO12" s="54"/>
      <c r="AQ12" s="33">
        <v>0</v>
      </c>
      <c r="AR12" s="33">
        <v>0</v>
      </c>
    </row>
    <row r="13" spans="1:44" s="34" customFormat="1" x14ac:dyDescent="0.45">
      <c r="A13" s="32">
        <f t="shared" si="0"/>
        <v>2019</v>
      </c>
      <c r="B13" s="33">
        <f t="shared" si="1"/>
        <v>144277.87</v>
      </c>
      <c r="C13" s="33">
        <f t="shared" si="2"/>
        <v>202193.53</v>
      </c>
      <c r="E13" s="33">
        <v>9773.5499999999993</v>
      </c>
      <c r="F13" s="33">
        <v>21768.44</v>
      </c>
      <c r="H13" s="33">
        <v>40870.559999999998</v>
      </c>
      <c r="I13" s="33">
        <v>36087.86</v>
      </c>
      <c r="K13" s="33">
        <v>11565.92</v>
      </c>
      <c r="L13" s="33">
        <v>11320.08</v>
      </c>
      <c r="N13" s="33">
        <v>28308.5</v>
      </c>
      <c r="O13" s="33">
        <v>39846.5</v>
      </c>
      <c r="Q13" s="33">
        <v>0</v>
      </c>
      <c r="R13" s="33">
        <v>0</v>
      </c>
      <c r="T13" s="33">
        <v>7529.44</v>
      </c>
      <c r="U13" s="33">
        <v>12363.56</v>
      </c>
      <c r="W13" s="33">
        <v>8387.84</v>
      </c>
      <c r="X13" s="33">
        <v>17932.16</v>
      </c>
      <c r="Z13" s="33">
        <v>3713.03</v>
      </c>
      <c r="AA13" s="33">
        <v>7934.96</v>
      </c>
      <c r="AC13" s="33">
        <v>15825.95</v>
      </c>
      <c r="AD13" s="33">
        <v>23975.05</v>
      </c>
      <c r="AF13" s="33">
        <v>1699.8</v>
      </c>
      <c r="AG13" s="33">
        <f t="shared" si="3"/>
        <v>2575.1999999999998</v>
      </c>
      <c r="AI13" s="33">
        <v>16603.28</v>
      </c>
      <c r="AJ13" s="33">
        <v>28389.72</v>
      </c>
      <c r="AL13" s="54"/>
      <c r="AM13" s="33">
        <v>0</v>
      </c>
      <c r="AN13" s="33">
        <v>0</v>
      </c>
      <c r="AO13" s="54"/>
      <c r="AQ13" s="33">
        <v>0</v>
      </c>
      <c r="AR13" s="33">
        <v>0</v>
      </c>
    </row>
    <row r="14" spans="1:44" s="34" customFormat="1" x14ac:dyDescent="0.45">
      <c r="A14" s="32">
        <f t="shared" si="0"/>
        <v>2020</v>
      </c>
      <c r="B14" s="33">
        <f t="shared" si="1"/>
        <v>150377.90000000002</v>
      </c>
      <c r="C14" s="33">
        <f t="shared" si="2"/>
        <v>196093.52000000002</v>
      </c>
      <c r="E14" s="33">
        <v>10176.709999999999</v>
      </c>
      <c r="F14" s="33">
        <v>21365.279999999999</v>
      </c>
      <c r="H14" s="33">
        <v>42914.09</v>
      </c>
      <c r="I14" s="33">
        <v>34044.33</v>
      </c>
      <c r="K14" s="33">
        <v>12144.22</v>
      </c>
      <c r="L14" s="33">
        <v>10741.78</v>
      </c>
      <c r="N14" s="33">
        <v>29582.39</v>
      </c>
      <c r="O14" s="33">
        <v>38572.620000000003</v>
      </c>
      <c r="Q14" s="33">
        <v>0</v>
      </c>
      <c r="R14" s="33">
        <v>0</v>
      </c>
      <c r="T14" s="33">
        <v>7868.27</v>
      </c>
      <c r="U14" s="33">
        <v>12024.73</v>
      </c>
      <c r="W14" s="33">
        <v>8765.2900000000009</v>
      </c>
      <c r="X14" s="33">
        <v>17554.71</v>
      </c>
      <c r="Z14" s="33">
        <v>3880.12</v>
      </c>
      <c r="AA14" s="33">
        <v>7767.88</v>
      </c>
      <c r="AC14" s="33">
        <v>16261.16</v>
      </c>
      <c r="AD14" s="33">
        <v>23539.84</v>
      </c>
      <c r="AF14" s="33">
        <v>1746.54</v>
      </c>
      <c r="AG14" s="33">
        <f t="shared" si="3"/>
        <v>2528.46</v>
      </c>
      <c r="AI14" s="33">
        <v>17039.11</v>
      </c>
      <c r="AJ14" s="33">
        <v>27953.89</v>
      </c>
      <c r="AL14" s="33">
        <v>1222000</v>
      </c>
      <c r="AM14" s="33">
        <v>0</v>
      </c>
      <c r="AN14" s="33">
        <v>0</v>
      </c>
      <c r="AO14" s="33">
        <f>+AL14-AM14</f>
        <v>1222000</v>
      </c>
      <c r="AQ14" s="33">
        <v>0</v>
      </c>
      <c r="AR14" s="33">
        <v>0</v>
      </c>
    </row>
    <row r="15" spans="1:44" s="34" customFormat="1" x14ac:dyDescent="0.45">
      <c r="A15" s="32">
        <f t="shared" si="0"/>
        <v>2021</v>
      </c>
      <c r="B15" s="33">
        <f t="shared" si="1"/>
        <v>2552585.4599999995</v>
      </c>
      <c r="C15" s="33">
        <f t="shared" si="2"/>
        <v>227890.39</v>
      </c>
      <c r="E15" s="33">
        <v>10596.5</v>
      </c>
      <c r="F15" s="33">
        <v>20945.490000000002</v>
      </c>
      <c r="H15" s="33">
        <f>+'Lead Schedule'!D5</f>
        <v>637968.52999999991</v>
      </c>
      <c r="I15" s="33">
        <f>+'Lead Schedule'!E5</f>
        <v>32223.309999999998</v>
      </c>
      <c r="K15" s="33">
        <f>+'Lead Schedule'!D6</f>
        <v>202691.49</v>
      </c>
      <c r="L15" s="33">
        <f>+'Lead Schedule'!E6</f>
        <v>8635.2199999999993</v>
      </c>
      <c r="N15" s="33">
        <f>+'Lead Schedule'!D7</f>
        <v>827586.87</v>
      </c>
      <c r="O15" s="33">
        <f>+'Lead Schedule'!E7</f>
        <v>44215.030000000006</v>
      </c>
      <c r="Q15" s="33">
        <v>0</v>
      </c>
      <c r="R15" s="33">
        <v>0</v>
      </c>
      <c r="T15" s="33">
        <f>+'Lead Schedule'!D8</f>
        <v>259347.97</v>
      </c>
      <c r="U15" s="33">
        <f>+'Lead Schedule'!E8</f>
        <v>13992.71</v>
      </c>
      <c r="W15" s="33">
        <f>+'Lead Schedule'!D9</f>
        <v>381339.44999999995</v>
      </c>
      <c r="X15" s="33">
        <f>+'Lead Schedule'!E9</f>
        <v>25281.940000000002</v>
      </c>
      <c r="Z15" s="33">
        <f>+'Lead Schedule'!D10</f>
        <v>168739.34</v>
      </c>
      <c r="AA15" s="33">
        <f>+'Lead Schedule'!E10</f>
        <v>11187</v>
      </c>
      <c r="AC15" s="33">
        <v>16708.349999999999</v>
      </c>
      <c r="AD15" s="33">
        <v>23092.65</v>
      </c>
      <c r="AF15" s="33">
        <v>1794.57</v>
      </c>
      <c r="AG15" s="33">
        <f t="shared" si="3"/>
        <v>2480.4300000000003</v>
      </c>
      <c r="AI15" s="33">
        <v>17486.39</v>
      </c>
      <c r="AJ15" s="33">
        <v>27506.61</v>
      </c>
      <c r="AL15" s="33">
        <f>+AO14</f>
        <v>1222000</v>
      </c>
      <c r="AM15" s="33">
        <v>28326</v>
      </c>
      <c r="AN15" s="33">
        <f>46656-AM15</f>
        <v>18330</v>
      </c>
      <c r="AO15" s="33">
        <f t="shared" ref="AO15:AO55" si="4">+AL15-AM15</f>
        <v>1193674</v>
      </c>
      <c r="AQ15" s="33">
        <v>0</v>
      </c>
      <c r="AR15" s="33">
        <v>0</v>
      </c>
    </row>
    <row r="16" spans="1:44" s="2" customFormat="1" x14ac:dyDescent="0.45">
      <c r="A16" s="27">
        <f t="shared" si="0"/>
        <v>2022</v>
      </c>
      <c r="B16" s="29">
        <f t="shared" si="1"/>
        <v>211741.77000000002</v>
      </c>
      <c r="C16" s="29">
        <f t="shared" si="2"/>
        <v>161588.22999999998</v>
      </c>
      <c r="E16" s="29">
        <v>11033.61</v>
      </c>
      <c r="F16" s="29">
        <v>20508.39</v>
      </c>
      <c r="H16" s="29"/>
      <c r="I16" s="29"/>
      <c r="K16" s="29"/>
      <c r="L16" s="29"/>
      <c r="N16" s="29"/>
      <c r="O16" s="29"/>
      <c r="Q16" s="29">
        <v>0</v>
      </c>
      <c r="R16" s="29">
        <v>0</v>
      </c>
      <c r="T16" s="29"/>
      <c r="U16" s="29"/>
      <c r="W16" s="29"/>
      <c r="X16" s="29"/>
      <c r="Z16" s="29"/>
      <c r="AA16" s="29"/>
      <c r="AC16" s="29">
        <v>17167.830000000002</v>
      </c>
      <c r="AD16" s="29">
        <v>22633.17</v>
      </c>
      <c r="AF16" s="29">
        <v>1843.92</v>
      </c>
      <c r="AG16" s="29">
        <f t="shared" si="3"/>
        <v>2431.08</v>
      </c>
      <c r="AI16" s="29">
        <v>17945.41</v>
      </c>
      <c r="AJ16" s="29">
        <v>27047.59</v>
      </c>
      <c r="AL16" s="29">
        <f t="shared" ref="AL16:AL55" si="5">+AO15</f>
        <v>1193674</v>
      </c>
      <c r="AM16" s="29">
        <v>28751</v>
      </c>
      <c r="AN16" s="29">
        <f t="shared" ref="AN16:AN47" si="6">46656-AM16</f>
        <v>17905</v>
      </c>
      <c r="AO16" s="29">
        <f t="shared" si="4"/>
        <v>1164923</v>
      </c>
      <c r="AQ16" s="29">
        <v>135000</v>
      </c>
      <c r="AR16" s="29">
        <f>+ROUND((36491.88+34571.25),0)</f>
        <v>71063</v>
      </c>
    </row>
    <row r="17" spans="1:44" s="2" customFormat="1" x14ac:dyDescent="0.45">
      <c r="A17" s="27">
        <f t="shared" si="0"/>
        <v>2023</v>
      </c>
      <c r="B17" s="29">
        <f t="shared" si="1"/>
        <v>223621.78</v>
      </c>
      <c r="C17" s="29">
        <f t="shared" si="2"/>
        <v>153468.21</v>
      </c>
      <c r="E17" s="29">
        <v>11488.74</v>
      </c>
      <c r="F17" s="29">
        <v>20053.25</v>
      </c>
      <c r="H17" s="29"/>
      <c r="I17" s="29"/>
      <c r="K17" s="29"/>
      <c r="L17" s="29"/>
      <c r="N17" s="29"/>
      <c r="O17" s="29"/>
      <c r="Q17" s="29">
        <v>0</v>
      </c>
      <c r="R17" s="29">
        <v>0</v>
      </c>
      <c r="T17" s="29"/>
      <c r="U17" s="29"/>
      <c r="W17" s="29"/>
      <c r="X17" s="29"/>
      <c r="Z17" s="29"/>
      <c r="AA17" s="29"/>
      <c r="AC17" s="29">
        <v>17639.939999999999</v>
      </c>
      <c r="AD17" s="29">
        <v>22161.06</v>
      </c>
      <c r="AF17" s="29">
        <v>1894.63</v>
      </c>
      <c r="AG17" s="29">
        <f t="shared" si="3"/>
        <v>2380.37</v>
      </c>
      <c r="AI17" s="29">
        <v>18416.47</v>
      </c>
      <c r="AJ17" s="29">
        <v>26576.53</v>
      </c>
      <c r="AL17" s="29">
        <f t="shared" si="5"/>
        <v>1164923</v>
      </c>
      <c r="AM17" s="29">
        <v>29182</v>
      </c>
      <c r="AN17" s="29">
        <f t="shared" si="6"/>
        <v>17474</v>
      </c>
      <c r="AO17" s="29">
        <f t="shared" si="4"/>
        <v>1135741</v>
      </c>
      <c r="AQ17" s="29">
        <v>145000</v>
      </c>
      <c r="AR17" s="29">
        <f>+ROUND((32411.25*2),0)</f>
        <v>64823</v>
      </c>
    </row>
    <row r="18" spans="1:44" s="2" customFormat="1" x14ac:dyDescent="0.45">
      <c r="A18" s="27">
        <f t="shared" si="0"/>
        <v>2024</v>
      </c>
      <c r="B18" s="29">
        <f t="shared" si="1"/>
        <v>230551.33000000002</v>
      </c>
      <c r="C18" s="29">
        <f t="shared" si="2"/>
        <v>146898.66</v>
      </c>
      <c r="E18" s="29">
        <v>11962.65</v>
      </c>
      <c r="F18" s="29">
        <v>19579.34</v>
      </c>
      <c r="H18" s="29"/>
      <c r="I18" s="29"/>
      <c r="K18" s="29"/>
      <c r="L18" s="29"/>
      <c r="N18" s="29"/>
      <c r="O18" s="29"/>
      <c r="Q18" s="29">
        <v>0</v>
      </c>
      <c r="R18" s="29">
        <v>0</v>
      </c>
      <c r="T18" s="29"/>
      <c r="U18" s="29"/>
      <c r="W18" s="29"/>
      <c r="X18" s="29"/>
      <c r="Z18" s="29"/>
      <c r="AA18" s="29"/>
      <c r="AC18" s="29">
        <v>18125.04</v>
      </c>
      <c r="AD18" s="29">
        <v>21675.96</v>
      </c>
      <c r="AF18" s="29">
        <v>1943.73</v>
      </c>
      <c r="AG18" s="29">
        <f t="shared" si="3"/>
        <v>2331.27</v>
      </c>
      <c r="AI18" s="29">
        <v>18899.91</v>
      </c>
      <c r="AJ18" s="29">
        <v>26093.09</v>
      </c>
      <c r="AL18" s="29">
        <f t="shared" si="5"/>
        <v>1135741</v>
      </c>
      <c r="AM18" s="29">
        <v>29620</v>
      </c>
      <c r="AN18" s="29">
        <f t="shared" si="6"/>
        <v>17036</v>
      </c>
      <c r="AO18" s="29">
        <f t="shared" si="4"/>
        <v>1106121</v>
      </c>
      <c r="AQ18" s="29">
        <v>150000</v>
      </c>
      <c r="AR18" s="29">
        <f>+ROUND((30091.25*2),0)</f>
        <v>60183</v>
      </c>
    </row>
    <row r="19" spans="1:44" s="2" customFormat="1" x14ac:dyDescent="0.45">
      <c r="A19" s="27">
        <f t="shared" si="0"/>
        <v>2025</v>
      </c>
      <c r="B19" s="29">
        <f t="shared" si="1"/>
        <v>237539.89</v>
      </c>
      <c r="C19" s="29">
        <f t="shared" si="2"/>
        <v>140110.1</v>
      </c>
      <c r="E19" s="29">
        <v>12456.11</v>
      </c>
      <c r="F19" s="29">
        <v>19085.88</v>
      </c>
      <c r="H19" s="29"/>
      <c r="I19" s="29"/>
      <c r="K19" s="29"/>
      <c r="L19" s="29"/>
      <c r="N19" s="29"/>
      <c r="O19" s="29"/>
      <c r="Q19" s="29">
        <v>0</v>
      </c>
      <c r="R19" s="29">
        <v>0</v>
      </c>
      <c r="T19" s="29"/>
      <c r="U19" s="29"/>
      <c r="W19" s="29"/>
      <c r="X19" s="29"/>
      <c r="Z19" s="29"/>
      <c r="AA19" s="29"/>
      <c r="AC19" s="29">
        <v>18623.48</v>
      </c>
      <c r="AD19" s="29">
        <v>21177.52</v>
      </c>
      <c r="AF19" s="29">
        <v>2000.27</v>
      </c>
      <c r="AG19" s="29">
        <f t="shared" si="3"/>
        <v>2274.73</v>
      </c>
      <c r="AI19" s="52">
        <v>19396.03</v>
      </c>
      <c r="AJ19" s="52">
        <v>25596.97</v>
      </c>
      <c r="AL19" s="52">
        <f t="shared" si="5"/>
        <v>1106121</v>
      </c>
      <c r="AM19" s="52">
        <v>30064</v>
      </c>
      <c r="AN19" s="52">
        <f t="shared" si="6"/>
        <v>16592</v>
      </c>
      <c r="AO19" s="52">
        <f t="shared" si="4"/>
        <v>1076057</v>
      </c>
      <c r="AQ19" s="52">
        <v>155000</v>
      </c>
      <c r="AR19" s="52">
        <f>+ROUND((27691.25*2),0)</f>
        <v>55383</v>
      </c>
    </row>
    <row r="20" spans="1:44" s="2" customFormat="1" x14ac:dyDescent="0.45">
      <c r="A20" s="27">
        <f>A19+1</f>
        <v>2026</v>
      </c>
      <c r="B20" s="29">
        <f t="shared" si="1"/>
        <v>244578.01</v>
      </c>
      <c r="C20" s="29">
        <f t="shared" si="2"/>
        <v>133108.99</v>
      </c>
      <c r="E20" s="29">
        <v>12969.93</v>
      </c>
      <c r="F20" s="29">
        <v>18572.07</v>
      </c>
      <c r="H20" s="29"/>
      <c r="I20" s="29"/>
      <c r="K20" s="29"/>
      <c r="L20" s="29"/>
      <c r="N20" s="29"/>
      <c r="O20" s="29"/>
      <c r="Q20" s="29">
        <v>0</v>
      </c>
      <c r="R20" s="29">
        <v>0</v>
      </c>
      <c r="T20" s="29"/>
      <c r="U20" s="29"/>
      <c r="W20" s="29"/>
      <c r="X20" s="29"/>
      <c r="Z20" s="29"/>
      <c r="AA20" s="29"/>
      <c r="AC20" s="29">
        <v>19132.62</v>
      </c>
      <c r="AD20" s="29">
        <v>20665.38</v>
      </c>
      <c r="AF20" s="29">
        <v>2055.2800000000002</v>
      </c>
      <c r="AG20" s="29">
        <f t="shared" si="3"/>
        <v>2219.7199999999998</v>
      </c>
      <c r="AI20" s="29">
        <v>19905.18</v>
      </c>
      <c r="AJ20" s="29">
        <v>25087.82</v>
      </c>
      <c r="AL20" s="29">
        <f t="shared" si="5"/>
        <v>1076057</v>
      </c>
      <c r="AM20" s="29">
        <v>30515</v>
      </c>
      <c r="AN20" s="29">
        <f t="shared" si="6"/>
        <v>16141</v>
      </c>
      <c r="AO20" s="29">
        <f t="shared" si="4"/>
        <v>1045542</v>
      </c>
      <c r="AQ20" s="29">
        <v>160000</v>
      </c>
      <c r="AR20" s="29">
        <f>+ROUND((25211.25*2),0)</f>
        <v>50423</v>
      </c>
    </row>
    <row r="21" spans="1:44" s="6" customFormat="1" x14ac:dyDescent="0.45">
      <c r="A21" s="28">
        <f t="shared" si="0"/>
        <v>2027</v>
      </c>
      <c r="B21" s="12">
        <f t="shared" si="1"/>
        <v>251679.28</v>
      </c>
      <c r="C21" s="12">
        <f t="shared" si="2"/>
        <v>125890.72</v>
      </c>
      <c r="E21" s="12">
        <v>13504.94</v>
      </c>
      <c r="F21" s="12">
        <v>18037.060000000001</v>
      </c>
      <c r="H21" s="12"/>
      <c r="I21" s="12"/>
      <c r="K21" s="12"/>
      <c r="L21" s="12"/>
      <c r="N21" s="12"/>
      <c r="O21" s="12"/>
      <c r="Q21" s="12">
        <v>0</v>
      </c>
      <c r="R21" s="12">
        <v>0</v>
      </c>
      <c r="T21" s="12"/>
      <c r="U21" s="12"/>
      <c r="W21" s="12"/>
      <c r="X21" s="12"/>
      <c r="Z21" s="12"/>
      <c r="AA21" s="12"/>
      <c r="AC21" s="12">
        <v>19661.849999999999</v>
      </c>
      <c r="AD21" s="12">
        <v>20139.150000000001</v>
      </c>
      <c r="AF21" s="12">
        <v>2111.8000000000002</v>
      </c>
      <c r="AG21" s="12">
        <f t="shared" si="3"/>
        <v>2163.1999999999998</v>
      </c>
      <c r="AI21" s="12">
        <v>20427.689999999999</v>
      </c>
      <c r="AJ21" s="12">
        <v>24565.31</v>
      </c>
      <c r="AL21" s="12">
        <f t="shared" si="5"/>
        <v>1045542</v>
      </c>
      <c r="AM21" s="12">
        <v>30973</v>
      </c>
      <c r="AN21" s="12">
        <f t="shared" si="6"/>
        <v>15683</v>
      </c>
      <c r="AO21" s="12">
        <f t="shared" si="4"/>
        <v>1014569</v>
      </c>
      <c r="AQ21" s="12">
        <v>165000</v>
      </c>
      <c r="AR21" s="12">
        <f>+ROUND((22651.25*2),0)</f>
        <v>45303</v>
      </c>
    </row>
    <row r="22" spans="1:44" s="6" customFormat="1" x14ac:dyDescent="0.45">
      <c r="A22" s="28">
        <f t="shared" si="0"/>
        <v>2028</v>
      </c>
      <c r="B22" s="12">
        <f t="shared" si="1"/>
        <v>258835.35</v>
      </c>
      <c r="C22" s="12">
        <f t="shared" si="2"/>
        <v>118454.65</v>
      </c>
      <c r="E22" s="12">
        <v>14062.02</v>
      </c>
      <c r="F22" s="12">
        <v>17479.98</v>
      </c>
      <c r="H22" s="12"/>
      <c r="I22" s="12"/>
      <c r="K22" s="12"/>
      <c r="L22" s="12"/>
      <c r="N22" s="12"/>
      <c r="O22" s="12"/>
      <c r="Q22" s="12">
        <v>0</v>
      </c>
      <c r="R22" s="12">
        <v>0</v>
      </c>
      <c r="T22" s="12"/>
      <c r="U22" s="12"/>
      <c r="W22" s="12"/>
      <c r="X22" s="12"/>
      <c r="Z22" s="12"/>
      <c r="AA22" s="12"/>
      <c r="AC22" s="12">
        <v>20202.55</v>
      </c>
      <c r="AD22" s="12">
        <v>19598.45</v>
      </c>
      <c r="AF22" s="12">
        <v>2169.87</v>
      </c>
      <c r="AG22" s="12">
        <f t="shared" si="3"/>
        <v>2105.13</v>
      </c>
      <c r="AI22" s="12">
        <v>20963.91</v>
      </c>
      <c r="AJ22" s="12">
        <v>24029.09</v>
      </c>
      <c r="AL22" s="12">
        <f t="shared" si="5"/>
        <v>1014569</v>
      </c>
      <c r="AM22" s="12">
        <v>31437</v>
      </c>
      <c r="AN22" s="12">
        <f t="shared" si="6"/>
        <v>15219</v>
      </c>
      <c r="AO22" s="12">
        <f t="shared" si="4"/>
        <v>983132</v>
      </c>
      <c r="AQ22" s="12">
        <v>170000</v>
      </c>
      <c r="AR22" s="12">
        <f>+ROUND((20011.25*2),0)</f>
        <v>40023</v>
      </c>
    </row>
    <row r="23" spans="1:44" s="6" customFormat="1" x14ac:dyDescent="0.45">
      <c r="A23" s="28">
        <f t="shared" si="0"/>
        <v>2029</v>
      </c>
      <c r="B23" s="12">
        <f t="shared" si="1"/>
        <v>266052.95999999996</v>
      </c>
      <c r="C23" s="12">
        <f t="shared" si="2"/>
        <v>110797.04000000001</v>
      </c>
      <c r="E23" s="12">
        <v>14642.08</v>
      </c>
      <c r="F23" s="12">
        <v>16899.919999999998</v>
      </c>
      <c r="H23" s="12"/>
      <c r="I23" s="12"/>
      <c r="K23" s="12"/>
      <c r="L23" s="12"/>
      <c r="N23" s="12"/>
      <c r="O23" s="12"/>
      <c r="Q23" s="12">
        <v>0</v>
      </c>
      <c r="R23" s="12">
        <v>0</v>
      </c>
      <c r="T23" s="12"/>
      <c r="U23" s="12"/>
      <c r="W23" s="12"/>
      <c r="X23" s="12"/>
      <c r="Z23" s="12"/>
      <c r="AA23" s="12"/>
      <c r="AC23" s="12">
        <v>20758.12</v>
      </c>
      <c r="AD23" s="12">
        <v>19042.88</v>
      </c>
      <c r="AF23" s="12">
        <v>2229.54</v>
      </c>
      <c r="AG23" s="12">
        <f t="shared" si="3"/>
        <v>2045.46</v>
      </c>
      <c r="AI23" s="12">
        <v>21514.22</v>
      </c>
      <c r="AJ23" s="12">
        <v>23478.78</v>
      </c>
      <c r="AL23" s="12">
        <f t="shared" si="5"/>
        <v>983132</v>
      </c>
      <c r="AM23" s="12">
        <v>31909</v>
      </c>
      <c r="AN23" s="12">
        <f t="shared" si="6"/>
        <v>14747</v>
      </c>
      <c r="AO23" s="12">
        <f t="shared" si="4"/>
        <v>951223</v>
      </c>
      <c r="AQ23" s="12">
        <v>175000</v>
      </c>
      <c r="AR23" s="12">
        <f>+ROUND((17291.25*2),0)</f>
        <v>34583</v>
      </c>
    </row>
    <row r="24" spans="1:44" s="6" customFormat="1" x14ac:dyDescent="0.45">
      <c r="A24" s="28">
        <f t="shared" si="0"/>
        <v>2030</v>
      </c>
      <c r="B24" s="12">
        <f t="shared" si="1"/>
        <v>273332.83999999997</v>
      </c>
      <c r="C24" s="12">
        <f t="shared" si="2"/>
        <v>102917.15</v>
      </c>
      <c r="E24" s="12">
        <v>15246.06</v>
      </c>
      <c r="F24" s="12">
        <v>16295.93</v>
      </c>
      <c r="H24" s="12"/>
      <c r="I24" s="12"/>
      <c r="K24" s="12"/>
      <c r="L24" s="12"/>
      <c r="N24" s="12"/>
      <c r="O24" s="12"/>
      <c r="Q24" s="12">
        <v>0</v>
      </c>
      <c r="R24" s="12">
        <v>0</v>
      </c>
      <c r="T24" s="12"/>
      <c r="U24" s="12"/>
      <c r="W24" s="12"/>
      <c r="X24" s="12"/>
      <c r="Z24" s="12"/>
      <c r="AA24" s="12"/>
      <c r="AC24" s="12">
        <v>21328.97</v>
      </c>
      <c r="AD24" s="12">
        <v>18472.03</v>
      </c>
      <c r="AF24" s="12">
        <v>2290.85</v>
      </c>
      <c r="AG24" s="12">
        <f t="shared" si="3"/>
        <v>1984.15</v>
      </c>
      <c r="AI24" s="12">
        <v>22078.959999999999</v>
      </c>
      <c r="AJ24" s="12">
        <v>22914.04</v>
      </c>
      <c r="AL24" s="12">
        <f t="shared" si="5"/>
        <v>951223</v>
      </c>
      <c r="AM24" s="12">
        <v>32388</v>
      </c>
      <c r="AN24" s="12">
        <f t="shared" si="6"/>
        <v>14268</v>
      </c>
      <c r="AO24" s="12">
        <f t="shared" si="4"/>
        <v>918835</v>
      </c>
      <c r="AQ24" s="12">
        <v>180000</v>
      </c>
      <c r="AR24" s="12">
        <f>+ROUND((14491.25*2),0)</f>
        <v>28983</v>
      </c>
    </row>
    <row r="25" spans="1:44" s="6" customFormat="1" x14ac:dyDescent="0.45">
      <c r="A25" s="28">
        <f t="shared" si="0"/>
        <v>2031</v>
      </c>
      <c r="B25" s="12">
        <f t="shared" si="1"/>
        <v>280675.87</v>
      </c>
      <c r="C25" s="12">
        <f t="shared" si="2"/>
        <v>96613.119999999995</v>
      </c>
      <c r="E25" s="12">
        <v>15874.96</v>
      </c>
      <c r="F25" s="12">
        <v>15667.03</v>
      </c>
      <c r="H25" s="12"/>
      <c r="I25" s="12"/>
      <c r="K25" s="12"/>
      <c r="L25" s="12"/>
      <c r="N25" s="12"/>
      <c r="O25" s="12"/>
      <c r="Q25" s="12">
        <v>0</v>
      </c>
      <c r="R25" s="12">
        <v>0</v>
      </c>
      <c r="T25" s="12"/>
      <c r="U25" s="12"/>
      <c r="W25" s="12"/>
      <c r="X25" s="12"/>
      <c r="Z25" s="12"/>
      <c r="AA25" s="12"/>
      <c r="AC25" s="12">
        <v>21915.52</v>
      </c>
      <c r="AD25" s="12">
        <v>17885.48</v>
      </c>
      <c r="AF25" s="12">
        <v>2353.85</v>
      </c>
      <c r="AG25" s="12">
        <f t="shared" si="3"/>
        <v>1921.15</v>
      </c>
      <c r="AI25" s="12">
        <v>22658.54</v>
      </c>
      <c r="AJ25" s="12">
        <v>22334.46</v>
      </c>
      <c r="AL25" s="12">
        <f t="shared" si="5"/>
        <v>918835</v>
      </c>
      <c r="AM25" s="12">
        <v>32873</v>
      </c>
      <c r="AN25" s="12">
        <f t="shared" si="6"/>
        <v>13783</v>
      </c>
      <c r="AO25" s="12">
        <f t="shared" si="4"/>
        <v>885962</v>
      </c>
      <c r="AQ25" s="12">
        <v>185000</v>
      </c>
      <c r="AR25" s="12">
        <f>+ROUND((12511.25*2),0)-1</f>
        <v>25022</v>
      </c>
    </row>
    <row r="26" spans="1:44" s="2" customFormat="1" x14ac:dyDescent="0.45">
      <c r="A26" s="27">
        <f t="shared" si="0"/>
        <v>2032</v>
      </c>
      <c r="B26" s="29">
        <f t="shared" si="1"/>
        <v>208086.9</v>
      </c>
      <c r="C26" s="29">
        <f t="shared" si="2"/>
        <v>90132.09</v>
      </c>
      <c r="E26" s="29">
        <v>16529.8</v>
      </c>
      <c r="F26" s="29">
        <v>15012.19</v>
      </c>
      <c r="H26" s="29"/>
      <c r="I26" s="29"/>
      <c r="K26" s="29"/>
      <c r="L26" s="29"/>
      <c r="N26" s="29"/>
      <c r="O26" s="29"/>
      <c r="Q26" s="29">
        <v>0</v>
      </c>
      <c r="R26" s="29">
        <v>0</v>
      </c>
      <c r="T26" s="29"/>
      <c r="U26" s="29"/>
      <c r="W26" s="29"/>
      <c r="X26" s="29"/>
      <c r="Z26" s="29"/>
      <c r="AA26" s="29"/>
      <c r="AC26" s="29">
        <v>22518.2</v>
      </c>
      <c r="AD26" s="29">
        <v>17282.8</v>
      </c>
      <c r="AF26" s="29">
        <v>2418.58</v>
      </c>
      <c r="AG26" s="29">
        <f t="shared" si="3"/>
        <v>1856.42</v>
      </c>
      <c r="AI26" s="29">
        <v>23253.32</v>
      </c>
      <c r="AJ26" s="29">
        <v>21739.68</v>
      </c>
      <c r="AL26" s="29">
        <f t="shared" si="5"/>
        <v>885962</v>
      </c>
      <c r="AM26" s="29">
        <v>33367</v>
      </c>
      <c r="AN26" s="29">
        <f t="shared" si="6"/>
        <v>13289</v>
      </c>
      <c r="AO26" s="29">
        <f t="shared" si="4"/>
        <v>852595</v>
      </c>
      <c r="AQ26" s="29">
        <v>110000</v>
      </c>
      <c r="AR26" s="29">
        <f>+ROUND((10476.25*2),0)-1</f>
        <v>20952</v>
      </c>
    </row>
    <row r="27" spans="1:44" s="2" customFormat="1" x14ac:dyDescent="0.45">
      <c r="A27" s="27">
        <f t="shared" si="0"/>
        <v>2033</v>
      </c>
      <c r="B27" s="29">
        <f t="shared" si="1"/>
        <v>190564.91999999998</v>
      </c>
      <c r="C27" s="29">
        <f t="shared" si="2"/>
        <v>85124.08</v>
      </c>
      <c r="E27" s="29">
        <v>17211.66</v>
      </c>
      <c r="F27" s="29">
        <v>14330.34</v>
      </c>
      <c r="H27" s="29"/>
      <c r="I27" s="29"/>
      <c r="K27" s="29"/>
      <c r="L27" s="29"/>
      <c r="N27" s="29"/>
      <c r="O27" s="29"/>
      <c r="Q27" s="29">
        <v>0</v>
      </c>
      <c r="R27" s="29">
        <v>0</v>
      </c>
      <c r="T27" s="29"/>
      <c r="U27" s="29"/>
      <c r="W27" s="29"/>
      <c r="X27" s="29"/>
      <c r="Z27" s="29"/>
      <c r="AA27" s="29"/>
      <c r="AC27" s="29">
        <v>23137.45</v>
      </c>
      <c r="AD27" s="29">
        <v>16663.55</v>
      </c>
      <c r="AF27" s="29">
        <v>2485.09</v>
      </c>
      <c r="AG27" s="29">
        <f t="shared" si="3"/>
        <v>1789.9099999999999</v>
      </c>
      <c r="AI27" s="29">
        <v>23863.72</v>
      </c>
      <c r="AJ27" s="29">
        <v>21129.279999999999</v>
      </c>
      <c r="AL27" s="29">
        <f t="shared" si="5"/>
        <v>852595</v>
      </c>
      <c r="AM27" s="29">
        <v>33867</v>
      </c>
      <c r="AN27" s="29">
        <f t="shared" si="6"/>
        <v>12789</v>
      </c>
      <c r="AO27" s="29">
        <f t="shared" si="4"/>
        <v>818728</v>
      </c>
      <c r="AQ27" s="29">
        <v>90000</v>
      </c>
      <c r="AR27" s="29">
        <f>+ROUND((9211.25*2),0)-1</f>
        <v>18422</v>
      </c>
    </row>
    <row r="28" spans="1:44" s="2" customFormat="1" x14ac:dyDescent="0.45">
      <c r="A28" s="27">
        <f t="shared" si="0"/>
        <v>2034</v>
      </c>
      <c r="B28" s="29">
        <f t="shared" si="1"/>
        <v>198113.95</v>
      </c>
      <c r="C28" s="29">
        <f t="shared" si="2"/>
        <v>80415.05</v>
      </c>
      <c r="E28" s="29">
        <v>17921.64</v>
      </c>
      <c r="F28" s="29">
        <v>13620.36</v>
      </c>
      <c r="H28" s="29"/>
      <c r="I28" s="29"/>
      <c r="K28" s="29"/>
      <c r="L28" s="29"/>
      <c r="N28" s="29"/>
      <c r="O28" s="29"/>
      <c r="Q28" s="29">
        <v>0</v>
      </c>
      <c r="R28" s="29">
        <v>0</v>
      </c>
      <c r="T28" s="29"/>
      <c r="U28" s="29"/>
      <c r="W28" s="29"/>
      <c r="X28" s="29"/>
      <c r="Z28" s="29"/>
      <c r="AA28" s="29"/>
      <c r="AC28" s="29">
        <v>23773.73</v>
      </c>
      <c r="AD28" s="29">
        <v>16027.27</v>
      </c>
      <c r="AF28" s="29">
        <v>2553.4299999999998</v>
      </c>
      <c r="AG28" s="29">
        <f t="shared" si="3"/>
        <v>1721.5700000000002</v>
      </c>
      <c r="AI28" s="29">
        <v>24490.15</v>
      </c>
      <c r="AJ28" s="29">
        <v>20502.849999999999</v>
      </c>
      <c r="AL28" s="29">
        <f t="shared" si="5"/>
        <v>818728</v>
      </c>
      <c r="AM28" s="29">
        <v>34375</v>
      </c>
      <c r="AN28" s="29">
        <f t="shared" si="6"/>
        <v>12281</v>
      </c>
      <c r="AO28" s="29">
        <f t="shared" si="4"/>
        <v>784353</v>
      </c>
      <c r="AQ28" s="29">
        <v>95000</v>
      </c>
      <c r="AR28" s="29">
        <f>+ROUND((8131.25*2),0)-1</f>
        <v>16262</v>
      </c>
    </row>
    <row r="29" spans="1:44" s="2" customFormat="1" x14ac:dyDescent="0.45">
      <c r="A29" s="27">
        <f t="shared" si="0"/>
        <v>2035</v>
      </c>
      <c r="B29" s="29">
        <f t="shared" si="1"/>
        <v>200736.07</v>
      </c>
      <c r="C29" s="29">
        <f t="shared" si="2"/>
        <v>75417.929999999993</v>
      </c>
      <c r="E29" s="29">
        <v>18660.91</v>
      </c>
      <c r="F29" s="29">
        <v>12881.09</v>
      </c>
      <c r="H29" s="29"/>
      <c r="I29" s="29"/>
      <c r="K29" s="29"/>
      <c r="L29" s="29"/>
      <c r="N29" s="29"/>
      <c r="O29" s="29"/>
      <c r="Q29" s="29">
        <v>0</v>
      </c>
      <c r="R29" s="29">
        <v>0</v>
      </c>
      <c r="T29" s="29"/>
      <c r="U29" s="29"/>
      <c r="W29" s="29"/>
      <c r="X29" s="29"/>
      <c r="Z29" s="29"/>
      <c r="AA29" s="29"/>
      <c r="AC29" s="29">
        <v>24427.5</v>
      </c>
      <c r="AD29" s="29">
        <v>15373.5</v>
      </c>
      <c r="AF29" s="29">
        <v>2623.65</v>
      </c>
      <c r="AG29" s="29">
        <f t="shared" si="3"/>
        <v>1651.35</v>
      </c>
      <c r="AI29" s="29">
        <v>25133.01</v>
      </c>
      <c r="AJ29" s="29">
        <v>19859.990000000002</v>
      </c>
      <c r="AL29" s="29">
        <f t="shared" si="5"/>
        <v>784353</v>
      </c>
      <c r="AM29" s="29">
        <v>34891</v>
      </c>
      <c r="AN29" s="29">
        <f t="shared" si="6"/>
        <v>11765</v>
      </c>
      <c r="AO29" s="29">
        <f t="shared" si="4"/>
        <v>749462</v>
      </c>
      <c r="AQ29" s="29">
        <v>95000</v>
      </c>
      <c r="AR29" s="29">
        <f>+ROUND((6943.75*2),0)-1</f>
        <v>13887</v>
      </c>
    </row>
    <row r="30" spans="1:44" s="2" customFormat="1" x14ac:dyDescent="0.45">
      <c r="A30" s="27">
        <f t="shared" si="0"/>
        <v>2036</v>
      </c>
      <c r="B30" s="29">
        <f t="shared" si="1"/>
        <v>208432.47999999998</v>
      </c>
      <c r="C30" s="29">
        <f t="shared" si="2"/>
        <v>70251.520000000004</v>
      </c>
      <c r="E30" s="29">
        <v>19430.669999999998</v>
      </c>
      <c r="F30" s="29">
        <v>12111.33</v>
      </c>
      <c r="H30" s="29"/>
      <c r="I30" s="29"/>
      <c r="K30" s="29"/>
      <c r="L30" s="29"/>
      <c r="N30" s="29"/>
      <c r="O30" s="29"/>
      <c r="Q30" s="29">
        <v>0</v>
      </c>
      <c r="R30" s="29">
        <v>0</v>
      </c>
      <c r="T30" s="29"/>
      <c r="U30" s="29"/>
      <c r="W30" s="29"/>
      <c r="X30" s="29"/>
      <c r="Z30" s="29"/>
      <c r="AA30" s="29"/>
      <c r="AC30" s="29">
        <v>25099.26</v>
      </c>
      <c r="AD30" s="29">
        <v>14701.74</v>
      </c>
      <c r="AF30" s="29">
        <v>2695.8</v>
      </c>
      <c r="AG30" s="29">
        <f t="shared" si="3"/>
        <v>1579.1999999999998</v>
      </c>
      <c r="AI30" s="29">
        <v>25792.75</v>
      </c>
      <c r="AJ30" s="29">
        <v>19200.25</v>
      </c>
      <c r="AL30" s="29">
        <f t="shared" si="5"/>
        <v>749462</v>
      </c>
      <c r="AM30" s="29">
        <v>35414</v>
      </c>
      <c r="AN30" s="29">
        <f t="shared" si="6"/>
        <v>11242</v>
      </c>
      <c r="AO30" s="29">
        <f t="shared" si="4"/>
        <v>714048</v>
      </c>
      <c r="AQ30" s="29">
        <v>100000</v>
      </c>
      <c r="AR30" s="29">
        <f>+ROUND((5708.75*2),0)-1</f>
        <v>11417</v>
      </c>
    </row>
    <row r="31" spans="1:44" s="6" customFormat="1" x14ac:dyDescent="0.45">
      <c r="A31" s="28">
        <f t="shared" si="0"/>
        <v>2037</v>
      </c>
      <c r="B31" s="12">
        <f t="shared" si="1"/>
        <v>211206.41999999998</v>
      </c>
      <c r="C31" s="12">
        <f t="shared" si="2"/>
        <v>64777.57</v>
      </c>
      <c r="E31" s="12">
        <v>20232.18</v>
      </c>
      <c r="F31" s="12">
        <v>11309.81</v>
      </c>
      <c r="H31" s="12"/>
      <c r="I31" s="12"/>
      <c r="K31" s="12"/>
      <c r="L31" s="12"/>
      <c r="N31" s="12"/>
      <c r="O31" s="12"/>
      <c r="Q31" s="12">
        <v>0</v>
      </c>
      <c r="R31" s="12">
        <v>0</v>
      </c>
      <c r="T31" s="12"/>
      <c r="U31" s="12"/>
      <c r="W31" s="12"/>
      <c r="X31" s="12"/>
      <c r="Z31" s="12"/>
      <c r="AA31" s="12"/>
      <c r="AC31" s="12">
        <v>25789.49</v>
      </c>
      <c r="AD31" s="12">
        <v>14011.51</v>
      </c>
      <c r="AF31" s="12">
        <v>2769.94</v>
      </c>
      <c r="AG31" s="12">
        <f t="shared" si="3"/>
        <v>1505.06</v>
      </c>
      <c r="AI31" s="12">
        <v>26469.81</v>
      </c>
      <c r="AJ31" s="12">
        <v>18523.189999999999</v>
      </c>
      <c r="AL31" s="12">
        <f t="shared" si="5"/>
        <v>714048</v>
      </c>
      <c r="AM31" s="12">
        <v>35945</v>
      </c>
      <c r="AN31" s="12">
        <f t="shared" si="6"/>
        <v>10711</v>
      </c>
      <c r="AO31" s="12">
        <f t="shared" si="4"/>
        <v>678103</v>
      </c>
      <c r="AQ31" s="12">
        <v>100000</v>
      </c>
      <c r="AR31" s="12">
        <f>+ROUND((4358.75*2),0)-1</f>
        <v>8717</v>
      </c>
    </row>
    <row r="32" spans="1:44" s="6" customFormat="1" x14ac:dyDescent="0.45">
      <c r="A32" s="28">
        <f t="shared" si="0"/>
        <v>2038</v>
      </c>
      <c r="B32" s="12">
        <f t="shared" si="1"/>
        <v>149060.22</v>
      </c>
      <c r="C32" s="12">
        <f t="shared" si="2"/>
        <v>59023.77</v>
      </c>
      <c r="E32" s="12">
        <v>21066.76</v>
      </c>
      <c r="F32" s="12">
        <v>10475.23</v>
      </c>
      <c r="H32" s="12"/>
      <c r="I32" s="12"/>
      <c r="K32" s="12"/>
      <c r="L32" s="12"/>
      <c r="N32" s="12"/>
      <c r="O32" s="12"/>
      <c r="Q32" s="12">
        <v>0</v>
      </c>
      <c r="R32" s="12">
        <v>0</v>
      </c>
      <c r="T32" s="12"/>
      <c r="U32" s="12"/>
      <c r="W32" s="12"/>
      <c r="X32" s="12"/>
      <c r="Z32" s="12"/>
      <c r="AA32" s="12"/>
      <c r="AC32" s="12">
        <v>26498.7</v>
      </c>
      <c r="AD32" s="12">
        <v>13302.3</v>
      </c>
      <c r="AF32" s="12">
        <v>2846.11</v>
      </c>
      <c r="AG32" s="12">
        <f t="shared" si="3"/>
        <v>1428.8899999999999</v>
      </c>
      <c r="AI32" s="12">
        <v>27164.65</v>
      </c>
      <c r="AJ32" s="12">
        <v>17828.349999999999</v>
      </c>
      <c r="AL32" s="12">
        <f t="shared" si="5"/>
        <v>678103</v>
      </c>
      <c r="AM32" s="12">
        <v>36484</v>
      </c>
      <c r="AN32" s="12">
        <f t="shared" si="6"/>
        <v>10172</v>
      </c>
      <c r="AO32" s="12">
        <f t="shared" si="4"/>
        <v>641619</v>
      </c>
      <c r="AQ32" s="12">
        <v>35000</v>
      </c>
      <c r="AR32" s="12">
        <f>+ROUND((2908.75*2),0)-1</f>
        <v>5817</v>
      </c>
    </row>
    <row r="33" spans="1:44" s="6" customFormat="1" x14ac:dyDescent="0.45">
      <c r="A33" s="28">
        <f t="shared" si="0"/>
        <v>2039</v>
      </c>
      <c r="B33" s="12">
        <f t="shared" si="1"/>
        <v>151997.26999999999</v>
      </c>
      <c r="C33" s="12">
        <f t="shared" si="2"/>
        <v>55072.72</v>
      </c>
      <c r="E33" s="12">
        <v>21935.759999999998</v>
      </c>
      <c r="F33" s="12">
        <v>9606.23</v>
      </c>
      <c r="H33" s="12"/>
      <c r="I33" s="12"/>
      <c r="K33" s="12"/>
      <c r="L33" s="12"/>
      <c r="N33" s="12"/>
      <c r="O33" s="12"/>
      <c r="Q33" s="12">
        <v>0</v>
      </c>
      <c r="R33" s="12">
        <v>0</v>
      </c>
      <c r="T33" s="12"/>
      <c r="U33" s="12"/>
      <c r="W33" s="12"/>
      <c r="X33" s="12"/>
      <c r="Z33" s="12"/>
      <c r="AA33" s="12"/>
      <c r="AC33" s="12">
        <v>27227.41</v>
      </c>
      <c r="AD33" s="12">
        <v>12573.59</v>
      </c>
      <c r="AF33" s="12">
        <v>2924.38</v>
      </c>
      <c r="AG33" s="12">
        <f t="shared" si="3"/>
        <v>1350.62</v>
      </c>
      <c r="AI33" s="12">
        <v>27877.72</v>
      </c>
      <c r="AJ33" s="12">
        <v>17115.28</v>
      </c>
      <c r="AL33" s="12">
        <f t="shared" si="5"/>
        <v>641619</v>
      </c>
      <c r="AM33" s="12">
        <v>37032</v>
      </c>
      <c r="AN33" s="12">
        <f t="shared" si="6"/>
        <v>9624</v>
      </c>
      <c r="AO33" s="12">
        <f t="shared" si="4"/>
        <v>604587</v>
      </c>
      <c r="AQ33" s="12">
        <v>35000</v>
      </c>
      <c r="AR33" s="12">
        <f>+ROUND((2401.25*2),0)</f>
        <v>4803</v>
      </c>
    </row>
    <row r="34" spans="1:44" s="6" customFormat="1" x14ac:dyDescent="0.45">
      <c r="A34" s="28">
        <f t="shared" si="0"/>
        <v>2040</v>
      </c>
      <c r="B34" s="12">
        <f t="shared" si="1"/>
        <v>155018.09</v>
      </c>
      <c r="C34" s="12">
        <f t="shared" si="2"/>
        <v>50983.9</v>
      </c>
      <c r="E34" s="12">
        <v>22840.61</v>
      </c>
      <c r="F34" s="12">
        <v>8701.3799999999992</v>
      </c>
      <c r="H34" s="12"/>
      <c r="I34" s="12"/>
      <c r="K34" s="12"/>
      <c r="L34" s="12"/>
      <c r="N34" s="12"/>
      <c r="O34" s="12"/>
      <c r="Q34" s="12">
        <v>0</v>
      </c>
      <c r="R34" s="12">
        <v>0</v>
      </c>
      <c r="T34" s="12"/>
      <c r="U34" s="12"/>
      <c r="W34" s="12"/>
      <c r="X34" s="12"/>
      <c r="Z34" s="12"/>
      <c r="AA34" s="12"/>
      <c r="AC34" s="12">
        <v>27976.17</v>
      </c>
      <c r="AD34" s="12">
        <v>11824.83</v>
      </c>
      <c r="AF34" s="12">
        <v>3004.8</v>
      </c>
      <c r="AG34" s="12">
        <f t="shared" si="3"/>
        <v>1270.1999999999998</v>
      </c>
      <c r="AI34" s="12">
        <v>28609.51</v>
      </c>
      <c r="AJ34" s="12">
        <v>16383.49</v>
      </c>
      <c r="AL34" s="12">
        <f t="shared" si="5"/>
        <v>604587</v>
      </c>
      <c r="AM34" s="12">
        <v>37587</v>
      </c>
      <c r="AN34" s="12">
        <f t="shared" si="6"/>
        <v>9069</v>
      </c>
      <c r="AO34" s="12">
        <f t="shared" si="4"/>
        <v>567000</v>
      </c>
      <c r="AQ34" s="12">
        <v>35000</v>
      </c>
      <c r="AR34" s="12">
        <f>+ROUND((1867.5*2),0)</f>
        <v>3735</v>
      </c>
    </row>
    <row r="35" spans="1:44" s="6" customFormat="1" x14ac:dyDescent="0.45">
      <c r="A35" s="28">
        <f t="shared" si="0"/>
        <v>2041</v>
      </c>
      <c r="B35" s="12">
        <f t="shared" si="1"/>
        <v>158127.24</v>
      </c>
      <c r="C35" s="12">
        <f t="shared" si="2"/>
        <v>46806.75</v>
      </c>
      <c r="E35" s="12">
        <v>23782.79</v>
      </c>
      <c r="F35" s="12">
        <v>7759.2</v>
      </c>
      <c r="H35" s="12"/>
      <c r="I35" s="12"/>
      <c r="K35" s="12"/>
      <c r="L35" s="12"/>
      <c r="N35" s="12"/>
      <c r="O35" s="12"/>
      <c r="Q35" s="12">
        <v>0</v>
      </c>
      <c r="R35" s="12">
        <v>0</v>
      </c>
      <c r="T35" s="12"/>
      <c r="U35" s="12"/>
      <c r="W35" s="12"/>
      <c r="X35" s="12"/>
      <c r="Z35" s="12"/>
      <c r="AA35" s="12"/>
      <c r="AC35" s="12">
        <v>28745.51</v>
      </c>
      <c r="AD35" s="12">
        <v>11055.49</v>
      </c>
      <c r="AF35" s="12">
        <v>3087.43</v>
      </c>
      <c r="AG35" s="12">
        <f t="shared" si="3"/>
        <v>1187.5700000000002</v>
      </c>
      <c r="AI35" s="12">
        <v>29360.51</v>
      </c>
      <c r="AJ35" s="12">
        <v>15632.49</v>
      </c>
      <c r="AL35" s="12">
        <f t="shared" si="5"/>
        <v>567000</v>
      </c>
      <c r="AM35" s="12">
        <v>38151</v>
      </c>
      <c r="AN35" s="12">
        <f t="shared" si="6"/>
        <v>8505</v>
      </c>
      <c r="AO35" s="12">
        <f t="shared" si="4"/>
        <v>528849</v>
      </c>
      <c r="AQ35" s="12">
        <v>35000</v>
      </c>
      <c r="AR35" s="12">
        <f>+ROUND((1333.75*2),0)-1</f>
        <v>2667</v>
      </c>
    </row>
    <row r="36" spans="1:44" s="2" customFormat="1" x14ac:dyDescent="0.45">
      <c r="A36" s="27">
        <f t="shared" si="0"/>
        <v>2042</v>
      </c>
      <c r="B36" s="29">
        <f t="shared" si="1"/>
        <v>141326.39999999999</v>
      </c>
      <c r="C36" s="29">
        <f t="shared" si="2"/>
        <v>42540.590000000004</v>
      </c>
      <c r="E36" s="29">
        <v>24763.83</v>
      </c>
      <c r="F36" s="29">
        <v>6778.16</v>
      </c>
      <c r="H36" s="29"/>
      <c r="I36" s="29"/>
      <c r="K36" s="29"/>
      <c r="L36" s="29"/>
      <c r="N36" s="29"/>
      <c r="O36" s="29"/>
      <c r="Q36" s="29">
        <v>0</v>
      </c>
      <c r="R36" s="29">
        <v>0</v>
      </c>
      <c r="T36" s="29"/>
      <c r="U36" s="29"/>
      <c r="W36" s="29"/>
      <c r="X36" s="29"/>
      <c r="Z36" s="29"/>
      <c r="AA36" s="29"/>
      <c r="AC36" s="29">
        <v>29536.01</v>
      </c>
      <c r="AD36" s="29">
        <v>10264.99</v>
      </c>
      <c r="AF36" s="29">
        <v>3172.34</v>
      </c>
      <c r="AG36" s="29">
        <f t="shared" si="3"/>
        <v>1102.6599999999999</v>
      </c>
      <c r="AI36" s="29">
        <v>30131.22</v>
      </c>
      <c r="AJ36" s="29">
        <v>14861.78</v>
      </c>
      <c r="AL36" s="29">
        <f t="shared" si="5"/>
        <v>528849</v>
      </c>
      <c r="AM36" s="29">
        <v>38723</v>
      </c>
      <c r="AN36" s="29">
        <f t="shared" si="6"/>
        <v>7933</v>
      </c>
      <c r="AO36" s="29">
        <f t="shared" si="4"/>
        <v>490126</v>
      </c>
      <c r="AQ36" s="29">
        <v>15000</v>
      </c>
      <c r="AR36" s="29">
        <f>+ROUND((800*2),0)</f>
        <v>1600</v>
      </c>
    </row>
    <row r="37" spans="1:44" s="2" customFormat="1" x14ac:dyDescent="0.45">
      <c r="A37" s="27">
        <f t="shared" si="0"/>
        <v>2043</v>
      </c>
      <c r="B37" s="29">
        <f t="shared" si="1"/>
        <v>144619.35</v>
      </c>
      <c r="C37" s="29">
        <f t="shared" si="2"/>
        <v>38767.65</v>
      </c>
      <c r="E37" s="29">
        <v>25785.34</v>
      </c>
      <c r="F37" s="29">
        <v>5756.66</v>
      </c>
      <c r="H37" s="29"/>
      <c r="I37" s="29"/>
      <c r="K37" s="29"/>
      <c r="L37" s="29"/>
      <c r="N37" s="29"/>
      <c r="O37" s="29"/>
      <c r="Q37" s="29">
        <v>0</v>
      </c>
      <c r="R37" s="29">
        <v>0</v>
      </c>
      <c r="T37" s="29"/>
      <c r="U37" s="29"/>
      <c r="W37" s="29"/>
      <c r="X37" s="29"/>
      <c r="Z37" s="29"/>
      <c r="AA37" s="29"/>
      <c r="AC37" s="29">
        <v>30348.26</v>
      </c>
      <c r="AD37" s="29">
        <v>9452.74</v>
      </c>
      <c r="AF37" s="29">
        <v>3259.58</v>
      </c>
      <c r="AG37" s="29">
        <f t="shared" si="3"/>
        <v>1015.4200000000001</v>
      </c>
      <c r="AI37" s="29">
        <v>30922.17</v>
      </c>
      <c r="AJ37" s="29">
        <v>14070.83</v>
      </c>
      <c r="AL37" s="29">
        <f t="shared" si="5"/>
        <v>490126</v>
      </c>
      <c r="AM37" s="29">
        <v>39304</v>
      </c>
      <c r="AN37" s="29">
        <f t="shared" si="6"/>
        <v>7352</v>
      </c>
      <c r="AO37" s="29">
        <f t="shared" si="4"/>
        <v>450822</v>
      </c>
      <c r="AQ37" s="29">
        <v>15000</v>
      </c>
      <c r="AR37" s="29">
        <f>+ROUND((560*2),0)</f>
        <v>1120</v>
      </c>
    </row>
    <row r="38" spans="1:44" s="2" customFormat="1" x14ac:dyDescent="0.45">
      <c r="A38" s="27">
        <f t="shared" si="0"/>
        <v>2044</v>
      </c>
      <c r="B38" s="29">
        <f t="shared" si="1"/>
        <v>153008.89000000001</v>
      </c>
      <c r="C38" s="29">
        <f t="shared" si="2"/>
        <v>34898.1</v>
      </c>
      <c r="E38" s="29">
        <v>26848.98</v>
      </c>
      <c r="F38" s="29">
        <v>4693.01</v>
      </c>
      <c r="H38" s="29"/>
      <c r="I38" s="29"/>
      <c r="K38" s="29"/>
      <c r="L38" s="29"/>
      <c r="N38" s="29"/>
      <c r="O38" s="29"/>
      <c r="Q38" s="29">
        <v>0</v>
      </c>
      <c r="R38" s="29">
        <v>0</v>
      </c>
      <c r="T38" s="29"/>
      <c r="U38" s="29"/>
      <c r="W38" s="29"/>
      <c r="X38" s="29"/>
      <c r="Z38" s="29"/>
      <c r="AA38" s="29"/>
      <c r="AC38" s="29">
        <v>31182.83</v>
      </c>
      <c r="AD38" s="29">
        <v>8618.17</v>
      </c>
      <c r="AF38" s="29">
        <v>3349.21</v>
      </c>
      <c r="AG38" s="29">
        <f t="shared" si="3"/>
        <v>925.79</v>
      </c>
      <c r="AI38" s="29">
        <v>31733.87</v>
      </c>
      <c r="AJ38" s="29">
        <v>13259.13</v>
      </c>
      <c r="AL38" s="29">
        <f t="shared" si="5"/>
        <v>450822</v>
      </c>
      <c r="AM38" s="29">
        <v>39894</v>
      </c>
      <c r="AN38" s="29">
        <f t="shared" si="6"/>
        <v>6762</v>
      </c>
      <c r="AO38" s="29">
        <f t="shared" si="4"/>
        <v>410928</v>
      </c>
      <c r="AQ38" s="29">
        <v>20000</v>
      </c>
      <c r="AR38" s="29">
        <f>+ROUND((320*2),0)</f>
        <v>640</v>
      </c>
    </row>
    <row r="39" spans="1:44" s="2" customFormat="1" x14ac:dyDescent="0.45">
      <c r="A39" s="27">
        <f t="shared" si="0"/>
        <v>2045</v>
      </c>
      <c r="B39" s="29">
        <f t="shared" si="1"/>
        <v>136497.07</v>
      </c>
      <c r="C39" s="29">
        <f t="shared" si="2"/>
        <v>30769.920000000002</v>
      </c>
      <c r="E39" s="29">
        <v>27956.5</v>
      </c>
      <c r="F39" s="29">
        <v>3585.49</v>
      </c>
      <c r="H39" s="29"/>
      <c r="I39" s="29"/>
      <c r="K39" s="29"/>
      <c r="L39" s="29"/>
      <c r="N39" s="29"/>
      <c r="O39" s="29"/>
      <c r="Q39" s="29">
        <v>0</v>
      </c>
      <c r="R39" s="29">
        <v>0</v>
      </c>
      <c r="T39" s="29"/>
      <c r="U39" s="29"/>
      <c r="W39" s="29"/>
      <c r="X39" s="29"/>
      <c r="Z39" s="29"/>
      <c r="AA39" s="29"/>
      <c r="AC39" s="29">
        <v>32040.36</v>
      </c>
      <c r="AD39" s="29">
        <v>7760.64</v>
      </c>
      <c r="AF39" s="29">
        <v>3441.32</v>
      </c>
      <c r="AG39" s="29">
        <f t="shared" si="3"/>
        <v>833.67999999999984</v>
      </c>
      <c r="AI39" s="29">
        <v>32566.89</v>
      </c>
      <c r="AJ39" s="29">
        <v>12426.11</v>
      </c>
      <c r="AL39" s="29">
        <f t="shared" si="5"/>
        <v>410928</v>
      </c>
      <c r="AM39" s="29">
        <v>40492</v>
      </c>
      <c r="AN39" s="29">
        <f t="shared" si="6"/>
        <v>6164</v>
      </c>
      <c r="AO39" s="29">
        <f t="shared" si="4"/>
        <v>370436</v>
      </c>
      <c r="AQ39" s="29">
        <v>0</v>
      </c>
      <c r="AR39" s="29">
        <v>0</v>
      </c>
    </row>
    <row r="40" spans="1:44" s="2" customFormat="1" x14ac:dyDescent="0.45">
      <c r="A40" s="27">
        <f t="shared" si="0"/>
        <v>2046</v>
      </c>
      <c r="B40" s="29">
        <f t="shared" si="1"/>
        <v>140087.9</v>
      </c>
      <c r="C40" s="29">
        <f t="shared" si="2"/>
        <v>27179.1</v>
      </c>
      <c r="E40" s="29">
        <v>29109.71</v>
      </c>
      <c r="F40" s="29">
        <v>2432.29</v>
      </c>
      <c r="H40" s="29">
        <v>0</v>
      </c>
      <c r="I40" s="29">
        <v>0</v>
      </c>
      <c r="K40" s="29">
        <v>0</v>
      </c>
      <c r="L40" s="29">
        <v>0</v>
      </c>
      <c r="N40" s="29">
        <v>0</v>
      </c>
      <c r="O40" s="29">
        <v>0</v>
      </c>
      <c r="Q40" s="29">
        <v>0</v>
      </c>
      <c r="R40" s="29">
        <v>0</v>
      </c>
      <c r="T40" s="29">
        <v>0</v>
      </c>
      <c r="U40" s="29">
        <v>0</v>
      </c>
      <c r="W40" s="29">
        <v>0</v>
      </c>
      <c r="X40" s="29">
        <v>0</v>
      </c>
      <c r="Z40" s="29">
        <v>0</v>
      </c>
      <c r="AA40" s="29">
        <v>0</v>
      </c>
      <c r="AC40" s="29">
        <v>32921.47</v>
      </c>
      <c r="AD40" s="29">
        <v>6879.53</v>
      </c>
      <c r="AF40" s="29">
        <v>3535.95</v>
      </c>
      <c r="AG40" s="29">
        <f t="shared" si="3"/>
        <v>739.05000000000018</v>
      </c>
      <c r="AI40" s="29">
        <v>33421.769999999997</v>
      </c>
      <c r="AJ40" s="29">
        <v>11571.23</v>
      </c>
      <c r="AL40" s="29">
        <f t="shared" si="5"/>
        <v>370436</v>
      </c>
      <c r="AM40" s="29">
        <v>41099</v>
      </c>
      <c r="AN40" s="29">
        <f t="shared" si="6"/>
        <v>5557</v>
      </c>
      <c r="AO40" s="29">
        <f t="shared" si="4"/>
        <v>329337</v>
      </c>
      <c r="AQ40" s="29">
        <v>0</v>
      </c>
      <c r="AR40" s="29">
        <v>0</v>
      </c>
    </row>
    <row r="41" spans="1:44" s="6" customFormat="1" x14ac:dyDescent="0.45">
      <c r="A41" s="28">
        <f t="shared" si="0"/>
        <v>2047</v>
      </c>
      <c r="B41" s="12">
        <f t="shared" si="1"/>
        <v>143329.84</v>
      </c>
      <c r="C41" s="12">
        <f t="shared" si="2"/>
        <v>23927.16</v>
      </c>
      <c r="E41" s="12">
        <f>29854.78-0.03</f>
        <v>29854.75</v>
      </c>
      <c r="F41" s="12">
        <f>31532-E41</f>
        <v>1677.25</v>
      </c>
      <c r="H41" s="12">
        <v>0</v>
      </c>
      <c r="I41" s="12">
        <v>0</v>
      </c>
      <c r="K41" s="12">
        <v>0</v>
      </c>
      <c r="L41" s="12">
        <v>0</v>
      </c>
      <c r="N41" s="12">
        <v>0</v>
      </c>
      <c r="O41" s="12">
        <v>0</v>
      </c>
      <c r="Q41" s="12">
        <v>0</v>
      </c>
      <c r="R41" s="12">
        <v>0</v>
      </c>
      <c r="T41" s="12">
        <v>0</v>
      </c>
      <c r="U41" s="12">
        <v>0</v>
      </c>
      <c r="W41" s="12">
        <v>0</v>
      </c>
      <c r="X41" s="12">
        <v>0</v>
      </c>
      <c r="Z41" s="12">
        <v>0</v>
      </c>
      <c r="AA41" s="12">
        <v>0</v>
      </c>
      <c r="AC41" s="12">
        <v>33826.81</v>
      </c>
      <c r="AD41" s="12">
        <v>5974.19</v>
      </c>
      <c r="AF41" s="12">
        <v>3633.19</v>
      </c>
      <c r="AG41" s="12">
        <f t="shared" si="3"/>
        <v>641.80999999999995</v>
      </c>
      <c r="AI41" s="12">
        <v>34299.089999999997</v>
      </c>
      <c r="AJ41" s="12">
        <v>10693.91</v>
      </c>
      <c r="AL41" s="12">
        <f t="shared" si="5"/>
        <v>329337</v>
      </c>
      <c r="AM41" s="12">
        <v>41716</v>
      </c>
      <c r="AN41" s="12">
        <f t="shared" si="6"/>
        <v>4940</v>
      </c>
      <c r="AO41" s="12">
        <f t="shared" si="4"/>
        <v>287621</v>
      </c>
      <c r="AQ41" s="12">
        <v>0</v>
      </c>
      <c r="AR41" s="12">
        <v>0</v>
      </c>
    </row>
    <row r="42" spans="1:44" s="6" customFormat="1" x14ac:dyDescent="0.45">
      <c r="A42" s="28">
        <f t="shared" si="0"/>
        <v>2048</v>
      </c>
      <c r="B42" s="12">
        <f t="shared" si="1"/>
        <v>116031.6</v>
      </c>
      <c r="C42" s="12">
        <f t="shared" si="2"/>
        <v>19693.400000000001</v>
      </c>
      <c r="E42" s="12"/>
      <c r="F42" s="12"/>
      <c r="H42" s="12"/>
      <c r="I42" s="12"/>
      <c r="K42" s="12"/>
      <c r="L42" s="12"/>
      <c r="N42" s="12"/>
      <c r="O42" s="12"/>
      <c r="Q42" s="12"/>
      <c r="R42" s="12"/>
      <c r="T42" s="12"/>
      <c r="U42" s="12"/>
      <c r="W42" s="12"/>
      <c r="X42" s="12"/>
      <c r="Z42" s="12"/>
      <c r="AA42" s="12"/>
      <c r="AC42" s="12">
        <v>34757.050000000003</v>
      </c>
      <c r="AD42" s="12">
        <v>5043.95</v>
      </c>
      <c r="AF42" s="12">
        <v>3733.11</v>
      </c>
      <c r="AG42" s="12">
        <f t="shared" si="3"/>
        <v>541.88999999999987</v>
      </c>
      <c r="AI42" s="12">
        <v>35199.440000000002</v>
      </c>
      <c r="AJ42" s="12">
        <v>9793.56</v>
      </c>
      <c r="AL42" s="12">
        <f t="shared" si="5"/>
        <v>287621</v>
      </c>
      <c r="AM42" s="12">
        <v>42342</v>
      </c>
      <c r="AN42" s="12">
        <f t="shared" si="6"/>
        <v>4314</v>
      </c>
      <c r="AO42" s="12">
        <f t="shared" si="4"/>
        <v>245279</v>
      </c>
      <c r="AQ42" s="12">
        <v>0</v>
      </c>
      <c r="AR42" s="12">
        <v>0</v>
      </c>
    </row>
    <row r="43" spans="1:44" s="6" customFormat="1" x14ac:dyDescent="0.45">
      <c r="A43" s="28">
        <f t="shared" si="0"/>
        <v>2049</v>
      </c>
      <c r="B43" s="12">
        <f t="shared" si="1"/>
        <v>118649.07</v>
      </c>
      <c r="C43" s="12">
        <f t="shared" si="2"/>
        <v>17075.93</v>
      </c>
      <c r="E43" s="12"/>
      <c r="F43" s="12"/>
      <c r="H43" s="12"/>
      <c r="I43" s="12"/>
      <c r="K43" s="12"/>
      <c r="L43" s="12"/>
      <c r="N43" s="12"/>
      <c r="O43" s="12"/>
      <c r="Q43" s="12"/>
      <c r="R43" s="12"/>
      <c r="T43" s="12"/>
      <c r="U43" s="12"/>
      <c r="W43" s="12"/>
      <c r="X43" s="12"/>
      <c r="Z43" s="12"/>
      <c r="AA43" s="12"/>
      <c r="AC43" s="12">
        <v>35712.870000000003</v>
      </c>
      <c r="AD43" s="12">
        <v>4088.13</v>
      </c>
      <c r="AF43" s="12">
        <v>3835.77</v>
      </c>
      <c r="AG43" s="12">
        <f t="shared" si="3"/>
        <v>439.23</v>
      </c>
      <c r="AI43" s="12">
        <v>36123.43</v>
      </c>
      <c r="AJ43" s="12">
        <v>8869.57</v>
      </c>
      <c r="AL43" s="12">
        <f t="shared" si="5"/>
        <v>245279</v>
      </c>
      <c r="AM43" s="12">
        <v>42977</v>
      </c>
      <c r="AN43" s="12">
        <f t="shared" si="6"/>
        <v>3679</v>
      </c>
      <c r="AO43" s="12">
        <f t="shared" si="4"/>
        <v>202302</v>
      </c>
      <c r="AQ43" s="12">
        <v>0</v>
      </c>
      <c r="AR43" s="12">
        <v>0</v>
      </c>
    </row>
    <row r="44" spans="1:44" s="6" customFormat="1" x14ac:dyDescent="0.45">
      <c r="A44" s="28">
        <f t="shared" si="0"/>
        <v>2050</v>
      </c>
      <c r="B44" s="12">
        <f t="shared" si="1"/>
        <v>121329.89</v>
      </c>
      <c r="C44" s="12">
        <f t="shared" si="2"/>
        <v>14395.11</v>
      </c>
      <c r="E44" s="12"/>
      <c r="F44" s="12"/>
      <c r="H44" s="12"/>
      <c r="I44" s="12"/>
      <c r="K44" s="12"/>
      <c r="L44" s="12"/>
      <c r="N44" s="12"/>
      <c r="O44" s="12"/>
      <c r="Q44" s="12"/>
      <c r="R44" s="12"/>
      <c r="T44" s="12"/>
      <c r="U44" s="12"/>
      <c r="W44" s="12"/>
      <c r="X44" s="12"/>
      <c r="Z44" s="12"/>
      <c r="AA44" s="12"/>
      <c r="AC44" s="12">
        <v>36694.97</v>
      </c>
      <c r="AD44" s="12">
        <v>3106.03</v>
      </c>
      <c r="AF44" s="12">
        <v>3941.25</v>
      </c>
      <c r="AG44" s="12">
        <f t="shared" si="3"/>
        <v>333.75</v>
      </c>
      <c r="AI44" s="12">
        <v>37071.67</v>
      </c>
      <c r="AJ44" s="12">
        <v>7921.33</v>
      </c>
      <c r="AL44" s="12">
        <f t="shared" si="5"/>
        <v>202302</v>
      </c>
      <c r="AM44" s="12">
        <v>43622</v>
      </c>
      <c r="AN44" s="12">
        <f t="shared" si="6"/>
        <v>3034</v>
      </c>
      <c r="AO44" s="12">
        <f t="shared" si="4"/>
        <v>158680</v>
      </c>
      <c r="AQ44" s="12">
        <v>0</v>
      </c>
      <c r="AR44" s="12">
        <v>0</v>
      </c>
    </row>
    <row r="45" spans="1:44" s="6" customFormat="1" x14ac:dyDescent="0.45">
      <c r="A45" s="28">
        <v>2051</v>
      </c>
      <c r="B45" s="12">
        <f t="shared" si="1"/>
        <v>124074.51000000001</v>
      </c>
      <c r="C45" s="12">
        <f t="shared" si="2"/>
        <v>11650.49</v>
      </c>
      <c r="E45" s="12"/>
      <c r="F45" s="12"/>
      <c r="H45" s="12"/>
      <c r="I45" s="12"/>
      <c r="K45" s="12"/>
      <c r="L45" s="12"/>
      <c r="N45" s="12"/>
      <c r="O45" s="12"/>
      <c r="Q45" s="12"/>
      <c r="R45" s="12"/>
      <c r="T45" s="12"/>
      <c r="U45" s="12"/>
      <c r="W45" s="12"/>
      <c r="X45" s="12"/>
      <c r="Z45" s="12"/>
      <c r="AA45" s="12"/>
      <c r="AC45" s="12">
        <v>37704.080000000002</v>
      </c>
      <c r="AD45" s="12">
        <v>2096.92</v>
      </c>
      <c r="AF45" s="12">
        <v>4049.63</v>
      </c>
      <c r="AG45" s="12">
        <f t="shared" si="3"/>
        <v>225.36999999999989</v>
      </c>
      <c r="AI45" s="12">
        <v>38044.800000000003</v>
      </c>
      <c r="AJ45" s="12">
        <v>6948.2</v>
      </c>
      <c r="AL45" s="12">
        <f t="shared" si="5"/>
        <v>158680</v>
      </c>
      <c r="AM45" s="12">
        <v>44276</v>
      </c>
      <c r="AN45" s="12">
        <f t="shared" si="6"/>
        <v>2380</v>
      </c>
      <c r="AO45" s="12">
        <f t="shared" si="4"/>
        <v>114404</v>
      </c>
      <c r="AQ45" s="12">
        <v>0</v>
      </c>
      <c r="AR45" s="12">
        <v>0</v>
      </c>
    </row>
    <row r="46" spans="1:44" s="2" customFormat="1" x14ac:dyDescent="0.45">
      <c r="A46" s="27">
        <v>2052</v>
      </c>
      <c r="B46" s="29">
        <f t="shared" si="1"/>
        <v>126682.47</v>
      </c>
      <c r="C46" s="29">
        <f t="shared" si="2"/>
        <v>9042.5299999999952</v>
      </c>
      <c r="E46" s="29"/>
      <c r="F46" s="29"/>
      <c r="H46" s="29"/>
      <c r="I46" s="29"/>
      <c r="K46" s="29"/>
      <c r="L46" s="29"/>
      <c r="N46" s="29"/>
      <c r="O46" s="29"/>
      <c r="Q46" s="29"/>
      <c r="R46" s="29"/>
      <c r="T46" s="29"/>
      <c r="U46" s="29"/>
      <c r="W46" s="29"/>
      <c r="X46" s="29"/>
      <c r="Z46" s="29"/>
      <c r="AA46" s="29"/>
      <c r="AC46" s="29">
        <f>38547.47+3.01</f>
        <v>38550.480000000003</v>
      </c>
      <c r="AD46" s="29">
        <f>39801-AC46</f>
        <v>1250.5199999999968</v>
      </c>
      <c r="AF46" s="29">
        <f>4145.5+3.02</f>
        <v>4148.5200000000004</v>
      </c>
      <c r="AG46" s="29">
        <f t="shared" si="3"/>
        <v>126.47999999999956</v>
      </c>
      <c r="AI46" s="29">
        <v>39043.47</v>
      </c>
      <c r="AJ46" s="29">
        <v>5949.53</v>
      </c>
      <c r="AL46" s="29">
        <f t="shared" si="5"/>
        <v>114404</v>
      </c>
      <c r="AM46" s="29">
        <v>44940</v>
      </c>
      <c r="AN46" s="29">
        <f t="shared" si="6"/>
        <v>1716</v>
      </c>
      <c r="AO46" s="29">
        <f t="shared" si="4"/>
        <v>69464</v>
      </c>
      <c r="AQ46" s="29">
        <v>0</v>
      </c>
      <c r="AR46" s="29">
        <v>0</v>
      </c>
    </row>
    <row r="47" spans="1:44" s="2" customFormat="1" x14ac:dyDescent="0.45">
      <c r="A47" s="27">
        <v>2053</v>
      </c>
      <c r="B47" s="29">
        <f t="shared" si="1"/>
        <v>85682.36</v>
      </c>
      <c r="C47" s="29">
        <f t="shared" si="2"/>
        <v>5966.64</v>
      </c>
      <c r="E47" s="29"/>
      <c r="F47" s="29"/>
      <c r="H47" s="29"/>
      <c r="I47" s="29"/>
      <c r="K47" s="29"/>
      <c r="L47" s="29"/>
      <c r="N47" s="29"/>
      <c r="O47" s="29"/>
      <c r="Q47" s="29"/>
      <c r="R47" s="29"/>
      <c r="T47" s="29"/>
      <c r="U47" s="29"/>
      <c r="W47" s="29"/>
      <c r="X47" s="29"/>
      <c r="Z47" s="29"/>
      <c r="AA47" s="29"/>
      <c r="AC47" s="29"/>
      <c r="AD47" s="29"/>
      <c r="AF47" s="29"/>
      <c r="AG47" s="29"/>
      <c r="AI47" s="29">
        <v>40068.36</v>
      </c>
      <c r="AJ47" s="29">
        <v>4924.6400000000003</v>
      </c>
      <c r="AL47" s="29">
        <f t="shared" si="5"/>
        <v>69464</v>
      </c>
      <c r="AM47" s="29">
        <v>45614</v>
      </c>
      <c r="AN47" s="29">
        <f t="shared" si="6"/>
        <v>1042</v>
      </c>
      <c r="AO47" s="29">
        <f t="shared" si="4"/>
        <v>23850</v>
      </c>
      <c r="AQ47" s="29">
        <v>0</v>
      </c>
      <c r="AR47" s="29">
        <v>0</v>
      </c>
    </row>
    <row r="48" spans="1:44" s="2" customFormat="1" x14ac:dyDescent="0.45">
      <c r="A48" s="27">
        <v>2054</v>
      </c>
      <c r="B48" s="29">
        <f t="shared" si="1"/>
        <v>64970.16</v>
      </c>
      <c r="C48" s="29">
        <f t="shared" si="2"/>
        <v>3872.84</v>
      </c>
      <c r="E48" s="29"/>
      <c r="F48" s="29"/>
      <c r="H48" s="29"/>
      <c r="I48" s="29"/>
      <c r="K48" s="29"/>
      <c r="L48" s="29"/>
      <c r="N48" s="29"/>
      <c r="O48" s="29"/>
      <c r="Q48" s="29"/>
      <c r="R48" s="29"/>
      <c r="T48" s="29"/>
      <c r="U48" s="29"/>
      <c r="W48" s="29"/>
      <c r="X48" s="29"/>
      <c r="Z48" s="29"/>
      <c r="AA48" s="29"/>
      <c r="AC48" s="29"/>
      <c r="AD48" s="29"/>
      <c r="AF48" s="29"/>
      <c r="AG48" s="29"/>
      <c r="AI48" s="29">
        <v>41120.160000000003</v>
      </c>
      <c r="AJ48" s="29">
        <v>3872.84</v>
      </c>
      <c r="AL48" s="29">
        <f t="shared" si="5"/>
        <v>23850</v>
      </c>
      <c r="AM48" s="29">
        <v>23850</v>
      </c>
      <c r="AN48" s="29">
        <v>0</v>
      </c>
      <c r="AO48" s="29">
        <f t="shared" si="4"/>
        <v>0</v>
      </c>
      <c r="AQ48" s="29">
        <v>0</v>
      </c>
      <c r="AR48" s="29">
        <v>0</v>
      </c>
    </row>
    <row r="49" spans="1:44" s="2" customFormat="1" x14ac:dyDescent="0.45">
      <c r="A49" s="27">
        <v>2055</v>
      </c>
      <c r="B49" s="29">
        <f t="shared" si="1"/>
        <v>42199.56</v>
      </c>
      <c r="C49" s="29">
        <f t="shared" si="2"/>
        <v>2793.44</v>
      </c>
      <c r="E49" s="29"/>
      <c r="F49" s="29"/>
      <c r="H49" s="29"/>
      <c r="I49" s="29"/>
      <c r="K49" s="29"/>
      <c r="L49" s="29"/>
      <c r="N49" s="29"/>
      <c r="O49" s="29"/>
      <c r="Q49" s="29"/>
      <c r="R49" s="29"/>
      <c r="T49" s="29"/>
      <c r="U49" s="29"/>
      <c r="W49" s="29"/>
      <c r="X49" s="29"/>
      <c r="Z49" s="29"/>
      <c r="AA49" s="29"/>
      <c r="AC49" s="29"/>
      <c r="AD49" s="29"/>
      <c r="AF49" s="29"/>
      <c r="AG49" s="29"/>
      <c r="AI49" s="29">
        <v>42199.56</v>
      </c>
      <c r="AJ49" s="29">
        <v>2793.44</v>
      </c>
      <c r="AL49" s="29">
        <f t="shared" si="5"/>
        <v>0</v>
      </c>
      <c r="AM49" s="29">
        <v>0</v>
      </c>
      <c r="AN49" s="29">
        <v>0</v>
      </c>
      <c r="AO49" s="29">
        <f t="shared" si="4"/>
        <v>0</v>
      </c>
      <c r="AQ49" s="29">
        <v>0</v>
      </c>
      <c r="AR49" s="29">
        <v>0</v>
      </c>
    </row>
    <row r="50" spans="1:44" s="2" customFormat="1" x14ac:dyDescent="0.45">
      <c r="A50" s="27">
        <v>2056</v>
      </c>
      <c r="B50" s="29">
        <f t="shared" si="1"/>
        <v>43307.3</v>
      </c>
      <c r="C50" s="29">
        <f t="shared" si="2"/>
        <v>1685.7</v>
      </c>
      <c r="E50" s="29"/>
      <c r="F50" s="29"/>
      <c r="H50" s="29"/>
      <c r="I50" s="29"/>
      <c r="K50" s="29"/>
      <c r="L50" s="29"/>
      <c r="N50" s="29"/>
      <c r="O50" s="29"/>
      <c r="Q50" s="29"/>
      <c r="R50" s="29"/>
      <c r="T50" s="29"/>
      <c r="U50" s="29"/>
      <c r="W50" s="29"/>
      <c r="X50" s="29"/>
      <c r="Z50" s="29"/>
      <c r="AA50" s="29"/>
      <c r="AC50" s="29"/>
      <c r="AD50" s="29"/>
      <c r="AF50" s="29"/>
      <c r="AG50" s="29"/>
      <c r="AI50" s="29">
        <v>43307.3</v>
      </c>
      <c r="AJ50" s="29">
        <v>1685.7</v>
      </c>
      <c r="AL50" s="29">
        <f t="shared" si="5"/>
        <v>0</v>
      </c>
      <c r="AM50" s="29">
        <v>0</v>
      </c>
      <c r="AN50" s="29">
        <v>0</v>
      </c>
      <c r="AO50" s="29">
        <f t="shared" si="4"/>
        <v>0</v>
      </c>
      <c r="AQ50" s="29">
        <v>0</v>
      </c>
      <c r="AR50" s="29">
        <v>0</v>
      </c>
    </row>
    <row r="51" spans="1:44" s="6" customFormat="1" x14ac:dyDescent="0.45">
      <c r="A51" s="28">
        <v>2057</v>
      </c>
      <c r="B51" s="12">
        <f t="shared" si="1"/>
        <v>21120.79</v>
      </c>
      <c r="C51" s="12">
        <f t="shared" si="2"/>
        <v>548.91</v>
      </c>
      <c r="E51" s="12"/>
      <c r="F51" s="12"/>
      <c r="H51" s="12"/>
      <c r="I51" s="12"/>
      <c r="K51" s="12"/>
      <c r="L51" s="12"/>
      <c r="N51" s="12"/>
      <c r="O51" s="12"/>
      <c r="Q51" s="12"/>
      <c r="R51" s="12"/>
      <c r="T51" s="12"/>
      <c r="U51" s="12"/>
      <c r="W51" s="12"/>
      <c r="X51" s="12"/>
      <c r="Z51" s="12"/>
      <c r="AA51" s="12"/>
      <c r="AC51" s="12"/>
      <c r="AD51" s="12"/>
      <c r="AF51" s="12"/>
      <c r="AG51" s="12"/>
      <c r="AI51" s="12">
        <f>210.99+20909.8</f>
        <v>21120.79</v>
      </c>
      <c r="AJ51" s="12">
        <f>548.88+0.03</f>
        <v>548.91</v>
      </c>
      <c r="AL51" s="12">
        <f t="shared" si="5"/>
        <v>0</v>
      </c>
      <c r="AM51" s="12">
        <v>0</v>
      </c>
      <c r="AN51" s="12">
        <v>0</v>
      </c>
      <c r="AO51" s="12">
        <f t="shared" si="4"/>
        <v>0</v>
      </c>
      <c r="AQ51" s="12">
        <v>0</v>
      </c>
      <c r="AR51" s="12">
        <v>0</v>
      </c>
    </row>
    <row r="52" spans="1:44" s="6" customFormat="1" x14ac:dyDescent="0.45">
      <c r="A52" s="28">
        <v>2058</v>
      </c>
      <c r="B52" s="12">
        <f t="shared" si="1"/>
        <v>0</v>
      </c>
      <c r="C52" s="12">
        <f t="shared" si="2"/>
        <v>0</v>
      </c>
      <c r="E52" s="12"/>
      <c r="F52" s="12"/>
      <c r="H52" s="12"/>
      <c r="I52" s="12"/>
      <c r="K52" s="12"/>
      <c r="L52" s="12"/>
      <c r="N52" s="12"/>
      <c r="O52" s="12"/>
      <c r="Q52" s="12"/>
      <c r="R52" s="12"/>
      <c r="T52" s="12"/>
      <c r="U52" s="12"/>
      <c r="W52" s="12"/>
      <c r="X52" s="12"/>
      <c r="Z52" s="12"/>
      <c r="AA52" s="12"/>
      <c r="AC52" s="12"/>
      <c r="AD52" s="12"/>
      <c r="AF52" s="12"/>
      <c r="AG52" s="12"/>
      <c r="AI52" s="12"/>
      <c r="AJ52" s="12"/>
      <c r="AL52" s="12">
        <f t="shared" si="5"/>
        <v>0</v>
      </c>
      <c r="AM52" s="12">
        <v>0</v>
      </c>
      <c r="AN52" s="12">
        <v>0</v>
      </c>
      <c r="AO52" s="12">
        <f t="shared" si="4"/>
        <v>0</v>
      </c>
      <c r="AQ52" s="12">
        <v>0</v>
      </c>
      <c r="AR52" s="12">
        <v>0</v>
      </c>
    </row>
    <row r="53" spans="1:44" s="6" customFormat="1" x14ac:dyDescent="0.45">
      <c r="A53" s="28">
        <v>2059</v>
      </c>
      <c r="B53" s="12">
        <f t="shared" si="1"/>
        <v>0</v>
      </c>
      <c r="C53" s="12">
        <f t="shared" si="2"/>
        <v>0</v>
      </c>
      <c r="E53" s="12"/>
      <c r="F53" s="12"/>
      <c r="H53" s="12"/>
      <c r="I53" s="12"/>
      <c r="K53" s="12"/>
      <c r="L53" s="12"/>
      <c r="N53" s="12"/>
      <c r="O53" s="12"/>
      <c r="Q53" s="12"/>
      <c r="R53" s="12"/>
      <c r="T53" s="12"/>
      <c r="U53" s="12"/>
      <c r="W53" s="12"/>
      <c r="X53" s="12"/>
      <c r="Z53" s="12"/>
      <c r="AA53" s="12"/>
      <c r="AC53" s="12"/>
      <c r="AD53" s="12"/>
      <c r="AF53" s="12"/>
      <c r="AG53" s="12"/>
      <c r="AI53" s="12"/>
      <c r="AJ53" s="12"/>
      <c r="AL53" s="12">
        <f t="shared" si="5"/>
        <v>0</v>
      </c>
      <c r="AM53" s="12">
        <v>0</v>
      </c>
      <c r="AN53" s="12">
        <v>0</v>
      </c>
      <c r="AO53" s="12">
        <f t="shared" si="4"/>
        <v>0</v>
      </c>
      <c r="AQ53" s="12">
        <v>0</v>
      </c>
      <c r="AR53" s="12">
        <v>0</v>
      </c>
    </row>
    <row r="54" spans="1:44" s="6" customFormat="1" x14ac:dyDescent="0.45">
      <c r="A54" s="28">
        <v>2060</v>
      </c>
      <c r="B54" s="12">
        <f t="shared" si="1"/>
        <v>0</v>
      </c>
      <c r="C54" s="12">
        <f t="shared" si="2"/>
        <v>0</v>
      </c>
      <c r="E54" s="12"/>
      <c r="F54" s="12"/>
      <c r="H54" s="12"/>
      <c r="I54" s="12"/>
      <c r="K54" s="12"/>
      <c r="L54" s="12"/>
      <c r="N54" s="12"/>
      <c r="O54" s="12"/>
      <c r="Q54" s="12"/>
      <c r="R54" s="12"/>
      <c r="T54" s="12"/>
      <c r="U54" s="12"/>
      <c r="W54" s="12"/>
      <c r="X54" s="12"/>
      <c r="Z54" s="12"/>
      <c r="AA54" s="12"/>
      <c r="AC54" s="12"/>
      <c r="AD54" s="12"/>
      <c r="AF54" s="12"/>
      <c r="AG54" s="12"/>
      <c r="AI54" s="12"/>
      <c r="AJ54" s="12"/>
      <c r="AL54" s="12">
        <f t="shared" si="5"/>
        <v>0</v>
      </c>
      <c r="AM54" s="12">
        <v>0</v>
      </c>
      <c r="AN54" s="12">
        <v>0</v>
      </c>
      <c r="AO54" s="12">
        <f t="shared" si="4"/>
        <v>0</v>
      </c>
      <c r="AQ54" s="12">
        <v>0</v>
      </c>
      <c r="AR54" s="12">
        <v>0</v>
      </c>
    </row>
    <row r="55" spans="1:44" s="6" customFormat="1" x14ac:dyDescent="0.45">
      <c r="A55" s="28">
        <v>2061</v>
      </c>
      <c r="B55" s="12">
        <f t="shared" si="1"/>
        <v>0</v>
      </c>
      <c r="C55" s="12">
        <f t="shared" si="2"/>
        <v>0</v>
      </c>
      <c r="E55" s="12"/>
      <c r="F55" s="12"/>
      <c r="H55" s="12"/>
      <c r="I55" s="12"/>
      <c r="K55" s="12"/>
      <c r="L55" s="12"/>
      <c r="N55" s="12"/>
      <c r="O55" s="12"/>
      <c r="Q55" s="12"/>
      <c r="R55" s="12"/>
      <c r="T55" s="12"/>
      <c r="U55" s="12"/>
      <c r="W55" s="12"/>
      <c r="X55" s="12"/>
      <c r="Z55" s="12"/>
      <c r="AA55" s="12"/>
      <c r="AC55" s="12"/>
      <c r="AD55" s="12"/>
      <c r="AF55" s="12"/>
      <c r="AG55" s="12"/>
      <c r="AI55" s="12"/>
      <c r="AJ55" s="12"/>
      <c r="AL55" s="12">
        <f t="shared" si="5"/>
        <v>0</v>
      </c>
      <c r="AM55" s="12">
        <v>0</v>
      </c>
      <c r="AN55" s="12">
        <v>0</v>
      </c>
      <c r="AO55" s="12">
        <f t="shared" si="4"/>
        <v>0</v>
      </c>
      <c r="AQ55" s="12">
        <v>0</v>
      </c>
      <c r="AR55" s="12">
        <v>0</v>
      </c>
    </row>
    <row r="56" spans="1:44" x14ac:dyDescent="0.45">
      <c r="A56" s="9"/>
      <c r="B56" s="38"/>
      <c r="C56" s="38"/>
      <c r="AL56" s="1"/>
    </row>
    <row r="57" spans="1:44" x14ac:dyDescent="0.45">
      <c r="A57" s="9"/>
      <c r="B57" s="38">
        <f>SUM(B16:B56)</f>
        <v>6032869.7999999998</v>
      </c>
      <c r="C57" s="38">
        <f>SUM(C16:C56)</f>
        <v>2252659.7600000002</v>
      </c>
      <c r="D57" s="16"/>
      <c r="E57" s="38">
        <f>SUM(E16:E56)</f>
        <v>497172.99000000005</v>
      </c>
      <c r="F57" s="38">
        <f>SUM(F16:F56)</f>
        <v>322908.86999999988</v>
      </c>
      <c r="G57" s="16"/>
      <c r="H57" s="38">
        <f>SUM(H16:H56)</f>
        <v>0</v>
      </c>
      <c r="I57" s="38">
        <f>SUM(I16:I56)</f>
        <v>0</v>
      </c>
      <c r="J57" s="38"/>
      <c r="K57" s="38">
        <f>SUM(K16:K56)</f>
        <v>0</v>
      </c>
      <c r="L57" s="38">
        <f>SUM(L16:L56)</f>
        <v>0</v>
      </c>
      <c r="M57" s="16"/>
      <c r="N57" s="38">
        <f>SUM(N16:N56)</f>
        <v>0</v>
      </c>
      <c r="O57" s="38">
        <f>SUM(O16:O56)</f>
        <v>0</v>
      </c>
      <c r="P57" s="16"/>
      <c r="Q57" s="16">
        <f>SUM(Q10:Q46)</f>
        <v>0</v>
      </c>
      <c r="R57" s="16">
        <f>SUM(R10:R46)</f>
        <v>0</v>
      </c>
      <c r="S57" s="16">
        <f>SUM(S10:S46)</f>
        <v>0</v>
      </c>
      <c r="T57" s="38">
        <f>SUM(T16:T56)</f>
        <v>0</v>
      </c>
      <c r="U57" s="38">
        <f>SUM(U16:U56)</f>
        <v>0</v>
      </c>
      <c r="V57" s="26"/>
      <c r="W57" s="38">
        <f>SUM(W16:W56)</f>
        <v>0</v>
      </c>
      <c r="X57" s="38">
        <f>SUM(X16:X56)</f>
        <v>0</v>
      </c>
      <c r="Y57" s="16"/>
      <c r="Z57" s="38">
        <f>SUM(Z16:Z56)</f>
        <v>0</v>
      </c>
      <c r="AA57" s="38">
        <f>SUM(AA16:AA56)</f>
        <v>0</v>
      </c>
      <c r="AB57" s="16"/>
      <c r="AC57" s="38">
        <f>SUM(AC16:AC56)</f>
        <v>823024.53</v>
      </c>
      <c r="AD57" s="38">
        <f>SUM(AD16:AD56)</f>
        <v>410803.47000000009</v>
      </c>
      <c r="AE57" s="38"/>
      <c r="AF57" s="38">
        <f>SUM(AF16:AF56)</f>
        <v>88402.820000000022</v>
      </c>
      <c r="AG57" s="38">
        <f>SUM(AG16:AG56)</f>
        <v>44122.180000000008</v>
      </c>
      <c r="AH57" s="38"/>
      <c r="AI57" s="38">
        <f>SUM(AI16:AI56)</f>
        <v>1030595.4600000004</v>
      </c>
      <c r="AJ57" s="38">
        <f>SUM(AJ16:AJ56)</f>
        <v>565829.23999999976</v>
      </c>
      <c r="AK57" s="38"/>
      <c r="AL57" s="38"/>
      <c r="AM57" s="38">
        <f>SUM(AM16:AM56)</f>
        <v>1193674</v>
      </c>
      <c r="AN57" s="38">
        <f>SUM(AN16:AN56)</f>
        <v>323168</v>
      </c>
      <c r="AP57" s="38"/>
      <c r="AQ57" s="38">
        <f>SUM(AQ16:AQ56)</f>
        <v>2400000</v>
      </c>
      <c r="AR57" s="38">
        <f>SUM(AR16:AR56)</f>
        <v>585828</v>
      </c>
    </row>
    <row r="58" spans="1:44" s="1" customFormat="1" x14ac:dyDescent="0.45">
      <c r="A58" s="9"/>
      <c r="B58" s="7">
        <f>+B57-'Lead Schedule'!F18</f>
        <v>-0.73000000044703484</v>
      </c>
      <c r="C58" s="7"/>
      <c r="E58" s="14" t="s">
        <v>9</v>
      </c>
      <c r="F58" s="7"/>
      <c r="H58" s="26" t="s">
        <v>9</v>
      </c>
      <c r="I58" s="7"/>
      <c r="K58" s="14" t="s">
        <v>9</v>
      </c>
      <c r="L58" s="7"/>
      <c r="N58" s="14" t="s">
        <v>9</v>
      </c>
      <c r="O58" s="7"/>
      <c r="Q58" s="14" t="s">
        <v>9</v>
      </c>
      <c r="R58" s="7"/>
      <c r="T58" s="14" t="s">
        <v>9</v>
      </c>
      <c r="U58" s="7"/>
      <c r="W58" s="14" t="s">
        <v>9</v>
      </c>
      <c r="X58" s="7"/>
      <c r="Z58" s="14" t="s">
        <v>9</v>
      </c>
      <c r="AA58" s="7"/>
      <c r="AI58" s="48"/>
      <c r="AJ58" s="48"/>
      <c r="AL58" s="41"/>
      <c r="AM58" s="48"/>
      <c r="AN58" s="48"/>
      <c r="AO58" s="41"/>
      <c r="AQ58" s="48">
        <f>+AQ57-2400000</f>
        <v>0</v>
      </c>
      <c r="AR58" s="48">
        <f>+AR57-585828</f>
        <v>0</v>
      </c>
    </row>
    <row r="59" spans="1:44" x14ac:dyDescent="0.45">
      <c r="AM59" s="48"/>
    </row>
  </sheetData>
  <mergeCells count="14">
    <mergeCell ref="AQ3:AR3"/>
    <mergeCell ref="AL3:AO3"/>
    <mergeCell ref="AI3:AJ3"/>
    <mergeCell ref="AF3:AG3"/>
    <mergeCell ref="Q3:R3"/>
    <mergeCell ref="T3:U3"/>
    <mergeCell ref="W3:X3"/>
    <mergeCell ref="Z3:AA3"/>
    <mergeCell ref="AC3:AD3"/>
    <mergeCell ref="N3:O3"/>
    <mergeCell ref="B3:C3"/>
    <mergeCell ref="E3:F3"/>
    <mergeCell ref="H3:I3"/>
    <mergeCell ref="K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9E63-727E-41A7-B224-9AAC7F24AE5F}">
  <dimension ref="A1:E13"/>
  <sheetViews>
    <sheetView workbookViewId="0">
      <selection activeCell="A11" sqref="A11"/>
    </sheetView>
  </sheetViews>
  <sheetFormatPr defaultColWidth="9.1328125" defaultRowHeight="14.25" x14ac:dyDescent="0.45"/>
  <cols>
    <col min="1" max="1" width="9.1328125" style="41"/>
    <col min="2" max="4" width="13.265625" style="41" bestFit="1" customWidth="1"/>
    <col min="5" max="16384" width="9.1328125" style="41"/>
  </cols>
  <sheetData>
    <row r="1" spans="1:5" x14ac:dyDescent="0.45">
      <c r="A1" s="41" t="s">
        <v>47</v>
      </c>
    </row>
    <row r="3" spans="1:5" x14ac:dyDescent="0.45">
      <c r="A3" s="56"/>
      <c r="B3" s="58" t="s">
        <v>49</v>
      </c>
      <c r="C3" s="58" t="s">
        <v>49</v>
      </c>
      <c r="D3" s="58"/>
    </row>
    <row r="4" spans="1:5" x14ac:dyDescent="0.45">
      <c r="A4" s="57" t="s">
        <v>48</v>
      </c>
      <c r="B4" s="59" t="s">
        <v>0</v>
      </c>
      <c r="C4" s="59" t="s">
        <v>1</v>
      </c>
      <c r="D4" s="59" t="s">
        <v>4</v>
      </c>
    </row>
    <row r="5" spans="1:5" x14ac:dyDescent="0.45">
      <c r="A5" s="41" t="s">
        <v>50</v>
      </c>
      <c r="B5" s="41">
        <v>592908.86</v>
      </c>
      <c r="C5" s="41">
        <v>349.26</v>
      </c>
      <c r="D5" s="41">
        <f t="shared" ref="D5:D10" si="0">SUM(B5:C5)</f>
        <v>593258.12</v>
      </c>
    </row>
    <row r="6" spans="1:5" x14ac:dyDescent="0.45">
      <c r="A6" s="41" t="s">
        <v>51</v>
      </c>
      <c r="B6" s="41">
        <v>202691.49</v>
      </c>
      <c r="C6" s="41">
        <v>8635.2199999999993</v>
      </c>
      <c r="D6" s="41">
        <f t="shared" si="0"/>
        <v>211326.71</v>
      </c>
    </row>
    <row r="7" spans="1:5" x14ac:dyDescent="0.45">
      <c r="A7" s="41" t="s">
        <v>53</v>
      </c>
      <c r="B7" s="41">
        <v>796673.28</v>
      </c>
      <c r="C7" s="41">
        <v>6973.62</v>
      </c>
      <c r="D7" s="41">
        <f t="shared" si="0"/>
        <v>803646.9</v>
      </c>
    </row>
    <row r="8" spans="1:5" x14ac:dyDescent="0.45">
      <c r="A8" s="41" t="s">
        <v>52</v>
      </c>
      <c r="B8" s="41">
        <v>251125.62</v>
      </c>
      <c r="C8" s="41">
        <v>2322.06</v>
      </c>
      <c r="D8" s="41">
        <f t="shared" si="0"/>
        <v>253447.67999999999</v>
      </c>
    </row>
    <row r="9" spans="1:5" x14ac:dyDescent="0.45">
      <c r="A9" s="41" t="s">
        <v>55</v>
      </c>
      <c r="B9" s="41">
        <v>372179.72</v>
      </c>
      <c r="C9" s="41">
        <v>8121.67</v>
      </c>
      <c r="D9" s="41">
        <f t="shared" si="0"/>
        <v>380301.38999999996</v>
      </c>
    </row>
    <row r="10" spans="1:5" x14ac:dyDescent="0.45">
      <c r="A10" s="41" t="s">
        <v>56</v>
      </c>
      <c r="B10" s="57">
        <v>164684.60999999999</v>
      </c>
      <c r="C10" s="57">
        <v>3593.73</v>
      </c>
      <c r="D10" s="57">
        <f t="shared" si="0"/>
        <v>168278.34</v>
      </c>
    </row>
    <row r="11" spans="1:5" x14ac:dyDescent="0.45">
      <c r="B11" s="41">
        <f>SUM(B5:B10)</f>
        <v>2380263.5799999996</v>
      </c>
      <c r="C11" s="41">
        <f>SUM(C5:C10)</f>
        <v>29995.56</v>
      </c>
      <c r="D11" s="41">
        <f>SUM(D5:D10)</f>
        <v>2410259.1399999997</v>
      </c>
    </row>
    <row r="12" spans="1:5" x14ac:dyDescent="0.45">
      <c r="D12" s="57">
        <v>2410259.14</v>
      </c>
      <c r="E12" s="41" t="s">
        <v>54</v>
      </c>
    </row>
    <row r="13" spans="1:5" x14ac:dyDescent="0.45">
      <c r="D13" s="41">
        <f>+D11-D12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Schedule</vt:lpstr>
      <vt:lpstr>Sinking Fund Payments</vt:lpstr>
      <vt:lpstr>Amortization Schedules</vt:lpstr>
      <vt:lpstr>Refunding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Millhuff-Stang CPA, Inc.</dc:creator>
  <cp:lastModifiedBy>Allyson Honaker</cp:lastModifiedBy>
  <dcterms:created xsi:type="dcterms:W3CDTF">2010-07-07T20:52:37Z</dcterms:created>
  <dcterms:modified xsi:type="dcterms:W3CDTF">2022-08-09T14:19:19Z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Debt</vt:lpwstr>
  </property>
  <property fmtid="{D5CDD505-2E9C-101B-9397-08002B2CF9AE}" pid="6" name="tabIndex">
    <vt:lpwstr>814</vt:lpwstr>
  </property>
  <property fmtid="{D5CDD505-2E9C-101B-9397-08002B2CF9AE}" pid="7" name="workpaperIndex">
    <vt:lpwstr>814.01</vt:lpwstr>
  </property>
</Properties>
</file>