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x-19\home\tina.frederick\Jessamine No. 1\"/>
    </mc:Choice>
  </mc:AlternateContent>
  <xr:revisionPtr revIDLastSave="0" documentId="8_{EA1E68C3-C259-44C2-90D2-13E6339D149F}" xr6:coauthVersionLast="47" xr6:coauthVersionMax="47" xr10:uidLastSave="{00000000-0000-0000-0000-000000000000}"/>
  <bookViews>
    <workbookView xWindow="4740" yWindow="2385" windowWidth="19200" windowHeight="12735" tabRatio="641" activeTab="5" xr2:uid="{00000000-000D-0000-FFFF-FFFF00000000}"/>
  </bookViews>
  <sheets>
    <sheet name="SAO" sheetId="6" r:id="rId1"/>
    <sheet name="References" sheetId="58" r:id="rId2"/>
    <sheet name="Wages" sheetId="55" r:id="rId3"/>
    <sheet name="Medical" sheetId="40" r:id="rId4"/>
    <sheet name="Debt Service" sheetId="50" r:id="rId5"/>
    <sheet name="Depreciation" sheetId="51" r:id="rId6"/>
    <sheet name="Purch. Water" sheetId="54" r:id="rId7"/>
    <sheet name="ExBA" sheetId="52" r:id="rId8"/>
  </sheets>
  <definedNames>
    <definedName name="AHV">#REF!</definedName>
    <definedName name="_xlnm.Print_Area" localSheetId="4">'Debt Service'!$A$1:$O$25</definedName>
    <definedName name="_xlnm.Print_Area" localSheetId="5">Depreciation!$A$1:$L$30</definedName>
    <definedName name="_xlnm.Print_Area" localSheetId="0">SAO!$A$2:$G$77</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6" l="1"/>
  <c r="E13" i="6"/>
  <c r="E7" i="6"/>
  <c r="J18" i="51"/>
  <c r="G7" i="52"/>
  <c r="Q23" i="54" l="1"/>
  <c r="Q26" i="54"/>
  <c r="Q35" i="54"/>
  <c r="Q41" i="54"/>
  <c r="Q44" i="54"/>
  <c r="Q47" i="54"/>
  <c r="Q50" i="54"/>
  <c r="R98" i="54"/>
  <c r="E2" i="54"/>
  <c r="M94" i="54"/>
  <c r="M95" i="54"/>
  <c r="Q63" i="54"/>
  <c r="M96" i="54"/>
  <c r="K96" i="54" s="1"/>
  <c r="M93" i="54"/>
  <c r="K93" i="54" s="1"/>
  <c r="M90" i="54"/>
  <c r="M87" i="54"/>
  <c r="K87" i="54" s="1"/>
  <c r="M84" i="54"/>
  <c r="K84" i="54" s="1"/>
  <c r="M81" i="54"/>
  <c r="M78" i="54"/>
  <c r="K78" i="54" s="1"/>
  <c r="M75" i="54"/>
  <c r="K75" i="54" s="1"/>
  <c r="M72" i="54"/>
  <c r="K72" i="54" s="1"/>
  <c r="M69" i="54"/>
  <c r="K69" i="54" s="1"/>
  <c r="M66" i="54"/>
  <c r="K66" i="54" s="1"/>
  <c r="M63" i="54"/>
  <c r="K63" i="54" s="1"/>
  <c r="K90" i="54"/>
  <c r="K81" i="54"/>
  <c r="Q38" i="54"/>
  <c r="Q29" i="54"/>
  <c r="Q32" i="54"/>
  <c r="G51" i="6"/>
  <c r="G50" i="6"/>
  <c r="G22" i="6"/>
  <c r="J20" i="40"/>
  <c r="J19" i="40"/>
  <c r="L12" i="40"/>
  <c r="I12" i="40"/>
  <c r="C51" i="40"/>
  <c r="L15" i="50"/>
  <c r="J15" i="50"/>
  <c r="E6" i="55" l="1"/>
  <c r="E5" i="55"/>
  <c r="G13" i="52" l="1"/>
  <c r="B55" i="40"/>
  <c r="B54" i="40"/>
  <c r="B53" i="40"/>
  <c r="C53" i="40" s="1"/>
  <c r="B52" i="40"/>
  <c r="B51" i="40"/>
  <c r="B50" i="40"/>
  <c r="C50" i="40" s="1"/>
  <c r="C46" i="40"/>
  <c r="C45" i="40"/>
  <c r="C44" i="40"/>
  <c r="C55" i="40"/>
  <c r="C54" i="40"/>
  <c r="C52" i="40"/>
  <c r="C49" i="40"/>
  <c r="C48" i="40"/>
  <c r="C47" i="40"/>
  <c r="C33" i="40"/>
  <c r="C31" i="40"/>
  <c r="C30" i="40"/>
  <c r="M17" i="50"/>
  <c r="M16" i="50"/>
  <c r="M15" i="50"/>
  <c r="M14" i="50"/>
  <c r="M12" i="50"/>
  <c r="M13" i="50"/>
  <c r="M50" i="54"/>
  <c r="M38" i="54"/>
  <c r="M35" i="54"/>
  <c r="M23" i="54"/>
  <c r="P49" i="54"/>
  <c r="P48" i="54"/>
  <c r="P43" i="54"/>
  <c r="P42" i="54"/>
  <c r="P40" i="54"/>
  <c r="P39" i="54"/>
  <c r="P37" i="54"/>
  <c r="P36" i="54"/>
  <c r="P34" i="54"/>
  <c r="P33" i="54"/>
  <c r="P31" i="54"/>
  <c r="P30" i="54"/>
  <c r="P28" i="54"/>
  <c r="P27" i="54"/>
  <c r="P25" i="54"/>
  <c r="P24" i="54"/>
  <c r="P22" i="54"/>
  <c r="P21" i="54"/>
  <c r="P19" i="54"/>
  <c r="P18" i="54"/>
  <c r="P16" i="54"/>
  <c r="P15" i="54"/>
  <c r="C39" i="40"/>
  <c r="C38" i="40"/>
  <c r="C37" i="40"/>
  <c r="C36" i="40"/>
  <c r="C34" i="40"/>
  <c r="C32" i="40"/>
  <c r="B56" i="40" l="1"/>
  <c r="C56" i="40"/>
  <c r="G53" i="6" l="1"/>
  <c r="C95" i="52" l="1"/>
  <c r="C94" i="52"/>
  <c r="D93" i="52"/>
  <c r="H93" i="52" s="1"/>
  <c r="C93" i="52"/>
  <c r="E88" i="52"/>
  <c r="F11" i="52" s="1"/>
  <c r="D88" i="52"/>
  <c r="F85" i="52"/>
  <c r="I85" i="52" s="1"/>
  <c r="H84" i="52"/>
  <c r="G84" i="52"/>
  <c r="G87" i="52" s="1"/>
  <c r="F84" i="52"/>
  <c r="F86" i="52" s="1"/>
  <c r="I80" i="52"/>
  <c r="F12" i="52" s="1"/>
  <c r="H79" i="52"/>
  <c r="H78" i="52"/>
  <c r="H77" i="52"/>
  <c r="C72" i="52"/>
  <c r="C71" i="52"/>
  <c r="E67" i="52"/>
  <c r="D67" i="52"/>
  <c r="D71" i="52" s="1"/>
  <c r="H71" i="52" s="1"/>
  <c r="F65" i="52"/>
  <c r="H65" i="52" s="1"/>
  <c r="G64" i="52"/>
  <c r="F64" i="52"/>
  <c r="F66" i="52" s="1"/>
  <c r="C59" i="52"/>
  <c r="C58" i="52"/>
  <c r="E54" i="52"/>
  <c r="D54" i="52"/>
  <c r="D58" i="52" s="1"/>
  <c r="E9" i="52" s="1"/>
  <c r="F52" i="52"/>
  <c r="H52" i="52" s="1"/>
  <c r="G51" i="52"/>
  <c r="F51" i="52"/>
  <c r="F53" i="52" s="1"/>
  <c r="C46" i="52"/>
  <c r="C45" i="52"/>
  <c r="C44" i="52"/>
  <c r="E40" i="52"/>
  <c r="D40" i="52"/>
  <c r="D44" i="52" s="1"/>
  <c r="E8" i="52" s="1"/>
  <c r="F37" i="52"/>
  <c r="H36" i="52"/>
  <c r="G36" i="52"/>
  <c r="G39" i="52" s="1"/>
  <c r="F36" i="52"/>
  <c r="F39" i="52" s="1"/>
  <c r="C31" i="52"/>
  <c r="C30" i="52"/>
  <c r="C29" i="52"/>
  <c r="E24" i="52"/>
  <c r="D24" i="52"/>
  <c r="D29" i="52" s="1"/>
  <c r="H29" i="52" s="1"/>
  <c r="F21" i="52"/>
  <c r="H20" i="52"/>
  <c r="G20" i="52"/>
  <c r="G23" i="52" s="1"/>
  <c r="F20" i="52"/>
  <c r="F23" i="52" s="1"/>
  <c r="H80" i="52" l="1"/>
  <c r="G12" i="52" s="1"/>
  <c r="G15" i="52" s="1"/>
  <c r="F87" i="52"/>
  <c r="H87" i="52" s="1"/>
  <c r="H88" i="52" s="1"/>
  <c r="E95" i="52" s="1"/>
  <c r="H95" i="52" s="1"/>
  <c r="F38" i="52"/>
  <c r="G38" i="52" s="1"/>
  <c r="G40" i="52" s="1"/>
  <c r="E45" i="52" s="1"/>
  <c r="H45" i="52" s="1"/>
  <c r="E10" i="52"/>
  <c r="F22" i="52"/>
  <c r="F24" i="52" s="1"/>
  <c r="E29" i="52" s="1"/>
  <c r="G53" i="52"/>
  <c r="G54" i="52" s="1"/>
  <c r="E59" i="52" s="1"/>
  <c r="H59" i="52" s="1"/>
  <c r="F67" i="52"/>
  <c r="G66" i="52"/>
  <c r="G67" i="52" s="1"/>
  <c r="E72" i="52" s="1"/>
  <c r="H72" i="52" s="1"/>
  <c r="H73" i="52" s="1"/>
  <c r="G10" i="52" s="1"/>
  <c r="H23" i="52"/>
  <c r="H24" i="52" s="1"/>
  <c r="E31" i="52" s="1"/>
  <c r="H31" i="52" s="1"/>
  <c r="H39" i="52"/>
  <c r="H40" i="52" s="1"/>
  <c r="E46" i="52" s="1"/>
  <c r="H46" i="52" s="1"/>
  <c r="G86" i="52"/>
  <c r="G88" i="52" s="1"/>
  <c r="E94" i="52" s="1"/>
  <c r="H94" i="52" s="1"/>
  <c r="F88" i="52"/>
  <c r="E93" i="52" s="1"/>
  <c r="I37" i="52"/>
  <c r="H58" i="52"/>
  <c r="E6" i="52"/>
  <c r="I21" i="52"/>
  <c r="F54" i="52"/>
  <c r="H44" i="52"/>
  <c r="E17" i="52" l="1"/>
  <c r="I38" i="52"/>
  <c r="I23" i="52"/>
  <c r="H96" i="52"/>
  <c r="G11" i="52" s="1"/>
  <c r="G14" i="52" s="1"/>
  <c r="I39" i="52"/>
  <c r="F40" i="52"/>
  <c r="E44" i="52" s="1"/>
  <c r="E47" i="52" s="1"/>
  <c r="F8" i="52" s="1"/>
  <c r="H60" i="52"/>
  <c r="G9" i="52" s="1"/>
  <c r="I86" i="52"/>
  <c r="G22" i="52"/>
  <c r="G24" i="52" s="1"/>
  <c r="E30" i="52" s="1"/>
  <c r="H30" i="52" s="1"/>
  <c r="H32" i="52" s="1"/>
  <c r="G6" i="52" s="1"/>
  <c r="H66" i="52"/>
  <c r="E96" i="52"/>
  <c r="H53" i="52"/>
  <c r="H54" i="52"/>
  <c r="E58" i="52"/>
  <c r="E60" i="52" s="1"/>
  <c r="F9" i="52" s="1"/>
  <c r="H47" i="52"/>
  <c r="G8" i="52" s="1"/>
  <c r="E71" i="52"/>
  <c r="E73" i="52" s="1"/>
  <c r="F10" i="52" s="1"/>
  <c r="H67" i="52"/>
  <c r="I87" i="52"/>
  <c r="I88" i="52" s="1"/>
  <c r="I40" i="52" l="1"/>
  <c r="E32" i="52"/>
  <c r="F6" i="52" s="1"/>
  <c r="F17" i="52" s="1"/>
  <c r="I22" i="52"/>
  <c r="I24" i="52" s="1"/>
  <c r="K98" i="54" l="1"/>
  <c r="L98" i="54"/>
  <c r="J98" i="54"/>
  <c r="L52" i="54"/>
  <c r="K52" i="54"/>
  <c r="J52" i="54"/>
  <c r="I52" i="54"/>
  <c r="P92" i="54" l="1"/>
  <c r="P91" i="54"/>
  <c r="P89" i="54"/>
  <c r="P88" i="54"/>
  <c r="P86" i="54"/>
  <c r="P83" i="54"/>
  <c r="P82" i="54"/>
  <c r="P80" i="54"/>
  <c r="P79" i="54"/>
  <c r="P77" i="54"/>
  <c r="P76" i="54"/>
  <c r="P74" i="54"/>
  <c r="P73" i="54"/>
  <c r="P71" i="54"/>
  <c r="P70" i="54"/>
  <c r="P68" i="54"/>
  <c r="P67" i="54"/>
  <c r="P65" i="54"/>
  <c r="P64" i="54"/>
  <c r="P62" i="54"/>
  <c r="P61" i="54"/>
  <c r="N90" i="54"/>
  <c r="N69" i="54"/>
  <c r="N63" i="54"/>
  <c r="M92" i="54"/>
  <c r="N92" i="54" s="1"/>
  <c r="M91" i="54"/>
  <c r="N91" i="54" s="1"/>
  <c r="M89" i="54"/>
  <c r="M88" i="54"/>
  <c r="M86" i="54"/>
  <c r="N86" i="54" s="1"/>
  <c r="M85" i="54"/>
  <c r="M83" i="54"/>
  <c r="N83" i="54" s="1"/>
  <c r="M82" i="54"/>
  <c r="N82" i="54" s="1"/>
  <c r="M80" i="54"/>
  <c r="N80" i="54" s="1"/>
  <c r="M79" i="54"/>
  <c r="N79" i="54" s="1"/>
  <c r="M77" i="54"/>
  <c r="M76" i="54"/>
  <c r="M74" i="54"/>
  <c r="N74" i="54" s="1"/>
  <c r="M73" i="54"/>
  <c r="N73" i="54" s="1"/>
  <c r="M71" i="54"/>
  <c r="N71" i="54" s="1"/>
  <c r="M70" i="54"/>
  <c r="N70" i="54" s="1"/>
  <c r="M68" i="54"/>
  <c r="N68" i="54" s="1"/>
  <c r="M67" i="54"/>
  <c r="M65" i="54"/>
  <c r="M64" i="54"/>
  <c r="M62" i="54"/>
  <c r="M61" i="54"/>
  <c r="Q96" i="54"/>
  <c r="N96" i="54"/>
  <c r="P95" i="54"/>
  <c r="N95" i="54"/>
  <c r="P94" i="54"/>
  <c r="N94" i="54"/>
  <c r="Q93" i="54"/>
  <c r="N93" i="54"/>
  <c r="Q90" i="54"/>
  <c r="N89" i="54"/>
  <c r="N88" i="54"/>
  <c r="Q87" i="54"/>
  <c r="N87" i="54"/>
  <c r="I98" i="54"/>
  <c r="Q84" i="54"/>
  <c r="N84" i="54"/>
  <c r="Q81" i="54"/>
  <c r="N81" i="54"/>
  <c r="Q78" i="54"/>
  <c r="N77" i="54"/>
  <c r="N76" i="54"/>
  <c r="Q75" i="54"/>
  <c r="N75" i="54"/>
  <c r="Q72" i="54"/>
  <c r="N72" i="54"/>
  <c r="Q69" i="54"/>
  <c r="N67" i="54"/>
  <c r="Q66" i="54"/>
  <c r="N66" i="54"/>
  <c r="N65" i="54"/>
  <c r="N64" i="54"/>
  <c r="N62" i="54"/>
  <c r="N61" i="54"/>
  <c r="P46" i="54"/>
  <c r="P45" i="54"/>
  <c r="N40" i="54"/>
  <c r="Q20" i="54"/>
  <c r="Q17" i="54"/>
  <c r="N50" i="54"/>
  <c r="N49" i="54"/>
  <c r="N48" i="54"/>
  <c r="N47" i="54"/>
  <c r="N46" i="54"/>
  <c r="N45" i="54"/>
  <c r="N44" i="54"/>
  <c r="N43" i="54"/>
  <c r="N42" i="54"/>
  <c r="N41" i="54"/>
  <c r="N38" i="54"/>
  <c r="N37" i="54"/>
  <c r="N36" i="54"/>
  <c r="N35" i="54"/>
  <c r="N34" i="54"/>
  <c r="N33" i="54"/>
  <c r="N32" i="54"/>
  <c r="N31" i="54"/>
  <c r="N30" i="54"/>
  <c r="N29" i="54"/>
  <c r="N28" i="54"/>
  <c r="N27" i="54"/>
  <c r="N26" i="54"/>
  <c r="N25" i="54"/>
  <c r="N24" i="54"/>
  <c r="N23" i="54"/>
  <c r="N22" i="54"/>
  <c r="N21" i="54"/>
  <c r="N20" i="54"/>
  <c r="N19" i="54"/>
  <c r="N17" i="54"/>
  <c r="N16" i="54"/>
  <c r="N18" i="54"/>
  <c r="N15" i="54"/>
  <c r="F8" i="55"/>
  <c r="M98" i="54" l="1"/>
  <c r="E3" i="54" s="1"/>
  <c r="P85" i="54"/>
  <c r="P98" i="54" s="1"/>
  <c r="Q98" i="54"/>
  <c r="P52" i="54"/>
  <c r="Q52" i="54"/>
  <c r="O47" i="54"/>
  <c r="O81" i="54"/>
  <c r="O72" i="54"/>
  <c r="O96" i="54"/>
  <c r="O93" i="54"/>
  <c r="O90" i="54"/>
  <c r="O75" i="54"/>
  <c r="O84" i="54"/>
  <c r="O63" i="54"/>
  <c r="O69" i="54"/>
  <c r="O66" i="54"/>
  <c r="N85" i="54"/>
  <c r="O87" i="54" s="1"/>
  <c r="N78" i="54"/>
  <c r="O78" i="54" s="1"/>
  <c r="M52" i="54"/>
  <c r="O17" i="54"/>
  <c r="O50" i="54"/>
  <c r="O20" i="54"/>
  <c r="O44" i="54"/>
  <c r="O38" i="54"/>
  <c r="O35" i="54"/>
  <c r="O32" i="54"/>
  <c r="O29" i="54"/>
  <c r="O26" i="54"/>
  <c r="O23" i="54"/>
  <c r="O35" i="6"/>
  <c r="N33" i="6"/>
  <c r="N36" i="6" s="1"/>
  <c r="N98" i="54" l="1"/>
  <c r="R52" i="54"/>
  <c r="O98" i="54"/>
  <c r="E4" i="54"/>
  <c r="N39" i="54"/>
  <c r="N52" i="54" s="1"/>
  <c r="H16" i="55"/>
  <c r="O41" i="54" l="1"/>
  <c r="O52" i="54" s="1"/>
  <c r="Y6" i="50"/>
  <c r="E6" i="54" l="1"/>
  <c r="E7" i="54" s="1"/>
  <c r="E27" i="6" s="1"/>
  <c r="F6" i="55" l="1"/>
  <c r="H6" i="55" s="1"/>
  <c r="F5" i="55"/>
  <c r="H5" i="55" s="1"/>
  <c r="F7" i="55"/>
  <c r="H7" i="55" s="1"/>
  <c r="G28" i="6"/>
  <c r="G27" i="6"/>
  <c r="P14" i="50"/>
  <c r="K18" i="50"/>
  <c r="I18" i="50"/>
  <c r="G18" i="50"/>
  <c r="E18" i="50"/>
  <c r="C18" i="50"/>
  <c r="L18" i="50"/>
  <c r="J18" i="50"/>
  <c r="H18" i="50"/>
  <c r="F18" i="50"/>
  <c r="D18" i="50"/>
  <c r="E42" i="6" l="1"/>
  <c r="G37" i="6" l="1"/>
  <c r="G36" i="6"/>
  <c r="G33" i="6"/>
  <c r="G31" i="6"/>
  <c r="G30" i="6"/>
  <c r="B5" i="50" l="1"/>
  <c r="D38" i="6"/>
  <c r="D43" i="6" s="1"/>
  <c r="D16" i="6"/>
  <c r="B2" i="52" l="1"/>
  <c r="C5" i="51"/>
  <c r="G23" i="6" l="1"/>
  <c r="D40" i="40" l="1"/>
  <c r="C40" i="40"/>
  <c r="B40" i="40"/>
  <c r="B10" i="40"/>
  <c r="E7" i="40" l="1"/>
  <c r="E6" i="40"/>
  <c r="E10" i="40" s="1"/>
  <c r="D7" i="40"/>
  <c r="L7" i="40" s="1"/>
  <c r="D6" i="40"/>
  <c r="I6" i="40" s="1"/>
  <c r="F34" i="51"/>
  <c r="J17" i="51"/>
  <c r="H23" i="55"/>
  <c r="F7" i="40" l="1"/>
  <c r="G7" i="40" s="1"/>
  <c r="J7" i="40" s="1"/>
  <c r="M7" i="40" s="1"/>
  <c r="C10" i="40"/>
  <c r="F6" i="40"/>
  <c r="G6" i="40" s="1"/>
  <c r="J6" i="40" s="1"/>
  <c r="D10" i="40"/>
  <c r="I7" i="40"/>
  <c r="L6" i="40"/>
  <c r="L10" i="40" s="1"/>
  <c r="M27" i="50"/>
  <c r="F27" i="51"/>
  <c r="I10" i="40" l="1"/>
  <c r="M6" i="40"/>
  <c r="M10" i="40" l="1"/>
  <c r="J10" i="40"/>
  <c r="J21" i="40" s="1"/>
  <c r="E24" i="6" s="1"/>
  <c r="G24" i="6" s="1"/>
  <c r="M24" i="40" l="1"/>
  <c r="H8" i="55"/>
  <c r="H10" i="55" l="1"/>
  <c r="H27" i="51"/>
  <c r="J21" i="51"/>
  <c r="K21" i="51" s="1"/>
  <c r="J20" i="51"/>
  <c r="K20" i="51" s="1"/>
  <c r="J19" i="51"/>
  <c r="K19" i="51" s="1"/>
  <c r="K18" i="51"/>
  <c r="K17" i="51"/>
  <c r="J13" i="51"/>
  <c r="K13" i="51" s="1"/>
  <c r="J10" i="51"/>
  <c r="K10" i="51" s="1"/>
  <c r="M18" i="50"/>
  <c r="H22" i="55" l="1"/>
  <c r="H24" i="55" s="1"/>
  <c r="H26" i="55"/>
  <c r="H28" i="55" s="1"/>
  <c r="H30" i="55" s="1"/>
  <c r="E41" i="6" s="1"/>
  <c r="G41" i="6" s="1"/>
  <c r="M21" i="50"/>
  <c r="K27" i="51"/>
  <c r="E40" i="6" s="1"/>
  <c r="J27" i="51"/>
  <c r="F33" i="51" s="1"/>
  <c r="F35" i="51" s="1"/>
  <c r="E20" i="6" l="1"/>
  <c r="G20" i="6" s="1"/>
  <c r="G40" i="6"/>
  <c r="M23" i="50"/>
  <c r="P23" i="50" l="1"/>
  <c r="G42" i="6"/>
  <c r="G34" i="6"/>
  <c r="G32" i="6"/>
  <c r="G35" i="6" l="1"/>
  <c r="G15" i="6" l="1"/>
  <c r="G12" i="6" l="1"/>
  <c r="G38" i="6" l="1"/>
  <c r="G43" i="6" l="1"/>
  <c r="G49" i="6" s="1"/>
  <c r="G52" i="6" s="1"/>
  <c r="G56" i="6" s="1"/>
  <c r="D45" i="6"/>
  <c r="G16" i="52" l="1"/>
  <c r="E9" i="6" s="1"/>
  <c r="G9" i="6" s="1"/>
  <c r="G57" i="6" s="1"/>
  <c r="G58" i="6" s="1"/>
  <c r="G60" i="6" s="1"/>
  <c r="G16" i="6" l="1"/>
  <c r="G45" i="6" s="1"/>
</calcChain>
</file>

<file path=xl/sharedStrings.xml><?xml version="1.0" encoding="utf-8"?>
<sst xmlns="http://schemas.openxmlformats.org/spreadsheetml/2006/main" count="636" uniqueCount="328">
  <si>
    <t>Total Operating Expenses</t>
  </si>
  <si>
    <t>Taxes Other Than Income</t>
  </si>
  <si>
    <t>Salaries and Wages - Employees</t>
  </si>
  <si>
    <t>Salaries and Wages - Officers</t>
  </si>
  <si>
    <t>Employee Pensions and Benefits</t>
  </si>
  <si>
    <t>Purchased Water</t>
  </si>
  <si>
    <t>Purchased Power</t>
  </si>
  <si>
    <t>Materials and Supplies</t>
  </si>
  <si>
    <t>Contractual Services</t>
  </si>
  <si>
    <t>Miscellaneous Expenses</t>
  </si>
  <si>
    <t>Interest Income</t>
  </si>
  <si>
    <t>Total</t>
  </si>
  <si>
    <t>Gallons</t>
  </si>
  <si>
    <t>Operating Revenues</t>
  </si>
  <si>
    <t>Other Water Revenues:</t>
  </si>
  <si>
    <t>Total Operating Revenues</t>
  </si>
  <si>
    <t>Operating Expenses</t>
  </si>
  <si>
    <t>Depreciation Expense</t>
  </si>
  <si>
    <t>REVENUE REQUIREMENTS</t>
  </si>
  <si>
    <t>Less:</t>
  </si>
  <si>
    <t>Other Operating Revenue</t>
  </si>
  <si>
    <t>SCHEDULE OF ADJUSTED OPERATIONS</t>
  </si>
  <si>
    <t>Test Year</t>
  </si>
  <si>
    <t>Adjustments</t>
  </si>
  <si>
    <t>Ref.</t>
  </si>
  <si>
    <t>Proforma</t>
  </si>
  <si>
    <t>Operation and Maintenance</t>
  </si>
  <si>
    <t>Total Utility Operating Income</t>
  </si>
  <si>
    <t>Pro Forma Operating Expenses</t>
  </si>
  <si>
    <t>Adjustment</t>
  </si>
  <si>
    <t>Forfeited Discounts</t>
  </si>
  <si>
    <t>DEPRECIATION EXPENSE ADJUSTMENTS</t>
  </si>
  <si>
    <t>Depreciation</t>
  </si>
  <si>
    <t>Date in</t>
  </si>
  <si>
    <t>Original</t>
  </si>
  <si>
    <t>Expense</t>
  </si>
  <si>
    <t>Service</t>
  </si>
  <si>
    <t>Life</t>
  </si>
  <si>
    <t>Depr. Exp.</t>
  </si>
  <si>
    <t>SUMMARY</t>
  </si>
  <si>
    <t>USAGE</t>
  </si>
  <si>
    <t>BILLS</t>
  </si>
  <si>
    <t>GALLONS</t>
  </si>
  <si>
    <t>TOTAL</t>
  </si>
  <si>
    <t>RATE</t>
  </si>
  <si>
    <t>REVENUE</t>
  </si>
  <si>
    <t>Other Water Revenues</t>
  </si>
  <si>
    <t>Revenue Required From Sales of Water</t>
  </si>
  <si>
    <t>Revenue from Sales with Present Rates</t>
  </si>
  <si>
    <t>Total Revenue Requirement</t>
  </si>
  <si>
    <t>Required Revenue Increase</t>
  </si>
  <si>
    <t>various</t>
  </si>
  <si>
    <t>TOTALS</t>
  </si>
  <si>
    <t>Salaries &amp; Wages and Associated Adjustments</t>
  </si>
  <si>
    <t>Pro Forma</t>
  </si>
  <si>
    <t xml:space="preserve">Pro Forma </t>
  </si>
  <si>
    <t>Employee</t>
  </si>
  <si>
    <t>Reg. Hrs</t>
  </si>
  <si>
    <t>O. T. Hours</t>
  </si>
  <si>
    <t>Wage Rate</t>
  </si>
  <si>
    <t>Reg. Wages</t>
  </si>
  <si>
    <t>Wages</t>
  </si>
  <si>
    <t>Pro Forma Salaries &amp; Wages Expense</t>
  </si>
  <si>
    <t>Less: Test Year Salaries &amp; Wages Exp</t>
  </si>
  <si>
    <t xml:space="preserve"> </t>
  </si>
  <si>
    <t>Times: 7.65 Percent FICA Rate</t>
  </si>
  <si>
    <t>Pro Forma Payroll Taxes</t>
  </si>
  <si>
    <t>Less: Test Year Payroll Taxes</t>
  </si>
  <si>
    <t>Payroll Tax Adjustment</t>
  </si>
  <si>
    <t>DEBT SERVICE SCHDULE</t>
  </si>
  <si>
    <t>CY 2026</t>
  </si>
  <si>
    <t>Interest</t>
  </si>
  <si>
    <t>Principal</t>
  </si>
  <si>
    <t>&amp; Fees</t>
  </si>
  <si>
    <t>General Plant</t>
  </si>
  <si>
    <t>Pumping Plant</t>
  </si>
  <si>
    <t>Transmission &amp; Distribution Plant</t>
  </si>
  <si>
    <t>Asset</t>
  </si>
  <si>
    <t>Structures &amp; Improvements</t>
  </si>
  <si>
    <t>Hydrants</t>
  </si>
  <si>
    <t>Transmission &amp; Distribution Mains</t>
  </si>
  <si>
    <t>Meter Change-outs</t>
  </si>
  <si>
    <t>Services</t>
  </si>
  <si>
    <t>Reservoirs &amp; Tanks</t>
  </si>
  <si>
    <t xml:space="preserve">              *  Includes only costs associated with assets that contributed to depreciation expense in the test year.</t>
  </si>
  <si>
    <t>Cost *</t>
  </si>
  <si>
    <t>Reported</t>
  </si>
  <si>
    <t>Total Gross Wages</t>
  </si>
  <si>
    <t>D</t>
  </si>
  <si>
    <t>COMPONENT</t>
  </si>
  <si>
    <t>LESS ADJUSTMENTS</t>
  </si>
  <si>
    <t>DIFFERENCE</t>
  </si>
  <si>
    <t>Medical Insurance Adjustment</t>
  </si>
  <si>
    <t>MONTHLY</t>
  </si>
  <si>
    <t>Allowable</t>
  </si>
  <si>
    <t>EMPLOYEE</t>
  </si>
  <si>
    <t>Employer</t>
  </si>
  <si>
    <t>PREMIUM</t>
  </si>
  <si>
    <t>CONTRIB</t>
  </si>
  <si>
    <t>CONTRIB %</t>
  </si>
  <si>
    <t>Share</t>
  </si>
  <si>
    <t>Premium</t>
  </si>
  <si>
    <t>Allowed Depreciation</t>
  </si>
  <si>
    <t>Less: Reported Depreciation</t>
  </si>
  <si>
    <t>Adjustment to Allowed Depreciation</t>
  </si>
  <si>
    <t>No. in</t>
  </si>
  <si>
    <t>Ea. Teir</t>
  </si>
  <si>
    <t>UTILITY</t>
  </si>
  <si>
    <t>Annual</t>
  </si>
  <si>
    <t>Utility Share</t>
  </si>
  <si>
    <t>Unallowable</t>
  </si>
  <si>
    <t>MEDICAL</t>
  </si>
  <si>
    <t>C</t>
  </si>
  <si>
    <t>G</t>
  </si>
  <si>
    <t>Decrease depreciation to allowed useful lives.</t>
  </si>
  <si>
    <t>January</t>
  </si>
  <si>
    <t>February</t>
  </si>
  <si>
    <t>March</t>
  </si>
  <si>
    <t>April</t>
  </si>
  <si>
    <t>May</t>
  </si>
  <si>
    <t>June</t>
  </si>
  <si>
    <t>July</t>
  </si>
  <si>
    <t>August</t>
  </si>
  <si>
    <t>September</t>
  </si>
  <si>
    <t>October</t>
  </si>
  <si>
    <t>November</t>
  </si>
  <si>
    <t>December</t>
  </si>
  <si>
    <t>Pro Forma Salaries and Wages Expense including officers</t>
  </si>
  <si>
    <t>Increase</t>
  </si>
  <si>
    <t>F</t>
  </si>
  <si>
    <t>Salaries and wages - officers</t>
  </si>
  <si>
    <t>Pro Forma Salaries &amp; Wages Adjustment</t>
  </si>
  <si>
    <t xml:space="preserve">                      &amp; Workers Comp.</t>
  </si>
  <si>
    <t>Insurance -Health, Gen. Liab.</t>
  </si>
  <si>
    <t>TABLE A</t>
  </si>
  <si>
    <t>TABLE B</t>
  </si>
  <si>
    <t>Water Testing</t>
  </si>
  <si>
    <t>Insurance</t>
  </si>
  <si>
    <t>Jessamine County Water District #1</t>
  </si>
  <si>
    <t>First</t>
  </si>
  <si>
    <t>per month</t>
  </si>
  <si>
    <t>Next</t>
  </si>
  <si>
    <t>per gallon</t>
  </si>
  <si>
    <t>Over</t>
  </si>
  <si>
    <t>Bad Debt</t>
  </si>
  <si>
    <t>Contractual Services-Eng.</t>
  </si>
  <si>
    <t>Contractual Services-Acct.</t>
  </si>
  <si>
    <t>CONSUMPTION BY RATE INCREMENT</t>
  </si>
  <si>
    <t>5/8 INCH METER</t>
  </si>
  <si>
    <t>REVENUE BY RATE INCREMENT</t>
  </si>
  <si>
    <t>1 INCH METER</t>
  </si>
  <si>
    <t>1 1/2 INCH METER</t>
  </si>
  <si>
    <t>2 INCH METER</t>
  </si>
  <si>
    <t>CY 2027</t>
  </si>
  <si>
    <t>Serries A</t>
  </si>
  <si>
    <t>Serries B</t>
  </si>
  <si>
    <t>Approved case 2015-127</t>
  </si>
  <si>
    <t>Orignal</t>
  </si>
  <si>
    <t>Amount</t>
  </si>
  <si>
    <t>Commissioners</t>
  </si>
  <si>
    <t>Carl Waits</t>
  </si>
  <si>
    <t>Eddie Cox</t>
  </si>
  <si>
    <t>George Dean</t>
  </si>
  <si>
    <t>Amortization</t>
  </si>
  <si>
    <t>Amortize rate case expense($8,250) over 3 years</t>
  </si>
  <si>
    <t>5 year Average interest&amp; Fees</t>
  </si>
  <si>
    <t>Series 2012 E</t>
  </si>
  <si>
    <t>Series B 91-05</t>
  </si>
  <si>
    <t>Series 2001</t>
  </si>
  <si>
    <t>Oct 1, 2016 Loan 91-07</t>
  </si>
  <si>
    <t>Oct 1, 2016 Loan 91-06</t>
  </si>
  <si>
    <t>Approved in case 99-292</t>
  </si>
  <si>
    <t>Approved in case 2012-242</t>
  </si>
  <si>
    <t>Charge</t>
  </si>
  <si>
    <t>Bi-weekly salary</t>
  </si>
  <si>
    <t>Salary</t>
  </si>
  <si>
    <t>Office Manger</t>
  </si>
  <si>
    <t>Admin. Assistant</t>
  </si>
  <si>
    <t>Bookkeeper</t>
  </si>
  <si>
    <t>Wages Cell H28</t>
  </si>
  <si>
    <t>Purchase water expense</t>
  </si>
  <si>
    <t>Approved in case 2001-00161 Refinance 1986 Bonds</t>
  </si>
  <si>
    <t xml:space="preserve">PSC </t>
  </si>
  <si>
    <t>CASE</t>
  </si>
  <si>
    <t>Utility contracts all service work</t>
  </si>
  <si>
    <t>5 YR Average Annual Principal &amp; Interest</t>
  </si>
  <si>
    <t>5 YR Average Annual Coverage</t>
  </si>
  <si>
    <t>Debt Service Cell M21</t>
  </si>
  <si>
    <t>Debt Service Cell M23</t>
  </si>
  <si>
    <t>**</t>
  </si>
  <si>
    <t>Utility does not contribute to retirement for employees</t>
  </si>
  <si>
    <t>DECREASE IN UTILITY SHARE OF MEDICAL INSURANCE PREMIUM OVER TEST YEAR</t>
  </si>
  <si>
    <t>*Utility does not contribute to dental</t>
  </si>
  <si>
    <t>TOTAL ALLOWABLE UTILITY SHARE OF MEDICAL INSURANCE PROFORMA ANNUAL PREMIUM</t>
  </si>
  <si>
    <t>Medical J21</t>
  </si>
  <si>
    <t>Increase in employer portion of FICA taxes.</t>
  </si>
  <si>
    <t>Wages Cell H30</t>
  </si>
  <si>
    <t>CY 2028</t>
  </si>
  <si>
    <t>Approved in case 2022-134</t>
  </si>
  <si>
    <t>No Retirement contribution made by JCWD#1</t>
  </si>
  <si>
    <t>Reading</t>
  </si>
  <si>
    <t>QIP</t>
  </si>
  <si>
    <t>KRA</t>
  </si>
  <si>
    <t>Account</t>
  </si>
  <si>
    <t>66100020-0</t>
  </si>
  <si>
    <t>66100050-0</t>
  </si>
  <si>
    <t>66100035-0</t>
  </si>
  <si>
    <t>Water</t>
  </si>
  <si>
    <t>Monthly</t>
  </si>
  <si>
    <t>/1,000</t>
  </si>
  <si>
    <t>NICHOLASVILLE INVOICES</t>
  </si>
  <si>
    <t>*QIP INCREASE</t>
  </si>
  <si>
    <t>Monthly water charges</t>
  </si>
  <si>
    <t>Monthly service Charges+QIP+KRA Fees</t>
  </si>
  <si>
    <t>USAGE FROM NICHOLASVILLE INVOICES</t>
  </si>
  <si>
    <t>Effect. 9/1/22</t>
  </si>
  <si>
    <t>Account 66100035-0 is served from water purchased from Kentucky-American Water Co.</t>
  </si>
  <si>
    <t>Purch. Water Cell E7</t>
  </si>
  <si>
    <t>Location</t>
  </si>
  <si>
    <t>Customers</t>
  </si>
  <si>
    <t>FIRE PROTECTION</t>
  </si>
  <si>
    <t>Invoice</t>
  </si>
  <si>
    <t>Quip</t>
  </si>
  <si>
    <t>Surcharge</t>
  </si>
  <si>
    <t xml:space="preserve">Fire Protection </t>
  </si>
  <si>
    <t>Reclassify Fire Protection Revenues included in metered sales revenue</t>
  </si>
  <si>
    <t>Reclassify Fire Protection Revenues</t>
  </si>
  <si>
    <t>1.02 WTB and statements 2022. xlsx</t>
  </si>
  <si>
    <t xml:space="preserve">Brannon </t>
  </si>
  <si>
    <t>Crossing</t>
  </si>
  <si>
    <t>Increase due to increase in salaries and wages, additional part time position</t>
  </si>
  <si>
    <t>Source: Expense Increases Karen Lee</t>
  </si>
  <si>
    <t>5/8 X 3/4-Inch Meter</t>
  </si>
  <si>
    <t>1-Inch Meter</t>
  </si>
  <si>
    <t>1 1/2-Inch Meter</t>
  </si>
  <si>
    <t>2-Inch Meter</t>
  </si>
  <si>
    <t>Multi-Family Dwelling</t>
  </si>
  <si>
    <t>Fire Protection</t>
  </si>
  <si>
    <t>Months</t>
  </si>
  <si>
    <t>ANNUAL</t>
  </si>
  <si>
    <t>Monthly Rate</t>
  </si>
  <si>
    <t>Billed</t>
  </si>
  <si>
    <t>2-Inch Meters</t>
  </si>
  <si>
    <t>4-6-Inch Meters</t>
  </si>
  <si>
    <t>8-Inch Meters</t>
  </si>
  <si>
    <t xml:space="preserve">ANNUAL </t>
  </si>
  <si>
    <t>UNITS</t>
  </si>
  <si>
    <t>A</t>
  </si>
  <si>
    <t>B</t>
  </si>
  <si>
    <t>Reclassify Fire Protection revenues included in metered sales</t>
  </si>
  <si>
    <t>Adjust metered sales to test year billing analysis</t>
  </si>
  <si>
    <t>REFERENCES</t>
  </si>
  <si>
    <t>Office assistant</t>
  </si>
  <si>
    <t>ADJ Cell K61</t>
  </si>
  <si>
    <t>Karen Lee email 2/27/24</t>
  </si>
  <si>
    <t>NET METERED WATER SALES</t>
  </si>
  <si>
    <t>Does not include fire prot. Revenue</t>
  </si>
  <si>
    <t>E</t>
  </si>
  <si>
    <t>I</t>
  </si>
  <si>
    <t>H</t>
  </si>
  <si>
    <t>Depreciation Cell K27</t>
  </si>
  <si>
    <t>J</t>
  </si>
  <si>
    <t>Rates eff. 3/6/24 case 2024-00028 PWA</t>
  </si>
  <si>
    <t>Effective 3/6/24</t>
  </si>
  <si>
    <t>Total Operation and Maintenance Expense</t>
  </si>
  <si>
    <t>Residential</t>
  </si>
  <si>
    <t>Commercial</t>
  </si>
  <si>
    <t>Multi family units</t>
  </si>
  <si>
    <t>Jesaamine County WD #1 Annual Report</t>
  </si>
  <si>
    <t>Operating Revenue</t>
  </si>
  <si>
    <t>Net Income before contributions</t>
  </si>
  <si>
    <t>Commissioner</t>
  </si>
  <si>
    <t>4 (New employee)</t>
  </si>
  <si>
    <t>EMP</t>
  </si>
  <si>
    <t>ESP</t>
  </si>
  <si>
    <t>Dues</t>
  </si>
  <si>
    <t>Less 2024 Water Purchases</t>
  </si>
  <si>
    <t>CY 2029</t>
  </si>
  <si>
    <t>CY 2030</t>
  </si>
  <si>
    <t>CY 2026 - 2030</t>
  </si>
  <si>
    <t xml:space="preserve">2 employees get H. ins </t>
  </si>
  <si>
    <t>Premium increase July 1</t>
  </si>
  <si>
    <t>CURRENT BILLING ANALYSIS WITH 2024 USAGE &amp; EXISTING RATES</t>
  </si>
  <si>
    <t>Adjustment Report 2024 (Billing error+leak adjust.+misread meter)</t>
  </si>
  <si>
    <t>Avenue at Nicholasville</t>
  </si>
  <si>
    <t>Sales to Residential Customers</t>
  </si>
  <si>
    <t>Sales to Commercial Customers</t>
  </si>
  <si>
    <t xml:space="preserve">Source Lisa teater email 5/23/25 </t>
  </si>
  <si>
    <t>Reported in 2024 annual report</t>
  </si>
  <si>
    <t>Contractual Services-Labor</t>
  </si>
  <si>
    <t>LESS: MEDICAL INSURANCE PREMIUM PAID IN TEST YEAR</t>
  </si>
  <si>
    <t>PRJECTED TOTAL</t>
  </si>
  <si>
    <t>Change to EMP only</t>
  </si>
  <si>
    <t>Public agency dues</t>
  </si>
  <si>
    <t>Adj. due to premium increase, change in benefits and PSC allowable portion of employer medical premium.</t>
  </si>
  <si>
    <t>Multi-family dwelling</t>
  </si>
  <si>
    <t>MTHLY UNITS</t>
  </si>
  <si>
    <t>communication &amp; Computer Equipment</t>
  </si>
  <si>
    <t>Multi-Family Dwelling(Ave.at Nicholsville)</t>
  </si>
  <si>
    <t>Plus:</t>
  </si>
  <si>
    <t>Average Annual Principal and Interest Payments</t>
  </si>
  <si>
    <t>Additional Working Capital</t>
  </si>
  <si>
    <t>Private Fire Protection</t>
  </si>
  <si>
    <t>Percent Increase</t>
  </si>
  <si>
    <t>USING DEBT SERVICE COVERAGE METHOD</t>
  </si>
  <si>
    <t>Sheet Debt Service Cell M21</t>
  </si>
  <si>
    <t>Sheet Debt Service Cell M23</t>
  </si>
  <si>
    <t>KAWC rate increase</t>
  </si>
  <si>
    <t>Effect 9/6/24</t>
  </si>
  <si>
    <t>2023-00191</t>
  </si>
  <si>
    <t>Effect. 1/1/25</t>
  </si>
  <si>
    <t>2024 USAGE AT INCREASED RATES</t>
  </si>
  <si>
    <t>Increase in KAWC wholesale rate (2023-191, Eff. 9/6/24) and QUIP charge ( Eff. 1/1/25)</t>
  </si>
  <si>
    <t>Reported 2024 metered sales less Reclassified Fire Protection</t>
  </si>
  <si>
    <t>Multiple units on one meter at $30.53 per Unit (1,191x12)</t>
  </si>
  <si>
    <t xml:space="preserve">The utility's wholesale water supplier increased its rate to the utility resulting in an annual increase of $76,122 in purchased water expense. </t>
  </si>
  <si>
    <t xml:space="preserve">Revenue requirement is computed using the Debt Service Coverage method. </t>
  </si>
  <si>
    <t>The PSC requires adjustments to a water utility's depreciation expense when asset lives fall outside the ranges recommended by NARUC in its publication titled "Depreciation Practices for small utilities".  Therefore, adjustments are included to bring asset lives to the midpoint of the recommended ranges, depreciation expense was reduced by $112,462. See Table A.</t>
  </si>
  <si>
    <t>Temporary worker, $1,625  (Form 1099)</t>
  </si>
  <si>
    <t>(1,114 units end of 2024) adjusted for 77 new units added in 2025</t>
  </si>
  <si>
    <t xml:space="preserve">Net increase in allowable health insurance expense in the amount of $743, reflecting PSC policy, change in benefit level and premium increase. </t>
  </si>
  <si>
    <t>The utility contracted with an outside employee for temporary work.</t>
  </si>
  <si>
    <t>Payroll summary report 2024 6/18/25 email</t>
  </si>
  <si>
    <t>Increase FICA taxes by $294 due to wages increase.</t>
  </si>
  <si>
    <t>Since 2024, there have been increase in wage rates, and an additional part-time employee, resulting in an annual wage increase of $3,842.</t>
  </si>
  <si>
    <t xml:space="preserve">Amortization of rate case expense $8,250 over three years equlas $2,750 per year. </t>
  </si>
  <si>
    <t xml:space="preserve"> Increase in revenues due increase in number of customers and rate increase case 24-28(PWA) effective 3/6/24.</t>
  </si>
  <si>
    <t>2024 PSC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</si>
</sst>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 #,##0.0_);_(* \(#,##0.0\);_(* &quot;-&quot;??_);_(@_)"/>
    <numFmt numFmtId="168" formatCode="mm/dd/yy;@"/>
    <numFmt numFmtId="169" formatCode="_([$$-409]* #,##0_);_([$$-409]* \(#,##0\);_([$$-409]* &quot;-&quot;??_);_(@_)"/>
    <numFmt numFmtId="170" formatCode="[$$-409]#,##0"/>
    <numFmt numFmtId="171" formatCode="&quot;$&quot;#,##0.00"/>
    <numFmt numFmtId="172" formatCode="0_);\(0\)"/>
    <numFmt numFmtId="173" formatCode="&quot;$&quot;#,##0.00000"/>
    <numFmt numFmtId="174" formatCode="_(&quot;$&quot;* #,##0.000_);_(&quot;$&quot;* \(#,##0.000\);_(&quot;$&quot;* &quot;-&quot;??_);_(@_)"/>
    <numFmt numFmtId="175" formatCode="_(&quot;$&quot;* #,##0.0000_);_(&quot;$&quot;* \(#,##0.0000\);_(&quot;$&quot;* &quot;-&quot;??_);_(@_)"/>
  </numFmts>
  <fonts count="39"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b/>
      <u/>
      <sz val="11"/>
      <name val="Calibri"/>
      <family val="2"/>
      <scheme val="minor"/>
    </font>
    <font>
      <u val="singleAccounting"/>
      <sz val="11"/>
      <name val="Calibri"/>
      <family val="2"/>
      <scheme val="minor"/>
    </font>
    <font>
      <b/>
      <u val="singleAccounting"/>
      <sz val="11"/>
      <name val="Calibri"/>
      <family val="2"/>
      <scheme val="minor"/>
    </font>
    <font>
      <b/>
      <sz val="12"/>
      <name val="Calibri"/>
      <family val="2"/>
      <scheme val="minor"/>
    </font>
    <font>
      <sz val="8"/>
      <color rgb="FFFF0000"/>
      <name val="Calibri"/>
      <family val="2"/>
      <scheme val="minor"/>
    </font>
    <font>
      <b/>
      <sz val="11"/>
      <color rgb="FFFF0000"/>
      <name val="Calibri"/>
      <family val="2"/>
      <scheme val="minor"/>
    </font>
    <font>
      <b/>
      <sz val="8"/>
      <color rgb="FF00B050"/>
      <name val="Calibri"/>
      <family val="2"/>
      <scheme val="minor"/>
    </font>
    <font>
      <sz val="11"/>
      <color theme="1"/>
      <name val="Calibri"/>
      <family val="2"/>
      <scheme val="minor"/>
    </font>
    <font>
      <sz val="8"/>
      <name val="Calibri"/>
      <family val="2"/>
      <scheme val="minor"/>
    </font>
    <font>
      <b/>
      <u/>
      <sz val="11"/>
      <color rgb="FFC00000"/>
      <name val="Calibri"/>
      <family val="2"/>
      <scheme val="minor"/>
    </font>
    <font>
      <u/>
      <sz val="11"/>
      <color theme="1"/>
      <name val="Calibri"/>
      <family val="2"/>
      <scheme val="minor"/>
    </font>
    <font>
      <b/>
      <sz val="16"/>
      <name val="Calibri"/>
      <family val="2"/>
      <scheme val="minor"/>
    </font>
    <font>
      <sz val="12"/>
      <name val="Calibri"/>
      <family val="2"/>
      <scheme val="minor"/>
    </font>
    <font>
      <sz val="11"/>
      <name val="Arial"/>
      <family val="2"/>
    </font>
    <font>
      <b/>
      <sz val="11"/>
      <color rgb="FF000000"/>
      <name val="Calibri"/>
      <family val="2"/>
    </font>
    <font>
      <sz val="14"/>
      <name val="Calibri"/>
      <family val="2"/>
      <scheme val="minor"/>
    </font>
    <font>
      <sz val="8"/>
      <name val="Arial"/>
      <family val="2"/>
    </font>
    <font>
      <u/>
      <sz val="11"/>
      <name val="Arial"/>
      <family val="2"/>
    </font>
    <font>
      <sz val="14"/>
      <name val="Arial"/>
      <family val="2"/>
    </font>
    <font>
      <b/>
      <sz val="14"/>
      <name val="Arial"/>
      <family val="2"/>
    </font>
    <font>
      <u/>
      <sz val="12"/>
      <name val="Arial"/>
      <family val="2"/>
    </font>
    <font>
      <sz val="8"/>
      <name val="Arial"/>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style="medium">
        <color indexed="64"/>
      </right>
      <top/>
      <bottom/>
      <diagonal/>
    </border>
  </borders>
  <cellStyleXfs count="11">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cellStyleXfs>
  <cellXfs count="393">
    <xf numFmtId="0" fontId="0" fillId="0" borderId="0" xfId="0"/>
    <xf numFmtId="0" fontId="7" fillId="0" borderId="0" xfId="0" applyFont="1"/>
    <xf numFmtId="165" fontId="7" fillId="0" borderId="0" xfId="0" applyNumberFormat="1" applyFont="1"/>
    <xf numFmtId="3" fontId="7" fillId="0" borderId="0" xfId="0" applyNumberFormat="1" applyFont="1"/>
    <xf numFmtId="165" fontId="7" fillId="0" borderId="0" xfId="1" applyNumberFormat="1" applyFont="1" applyBorder="1"/>
    <xf numFmtId="165" fontId="7" fillId="0" borderId="0" xfId="1" applyNumberFormat="1" applyFont="1"/>
    <xf numFmtId="43" fontId="7" fillId="0" borderId="0" xfId="1" applyFont="1"/>
    <xf numFmtId="165" fontId="7" fillId="0" borderId="0" xfId="5" applyNumberFormat="1" applyFont="1"/>
    <xf numFmtId="3" fontId="7" fillId="0" borderId="0" xfId="0" applyNumberFormat="1" applyFont="1" applyAlignment="1">
      <alignment horizontal="right"/>
    </xf>
    <xf numFmtId="165" fontId="7" fillId="0" borderId="7" xfId="5" applyNumberFormat="1" applyFont="1" applyBorder="1"/>
    <xf numFmtId="0" fontId="7" fillId="0" borderId="0" xfId="0" applyFont="1" applyAlignment="1">
      <alignment horizontal="center"/>
    </xf>
    <xf numFmtId="0" fontId="7" fillId="0" borderId="0" xfId="0" applyFont="1" applyAlignment="1">
      <alignment horizontal="right"/>
    </xf>
    <xf numFmtId="165" fontId="7" fillId="0" borderId="0" xfId="5" applyNumberFormat="1" applyFont="1" applyBorder="1"/>
    <xf numFmtId="0" fontId="17" fillId="0" borderId="0" xfId="0" applyFont="1" applyAlignment="1">
      <alignment horizontal="centerContinuous"/>
    </xf>
    <xf numFmtId="0" fontId="7" fillId="0" borderId="0" xfId="0" applyFont="1" applyAlignment="1">
      <alignment horizontal="centerContinuous"/>
    </xf>
    <xf numFmtId="165" fontId="13" fillId="0" borderId="0" xfId="1" applyNumberFormat="1" applyFont="1"/>
    <xf numFmtId="167" fontId="12" fillId="0" borderId="0" xfId="5" applyNumberFormat="1" applyFont="1" applyBorder="1" applyAlignment="1">
      <alignment horizontal="center"/>
    </xf>
    <xf numFmtId="164" fontId="7" fillId="0" borderId="0" xfId="6" applyNumberFormat="1" applyFont="1"/>
    <xf numFmtId="165" fontId="10" fillId="0" borderId="0" xfId="1" applyNumberFormat="1" applyFont="1"/>
    <xf numFmtId="43" fontId="7" fillId="0" borderId="1" xfId="1" applyFont="1" applyBorder="1"/>
    <xf numFmtId="165" fontId="17" fillId="0" borderId="0" xfId="1" applyNumberFormat="1" applyFont="1"/>
    <xf numFmtId="0" fontId="7" fillId="0" borderId="7" xfId="0" applyFont="1" applyBorder="1"/>
    <xf numFmtId="165" fontId="7" fillId="0" borderId="0" xfId="1" applyNumberFormat="1" applyFont="1" applyAlignment="1">
      <alignment horizontal="centerContinuous" vertical="center"/>
    </xf>
    <xf numFmtId="165" fontId="7" fillId="0" borderId="0" xfId="1" applyNumberFormat="1" applyFont="1" applyAlignment="1">
      <alignment vertical="center"/>
    </xf>
    <xf numFmtId="165" fontId="12" fillId="0" borderId="0" xfId="1" applyNumberFormat="1" applyFont="1" applyAlignment="1">
      <alignment horizontal="center" vertical="center"/>
    </xf>
    <xf numFmtId="165" fontId="10" fillId="0" borderId="0" xfId="1" applyNumberFormat="1" applyFont="1" applyAlignment="1">
      <alignment vertical="center"/>
    </xf>
    <xf numFmtId="165" fontId="7" fillId="0" borderId="0" xfId="1" applyNumberFormat="1" applyFont="1" applyAlignment="1">
      <alignment horizontal="center" vertical="center"/>
    </xf>
    <xf numFmtId="165" fontId="16" fillId="0" borderId="0" xfId="1" applyNumberFormat="1" applyFont="1" applyAlignment="1">
      <alignment vertical="center"/>
    </xf>
    <xf numFmtId="165" fontId="18" fillId="0" borderId="0" xfId="1" applyNumberFormat="1" applyFont="1" applyAlignment="1">
      <alignment vertical="center"/>
    </xf>
    <xf numFmtId="165" fontId="20" fillId="0" borderId="0" xfId="1" applyNumberFormat="1" applyFont="1" applyAlignment="1">
      <alignment vertical="center"/>
    </xf>
    <xf numFmtId="165" fontId="11" fillId="0" borderId="0" xfId="1" applyNumberFormat="1" applyFont="1" applyAlignment="1">
      <alignment vertical="center"/>
    </xf>
    <xf numFmtId="165" fontId="7" fillId="0" borderId="0" xfId="1" applyNumberFormat="1" applyFont="1" applyAlignment="1">
      <alignment horizontal="center"/>
    </xf>
    <xf numFmtId="165" fontId="16" fillId="0" borderId="0" xfId="1" applyNumberFormat="1" applyFont="1" applyAlignment="1">
      <alignment horizontal="left"/>
    </xf>
    <xf numFmtId="165" fontId="16" fillId="0" borderId="0" xfId="1" applyNumberFormat="1" applyFont="1" applyAlignment="1">
      <alignment horizontal="center"/>
    </xf>
    <xf numFmtId="165" fontId="14" fillId="0" borderId="0" xfId="1" quotePrefix="1" applyNumberFormat="1" applyFont="1" applyAlignment="1">
      <alignment horizontal="center" vertical="center"/>
    </xf>
    <xf numFmtId="165" fontId="14" fillId="0" borderId="0" xfId="1" applyNumberFormat="1" applyFont="1" applyAlignment="1">
      <alignment horizontal="center" vertical="center"/>
    </xf>
    <xf numFmtId="165" fontId="7" fillId="0" borderId="0" xfId="1" applyNumberFormat="1" applyFont="1" applyAlignment="1"/>
    <xf numFmtId="165" fontId="14" fillId="0" borderId="0" xfId="1" applyNumberFormat="1" applyFont="1" applyAlignment="1">
      <alignment vertical="center"/>
    </xf>
    <xf numFmtId="10" fontId="7" fillId="0" borderId="0" xfId="3" applyNumberFormat="1" applyFont="1" applyAlignment="1">
      <alignment vertical="center"/>
    </xf>
    <xf numFmtId="165" fontId="7" fillId="0" borderId="6" xfId="5" applyNumberFormat="1" applyFont="1" applyBorder="1"/>
    <xf numFmtId="165" fontId="7" fillId="0" borderId="0" xfId="5" applyNumberFormat="1" applyFont="1" applyBorder="1" applyAlignment="1">
      <alignment horizontal="center"/>
    </xf>
    <xf numFmtId="165" fontId="7" fillId="0" borderId="8" xfId="5" applyNumberFormat="1" applyFont="1" applyBorder="1"/>
    <xf numFmtId="165" fontId="11" fillId="0" borderId="7" xfId="5" applyNumberFormat="1" applyFont="1" applyBorder="1" applyAlignment="1">
      <alignment horizontal="center"/>
    </xf>
    <xf numFmtId="165" fontId="7" fillId="0" borderId="0" xfId="1" applyNumberFormat="1" applyFont="1" applyBorder="1" applyAlignment="1">
      <alignment vertical="center"/>
    </xf>
    <xf numFmtId="165" fontId="13" fillId="0" borderId="0" xfId="1" applyNumberFormat="1" applyFont="1" applyBorder="1" applyAlignment="1">
      <alignment vertical="center"/>
    </xf>
    <xf numFmtId="165" fontId="7" fillId="0" borderId="0" xfId="1" applyNumberFormat="1" applyFont="1" applyBorder="1" applyAlignment="1">
      <alignment horizontal="center" vertical="center"/>
    </xf>
    <xf numFmtId="165" fontId="13" fillId="0" borderId="0" xfId="1" applyNumberFormat="1" applyFont="1" applyAlignment="1">
      <alignment vertical="center"/>
    </xf>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2" fillId="0" borderId="0" xfId="5" applyNumberFormat="1" applyFont="1" applyAlignment="1">
      <alignment horizontal="centerContinuous"/>
    </xf>
    <xf numFmtId="165" fontId="24"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9"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0" xfId="5" applyNumberFormat="1" applyFont="1" applyBorder="1"/>
    <xf numFmtId="165" fontId="14"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1" fillId="0" borderId="0" xfId="5" applyNumberFormat="1" applyFont="1" applyAlignment="1">
      <alignment horizontal="center" vertical="center"/>
    </xf>
    <xf numFmtId="165" fontId="14" fillId="0" borderId="8" xfId="5" applyNumberFormat="1" applyFont="1" applyBorder="1" applyAlignment="1">
      <alignment horizontal="center" vertical="center"/>
    </xf>
    <xf numFmtId="165" fontId="14" fillId="0" borderId="0" xfId="5" applyNumberFormat="1" applyFont="1" applyBorder="1" applyAlignment="1">
      <alignment horizontal="center" vertical="center"/>
    </xf>
    <xf numFmtId="165" fontId="7" fillId="0" borderId="10" xfId="5" applyNumberFormat="1" applyFont="1" applyBorder="1" applyAlignment="1">
      <alignment horizontal="left"/>
    </xf>
    <xf numFmtId="165" fontId="11" fillId="0" borderId="7" xfId="5" quotePrefix="1" applyNumberFormat="1" applyFont="1" applyBorder="1" applyAlignment="1">
      <alignment horizontal="left"/>
    </xf>
    <xf numFmtId="165" fontId="11" fillId="0" borderId="11" xfId="5" applyNumberFormat="1" applyFont="1" applyBorder="1" applyAlignment="1">
      <alignment horizontal="right"/>
    </xf>
    <xf numFmtId="165" fontId="11" fillId="0" borderId="5" xfId="5" applyNumberFormat="1" applyFont="1" applyBorder="1" applyAlignment="1">
      <alignment horizontal="right"/>
    </xf>
    <xf numFmtId="165" fontId="11" fillId="0" borderId="1" xfId="5" applyNumberFormat="1" applyFont="1" applyBorder="1" applyAlignment="1">
      <alignment horizontal="right"/>
    </xf>
    <xf numFmtId="165" fontId="11" fillId="0" borderId="6" xfId="5" applyNumberFormat="1" applyFont="1" applyBorder="1" applyAlignment="1">
      <alignment horizontal="right"/>
    </xf>
    <xf numFmtId="165" fontId="11" fillId="0" borderId="8" xfId="5" applyNumberFormat="1" applyFont="1" applyBorder="1" applyAlignment="1">
      <alignment horizontal="right"/>
    </xf>
    <xf numFmtId="165" fontId="11" fillId="0" borderId="7" xfId="5" applyNumberFormat="1" applyFont="1" applyBorder="1" applyAlignment="1">
      <alignment horizontal="right"/>
    </xf>
    <xf numFmtId="165" fontId="11" fillId="0" borderId="0" xfId="5" applyNumberFormat="1" applyFont="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11" fillId="0" borderId="0" xfId="5" applyNumberFormat="1" applyFont="1"/>
    <xf numFmtId="165" fontId="11" fillId="0" borderId="0" xfId="5" applyNumberFormat="1" applyFont="1" applyBorder="1"/>
    <xf numFmtId="164" fontId="11" fillId="0" borderId="0" xfId="6" applyNumberFormat="1" applyFont="1" applyBorder="1"/>
    <xf numFmtId="0" fontId="7" fillId="0" borderId="3" xfId="0" applyFont="1" applyBorder="1"/>
    <xf numFmtId="0" fontId="7" fillId="0" borderId="5" xfId="0" applyFont="1" applyBorder="1"/>
    <xf numFmtId="3" fontId="7" fillId="0" borderId="2" xfId="0" applyNumberFormat="1" applyFont="1" applyBorder="1"/>
    <xf numFmtId="3" fontId="11" fillId="0" borderId="0" xfId="0" applyNumberFormat="1" applyFont="1" applyAlignment="1">
      <alignment horizontal="center"/>
    </xf>
    <xf numFmtId="3" fontId="12" fillId="0" borderId="0" xfId="0" applyNumberFormat="1" applyFont="1" applyAlignment="1">
      <alignment horizontal="center"/>
    </xf>
    <xf numFmtId="3" fontId="12" fillId="0" borderId="0" xfId="0" applyNumberFormat="1" applyFont="1"/>
    <xf numFmtId="3" fontId="11" fillId="0" borderId="0" xfId="0" applyNumberFormat="1" applyFont="1"/>
    <xf numFmtId="3" fontId="7" fillId="0" borderId="1" xfId="0" applyNumberFormat="1" applyFont="1" applyBorder="1"/>
    <xf numFmtId="44" fontId="14" fillId="0" borderId="0" xfId="0" applyNumberFormat="1" applyFont="1" applyAlignment="1">
      <alignment horizontal="center"/>
    </xf>
    <xf numFmtId="168" fontId="7" fillId="0" borderId="0" xfId="0" applyNumberFormat="1" applyFont="1" applyAlignment="1">
      <alignment horizontal="center"/>
    </xf>
    <xf numFmtId="167" fontId="7" fillId="0" borderId="0" xfId="5" applyNumberFormat="1" applyFont="1" applyAlignment="1"/>
    <xf numFmtId="167" fontId="7" fillId="0" borderId="2" xfId="5" applyNumberFormat="1" applyFont="1" applyBorder="1"/>
    <xf numFmtId="167" fontId="7" fillId="0" borderId="0" xfId="5" applyNumberFormat="1" applyFont="1" applyBorder="1" applyAlignment="1"/>
    <xf numFmtId="167" fontId="7" fillId="0" borderId="0" xfId="5" applyNumberFormat="1" applyFont="1" applyBorder="1" applyAlignment="1">
      <alignment horizontal="center"/>
    </xf>
    <xf numFmtId="170" fontId="7" fillId="0" borderId="0" xfId="0" applyNumberFormat="1" applyFont="1"/>
    <xf numFmtId="169" fontId="11" fillId="0" borderId="0" xfId="0" applyNumberFormat="1" applyFont="1"/>
    <xf numFmtId="167" fontId="7" fillId="0" borderId="0" xfId="5" quotePrefix="1" applyNumberFormat="1" applyFont="1" applyBorder="1" applyAlignment="1">
      <alignment horizontal="center"/>
    </xf>
    <xf numFmtId="3" fontId="7" fillId="0" borderId="4" xfId="0" applyNumberFormat="1" applyFont="1" applyBorder="1"/>
    <xf numFmtId="3" fontId="7" fillId="0" borderId="8" xfId="0" applyNumberFormat="1" applyFont="1" applyBorder="1"/>
    <xf numFmtId="3" fontId="7" fillId="0" borderId="6" xfId="0" applyNumberFormat="1" applyFont="1" applyBorder="1"/>
    <xf numFmtId="3" fontId="7" fillId="0" borderId="7" xfId="0" applyNumberFormat="1" applyFont="1" applyBorder="1"/>
    <xf numFmtId="4" fontId="7" fillId="0" borderId="7" xfId="0" applyNumberFormat="1" applyFont="1" applyBorder="1"/>
    <xf numFmtId="0" fontId="0" fillId="0" borderId="0" xfId="0" applyAlignment="1">
      <alignment vertical="top"/>
    </xf>
    <xf numFmtId="3" fontId="0" fillId="0" borderId="0" xfId="0" applyNumberFormat="1" applyAlignment="1">
      <alignment vertical="top"/>
    </xf>
    <xf numFmtId="0" fontId="7" fillId="0" borderId="0" xfId="0" applyFont="1" applyAlignment="1">
      <alignment horizontal="center" vertical="top"/>
    </xf>
    <xf numFmtId="0" fontId="25" fillId="0" borderId="0" xfId="0" applyFont="1"/>
    <xf numFmtId="165" fontId="25" fillId="0" borderId="0" xfId="1" applyNumberFormat="1" applyFont="1"/>
    <xf numFmtId="43" fontId="7" fillId="0" borderId="0" xfId="1" applyFont="1" applyAlignment="1">
      <alignment horizontal="right"/>
    </xf>
    <xf numFmtId="10" fontId="7" fillId="0" borderId="1" xfId="3" applyNumberFormat="1" applyFont="1" applyBorder="1"/>
    <xf numFmtId="37" fontId="7" fillId="0" borderId="0" xfId="0" applyNumberFormat="1" applyFont="1" applyAlignment="1">
      <alignment horizontal="center"/>
    </xf>
    <xf numFmtId="164" fontId="7" fillId="0" borderId="0" xfId="6" applyNumberFormat="1" applyFont="1" applyBorder="1"/>
    <xf numFmtId="164" fontId="7" fillId="0" borderId="0" xfId="0" applyNumberFormat="1" applyFont="1"/>
    <xf numFmtId="164" fontId="0" fillId="0" borderId="0" xfId="0" applyNumberFormat="1" applyAlignment="1">
      <alignment vertical="top"/>
    </xf>
    <xf numFmtId="10" fontId="0" fillId="0" borderId="0" xfId="3" applyNumberFormat="1" applyFont="1" applyBorder="1" applyAlignment="1">
      <alignment vertical="top"/>
    </xf>
    <xf numFmtId="3" fontId="7" fillId="0" borderId="0" xfId="0" applyNumberFormat="1" applyFont="1" applyAlignment="1">
      <alignment horizontal="left"/>
    </xf>
    <xf numFmtId="0" fontId="11" fillId="0" borderId="0" xfId="0" applyFont="1" applyAlignment="1">
      <alignment horizontal="left"/>
    </xf>
    <xf numFmtId="165" fontId="7" fillId="0" borderId="0" xfId="5" applyNumberFormat="1" applyFont="1" applyBorder="1" applyAlignment="1">
      <alignment horizontal="right"/>
    </xf>
    <xf numFmtId="165" fontId="7" fillId="0" borderId="0" xfId="0" applyNumberFormat="1" applyFont="1" applyAlignment="1">
      <alignment horizontal="right"/>
    </xf>
    <xf numFmtId="44" fontId="7" fillId="0" borderId="0" xfId="5" applyNumberFormat="1" applyFont="1" applyBorder="1"/>
    <xf numFmtId="165" fontId="7" fillId="0" borderId="0" xfId="1" applyNumberFormat="1" applyFont="1" applyFill="1" applyAlignment="1">
      <alignment vertical="center"/>
    </xf>
    <xf numFmtId="0" fontId="7" fillId="0" borderId="0" xfId="0" quotePrefix="1" applyFont="1"/>
    <xf numFmtId="44" fontId="7" fillId="0" borderId="0" xfId="0" applyNumberFormat="1" applyFont="1" applyAlignment="1">
      <alignment horizontal="right"/>
    </xf>
    <xf numFmtId="9" fontId="7" fillId="0" borderId="0" xfId="0" applyNumberFormat="1" applyFont="1" applyAlignment="1">
      <alignment horizontal="right"/>
    </xf>
    <xf numFmtId="166" fontId="7" fillId="0" borderId="0" xfId="3" applyNumberFormat="1" applyFont="1" applyFill="1" applyBorder="1" applyAlignment="1">
      <alignment horizontal="right"/>
    </xf>
    <xf numFmtId="9" fontId="7" fillId="0" borderId="0" xfId="3" applyFont="1" applyFill="1" applyBorder="1" applyAlignment="1">
      <alignment horizontal="right"/>
    </xf>
    <xf numFmtId="44" fontId="4" fillId="0" borderId="0" xfId="0" applyNumberFormat="1" applyFont="1" applyAlignment="1">
      <alignment horizontal="right"/>
    </xf>
    <xf numFmtId="3" fontId="7" fillId="0" borderId="2" xfId="0" applyNumberFormat="1" applyFont="1" applyBorder="1" applyAlignment="1">
      <alignment horizontal="right"/>
    </xf>
    <xf numFmtId="0" fontId="0" fillId="0" borderId="0" xfId="0" applyAlignment="1">
      <alignment horizontal="right"/>
    </xf>
    <xf numFmtId="169" fontId="11" fillId="0" borderId="0" xfId="0" applyNumberFormat="1" applyFont="1" applyAlignment="1">
      <alignment horizontal="right"/>
    </xf>
    <xf numFmtId="167" fontId="7" fillId="0" borderId="1" xfId="5" applyNumberFormat="1" applyFont="1" applyBorder="1" applyAlignment="1">
      <alignment horizontal="right"/>
    </xf>
    <xf numFmtId="167" fontId="7" fillId="0" borderId="0" xfId="5" applyNumberFormat="1" applyFont="1" applyBorder="1" applyAlignment="1">
      <alignment horizontal="right"/>
    </xf>
    <xf numFmtId="164" fontId="7" fillId="0" borderId="0" xfId="0" applyNumberFormat="1" applyFont="1" applyAlignment="1">
      <alignment horizontal="right"/>
    </xf>
    <xf numFmtId="164" fontId="7" fillId="0" borderId="2" xfId="0" applyNumberFormat="1" applyFont="1" applyBorder="1" applyAlignment="1">
      <alignment horizontal="right"/>
    </xf>
    <xf numFmtId="164" fontId="11" fillId="0" borderId="0" xfId="0" applyNumberFormat="1" applyFont="1" applyAlignment="1">
      <alignment horizontal="center"/>
    </xf>
    <xf numFmtId="164" fontId="12" fillId="0" borderId="0" xfId="0" applyNumberFormat="1" applyFont="1" applyAlignment="1">
      <alignment horizontal="center"/>
    </xf>
    <xf numFmtId="164" fontId="7" fillId="0" borderId="1" xfId="0" applyNumberFormat="1" applyFont="1" applyBorder="1" applyAlignment="1">
      <alignment horizontal="right"/>
    </xf>
    <xf numFmtId="164" fontId="13" fillId="0" borderId="0" xfId="0" applyNumberFormat="1" applyFont="1" applyAlignment="1">
      <alignment horizontal="right"/>
    </xf>
    <xf numFmtId="44" fontId="7" fillId="0" borderId="0" xfId="0" applyNumberFormat="1" applyFont="1"/>
    <xf numFmtId="164" fontId="7" fillId="0" borderId="0" xfId="2" applyNumberFormat="1" applyFont="1"/>
    <xf numFmtId="44" fontId="7" fillId="0" borderId="0" xfId="2" applyFont="1"/>
    <xf numFmtId="166" fontId="7" fillId="0" borderId="0" xfId="0" applyNumberFormat="1" applyFont="1" applyAlignment="1">
      <alignment horizontal="right"/>
    </xf>
    <xf numFmtId="44" fontId="7" fillId="0" borderId="0" xfId="2" applyFont="1" applyFill="1" applyBorder="1" applyAlignment="1">
      <alignment horizontal="right"/>
    </xf>
    <xf numFmtId="44" fontId="22" fillId="0" borderId="0" xfId="2" applyFont="1" applyFill="1" applyBorder="1" applyAlignment="1">
      <alignment horizontal="right"/>
    </xf>
    <xf numFmtId="44" fontId="21" fillId="0" borderId="0" xfId="2" applyFont="1" applyFill="1" applyBorder="1" applyAlignment="1">
      <alignment horizontal="right"/>
    </xf>
    <xf numFmtId="44" fontId="7" fillId="0" borderId="1" xfId="2" applyFont="1" applyFill="1" applyBorder="1" applyAlignment="1">
      <alignment horizontal="right"/>
    </xf>
    <xf numFmtId="0" fontId="7" fillId="0" borderId="0" xfId="1" applyNumberFormat="1" applyFont="1" applyFill="1" applyBorder="1"/>
    <xf numFmtId="44" fontId="7" fillId="0" borderId="1" xfId="0" applyNumberFormat="1" applyFont="1" applyBorder="1" applyAlignment="1">
      <alignment horizontal="right"/>
    </xf>
    <xf numFmtId="37" fontId="11" fillId="0" borderId="0" xfId="0" applyNumberFormat="1" applyFont="1" applyAlignment="1">
      <alignment horizontal="right"/>
    </xf>
    <xf numFmtId="0" fontId="11" fillId="0" borderId="0" xfId="0" applyFont="1" applyAlignment="1">
      <alignment horizontal="right"/>
    </xf>
    <xf numFmtId="165" fontId="7" fillId="0" borderId="0" xfId="1" applyNumberFormat="1" applyFont="1" applyFill="1" applyBorder="1" applyAlignment="1">
      <alignment horizontal="right"/>
    </xf>
    <xf numFmtId="44" fontId="3" fillId="0" borderId="0" xfId="2" applyFont="1" applyFill="1" applyBorder="1" applyAlignment="1">
      <alignment horizontal="right"/>
    </xf>
    <xf numFmtId="9" fontId="4" fillId="0" borderId="0" xfId="3" applyFont="1" applyFill="1" applyBorder="1" applyAlignment="1">
      <alignment horizontal="right"/>
    </xf>
    <xf numFmtId="0" fontId="11" fillId="0" borderId="0" xfId="0" applyFont="1"/>
    <xf numFmtId="0" fontId="11" fillId="0" borderId="0" xfId="1" applyNumberFormat="1" applyFont="1" applyFill="1" applyBorder="1"/>
    <xf numFmtId="44" fontId="11" fillId="0" borderId="12" xfId="0" applyNumberFormat="1" applyFont="1" applyBorder="1" applyAlignment="1">
      <alignment horizontal="right"/>
    </xf>
    <xf numFmtId="44" fontId="11" fillId="0" borderId="0" xfId="2" applyFont="1" applyFill="1" applyBorder="1" applyAlignment="1">
      <alignment horizontal="right"/>
    </xf>
    <xf numFmtId="43" fontId="7" fillId="0" borderId="0" xfId="1" applyFont="1" applyFill="1"/>
    <xf numFmtId="44" fontId="7" fillId="2" borderId="0" xfId="2" applyFont="1" applyFill="1" applyBorder="1" applyAlignment="1">
      <alignment horizontal="right"/>
    </xf>
    <xf numFmtId="44" fontId="7" fillId="2" borderId="1" xfId="2" applyFont="1" applyFill="1" applyBorder="1" applyAlignment="1">
      <alignment horizontal="right"/>
    </xf>
    <xf numFmtId="44" fontId="26" fillId="0" borderId="1" xfId="2" applyFont="1" applyBorder="1"/>
    <xf numFmtId="44" fontId="7" fillId="0" borderId="0" xfId="0" applyNumberFormat="1" applyFont="1" applyAlignment="1">
      <alignment horizontal="center"/>
    </xf>
    <xf numFmtId="0" fontId="25" fillId="0" borderId="0" xfId="0" applyFont="1" applyAlignment="1">
      <alignment horizontal="center"/>
    </xf>
    <xf numFmtId="165" fontId="15" fillId="0" borderId="0" xfId="5" applyNumberFormat="1" applyFont="1" applyBorder="1" applyAlignment="1">
      <alignment horizontal="center" vertical="center"/>
    </xf>
    <xf numFmtId="165" fontId="27" fillId="0" borderId="0" xfId="1" applyNumberFormat="1" applyFont="1" applyAlignment="1">
      <alignment horizontal="centerContinuous" vertical="center"/>
    </xf>
    <xf numFmtId="165" fontId="8" fillId="0" borderId="0" xfId="1" applyNumberFormat="1" applyFont="1" applyAlignment="1">
      <alignment horizontal="centerContinuous" vertical="center"/>
    </xf>
    <xf numFmtId="44" fontId="7" fillId="0" borderId="0" xfId="2" applyFont="1" applyFill="1" applyBorder="1" applyAlignment="1">
      <alignment horizontal="center"/>
    </xf>
    <xf numFmtId="0" fontId="10" fillId="0" borderId="0" xfId="0" applyFont="1"/>
    <xf numFmtId="44" fontId="10" fillId="0" borderId="0" xfId="2" applyFont="1" applyFill="1" applyBorder="1" applyAlignment="1">
      <alignment horizontal="center"/>
    </xf>
    <xf numFmtId="171" fontId="25" fillId="0" borderId="0" xfId="0" applyNumberFormat="1" applyFont="1"/>
    <xf numFmtId="1" fontId="7" fillId="0" borderId="0" xfId="1" applyNumberFormat="1" applyFont="1" applyAlignment="1">
      <alignment horizontal="center"/>
    </xf>
    <xf numFmtId="43" fontId="7" fillId="0" borderId="0" xfId="1" applyFont="1" applyAlignment="1">
      <alignment horizontal="center"/>
    </xf>
    <xf numFmtId="4" fontId="7" fillId="0" borderId="0" xfId="0" applyNumberFormat="1" applyFont="1"/>
    <xf numFmtId="2" fontId="25" fillId="0" borderId="0" xfId="0" applyNumberFormat="1" applyFont="1"/>
    <xf numFmtId="0" fontId="29" fillId="0" borderId="0" xfId="0" applyFont="1"/>
    <xf numFmtId="0" fontId="29" fillId="0" borderId="0" xfId="0" applyFont="1" applyAlignment="1">
      <alignment horizontal="center"/>
    </xf>
    <xf numFmtId="0" fontId="0" fillId="0" borderId="0" xfId="0" applyAlignment="1">
      <alignment wrapText="1"/>
    </xf>
    <xf numFmtId="44" fontId="2" fillId="0" borderId="0" xfId="2" applyFont="1" applyFill="1" applyBorder="1" applyAlignment="1">
      <alignment horizontal="center"/>
    </xf>
    <xf numFmtId="44" fontId="7" fillId="0" borderId="1" xfId="2" applyFont="1" applyFill="1" applyBorder="1" applyAlignment="1">
      <alignment horizontal="center"/>
    </xf>
    <xf numFmtId="165" fontId="0" fillId="0" borderId="0" xfId="0" applyNumberFormat="1"/>
    <xf numFmtId="43" fontId="7" fillId="0" borderId="0" xfId="1" applyFont="1" applyAlignment="1">
      <alignment horizontal="center" wrapText="1"/>
    </xf>
    <xf numFmtId="172" fontId="10" fillId="0" borderId="0" xfId="1" applyNumberFormat="1" applyFont="1" applyAlignment="1">
      <alignment horizontal="center"/>
    </xf>
    <xf numFmtId="0" fontId="0" fillId="0" borderId="0" xfId="0" applyAlignment="1">
      <alignment horizontal="center" vertical="top"/>
    </xf>
    <xf numFmtId="0" fontId="5" fillId="0" borderId="0" xfId="0" applyFont="1" applyAlignment="1">
      <alignment horizontal="center" vertical="top"/>
    </xf>
    <xf numFmtId="0" fontId="5" fillId="0" borderId="0" xfId="0" applyFont="1"/>
    <xf numFmtId="0" fontId="30" fillId="0" borderId="0" xfId="0" applyFont="1" applyAlignment="1">
      <alignment horizontal="center" wrapText="1"/>
    </xf>
    <xf numFmtId="0" fontId="31" fillId="0" borderId="0" xfId="0" applyFont="1" applyAlignment="1">
      <alignment horizontal="center" wrapText="1"/>
    </xf>
    <xf numFmtId="3" fontId="8" fillId="0" borderId="7" xfId="0" applyNumberFormat="1" applyFont="1" applyBorder="1" applyAlignment="1">
      <alignment horizontal="centerContinuous" vertical="center"/>
    </xf>
    <xf numFmtId="171" fontId="7" fillId="0" borderId="0" xfId="5" applyNumberFormat="1" applyFont="1" applyBorder="1" applyAlignment="1">
      <alignment horizontal="right"/>
    </xf>
    <xf numFmtId="171" fontId="7" fillId="0" borderId="0" xfId="5" applyNumberFormat="1" applyFont="1" applyBorder="1" applyAlignment="1"/>
    <xf numFmtId="173" fontId="7" fillId="0" borderId="0" xfId="5" applyNumberFormat="1" applyFont="1" applyBorder="1" applyAlignment="1">
      <alignment horizontal="right"/>
    </xf>
    <xf numFmtId="0" fontId="7" fillId="0" borderId="0" xfId="5" applyNumberFormat="1" applyFont="1" applyBorder="1" applyAlignment="1">
      <alignment horizontal="right"/>
    </xf>
    <xf numFmtId="165" fontId="7" fillId="0" borderId="0" xfId="5" applyNumberFormat="1" applyFont="1" applyBorder="1" applyAlignment="1"/>
    <xf numFmtId="0" fontId="11" fillId="0" borderId="0" xfId="0" applyFont="1" applyAlignment="1">
      <alignment horizontal="center"/>
    </xf>
    <xf numFmtId="0" fontId="7" fillId="0" borderId="13" xfId="0" applyFont="1" applyBorder="1"/>
    <xf numFmtId="165" fontId="13" fillId="0" borderId="0" xfId="5" applyNumberFormat="1" applyFont="1" applyBorder="1"/>
    <xf numFmtId="44" fontId="13" fillId="0" borderId="0" xfId="5" applyNumberFormat="1" applyFont="1" applyBorder="1"/>
    <xf numFmtId="0" fontId="11" fillId="0" borderId="3" xfId="0" applyFont="1" applyBorder="1"/>
    <xf numFmtId="165" fontId="7" fillId="0" borderId="2" xfId="0" applyNumberFormat="1" applyFont="1" applyBorder="1"/>
    <xf numFmtId="44" fontId="7" fillId="0" borderId="2" xfId="0" applyNumberFormat="1" applyFont="1" applyBorder="1"/>
    <xf numFmtId="0" fontId="7" fillId="0" borderId="2" xfId="0" applyFont="1" applyBorder="1"/>
    <xf numFmtId="0" fontId="7" fillId="0" borderId="4" xfId="0" applyFont="1" applyBorder="1"/>
    <xf numFmtId="0" fontId="11" fillId="0" borderId="7" xfId="0" applyFont="1" applyBorder="1"/>
    <xf numFmtId="0" fontId="7" fillId="0" borderId="8" xfId="0" applyFont="1" applyBorder="1"/>
    <xf numFmtId="0" fontId="7" fillId="0" borderId="7" xfId="0" applyFont="1" applyBorder="1" applyAlignment="1">
      <alignment horizontal="right"/>
    </xf>
    <xf numFmtId="0" fontId="7" fillId="0" borderId="8" xfId="0" quotePrefix="1" applyFont="1" applyBorder="1"/>
    <xf numFmtId="0" fontId="7" fillId="0" borderId="7" xfId="5" applyNumberFormat="1" applyFont="1" applyBorder="1" applyAlignment="1">
      <alignment horizontal="right"/>
    </xf>
    <xf numFmtId="0" fontId="7" fillId="0" borderId="5" xfId="0" applyFont="1" applyBorder="1" applyAlignment="1">
      <alignment horizontal="right"/>
    </xf>
    <xf numFmtId="165" fontId="7" fillId="0" borderId="1" xfId="5" applyNumberFormat="1" applyFont="1" applyBorder="1"/>
    <xf numFmtId="44" fontId="7" fillId="0" borderId="1" xfId="5" applyNumberFormat="1" applyFont="1" applyBorder="1"/>
    <xf numFmtId="0" fontId="7" fillId="0" borderId="1" xfId="0" applyFont="1" applyBorder="1"/>
    <xf numFmtId="0" fontId="7" fillId="0" borderId="6" xfId="0" applyFont="1" applyBorder="1"/>
    <xf numFmtId="165" fontId="13" fillId="0" borderId="0" xfId="5" applyNumberFormat="1" applyFont="1" applyBorder="1" applyAlignment="1">
      <alignment horizontal="right"/>
    </xf>
    <xf numFmtId="165" fontId="10" fillId="0" borderId="0" xfId="0" applyNumberFormat="1" applyFont="1"/>
    <xf numFmtId="43" fontId="7" fillId="0" borderId="1" xfId="5" applyFont="1" applyBorder="1"/>
    <xf numFmtId="43" fontId="7" fillId="0" borderId="0" xfId="5" applyFont="1" applyBorder="1"/>
    <xf numFmtId="171" fontId="7" fillId="0" borderId="0" xfId="6" applyNumberFormat="1" applyFont="1" applyBorder="1"/>
    <xf numFmtId="164" fontId="7" fillId="0" borderId="1" xfId="6" applyNumberFormat="1" applyFont="1" applyBorder="1"/>
    <xf numFmtId="173" fontId="7" fillId="0" borderId="0" xfId="6" applyNumberFormat="1" applyFont="1" applyBorder="1"/>
    <xf numFmtId="0" fontId="0" fillId="0" borderId="8" xfId="0" applyBorder="1" applyAlignment="1">
      <alignment vertical="top"/>
    </xf>
    <xf numFmtId="3" fontId="7" fillId="0" borderId="1" xfId="5" applyNumberFormat="1" applyFont="1" applyBorder="1"/>
    <xf numFmtId="165" fontId="13" fillId="0" borderId="0" xfId="5" applyNumberFormat="1" applyFont="1"/>
    <xf numFmtId="0" fontId="12" fillId="0" borderId="0" xfId="0" applyFont="1" applyAlignment="1">
      <alignment horizontal="center"/>
    </xf>
    <xf numFmtId="0" fontId="7" fillId="3" borderId="0" xfId="0" applyFont="1" applyFill="1"/>
    <xf numFmtId="165" fontId="7" fillId="3" borderId="10" xfId="5" applyNumberFormat="1" applyFont="1" applyFill="1" applyBorder="1" applyAlignment="1">
      <alignment horizontal="left"/>
    </xf>
    <xf numFmtId="164" fontId="0" fillId="0" borderId="0" xfId="0" applyNumberFormat="1"/>
    <xf numFmtId="164" fontId="0" fillId="0" borderId="0" xfId="2" applyNumberFormat="1" applyFont="1" applyFill="1"/>
    <xf numFmtId="164" fontId="5" fillId="0" borderId="0" xfId="2" applyNumberFormat="1" applyFont="1" applyFill="1"/>
    <xf numFmtId="172" fontId="1" fillId="0" borderId="0" xfId="2" applyNumberFormat="1" applyFont="1" applyFill="1" applyBorder="1" applyAlignment="1">
      <alignment horizontal="center"/>
    </xf>
    <xf numFmtId="43" fontId="7" fillId="3" borderId="0" xfId="1" applyFont="1" applyFill="1"/>
    <xf numFmtId="0" fontId="25" fillId="3" borderId="0" xfId="0" applyFont="1" applyFill="1"/>
    <xf numFmtId="165" fontId="7" fillId="0" borderId="0" xfId="1" applyNumberFormat="1" applyFont="1" applyFill="1" applyAlignment="1">
      <alignment horizontal="center"/>
    </xf>
    <xf numFmtId="9" fontId="7" fillId="0" borderId="1" xfId="3" applyFont="1" applyBorder="1"/>
    <xf numFmtId="0" fontId="7" fillId="4" borderId="0" xfId="0" applyFont="1" applyFill="1"/>
    <xf numFmtId="165" fontId="7" fillId="0" borderId="0" xfId="5" applyNumberFormat="1" applyFont="1" applyAlignment="1">
      <alignment horizontal="center"/>
    </xf>
    <xf numFmtId="165" fontId="13" fillId="0" borderId="0" xfId="5" applyNumberFormat="1" applyFont="1" applyAlignment="1">
      <alignment horizontal="center"/>
    </xf>
    <xf numFmtId="0" fontId="0" fillId="0" borderId="0" xfId="0" applyAlignment="1">
      <alignment horizontal="center"/>
    </xf>
    <xf numFmtId="0" fontId="32" fillId="0" borderId="0" xfId="0" applyFont="1" applyAlignment="1">
      <alignment horizontal="center"/>
    </xf>
    <xf numFmtId="165" fontId="7" fillId="0" borderId="0" xfId="5" applyNumberFormat="1" applyFont="1" applyFill="1" applyBorder="1" applyAlignment="1">
      <alignment horizontal="center"/>
    </xf>
    <xf numFmtId="165" fontId="7" fillId="0" borderId="8" xfId="5" applyNumberFormat="1" applyFont="1" applyFill="1" applyBorder="1" applyAlignment="1">
      <alignment horizontal="center"/>
    </xf>
    <xf numFmtId="165" fontId="7" fillId="0" borderId="0" xfId="5" quotePrefix="1" applyNumberFormat="1" applyFont="1" applyFill="1" applyBorder="1" applyAlignment="1">
      <alignment horizontal="center"/>
    </xf>
    <xf numFmtId="0" fontId="7" fillId="3" borderId="0" xfId="0" applyFont="1" applyFill="1" applyAlignment="1">
      <alignment horizontal="center"/>
    </xf>
    <xf numFmtId="44" fontId="7" fillId="3" borderId="0" xfId="0" applyNumberFormat="1" applyFont="1" applyFill="1" applyAlignment="1">
      <alignment horizontal="center"/>
    </xf>
    <xf numFmtId="165" fontId="7" fillId="0" borderId="0" xfId="1" applyNumberFormat="1" applyFont="1" applyFill="1"/>
    <xf numFmtId="165" fontId="7" fillId="0" borderId="8" xfId="5" applyNumberFormat="1" applyFont="1" applyFill="1" applyBorder="1" applyAlignment="1">
      <alignment horizontal="center" vertical="center"/>
    </xf>
    <xf numFmtId="165" fontId="7" fillId="0" borderId="0" xfId="5" applyNumberFormat="1" applyFont="1" applyFill="1" applyBorder="1" applyAlignment="1">
      <alignment horizontal="center" vertical="center"/>
    </xf>
    <xf numFmtId="165" fontId="7" fillId="0" borderId="7" xfId="5" applyNumberFormat="1" applyFont="1" applyFill="1" applyBorder="1" applyAlignment="1">
      <alignment horizontal="center" vertical="center"/>
    </xf>
    <xf numFmtId="165" fontId="7" fillId="0" borderId="7" xfId="5" applyNumberFormat="1" applyFont="1" applyFill="1" applyBorder="1" applyAlignment="1">
      <alignment horizontal="center"/>
    </xf>
    <xf numFmtId="9" fontId="7" fillId="0" borderId="0" xfId="3" applyFont="1" applyFill="1"/>
    <xf numFmtId="44" fontId="7" fillId="0" borderId="0" xfId="2" applyFont="1" applyFill="1" applyBorder="1" applyAlignment="1">
      <alignment horizontal="left"/>
    </xf>
    <xf numFmtId="172" fontId="10" fillId="3" borderId="0" xfId="1" applyNumberFormat="1" applyFont="1" applyFill="1" applyAlignment="1">
      <alignment horizontal="center"/>
    </xf>
    <xf numFmtId="14" fontId="25" fillId="0" borderId="0" xfId="0" applyNumberFormat="1" applyFont="1"/>
    <xf numFmtId="43" fontId="25" fillId="0" borderId="0" xfId="1" applyFont="1"/>
    <xf numFmtId="44" fontId="25" fillId="0" borderId="0" xfId="0" applyNumberFormat="1" applyFont="1"/>
    <xf numFmtId="44" fontId="25" fillId="0" borderId="0" xfId="2" applyFont="1" applyAlignment="1">
      <alignment horizontal="center"/>
    </xf>
    <xf numFmtId="0" fontId="25" fillId="0" borderId="0" xfId="0" quotePrefix="1" applyFont="1" applyAlignment="1">
      <alignment horizontal="center"/>
    </xf>
    <xf numFmtId="43" fontId="25" fillId="0" borderId="0" xfId="0" applyNumberFormat="1" applyFont="1"/>
    <xf numFmtId="43" fontId="25" fillId="0" borderId="0" xfId="1" applyFont="1" applyFill="1"/>
    <xf numFmtId="165" fontId="25" fillId="0" borderId="0" xfId="1" applyNumberFormat="1" applyFont="1" applyFill="1"/>
    <xf numFmtId="165" fontId="25" fillId="0" borderId="2" xfId="1" applyNumberFormat="1" applyFont="1" applyBorder="1"/>
    <xf numFmtId="10" fontId="25" fillId="0" borderId="0" xfId="3" applyNumberFormat="1" applyFont="1"/>
    <xf numFmtId="44" fontId="25" fillId="0" borderId="0" xfId="2" applyFont="1" applyFill="1"/>
    <xf numFmtId="0" fontId="7" fillId="0" borderId="0" xfId="1" applyNumberFormat="1" applyFont="1" applyAlignment="1">
      <alignment horizontal="center" vertical="center"/>
    </xf>
    <xf numFmtId="14" fontId="25" fillId="0" borderId="0" xfId="0" applyNumberFormat="1" applyFont="1" applyAlignment="1">
      <alignment horizontal="right"/>
    </xf>
    <xf numFmtId="165" fontId="25" fillId="0" borderId="0" xfId="1" applyNumberFormat="1" applyFont="1" applyFill="1" applyAlignment="1">
      <alignment horizontal="center"/>
    </xf>
    <xf numFmtId="44" fontId="25" fillId="0" borderId="0" xfId="2" applyFont="1" applyFill="1" applyAlignment="1">
      <alignment horizontal="center"/>
    </xf>
    <xf numFmtId="44" fontId="25" fillId="0" borderId="0" xfId="2" quotePrefix="1" applyFont="1" applyFill="1" applyAlignment="1">
      <alignment horizontal="center"/>
    </xf>
    <xf numFmtId="43" fontId="25" fillId="0" borderId="0" xfId="1" applyFont="1" applyFill="1" applyAlignment="1">
      <alignment horizontal="center"/>
    </xf>
    <xf numFmtId="43" fontId="25" fillId="0" borderId="0" xfId="1" quotePrefix="1" applyFont="1" applyFill="1" applyAlignment="1">
      <alignment horizontal="center"/>
    </xf>
    <xf numFmtId="43" fontId="7" fillId="0" borderId="1" xfId="1" applyFont="1" applyBorder="1" applyAlignment="1">
      <alignment horizontal="right"/>
    </xf>
    <xf numFmtId="44" fontId="11" fillId="0" borderId="0" xfId="0" applyNumberFormat="1" applyFont="1" applyAlignment="1">
      <alignment horizontal="right"/>
    </xf>
    <xf numFmtId="165" fontId="11" fillId="0" borderId="0" xfId="0" applyNumberFormat="1" applyFont="1"/>
    <xf numFmtId="165" fontId="11" fillId="0" borderId="0" xfId="5" applyNumberFormat="1" applyFont="1" applyBorder="1" applyAlignment="1"/>
    <xf numFmtId="0" fontId="34" fillId="0" borderId="0" xfId="0" applyFont="1"/>
    <xf numFmtId="164" fontId="13" fillId="0" borderId="0" xfId="6" applyNumberFormat="1" applyFont="1" applyFill="1" applyBorder="1" applyAlignment="1"/>
    <xf numFmtId="164" fontId="7" fillId="0" borderId="0" xfId="6" applyNumberFormat="1" applyFont="1" applyBorder="1" applyAlignment="1"/>
    <xf numFmtId="164" fontId="13" fillId="0" borderId="0" xfId="6" applyNumberFormat="1" applyFont="1" applyBorder="1" applyAlignment="1"/>
    <xf numFmtId="37" fontId="7" fillId="0" borderId="0" xfId="0" applyNumberFormat="1" applyFont="1"/>
    <xf numFmtId="165" fontId="7" fillId="0" borderId="0" xfId="5" applyNumberFormat="1" applyFont="1" applyFill="1" applyBorder="1"/>
    <xf numFmtId="165" fontId="13" fillId="0" borderId="0" xfId="5" applyNumberFormat="1" applyFont="1" applyFill="1" applyBorder="1"/>
    <xf numFmtId="0" fontId="35" fillId="0" borderId="3" xfId="0" applyFont="1" applyBorder="1"/>
    <xf numFmtId="0" fontId="0" fillId="0" borderId="2" xfId="0" applyBorder="1"/>
    <xf numFmtId="0" fontId="0" fillId="0" borderId="4" xfId="0" applyBorder="1"/>
    <xf numFmtId="0" fontId="0" fillId="0" borderId="7" xfId="0" applyBorder="1"/>
    <xf numFmtId="0" fontId="36" fillId="0" borderId="0" xfId="0" applyFont="1" applyAlignment="1">
      <alignment horizontal="center"/>
    </xf>
    <xf numFmtId="0" fontId="0" fillId="0" borderId="8" xfId="0" applyBorder="1"/>
    <xf numFmtId="164" fontId="0" fillId="0" borderId="0" xfId="2" applyNumberFormat="1" applyFont="1" applyBorder="1"/>
    <xf numFmtId="164" fontId="0" fillId="0" borderId="1" xfId="0" applyNumberFormat="1" applyBorder="1"/>
    <xf numFmtId="165" fontId="0" fillId="0" borderId="1" xfId="1" applyNumberFormat="1" applyFont="1" applyBorder="1"/>
    <xf numFmtId="0" fontId="0" fillId="0" borderId="5" xfId="0" applyBorder="1"/>
    <xf numFmtId="0" fontId="0" fillId="0" borderId="1" xfId="0" applyBorder="1"/>
    <xf numFmtId="0" fontId="0" fillId="0" borderId="6" xfId="0" applyBorder="1"/>
    <xf numFmtId="167" fontId="7" fillId="0" borderId="0" xfId="5" applyNumberFormat="1" applyFont="1" applyFill="1" applyBorder="1" applyAlignment="1"/>
    <xf numFmtId="165" fontId="14" fillId="0" borderId="0" xfId="1" quotePrefix="1" applyNumberFormat="1" applyFont="1" applyFill="1" applyAlignment="1">
      <alignment horizontal="center" vertical="center"/>
    </xf>
    <xf numFmtId="165" fontId="11" fillId="0" borderId="0" xfId="1" applyNumberFormat="1" applyFont="1" applyFill="1" applyAlignment="1">
      <alignment vertical="center"/>
    </xf>
    <xf numFmtId="165" fontId="7" fillId="0" borderId="0" xfId="1" applyNumberFormat="1" applyFont="1" applyFill="1" applyAlignment="1"/>
    <xf numFmtId="165" fontId="13" fillId="0" borderId="0" xfId="1" applyNumberFormat="1" applyFont="1" applyFill="1"/>
    <xf numFmtId="165" fontId="10" fillId="0" borderId="0" xfId="1" applyNumberFormat="1" applyFont="1" applyFill="1"/>
    <xf numFmtId="10" fontId="7" fillId="0" borderId="0" xfId="3" applyNumberFormat="1" applyFont="1" applyFill="1" applyAlignment="1">
      <alignment vertical="center"/>
    </xf>
    <xf numFmtId="165" fontId="14" fillId="0" borderId="0" xfId="1" applyNumberFormat="1" applyFont="1" applyFill="1" applyAlignment="1">
      <alignment horizontal="center" vertical="center"/>
    </xf>
    <xf numFmtId="164" fontId="7" fillId="0" borderId="0" xfId="6" applyNumberFormat="1" applyFont="1" applyFill="1" applyBorder="1"/>
    <xf numFmtId="0" fontId="32" fillId="0" borderId="0" xfId="0" applyFont="1"/>
    <xf numFmtId="164" fontId="25" fillId="0" borderId="0" xfId="2" applyNumberFormat="1" applyFont="1"/>
    <xf numFmtId="165" fontId="7" fillId="0" borderId="7" xfId="5" applyNumberFormat="1" applyFont="1" applyBorder="1" applyAlignment="1">
      <alignment horizontal="center"/>
    </xf>
    <xf numFmtId="0" fontId="37" fillId="0" borderId="1" xfId="0" applyFont="1" applyBorder="1"/>
    <xf numFmtId="164" fontId="37" fillId="0" borderId="1" xfId="2" applyNumberFormat="1" applyFont="1" applyBorder="1"/>
    <xf numFmtId="165" fontId="7" fillId="3" borderId="0" xfId="1" applyNumberFormat="1" applyFont="1" applyFill="1" applyAlignment="1">
      <alignment vertical="center"/>
    </xf>
    <xf numFmtId="165" fontId="7" fillId="3" borderId="0" xfId="1" applyNumberFormat="1" applyFont="1" applyFill="1" applyAlignment="1">
      <alignment horizontal="center" vertical="center"/>
    </xf>
    <xf numFmtId="165" fontId="7" fillId="3" borderId="0" xfId="1" applyNumberFormat="1" applyFont="1" applyFill="1" applyAlignment="1">
      <alignment horizontal="center"/>
    </xf>
    <xf numFmtId="0" fontId="0" fillId="3" borderId="0" xfId="0" applyFill="1"/>
    <xf numFmtId="44" fontId="13" fillId="0" borderId="0" xfId="2" applyFont="1" applyFill="1" applyBorder="1" applyAlignment="1">
      <alignment horizontal="center"/>
    </xf>
    <xf numFmtId="0" fontId="10" fillId="0" borderId="0" xfId="0" applyFont="1" applyAlignment="1">
      <alignment horizontal="center"/>
    </xf>
    <xf numFmtId="44" fontId="10" fillId="0" borderId="0" xfId="2" applyFont="1" applyFill="1" applyBorder="1" applyAlignment="1">
      <alignment horizontal="center" vertical="center"/>
    </xf>
    <xf numFmtId="43" fontId="25" fillId="3" borderId="0" xfId="1" applyFont="1" applyFill="1"/>
    <xf numFmtId="44" fontId="25" fillId="3" borderId="0" xfId="2" applyFont="1" applyFill="1" applyAlignment="1">
      <alignment horizontal="center"/>
    </xf>
    <xf numFmtId="174" fontId="25" fillId="3" borderId="0" xfId="2" applyNumberFormat="1" applyFont="1" applyFill="1"/>
    <xf numFmtId="165" fontId="25" fillId="3" borderId="0" xfId="1" applyNumberFormat="1" applyFont="1" applyFill="1" applyAlignment="1">
      <alignment horizontal="center"/>
    </xf>
    <xf numFmtId="44" fontId="25" fillId="3" borderId="0" xfId="2" applyFont="1" applyFill="1"/>
    <xf numFmtId="44" fontId="25" fillId="3" borderId="0" xfId="2" quotePrefix="1" applyFont="1" applyFill="1" applyAlignment="1">
      <alignment horizontal="center"/>
    </xf>
    <xf numFmtId="43" fontId="25" fillId="3" borderId="0" xfId="1" applyFont="1" applyFill="1" applyAlignment="1">
      <alignment horizontal="center"/>
    </xf>
    <xf numFmtId="43" fontId="25" fillId="3" borderId="0" xfId="1" quotePrefix="1" applyFont="1" applyFill="1" applyAlignment="1">
      <alignment horizontal="center"/>
    </xf>
    <xf numFmtId="165" fontId="25" fillId="0" borderId="2" xfId="1" applyNumberFormat="1" applyFont="1" applyFill="1" applyBorder="1"/>
    <xf numFmtId="44" fontId="25" fillId="0" borderId="2" xfId="2" applyFont="1" applyFill="1" applyBorder="1"/>
    <xf numFmtId="0" fontId="25" fillId="3" borderId="0" xfId="0" applyFont="1" applyFill="1" applyAlignment="1">
      <alignment horizontal="right"/>
    </xf>
    <xf numFmtId="165" fontId="24" fillId="0" borderId="0" xfId="1" applyNumberFormat="1" applyFont="1"/>
    <xf numFmtId="165" fontId="7" fillId="0" borderId="8" xfId="1" applyNumberFormat="1" applyFont="1" applyBorder="1"/>
    <xf numFmtId="165" fontId="24" fillId="0" borderId="8" xfId="1" applyNumberFormat="1" applyFont="1" applyBorder="1"/>
    <xf numFmtId="165" fontId="16" fillId="0" borderId="0" xfId="1" applyNumberFormat="1" applyFont="1" applyFill="1" applyAlignment="1">
      <alignment vertical="center"/>
    </xf>
    <xf numFmtId="165" fontId="13" fillId="0" borderId="1" xfId="1" applyNumberFormat="1" applyFont="1" applyFill="1" applyBorder="1" applyAlignment="1">
      <alignment vertical="center"/>
    </xf>
    <xf numFmtId="165" fontId="13" fillId="0" borderId="0" xfId="1" applyNumberFormat="1" applyFont="1" applyFill="1" applyBorder="1" applyAlignment="1">
      <alignment vertical="center"/>
    </xf>
    <xf numFmtId="165" fontId="7" fillId="3" borderId="0" xfId="1" applyNumberFormat="1" applyFont="1" applyFill="1"/>
    <xf numFmtId="165" fontId="12" fillId="0" borderId="0" xfId="1" applyNumberFormat="1" applyFont="1" applyFill="1" applyAlignment="1">
      <alignment horizontal="center" vertical="center"/>
    </xf>
    <xf numFmtId="172" fontId="7" fillId="0" borderId="0" xfId="1" quotePrefix="1" applyNumberFormat="1" applyFont="1" applyAlignment="1">
      <alignment horizontal="center"/>
    </xf>
    <xf numFmtId="44" fontId="7" fillId="0" borderId="0" xfId="2" applyFont="1" applyFill="1"/>
    <xf numFmtId="165" fontId="7" fillId="0" borderId="10" xfId="5" quotePrefix="1" applyNumberFormat="1" applyFont="1" applyFill="1" applyBorder="1" applyAlignment="1">
      <alignment horizontal="center"/>
    </xf>
    <xf numFmtId="165" fontId="7" fillId="0" borderId="7" xfId="5" quotePrefix="1" applyNumberFormat="1" applyFont="1" applyFill="1" applyBorder="1" applyAlignment="1">
      <alignment horizontal="left"/>
    </xf>
    <xf numFmtId="165" fontId="7" fillId="0" borderId="0" xfId="5" quotePrefix="1" applyNumberFormat="1" applyFont="1" applyFill="1" applyAlignment="1">
      <alignment horizontal="left"/>
    </xf>
    <xf numFmtId="165" fontId="7" fillId="0" borderId="8" xfId="5" quotePrefix="1" applyNumberFormat="1" applyFont="1" applyFill="1" applyBorder="1" applyAlignment="1">
      <alignment horizontal="left"/>
    </xf>
    <xf numFmtId="165" fontId="24" fillId="0" borderId="0" xfId="1" applyNumberFormat="1" applyFont="1" applyFill="1"/>
    <xf numFmtId="165" fontId="24" fillId="0" borderId="8" xfId="1" applyNumberFormat="1" applyFont="1" applyFill="1" applyBorder="1"/>
    <xf numFmtId="165" fontId="7" fillId="5" borderId="10" xfId="5" applyNumberFormat="1" applyFont="1" applyFill="1" applyBorder="1"/>
    <xf numFmtId="165" fontId="7" fillId="5" borderId="10" xfId="5" applyNumberFormat="1" applyFont="1" applyFill="1" applyBorder="1" applyAlignment="1">
      <alignment horizontal="left"/>
    </xf>
    <xf numFmtId="0" fontId="0" fillId="5" borderId="8" xfId="0" applyFill="1" applyBorder="1"/>
    <xf numFmtId="165" fontId="7" fillId="0" borderId="0" xfId="1" applyNumberFormat="1" applyFont="1" applyFill="1" applyAlignment="1">
      <alignment horizontal="left" vertical="center"/>
    </xf>
    <xf numFmtId="165" fontId="7" fillId="0" borderId="0" xfId="1" applyNumberFormat="1" applyFont="1" applyFill="1" applyAlignment="1">
      <alignment horizontal="center" vertical="center"/>
    </xf>
    <xf numFmtId="165" fontId="7" fillId="0" borderId="0" xfId="1" applyNumberFormat="1" applyFont="1" applyFill="1" applyBorder="1" applyAlignment="1">
      <alignment vertical="center"/>
    </xf>
    <xf numFmtId="43" fontId="7" fillId="0" borderId="0" xfId="1" applyFont="1" applyFill="1" applyBorder="1" applyAlignment="1">
      <alignment horizontal="right"/>
    </xf>
    <xf numFmtId="165" fontId="0" fillId="3" borderId="0" xfId="1" applyNumberFormat="1" applyFont="1" applyFill="1"/>
    <xf numFmtId="165" fontId="0" fillId="3" borderId="1" xfId="1" applyNumberFormat="1" applyFont="1" applyFill="1" applyBorder="1"/>
    <xf numFmtId="164" fontId="7" fillId="0" borderId="0" xfId="5" applyNumberFormat="1" applyFont="1" applyFill="1" applyBorder="1" applyAlignment="1">
      <alignment horizontal="right"/>
    </xf>
    <xf numFmtId="165" fontId="7" fillId="0" borderId="0" xfId="5" applyNumberFormat="1" applyFont="1" applyFill="1" applyBorder="1" applyAlignment="1">
      <alignment horizontal="right"/>
    </xf>
    <xf numFmtId="167" fontId="7" fillId="0" borderId="0" xfId="5" applyNumberFormat="1" applyFont="1" applyFill="1" applyBorder="1" applyAlignment="1">
      <alignment horizontal="center"/>
    </xf>
    <xf numFmtId="165" fontId="11" fillId="0" borderId="0" xfId="5" applyNumberFormat="1" applyFont="1" applyAlignment="1">
      <alignment vertical="center"/>
    </xf>
    <xf numFmtId="165" fontId="7" fillId="0" borderId="0" xfId="5" applyNumberFormat="1" applyFont="1" applyAlignment="1">
      <alignment vertical="center"/>
    </xf>
    <xf numFmtId="165" fontId="7" fillId="0" borderId="0" xfId="5" applyNumberFormat="1" applyFont="1" applyAlignment="1"/>
    <xf numFmtId="175" fontId="25" fillId="0" borderId="0" xfId="2" applyNumberFormat="1" applyFont="1" applyFill="1"/>
    <xf numFmtId="10" fontId="25" fillId="0" borderId="0" xfId="3" applyNumberFormat="1" applyFont="1" applyFill="1" applyAlignment="1">
      <alignment horizontal="center"/>
    </xf>
    <xf numFmtId="43" fontId="25" fillId="0" borderId="0" xfId="0" quotePrefix="1" applyNumberFormat="1" applyFont="1"/>
    <xf numFmtId="165" fontId="25" fillId="0" borderId="0" xfId="0" applyNumberFormat="1" applyFont="1"/>
    <xf numFmtId="171" fontId="25" fillId="0" borderId="0" xfId="0" applyNumberFormat="1" applyFont="1" applyAlignment="1">
      <alignment horizontal="right"/>
    </xf>
    <xf numFmtId="171" fontId="25" fillId="0" borderId="2" xfId="0" applyNumberFormat="1" applyFont="1" applyBorder="1"/>
    <xf numFmtId="44" fontId="25" fillId="0" borderId="1" xfId="2" applyFont="1" applyFill="1" applyBorder="1"/>
    <xf numFmtId="0" fontId="38" fillId="0" borderId="2" xfId="0" applyFont="1" applyBorder="1" applyAlignment="1">
      <alignment horizontal="center"/>
    </xf>
    <xf numFmtId="0" fontId="38" fillId="0" borderId="0" xfId="0" applyFont="1" applyAlignment="1">
      <alignment horizontal="center"/>
    </xf>
    <xf numFmtId="0" fontId="5" fillId="0" borderId="0" xfId="0" applyFont="1" applyAlignment="1">
      <alignment wrapText="1"/>
    </xf>
    <xf numFmtId="165" fontId="7" fillId="0" borderId="0" xfId="1" applyNumberFormat="1" applyFont="1" applyFill="1" applyBorder="1" applyAlignment="1">
      <alignment horizontal="center" vertical="center"/>
    </xf>
    <xf numFmtId="165" fontId="20" fillId="0" borderId="0" xfId="1" applyNumberFormat="1" applyFont="1" applyFill="1" applyAlignment="1">
      <alignment vertical="center"/>
    </xf>
    <xf numFmtId="0" fontId="5" fillId="0" borderId="0" xfId="0" applyFont="1" applyAlignment="1">
      <alignment vertical="top"/>
    </xf>
    <xf numFmtId="164" fontId="7" fillId="0" borderId="0" xfId="6" applyNumberFormat="1" applyFont="1" applyFill="1" applyBorder="1" applyAlignment="1"/>
    <xf numFmtId="165" fontId="7" fillId="0" borderId="0" xfId="5" applyNumberFormat="1" applyFont="1" applyFill="1" applyBorder="1" applyAlignment="1"/>
    <xf numFmtId="165" fontId="7" fillId="0" borderId="0" xfId="1" applyNumberFormat="1" applyFont="1" applyFill="1" applyAlignment="1">
      <alignment horizontal="left" vertical="top" wrapText="1"/>
    </xf>
    <xf numFmtId="43" fontId="7" fillId="0" borderId="1" xfId="1" applyFont="1" applyFill="1" applyBorder="1"/>
    <xf numFmtId="165" fontId="8" fillId="0" borderId="0" xfId="1" applyNumberFormat="1" applyFont="1" applyAlignment="1">
      <alignment horizontal="center" vertical="center"/>
    </xf>
    <xf numFmtId="165" fontId="8" fillId="0" borderId="0" xfId="1" applyNumberFormat="1" applyFont="1" applyFill="1" applyAlignment="1">
      <alignment horizontal="center" vertical="center"/>
    </xf>
    <xf numFmtId="165" fontId="8" fillId="0" borderId="0" xfId="5" applyNumberFormat="1" applyFont="1" applyAlignment="1">
      <alignment horizontal="center" vertical="center"/>
    </xf>
    <xf numFmtId="165" fontId="14" fillId="0" borderId="7" xfId="5" applyNumberFormat="1" applyFont="1" applyFill="1" applyBorder="1" applyAlignment="1">
      <alignment horizontal="center" vertical="center"/>
    </xf>
    <xf numFmtId="0" fontId="0" fillId="0" borderId="8" xfId="0" applyBorder="1" applyAlignment="1">
      <alignment horizontal="center" vertical="center"/>
    </xf>
    <xf numFmtId="165" fontId="14" fillId="0" borderId="7" xfId="5" applyNumberFormat="1" applyFont="1" applyBorder="1" applyAlignment="1">
      <alignment horizontal="center" vertical="center"/>
    </xf>
    <xf numFmtId="165" fontId="14" fillId="0" borderId="8" xfId="5" applyNumberFormat="1" applyFont="1" applyBorder="1" applyAlignment="1">
      <alignment horizontal="center" vertical="center"/>
    </xf>
    <xf numFmtId="3" fontId="8" fillId="0" borderId="0" xfId="0" applyNumberFormat="1" applyFont="1" applyAlignment="1">
      <alignment horizontal="center"/>
    </xf>
    <xf numFmtId="3" fontId="9" fillId="0" borderId="0" xfId="0" applyNumberFormat="1" applyFont="1" applyAlignment="1">
      <alignment horizontal="center"/>
    </xf>
    <xf numFmtId="3" fontId="8" fillId="0" borderId="0" xfId="0" applyNumberFormat="1" applyFont="1" applyAlignment="1">
      <alignment horizontal="center" vertical="center"/>
    </xf>
    <xf numFmtId="167" fontId="12" fillId="0" borderId="0" xfId="5" applyNumberFormat="1" applyFont="1" applyBorder="1" applyAlignment="1">
      <alignment horizontal="center"/>
    </xf>
    <xf numFmtId="0" fontId="25" fillId="0" borderId="0" xfId="0" quotePrefix="1" applyFont="1" applyAlignment="1">
      <alignment horizontal="center"/>
    </xf>
    <xf numFmtId="0" fontId="0" fillId="0" borderId="0" xfId="0" applyAlignment="1">
      <alignment horizontal="center"/>
    </xf>
    <xf numFmtId="0" fontId="25" fillId="3" borderId="0" xfId="0" quotePrefix="1" applyFont="1" applyFill="1" applyAlignment="1">
      <alignment horizontal="left"/>
    </xf>
    <xf numFmtId="0" fontId="0" fillId="3" borderId="0" xfId="0" applyFill="1" applyAlignment="1">
      <alignment horizontal="left"/>
    </xf>
    <xf numFmtId="0" fontId="0" fillId="3" borderId="0" xfId="0" applyFill="1"/>
    <xf numFmtId="0" fontId="11" fillId="0" borderId="0" xfId="0" applyFont="1" applyAlignment="1">
      <alignment horizontal="center"/>
    </xf>
    <xf numFmtId="37" fontId="7" fillId="0" borderId="0" xfId="0" applyNumberFormat="1" applyFont="1" applyAlignment="1">
      <alignment horizontal="center"/>
    </xf>
    <xf numFmtId="0" fontId="11" fillId="0" borderId="2" xfId="0" applyFont="1" applyBorder="1" applyAlignment="1">
      <alignment horizontal="center"/>
    </xf>
    <xf numFmtId="0" fontId="23" fillId="0" borderId="0" xfId="0" applyFont="1" applyAlignment="1">
      <alignment horizontal="center"/>
    </xf>
    <xf numFmtId="165" fontId="15" fillId="0" borderId="0" xfId="5" applyNumberFormat="1" applyFont="1" applyBorder="1" applyAlignment="1">
      <alignment horizontal="center" vertical="center"/>
    </xf>
  </cellXfs>
  <cellStyles count="11">
    <cellStyle name="Comma" xfId="1" builtinId="3"/>
    <cellStyle name="Comma 2" xfId="5" xr:uid="{00000000-0005-0000-0000-000001000000}"/>
    <cellStyle name="Comma 3" xfId="9" xr:uid="{00000000-0005-0000-0000-000002000000}"/>
    <cellStyle name="Currency" xfId="2" builtinId="4"/>
    <cellStyle name="Currency 2" xfId="6" xr:uid="{00000000-0005-0000-0000-000004000000}"/>
    <cellStyle name="Currency 3" xfId="10" xr:uid="{00000000-0005-0000-0000-000005000000}"/>
    <cellStyle name="Normal" xfId="0" builtinId="0"/>
    <cellStyle name="Normal 2" xfId="4" xr:uid="{00000000-0005-0000-0000-000007000000}"/>
    <cellStyle name="Normal 3" xfId="8" xr:uid="{00000000-0005-0000-0000-000008000000}"/>
    <cellStyle name="Percent" xfId="3" builtinId="5"/>
    <cellStyle name="Percent 2" xfId="7" xr:uid="{00000000-0005-0000-0000-00000A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O107"/>
  <sheetViews>
    <sheetView showGridLines="0" workbookViewId="0">
      <selection activeCell="G61" sqref="G61"/>
    </sheetView>
  </sheetViews>
  <sheetFormatPr defaultColWidth="8.77734375" defaultRowHeight="15" x14ac:dyDescent="0.25"/>
  <cols>
    <col min="1" max="1" width="3.6640625" style="5" customWidth="1"/>
    <col min="2" max="2" width="2.6640625" style="5" customWidth="1"/>
    <col min="3" max="3" width="34.33203125" style="5" customWidth="1"/>
    <col min="4" max="4" width="11.33203125" style="5" customWidth="1"/>
    <col min="5" max="5" width="11.5546875" style="5" customWidth="1"/>
    <col min="6" max="6" width="5.33203125" style="5" customWidth="1"/>
    <col min="7" max="7" width="11.5546875" style="5" customWidth="1"/>
    <col min="8" max="8" width="3.5546875" style="5" customWidth="1"/>
    <col min="9" max="9" width="76.21875" style="5" customWidth="1"/>
    <col min="10" max="10" width="2.6640625" style="5" customWidth="1"/>
    <col min="11" max="11" width="2.5546875" style="5" customWidth="1"/>
    <col min="12" max="12" width="3.109375" style="5" customWidth="1"/>
    <col min="13" max="16384" width="8.77734375" style="5"/>
  </cols>
  <sheetData>
    <row r="1" spans="1:13" ht="18.75" x14ac:dyDescent="0.25">
      <c r="A1" s="372"/>
      <c r="B1" s="372"/>
      <c r="C1" s="372"/>
      <c r="D1" s="372"/>
      <c r="E1" s="372"/>
      <c r="F1" s="372"/>
      <c r="G1" s="372"/>
    </row>
    <row r="2" spans="1:13" ht="18.75" x14ac:dyDescent="0.25">
      <c r="A2" s="372" t="s">
        <v>21</v>
      </c>
      <c r="B2" s="372"/>
      <c r="C2" s="372"/>
      <c r="D2" s="372"/>
      <c r="E2" s="372"/>
      <c r="F2" s="372"/>
      <c r="G2" s="372"/>
      <c r="H2" s="23"/>
      <c r="I2" s="23"/>
      <c r="J2" s="23"/>
      <c r="K2" s="23"/>
    </row>
    <row r="3" spans="1:13" ht="18.75" x14ac:dyDescent="0.25">
      <c r="A3" s="165" t="s">
        <v>138</v>
      </c>
      <c r="B3" s="22"/>
      <c r="C3" s="22"/>
      <c r="D3" s="164"/>
      <c r="E3" s="22"/>
      <c r="F3" s="22"/>
      <c r="G3" s="22"/>
      <c r="H3" s="23"/>
      <c r="I3" s="23"/>
      <c r="J3" s="23"/>
      <c r="K3" s="23"/>
      <c r="L3" s="23"/>
    </row>
    <row r="4" spans="1:13" x14ac:dyDescent="0.25">
      <c r="A4" s="20"/>
      <c r="B4" s="22"/>
      <c r="C4" s="22"/>
      <c r="D4" s="262">
        <v>2024</v>
      </c>
      <c r="E4" s="22"/>
      <c r="F4" s="22"/>
      <c r="G4" s="22"/>
      <c r="H4" s="23"/>
      <c r="I4" s="23"/>
      <c r="J4" s="23"/>
      <c r="K4" s="23"/>
    </row>
    <row r="5" spans="1:13" ht="17.25" x14ac:dyDescent="0.4">
      <c r="A5" s="23"/>
      <c r="B5" s="23"/>
      <c r="C5" s="23"/>
      <c r="D5" s="331" t="s">
        <v>22</v>
      </c>
      <c r="E5" s="24" t="s">
        <v>23</v>
      </c>
      <c r="F5" s="24" t="s">
        <v>24</v>
      </c>
      <c r="G5" s="24" t="s">
        <v>25</v>
      </c>
      <c r="H5" s="23"/>
      <c r="I5" s="37" t="s">
        <v>29</v>
      </c>
      <c r="J5" s="23"/>
      <c r="K5" s="23"/>
      <c r="M5" s="15" t="s">
        <v>218</v>
      </c>
    </row>
    <row r="6" spans="1:13" x14ac:dyDescent="0.25">
      <c r="A6" s="25" t="s">
        <v>13</v>
      </c>
      <c r="B6" s="23"/>
      <c r="C6" s="23"/>
      <c r="D6" s="23"/>
      <c r="F6" s="23"/>
      <c r="G6" s="23"/>
      <c r="H6" s="23"/>
      <c r="J6" s="23"/>
      <c r="K6" s="23"/>
    </row>
    <row r="7" spans="1:13" x14ac:dyDescent="0.25">
      <c r="A7" s="23"/>
      <c r="B7" s="23" t="s">
        <v>285</v>
      </c>
      <c r="C7" s="23"/>
      <c r="D7" s="120">
        <v>1299706</v>
      </c>
      <c r="E7" s="120">
        <f>-ExBA!H80</f>
        <v>-23640</v>
      </c>
      <c r="F7" s="344" t="s">
        <v>247</v>
      </c>
      <c r="G7" s="120"/>
      <c r="H7" s="327"/>
      <c r="I7" s="120" t="s">
        <v>226</v>
      </c>
      <c r="J7" s="23"/>
      <c r="K7" s="23"/>
      <c r="M7" s="5" t="s">
        <v>227</v>
      </c>
    </row>
    <row r="8" spans="1:13" ht="15.95" customHeight="1" x14ac:dyDescent="0.25">
      <c r="A8" s="23"/>
      <c r="B8" s="23" t="s">
        <v>286</v>
      </c>
      <c r="C8" s="23"/>
      <c r="D8" s="120">
        <v>1518351</v>
      </c>
      <c r="E8" s="120"/>
      <c r="F8" s="344"/>
      <c r="G8" s="23"/>
      <c r="H8" s="27"/>
      <c r="I8" s="120"/>
      <c r="J8" s="23"/>
      <c r="K8" s="23"/>
    </row>
    <row r="9" spans="1:13" x14ac:dyDescent="0.25">
      <c r="A9" s="23"/>
      <c r="C9" s="23"/>
      <c r="D9" s="120"/>
      <c r="E9" s="120">
        <f>ExBA!G16</f>
        <v>21196.939999999944</v>
      </c>
      <c r="F9" s="344" t="s">
        <v>248</v>
      </c>
      <c r="G9" s="23">
        <f>D7+E7+D8+E9</f>
        <v>2815613.94</v>
      </c>
      <c r="H9" s="28"/>
      <c r="I9" s="120" t="s">
        <v>326</v>
      </c>
      <c r="J9" s="23"/>
      <c r="K9" s="23"/>
    </row>
    <row r="10" spans="1:13" ht="18.95" customHeight="1" x14ac:dyDescent="0.25">
      <c r="A10" s="23"/>
      <c r="B10" s="23"/>
      <c r="C10" s="23"/>
      <c r="D10" s="120"/>
      <c r="E10" s="120"/>
      <c r="F10" s="344"/>
      <c r="G10" s="23"/>
      <c r="H10" s="27"/>
      <c r="I10" s="120"/>
      <c r="J10" s="23"/>
    </row>
    <row r="11" spans="1:13" x14ac:dyDescent="0.25">
      <c r="A11" s="23"/>
      <c r="B11" s="23" t="s">
        <v>14</v>
      </c>
      <c r="C11" s="23"/>
      <c r="D11" s="120"/>
      <c r="E11" s="120"/>
      <c r="F11" s="344"/>
      <c r="G11" s="23"/>
      <c r="H11" s="29"/>
      <c r="I11" s="120"/>
      <c r="J11" s="23"/>
      <c r="K11" s="23"/>
    </row>
    <row r="12" spans="1:13" x14ac:dyDescent="0.25">
      <c r="A12" s="23"/>
      <c r="B12" s="23"/>
      <c r="C12" s="23" t="s">
        <v>30</v>
      </c>
      <c r="D12" s="120">
        <v>24279</v>
      </c>
      <c r="E12" s="120"/>
      <c r="F12" s="344"/>
      <c r="G12" s="23">
        <f>D12+E12</f>
        <v>24279</v>
      </c>
      <c r="H12" s="27"/>
      <c r="I12" s="120"/>
      <c r="J12" s="23"/>
      <c r="K12" s="23"/>
    </row>
    <row r="13" spans="1:13" x14ac:dyDescent="0.25">
      <c r="A13" s="23"/>
      <c r="C13" s="23" t="s">
        <v>224</v>
      </c>
      <c r="D13" s="120"/>
      <c r="E13" s="120">
        <f>-E7</f>
        <v>23640</v>
      </c>
      <c r="F13" s="344" t="s">
        <v>247</v>
      </c>
      <c r="G13" s="23">
        <f>E13</f>
        <v>23640</v>
      </c>
      <c r="H13" s="27"/>
      <c r="I13" s="343" t="s">
        <v>225</v>
      </c>
      <c r="J13" s="23"/>
      <c r="K13" s="23"/>
    </row>
    <row r="14" spans="1:13" x14ac:dyDescent="0.25">
      <c r="A14" s="23"/>
      <c r="C14" s="23"/>
      <c r="D14" s="120"/>
      <c r="E14" s="120"/>
      <c r="F14" s="344"/>
      <c r="G14" s="23"/>
      <c r="H14" s="27"/>
      <c r="I14" s="370"/>
      <c r="J14" s="23"/>
      <c r="K14" s="23"/>
      <c r="M14" s="5" t="s">
        <v>254</v>
      </c>
    </row>
    <row r="15" spans="1:13" ht="17.25" x14ac:dyDescent="0.25">
      <c r="A15" s="23"/>
      <c r="C15" s="23" t="s">
        <v>46</v>
      </c>
      <c r="D15" s="328">
        <v>46515</v>
      </c>
      <c r="E15" s="120"/>
      <c r="F15" s="344"/>
      <c r="G15" s="44">
        <f>D15+E15</f>
        <v>46515</v>
      </c>
      <c r="H15" s="28"/>
      <c r="I15" s="343"/>
      <c r="J15" s="23"/>
      <c r="K15" s="23"/>
    </row>
    <row r="16" spans="1:13" x14ac:dyDescent="0.25">
      <c r="A16" s="30" t="s">
        <v>15</v>
      </c>
      <c r="B16" s="23"/>
      <c r="C16" s="23"/>
      <c r="D16" s="120">
        <f>SUM(D7:D15)</f>
        <v>2888851</v>
      </c>
      <c r="E16" s="120"/>
      <c r="F16" s="344"/>
      <c r="G16" s="23">
        <f>SUM(G7:G15)</f>
        <v>2910047.94</v>
      </c>
      <c r="H16" s="29"/>
      <c r="I16" s="243"/>
      <c r="J16" s="23"/>
      <c r="K16" s="23"/>
    </row>
    <row r="17" spans="1:13" x14ac:dyDescent="0.25">
      <c r="A17" s="23"/>
      <c r="B17" s="23"/>
      <c r="C17" s="23"/>
      <c r="D17" s="120"/>
      <c r="E17" s="120"/>
      <c r="F17" s="344"/>
      <c r="G17" s="23"/>
      <c r="H17" s="29"/>
      <c r="I17" s="120"/>
      <c r="J17" s="23"/>
      <c r="K17" s="23"/>
    </row>
    <row r="18" spans="1:13" x14ac:dyDescent="0.25">
      <c r="A18" s="25" t="s">
        <v>16</v>
      </c>
      <c r="B18" s="23"/>
      <c r="C18" s="23"/>
      <c r="D18" s="120"/>
      <c r="E18" s="120"/>
      <c r="F18" s="344"/>
      <c r="G18" s="23"/>
      <c r="H18" s="29"/>
      <c r="I18" s="120"/>
      <c r="J18" s="23"/>
      <c r="K18" s="23"/>
    </row>
    <row r="19" spans="1:13" x14ac:dyDescent="0.25">
      <c r="A19" s="23"/>
      <c r="B19" s="23" t="s">
        <v>26</v>
      </c>
      <c r="C19" s="23"/>
      <c r="D19" s="120"/>
      <c r="E19" s="120"/>
      <c r="F19" s="344"/>
      <c r="G19" s="23"/>
      <c r="H19" s="29"/>
      <c r="I19" s="120"/>
      <c r="J19" s="23"/>
      <c r="K19" s="23"/>
    </row>
    <row r="20" spans="1:13" x14ac:dyDescent="0.25">
      <c r="A20" s="23"/>
      <c r="B20" s="23"/>
      <c r="C20" s="23" t="s">
        <v>2</v>
      </c>
      <c r="D20" s="120">
        <v>128043</v>
      </c>
      <c r="E20" s="120">
        <f>Wages!H24</f>
        <v>3842.1199999999953</v>
      </c>
      <c r="F20" s="231" t="s">
        <v>112</v>
      </c>
      <c r="G20" s="23">
        <f>D20+E20</f>
        <v>131885.12</v>
      </c>
      <c r="H20" s="27"/>
      <c r="I20" s="120" t="s">
        <v>230</v>
      </c>
      <c r="J20" s="23"/>
      <c r="K20" s="23"/>
      <c r="M20" s="5" t="s">
        <v>179</v>
      </c>
    </row>
    <row r="21" spans="1:13" hidden="1" x14ac:dyDescent="0.25">
      <c r="A21" s="23"/>
      <c r="B21" s="23"/>
      <c r="C21" s="23"/>
      <c r="D21" s="120"/>
      <c r="E21" s="306"/>
      <c r="F21" s="308"/>
      <c r="G21" s="23"/>
      <c r="H21" s="27"/>
      <c r="I21" s="306"/>
      <c r="J21" s="23"/>
      <c r="K21" s="23"/>
    </row>
    <row r="22" spans="1:13" x14ac:dyDescent="0.25">
      <c r="A22" s="23"/>
      <c r="B22" s="23"/>
      <c r="C22" s="23" t="s">
        <v>3</v>
      </c>
      <c r="D22" s="120">
        <v>18000</v>
      </c>
      <c r="F22" s="120"/>
      <c r="G22" s="23">
        <f>D22</f>
        <v>18000</v>
      </c>
      <c r="H22" s="27"/>
      <c r="I22" s="243"/>
    </row>
    <row r="23" spans="1:13" hidden="1" x14ac:dyDescent="0.25">
      <c r="A23" s="23"/>
      <c r="B23" s="23"/>
      <c r="C23" s="23"/>
      <c r="D23" s="120"/>
      <c r="E23" s="306"/>
      <c r="F23" s="307"/>
      <c r="G23" s="23">
        <f>D22+F22+E23</f>
        <v>18000</v>
      </c>
      <c r="H23" s="27"/>
      <c r="I23" s="330"/>
    </row>
    <row r="24" spans="1:13" x14ac:dyDescent="0.25">
      <c r="A24" s="23"/>
      <c r="B24" s="23"/>
      <c r="C24" s="23" t="s">
        <v>4</v>
      </c>
      <c r="D24" s="120">
        <v>31794</v>
      </c>
      <c r="E24" s="120">
        <f>Medical!J21</f>
        <v>743.06240000000253</v>
      </c>
      <c r="F24" s="231" t="s">
        <v>88</v>
      </c>
      <c r="G24" s="120">
        <f>D24+E24</f>
        <v>32537.062400000003</v>
      </c>
      <c r="H24" s="327"/>
      <c r="I24" s="120" t="s">
        <v>294</v>
      </c>
      <c r="J24" s="23"/>
      <c r="K24" s="23"/>
      <c r="M24" s="5" t="s">
        <v>194</v>
      </c>
    </row>
    <row r="25" spans="1:13" x14ac:dyDescent="0.25">
      <c r="A25" s="23"/>
      <c r="B25" s="23"/>
      <c r="C25" s="23" t="s">
        <v>133</v>
      </c>
      <c r="D25" s="120"/>
      <c r="E25" s="120"/>
      <c r="F25" s="231"/>
      <c r="G25" s="120"/>
      <c r="H25" s="327"/>
      <c r="I25" s="120"/>
      <c r="J25" s="23"/>
      <c r="K25" s="23"/>
    </row>
    <row r="26" spans="1:13" x14ac:dyDescent="0.25">
      <c r="A26" s="23"/>
      <c r="B26" s="23"/>
      <c r="C26" s="23" t="s">
        <v>132</v>
      </c>
      <c r="D26" s="120"/>
      <c r="E26" s="120"/>
      <c r="F26" s="231"/>
      <c r="G26" s="120"/>
      <c r="H26" s="327"/>
      <c r="I26" s="243"/>
      <c r="J26" s="23"/>
      <c r="K26" s="23"/>
    </row>
    <row r="27" spans="1:13" x14ac:dyDescent="0.25">
      <c r="A27" s="23"/>
      <c r="B27" s="23"/>
      <c r="C27" s="23" t="s">
        <v>5</v>
      </c>
      <c r="D27" s="120">
        <v>1311515</v>
      </c>
      <c r="E27" s="120">
        <f>'Purch. Water'!E7</f>
        <v>76121.613498992054</v>
      </c>
      <c r="F27" s="231" t="s">
        <v>257</v>
      </c>
      <c r="G27" s="23">
        <f>D27+E27</f>
        <v>1387636.6134989921</v>
      </c>
      <c r="H27" s="32"/>
      <c r="I27" s="243" t="s">
        <v>312</v>
      </c>
      <c r="M27" s="5" t="s">
        <v>217</v>
      </c>
    </row>
    <row r="28" spans="1:13" x14ac:dyDescent="0.25">
      <c r="A28" s="23"/>
      <c r="B28" s="23"/>
      <c r="C28" s="23" t="s">
        <v>6</v>
      </c>
      <c r="D28" s="120"/>
      <c r="E28" s="120"/>
      <c r="F28" s="231"/>
      <c r="G28" s="23">
        <f>D28+E28</f>
        <v>0</v>
      </c>
      <c r="H28" s="32"/>
    </row>
    <row r="29" spans="1:13" x14ac:dyDescent="0.25">
      <c r="A29" s="23"/>
      <c r="B29" s="23"/>
      <c r="C29" s="23" t="s">
        <v>7</v>
      </c>
      <c r="D29" s="120"/>
      <c r="E29" s="120"/>
      <c r="F29" s="231"/>
      <c r="G29" s="23"/>
      <c r="H29" s="33"/>
      <c r="I29" s="23"/>
      <c r="J29" s="23"/>
      <c r="K29" s="23"/>
    </row>
    <row r="30" spans="1:13" x14ac:dyDescent="0.25">
      <c r="A30" s="23"/>
      <c r="B30" s="23"/>
      <c r="C30" s="5" t="s">
        <v>145</v>
      </c>
      <c r="D30" s="120">
        <v>16968</v>
      </c>
      <c r="E30" s="120"/>
      <c r="F30" s="231"/>
      <c r="G30" s="23">
        <f t="shared" ref="G30:G37" si="0">D30+E30</f>
        <v>16968</v>
      </c>
      <c r="H30" s="33"/>
      <c r="J30" s="23"/>
      <c r="K30" s="23"/>
    </row>
    <row r="31" spans="1:13" x14ac:dyDescent="0.25">
      <c r="A31" s="23"/>
      <c r="B31" s="23"/>
      <c r="C31" s="5" t="s">
        <v>146</v>
      </c>
      <c r="D31" s="120">
        <v>34645</v>
      </c>
      <c r="E31" s="120"/>
      <c r="F31" s="231"/>
      <c r="G31" s="23">
        <f t="shared" si="0"/>
        <v>34645</v>
      </c>
      <c r="H31" s="33"/>
      <c r="J31" s="23"/>
      <c r="K31" s="23"/>
    </row>
    <row r="32" spans="1:13" x14ac:dyDescent="0.25">
      <c r="A32" s="23"/>
      <c r="B32" s="23"/>
      <c r="C32" s="23" t="s">
        <v>8</v>
      </c>
      <c r="D32" s="120">
        <v>187552</v>
      </c>
      <c r="E32" s="120"/>
      <c r="F32" s="231"/>
      <c r="G32" s="23">
        <f t="shared" si="0"/>
        <v>187552</v>
      </c>
      <c r="H32" s="33"/>
      <c r="I32" s="243"/>
      <c r="J32" s="23"/>
      <c r="K32" s="23"/>
      <c r="M32" s="5" t="s">
        <v>253</v>
      </c>
    </row>
    <row r="33" spans="1:15" x14ac:dyDescent="0.25">
      <c r="A33" s="23"/>
      <c r="B33" s="23"/>
      <c r="C33" s="23" t="s">
        <v>289</v>
      </c>
      <c r="D33" s="120"/>
      <c r="E33" s="120">
        <v>1625</v>
      </c>
      <c r="F33" s="231" t="s">
        <v>129</v>
      </c>
      <c r="G33" s="23">
        <f t="shared" si="0"/>
        <v>1625</v>
      </c>
      <c r="H33" s="33"/>
      <c r="I33" s="5" t="s">
        <v>318</v>
      </c>
      <c r="J33" s="23"/>
      <c r="N33" s="23">
        <f>96054+45421+32839</f>
        <v>174314</v>
      </c>
    </row>
    <row r="34" spans="1:15" x14ac:dyDescent="0.25">
      <c r="A34" s="23"/>
      <c r="B34" s="23"/>
      <c r="C34" s="23" t="s">
        <v>136</v>
      </c>
      <c r="D34" s="120">
        <v>277731</v>
      </c>
      <c r="E34" s="120"/>
      <c r="F34" s="231"/>
      <c r="G34" s="23">
        <f t="shared" si="0"/>
        <v>277731</v>
      </c>
      <c r="H34" s="27"/>
      <c r="J34" s="23"/>
      <c r="N34" s="23">
        <v>-12735</v>
      </c>
    </row>
    <row r="35" spans="1:15" ht="17.25" x14ac:dyDescent="0.25">
      <c r="A35" s="23"/>
      <c r="B35" s="23"/>
      <c r="C35" s="23" t="s">
        <v>137</v>
      </c>
      <c r="D35" s="120">
        <v>30525</v>
      </c>
      <c r="E35" s="120"/>
      <c r="F35" s="231"/>
      <c r="G35" s="23">
        <f t="shared" si="0"/>
        <v>30525</v>
      </c>
      <c r="H35" s="27"/>
      <c r="I35" s="23"/>
      <c r="J35" s="23"/>
      <c r="N35" s="46">
        <v>-35880</v>
      </c>
      <c r="O35" s="5">
        <f>35880+9452</f>
        <v>45332</v>
      </c>
    </row>
    <row r="36" spans="1:15" x14ac:dyDescent="0.25">
      <c r="A36" s="23"/>
      <c r="B36" s="23"/>
      <c r="C36" s="23" t="s">
        <v>144</v>
      </c>
      <c r="D36" s="120">
        <v>5326</v>
      </c>
      <c r="E36" s="120"/>
      <c r="F36" s="344"/>
      <c r="G36" s="23">
        <f t="shared" si="0"/>
        <v>5326</v>
      </c>
      <c r="H36" s="29"/>
      <c r="I36" s="23"/>
      <c r="J36" s="23"/>
      <c r="N36" s="23">
        <f>SUM(N33:N35)</f>
        <v>125699</v>
      </c>
    </row>
    <row r="37" spans="1:15" ht="17.25" x14ac:dyDescent="0.25">
      <c r="A37" s="23"/>
      <c r="B37" s="23"/>
      <c r="C37" s="5" t="s">
        <v>9</v>
      </c>
      <c r="D37" s="329">
        <v>150878</v>
      </c>
      <c r="E37" s="345"/>
      <c r="F37" s="231"/>
      <c r="G37" s="46">
        <f t="shared" si="0"/>
        <v>150878</v>
      </c>
      <c r="H37" s="29"/>
      <c r="I37" s="23"/>
      <c r="J37" s="23"/>
      <c r="K37" s="23"/>
    </row>
    <row r="38" spans="1:15" x14ac:dyDescent="0.25">
      <c r="A38" s="23"/>
      <c r="B38" s="23" t="s">
        <v>264</v>
      </c>
      <c r="C38" s="23"/>
      <c r="D38" s="120">
        <f>SUM(D20:D37)</f>
        <v>2192977</v>
      </c>
      <c r="E38" s="120"/>
      <c r="F38" s="344"/>
      <c r="G38" s="23">
        <f>SUM(G20:G37)</f>
        <v>2293308.7958989921</v>
      </c>
      <c r="H38" s="29"/>
      <c r="I38" s="23"/>
      <c r="J38" s="23"/>
      <c r="K38" s="23"/>
    </row>
    <row r="39" spans="1:15" ht="12" customHeight="1" x14ac:dyDescent="0.25">
      <c r="A39" s="23"/>
      <c r="B39" s="23"/>
      <c r="C39" s="23"/>
      <c r="D39" s="120"/>
      <c r="E39" s="120"/>
      <c r="F39" s="344"/>
      <c r="G39" s="23"/>
      <c r="H39" s="29"/>
      <c r="I39" s="23"/>
      <c r="J39" s="23"/>
      <c r="K39" s="23"/>
    </row>
    <row r="40" spans="1:15" x14ac:dyDescent="0.25">
      <c r="A40" s="23"/>
      <c r="B40" s="23" t="s">
        <v>17</v>
      </c>
      <c r="C40" s="23"/>
      <c r="D40" s="120">
        <v>516223</v>
      </c>
      <c r="E40" s="120">
        <f>Depreciation!K27</f>
        <v>-112461.87333333334</v>
      </c>
      <c r="F40" s="344" t="s">
        <v>113</v>
      </c>
      <c r="G40" s="23">
        <f>D40+E40</f>
        <v>403761.12666666665</v>
      </c>
      <c r="H40" s="29"/>
      <c r="I40" s="120" t="s">
        <v>114</v>
      </c>
      <c r="J40" s="23"/>
      <c r="M40" s="5" t="s">
        <v>260</v>
      </c>
    </row>
    <row r="41" spans="1:15" x14ac:dyDescent="0.25">
      <c r="A41" s="23"/>
      <c r="B41" s="23" t="s">
        <v>1</v>
      </c>
      <c r="C41" s="23"/>
      <c r="D41" s="120">
        <v>15599</v>
      </c>
      <c r="E41" s="120">
        <f>Wages!H30</f>
        <v>293.92167999999765</v>
      </c>
      <c r="F41" s="344" t="s">
        <v>259</v>
      </c>
      <c r="G41" s="120">
        <f>D41+E41</f>
        <v>15892.921679999998</v>
      </c>
      <c r="H41" s="366"/>
      <c r="I41" s="120" t="s">
        <v>195</v>
      </c>
      <c r="J41" s="23"/>
      <c r="M41" s="5" t="s">
        <v>196</v>
      </c>
    </row>
    <row r="42" spans="1:15" ht="17.25" x14ac:dyDescent="0.25">
      <c r="A42" s="23"/>
      <c r="B42" s="5" t="s">
        <v>163</v>
      </c>
      <c r="C42" s="23"/>
      <c r="D42" s="329"/>
      <c r="E42" s="345">
        <f>8250/3</f>
        <v>2750</v>
      </c>
      <c r="F42" s="365" t="s">
        <v>258</v>
      </c>
      <c r="G42" s="329">
        <f>D42+E42</f>
        <v>2750</v>
      </c>
      <c r="H42" s="366"/>
      <c r="I42" s="243" t="s">
        <v>164</v>
      </c>
      <c r="J42" s="23"/>
    </row>
    <row r="43" spans="1:15" ht="17.25" x14ac:dyDescent="0.25">
      <c r="A43" s="30" t="s">
        <v>0</v>
      </c>
      <c r="B43" s="23"/>
      <c r="C43" s="23"/>
      <c r="D43" s="44">
        <f>SUM(D38:D42)</f>
        <v>2724799</v>
      </c>
      <c r="E43" s="43"/>
      <c r="F43" s="45"/>
      <c r="G43" s="44">
        <f>SUM(G38:G42)</f>
        <v>2715712.8442456587</v>
      </c>
      <c r="H43" s="29"/>
      <c r="I43" s="23"/>
      <c r="J43" s="23"/>
      <c r="K43" s="23"/>
    </row>
    <row r="44" spans="1:15" ht="3.95" customHeight="1" x14ac:dyDescent="0.25">
      <c r="A44" s="30"/>
      <c r="B44" s="23"/>
      <c r="C44" s="23"/>
      <c r="D44" s="46"/>
      <c r="E44" s="23"/>
      <c r="F44" s="26"/>
      <c r="G44" s="23"/>
      <c r="H44" s="23"/>
      <c r="I44" s="23"/>
      <c r="J44" s="23"/>
      <c r="K44" s="23"/>
    </row>
    <row r="45" spans="1:15" x14ac:dyDescent="0.25">
      <c r="A45" s="30" t="s">
        <v>27</v>
      </c>
      <c r="B45" s="23"/>
      <c r="C45" s="23"/>
      <c r="D45" s="120">
        <f>D16-D43</f>
        <v>164052</v>
      </c>
      <c r="E45" s="23"/>
      <c r="F45" s="26"/>
      <c r="G45" s="23">
        <f>G16-G43</f>
        <v>194335.09575434122</v>
      </c>
      <c r="H45" s="23"/>
      <c r="I45" s="23"/>
      <c r="K45" s="23"/>
    </row>
    <row r="46" spans="1:15" x14ac:dyDescent="0.25">
      <c r="A46" s="23"/>
      <c r="B46" s="23"/>
      <c r="C46" s="23"/>
      <c r="D46" s="23"/>
      <c r="E46" s="23"/>
      <c r="F46" s="26"/>
      <c r="G46" s="23"/>
      <c r="H46" s="23"/>
      <c r="I46" s="23"/>
      <c r="J46" s="23"/>
      <c r="K46" s="23"/>
    </row>
    <row r="47" spans="1:15" ht="18.75" x14ac:dyDescent="0.25">
      <c r="A47" s="374" t="s">
        <v>18</v>
      </c>
      <c r="B47" s="374"/>
      <c r="C47" s="374"/>
      <c r="D47" s="374"/>
      <c r="E47" s="374"/>
      <c r="F47" s="374"/>
      <c r="G47" s="374"/>
      <c r="H47" s="23"/>
      <c r="I47" s="23"/>
      <c r="J47" s="23"/>
      <c r="K47" s="23"/>
    </row>
    <row r="48" spans="1:15" ht="18.75" x14ac:dyDescent="0.25">
      <c r="A48" s="374" t="s">
        <v>304</v>
      </c>
      <c r="B48" s="374"/>
      <c r="C48" s="374"/>
      <c r="D48" s="374"/>
      <c r="E48" s="374"/>
      <c r="F48" s="374"/>
      <c r="G48" s="374"/>
      <c r="H48" s="23"/>
      <c r="I48" s="23"/>
      <c r="J48" s="23"/>
      <c r="K48" s="23"/>
    </row>
    <row r="49" spans="1:13" x14ac:dyDescent="0.25">
      <c r="A49" s="352" t="s">
        <v>28</v>
      </c>
      <c r="B49" s="353"/>
      <c r="C49" s="353"/>
      <c r="D49" s="354"/>
      <c r="E49" s="23"/>
      <c r="F49" s="26"/>
      <c r="G49" s="23">
        <f>G43</f>
        <v>2715712.8442456587</v>
      </c>
      <c r="H49" s="23"/>
      <c r="I49" s="23"/>
      <c r="J49" s="23"/>
      <c r="K49" s="23"/>
    </row>
    <row r="50" spans="1:13" x14ac:dyDescent="0.25">
      <c r="A50" s="353" t="s">
        <v>299</v>
      </c>
      <c r="B50" s="353"/>
      <c r="C50" s="353" t="s">
        <v>300</v>
      </c>
      <c r="D50" s="7"/>
      <c r="E50" s="23"/>
      <c r="F50" s="26"/>
      <c r="G50" s="23">
        <f>'Debt Service'!M21</f>
        <v>170330.7</v>
      </c>
      <c r="H50" s="23"/>
      <c r="I50" s="23"/>
      <c r="J50" s="23"/>
      <c r="K50" s="23"/>
      <c r="M50" s="7" t="s">
        <v>305</v>
      </c>
    </row>
    <row r="51" spans="1:13" x14ac:dyDescent="0.25">
      <c r="A51" s="353"/>
      <c r="B51" s="353"/>
      <c r="C51" s="353" t="s">
        <v>301</v>
      </c>
      <c r="D51" s="7"/>
      <c r="E51" s="23"/>
      <c r="F51" s="26"/>
      <c r="G51" s="23">
        <f>'Debt Service'!M23</f>
        <v>34066.140000000007</v>
      </c>
      <c r="H51" s="23"/>
      <c r="I51" s="23"/>
      <c r="J51" s="23"/>
      <c r="K51" s="23"/>
      <c r="M51" s="7" t="s">
        <v>306</v>
      </c>
    </row>
    <row r="52" spans="1:13" x14ac:dyDescent="0.25">
      <c r="A52" s="352" t="s">
        <v>49</v>
      </c>
      <c r="B52" s="353"/>
      <c r="C52" s="353"/>
      <c r="D52" s="354"/>
      <c r="E52" s="23"/>
      <c r="F52" s="26"/>
      <c r="G52" s="23">
        <f>SUM(G49:G51)</f>
        <v>2920109.684245659</v>
      </c>
      <c r="H52" s="23"/>
      <c r="I52" s="23"/>
      <c r="J52" s="23"/>
      <c r="K52" s="23"/>
    </row>
    <row r="53" spans="1:13" x14ac:dyDescent="0.25">
      <c r="A53" s="353" t="s">
        <v>19</v>
      </c>
      <c r="B53" s="353"/>
      <c r="C53" s="353" t="s">
        <v>20</v>
      </c>
      <c r="D53" s="354"/>
      <c r="E53" s="23"/>
      <c r="F53" s="26"/>
      <c r="G53" s="23">
        <f>SUM(G12:G15)</f>
        <v>94434</v>
      </c>
      <c r="H53" s="23"/>
      <c r="I53" s="23"/>
      <c r="J53" s="23"/>
      <c r="K53" s="23"/>
    </row>
    <row r="54" spans="1:13" x14ac:dyDescent="0.25">
      <c r="A54" s="353"/>
      <c r="B54" s="353"/>
      <c r="C54" s="353" t="s">
        <v>302</v>
      </c>
      <c r="D54" s="354"/>
      <c r="E54" s="23"/>
      <c r="F54" s="26"/>
      <c r="G54" s="23"/>
      <c r="H54" s="23"/>
      <c r="I54" s="23"/>
      <c r="J54" s="23"/>
      <c r="K54" s="23"/>
    </row>
    <row r="55" spans="1:13" x14ac:dyDescent="0.25">
      <c r="A55" s="353"/>
      <c r="B55" s="353"/>
      <c r="C55" s="353" t="s">
        <v>10</v>
      </c>
      <c r="D55" s="354"/>
      <c r="E55" s="23"/>
      <c r="F55" s="26"/>
      <c r="G55" s="23">
        <v>31910</v>
      </c>
      <c r="H55" s="23"/>
      <c r="I55" s="23"/>
      <c r="J55" s="23"/>
      <c r="K55" s="23"/>
    </row>
    <row r="56" spans="1:13" x14ac:dyDescent="0.25">
      <c r="A56" s="352" t="s">
        <v>47</v>
      </c>
      <c r="B56" s="353"/>
      <c r="C56" s="353"/>
      <c r="D56" s="354"/>
      <c r="E56" s="23"/>
      <c r="F56" s="26"/>
      <c r="G56" s="23">
        <f>G52-G53-G54-G55</f>
        <v>2793765.684245659</v>
      </c>
      <c r="H56" s="23"/>
      <c r="I56" s="23"/>
      <c r="J56" s="23"/>
      <c r="K56" s="23"/>
    </row>
    <row r="57" spans="1:13" x14ac:dyDescent="0.25">
      <c r="A57" s="353" t="s">
        <v>19</v>
      </c>
      <c r="B57" s="353"/>
      <c r="C57" s="353" t="s">
        <v>48</v>
      </c>
      <c r="D57" s="354"/>
      <c r="E57" s="23"/>
      <c r="F57" s="26"/>
      <c r="G57" s="23">
        <f>G9</f>
        <v>2815613.94</v>
      </c>
      <c r="H57" s="23"/>
      <c r="I57" s="23"/>
      <c r="J57" s="23"/>
      <c r="K57" s="23"/>
    </row>
    <row r="58" spans="1:13" x14ac:dyDescent="0.25">
      <c r="A58" s="352" t="s">
        <v>50</v>
      </c>
      <c r="B58" s="353"/>
      <c r="C58" s="353"/>
      <c r="D58" s="354"/>
      <c r="E58" s="23"/>
      <c r="F58" s="26"/>
      <c r="G58" s="23">
        <f>G56-G57</f>
        <v>-21848.255754340906</v>
      </c>
      <c r="H58" s="23"/>
      <c r="I58" s="23"/>
      <c r="J58" s="23"/>
      <c r="K58" s="23"/>
    </row>
    <row r="59" spans="1:13" x14ac:dyDescent="0.25">
      <c r="A59" s="353"/>
      <c r="B59" s="353"/>
      <c r="C59" s="353"/>
      <c r="D59" s="354"/>
      <c r="E59" s="23"/>
      <c r="F59" s="26"/>
      <c r="G59" s="23"/>
      <c r="H59" s="23"/>
      <c r="I59" s="23"/>
      <c r="J59" s="23"/>
      <c r="K59" s="23"/>
    </row>
    <row r="60" spans="1:13" x14ac:dyDescent="0.25">
      <c r="A60" s="352" t="s">
        <v>303</v>
      </c>
      <c r="B60" s="353"/>
      <c r="C60" s="353"/>
      <c r="D60" s="354"/>
      <c r="E60" s="23"/>
      <c r="F60" s="26"/>
      <c r="G60" s="38">
        <f>G58/G57</f>
        <v>-7.7596773634175525E-3</v>
      </c>
      <c r="H60" s="23"/>
      <c r="I60" s="23"/>
      <c r="J60" s="23"/>
      <c r="K60" s="23"/>
    </row>
    <row r="61" spans="1:13" x14ac:dyDescent="0.25">
      <c r="A61" s="23"/>
      <c r="B61" s="23"/>
      <c r="C61" s="23"/>
      <c r="D61" s="23"/>
      <c r="E61" s="23"/>
      <c r="F61" s="26"/>
      <c r="G61" s="23"/>
      <c r="H61" s="23"/>
      <c r="I61" s="23"/>
      <c r="J61" s="23"/>
      <c r="K61" s="23"/>
    </row>
    <row r="62" spans="1:13" x14ac:dyDescent="0.25">
      <c r="A62" s="23"/>
      <c r="B62" s="23"/>
      <c r="C62" s="23"/>
      <c r="D62" s="23"/>
      <c r="E62" s="23"/>
      <c r="F62" s="26"/>
      <c r="G62" s="23"/>
      <c r="H62" s="23"/>
      <c r="I62" s="23"/>
      <c r="J62" s="23"/>
      <c r="K62" s="23"/>
    </row>
    <row r="63" spans="1:13" ht="18.75" x14ac:dyDescent="0.25">
      <c r="A63" s="372"/>
      <c r="B63" s="372"/>
      <c r="C63" s="372"/>
      <c r="D63" s="372"/>
      <c r="E63" s="372"/>
      <c r="F63" s="372"/>
      <c r="G63" s="372"/>
      <c r="H63" s="23"/>
      <c r="I63" s="34"/>
      <c r="J63" s="35"/>
      <c r="K63" s="23"/>
    </row>
    <row r="64" spans="1:13" ht="18.75" x14ac:dyDescent="0.25">
      <c r="A64" s="372"/>
      <c r="B64" s="372"/>
      <c r="C64" s="372"/>
      <c r="D64" s="372"/>
      <c r="E64" s="372"/>
      <c r="F64" s="372"/>
      <c r="G64" s="372"/>
      <c r="H64" s="23"/>
      <c r="I64" s="34"/>
      <c r="J64" s="35"/>
      <c r="K64" s="23"/>
    </row>
    <row r="65" spans="1:13" x14ac:dyDescent="0.25">
      <c r="A65" s="30"/>
      <c r="B65" s="23"/>
      <c r="C65" s="23"/>
      <c r="D65" s="36"/>
      <c r="E65" s="23"/>
      <c r="F65" s="31"/>
      <c r="H65" s="23"/>
      <c r="J65" s="23"/>
      <c r="K65" s="23"/>
    </row>
    <row r="66" spans="1:13" x14ac:dyDescent="0.25">
      <c r="A66" s="23"/>
      <c r="B66" s="23"/>
      <c r="C66" s="23"/>
      <c r="D66" s="36"/>
      <c r="E66" s="23"/>
      <c r="F66" s="231"/>
      <c r="G66" s="232"/>
      <c r="H66" s="23"/>
      <c r="J66" s="23"/>
      <c r="K66" s="23"/>
    </row>
    <row r="67" spans="1:13" x14ac:dyDescent="0.25">
      <c r="A67" s="23"/>
      <c r="B67" s="23"/>
      <c r="C67" s="23"/>
      <c r="D67" s="36"/>
      <c r="E67" s="23"/>
      <c r="F67" s="231"/>
      <c r="G67" s="139"/>
      <c r="H67" s="23"/>
      <c r="J67" s="23"/>
      <c r="K67" s="23"/>
    </row>
    <row r="68" spans="1:13" ht="17.25" x14ac:dyDescent="0.4">
      <c r="A68" s="23"/>
      <c r="B68" s="23"/>
      <c r="C68" s="23"/>
      <c r="D68" s="36"/>
      <c r="E68" s="23"/>
      <c r="F68" s="31"/>
      <c r="G68" s="15"/>
      <c r="H68" s="23"/>
      <c r="J68" s="23"/>
      <c r="K68" s="23"/>
    </row>
    <row r="69" spans="1:13" x14ac:dyDescent="0.25">
      <c r="A69" s="30"/>
      <c r="B69" s="23"/>
      <c r="C69" s="23"/>
      <c r="D69" s="36"/>
      <c r="E69" s="23"/>
      <c r="F69" s="31"/>
      <c r="H69" s="23"/>
      <c r="J69" s="23"/>
      <c r="K69" s="23"/>
    </row>
    <row r="70" spans="1:13" x14ac:dyDescent="0.25">
      <c r="A70" s="23"/>
      <c r="B70" s="23"/>
      <c r="C70" s="23"/>
      <c r="D70" s="36"/>
      <c r="E70" s="23"/>
      <c r="F70" s="31"/>
      <c r="H70" s="23"/>
      <c r="J70" s="23"/>
      <c r="K70" s="23"/>
    </row>
    <row r="71" spans="1:13" x14ac:dyDescent="0.25">
      <c r="A71" s="23"/>
      <c r="B71" s="23"/>
      <c r="C71" s="23"/>
      <c r="D71" s="36"/>
      <c r="E71" s="23"/>
      <c r="F71" s="31"/>
      <c r="H71" s="23"/>
      <c r="J71" s="23"/>
      <c r="K71" s="23"/>
    </row>
    <row r="72" spans="1:13" x14ac:dyDescent="0.25">
      <c r="A72" s="23"/>
      <c r="B72" s="23"/>
      <c r="C72" s="23"/>
      <c r="D72" s="36"/>
      <c r="E72" s="23"/>
      <c r="F72" s="31"/>
      <c r="G72" s="297"/>
      <c r="H72" s="23"/>
      <c r="I72" s="18"/>
      <c r="J72" s="23"/>
      <c r="K72" s="23"/>
    </row>
    <row r="73" spans="1:13" x14ac:dyDescent="0.25">
      <c r="A73" s="30"/>
      <c r="B73" s="23"/>
      <c r="C73" s="23"/>
      <c r="D73" s="36"/>
      <c r="E73" s="23"/>
      <c r="F73" s="31"/>
      <c r="H73" s="23"/>
      <c r="J73" s="23"/>
      <c r="K73" s="23"/>
    </row>
    <row r="74" spans="1:13" ht="17.25" x14ac:dyDescent="0.4">
      <c r="A74" s="23"/>
      <c r="B74" s="23"/>
      <c r="C74" s="23"/>
      <c r="D74" s="36"/>
      <c r="E74" s="23"/>
      <c r="F74" s="31"/>
      <c r="G74" s="296"/>
      <c r="H74" s="23"/>
      <c r="I74" s="18"/>
      <c r="J74" s="23"/>
      <c r="K74" s="23"/>
    </row>
    <row r="75" spans="1:13" x14ac:dyDescent="0.25">
      <c r="A75" s="30"/>
      <c r="B75" s="23"/>
      <c r="C75" s="23"/>
      <c r="D75" s="36"/>
      <c r="E75" s="23"/>
      <c r="F75" s="31"/>
      <c r="G75" s="120"/>
      <c r="H75" s="23"/>
      <c r="I75" s="23"/>
      <c r="J75" s="23"/>
      <c r="K75" s="23"/>
    </row>
    <row r="76" spans="1:13" ht="12.95" customHeight="1" x14ac:dyDescent="0.25">
      <c r="A76" s="23"/>
      <c r="B76" s="23"/>
      <c r="C76" s="23"/>
      <c r="D76" s="36"/>
      <c r="E76" s="23"/>
      <c r="F76" s="31"/>
      <c r="G76" s="120"/>
      <c r="H76" s="23"/>
      <c r="I76" s="23"/>
      <c r="J76" s="23"/>
      <c r="K76" s="23"/>
    </row>
    <row r="77" spans="1:13" x14ac:dyDescent="0.25">
      <c r="A77" s="30"/>
      <c r="B77" s="23"/>
      <c r="D77" s="36"/>
      <c r="E77" s="23"/>
      <c r="F77" s="31"/>
      <c r="G77" s="298"/>
      <c r="H77" s="23"/>
      <c r="I77" s="23"/>
      <c r="J77" s="23"/>
      <c r="K77" s="23"/>
    </row>
    <row r="79" spans="1:13" ht="18.75" x14ac:dyDescent="0.25">
      <c r="A79" s="372"/>
      <c r="B79" s="372"/>
      <c r="C79" s="372"/>
      <c r="D79" s="372"/>
      <c r="E79" s="372"/>
      <c r="F79" s="372"/>
      <c r="G79" s="372"/>
    </row>
    <row r="80" spans="1:13" ht="18.75" x14ac:dyDescent="0.25">
      <c r="A80" s="373"/>
      <c r="B80" s="373"/>
      <c r="C80" s="373"/>
      <c r="D80" s="373"/>
      <c r="E80" s="373"/>
      <c r="F80" s="373"/>
      <c r="G80" s="373"/>
      <c r="H80" s="120"/>
      <c r="I80" s="293"/>
      <c r="J80" s="299"/>
      <c r="K80" s="120"/>
      <c r="L80" s="243"/>
      <c r="M80" s="243"/>
    </row>
    <row r="81" spans="1:13" ht="18.75" x14ac:dyDescent="0.25">
      <c r="A81" s="373"/>
      <c r="B81" s="373"/>
      <c r="C81" s="373"/>
      <c r="D81" s="373"/>
      <c r="E81" s="373"/>
      <c r="F81" s="373"/>
      <c r="G81" s="373"/>
      <c r="H81" s="120"/>
      <c r="I81" s="293"/>
      <c r="J81" s="299"/>
      <c r="K81" s="120"/>
      <c r="L81" s="243"/>
      <c r="M81" s="243"/>
    </row>
    <row r="82" spans="1:13" x14ac:dyDescent="0.25">
      <c r="A82" s="294"/>
      <c r="B82" s="120"/>
      <c r="C82" s="120"/>
      <c r="D82" s="295"/>
      <c r="E82" s="120"/>
      <c r="F82" s="231"/>
      <c r="G82" s="243"/>
      <c r="H82" s="120"/>
      <c r="I82" s="243"/>
      <c r="J82" s="120"/>
      <c r="K82" s="120"/>
      <c r="L82" s="243"/>
      <c r="M82" s="243"/>
    </row>
    <row r="83" spans="1:13" x14ac:dyDescent="0.25">
      <c r="A83" s="120"/>
      <c r="B83" s="120"/>
      <c r="C83" s="120"/>
      <c r="D83" s="295"/>
      <c r="E83" s="120"/>
      <c r="F83" s="231"/>
      <c r="G83" s="243"/>
      <c r="H83" s="120"/>
      <c r="I83" s="243"/>
      <c r="J83" s="120"/>
      <c r="K83" s="120"/>
      <c r="L83" s="243"/>
      <c r="M83" s="243" t="s">
        <v>187</v>
      </c>
    </row>
    <row r="84" spans="1:13" ht="17.25" x14ac:dyDescent="0.4">
      <c r="A84" s="120"/>
      <c r="B84" s="120"/>
      <c r="C84" s="120"/>
      <c r="D84" s="295"/>
      <c r="E84" s="120"/>
      <c r="F84" s="231"/>
      <c r="G84" s="296"/>
      <c r="H84" s="120"/>
      <c r="I84" s="243"/>
      <c r="J84" s="120"/>
      <c r="K84" s="120"/>
      <c r="L84" s="243"/>
      <c r="M84" s="243" t="s">
        <v>188</v>
      </c>
    </row>
    <row r="85" spans="1:13" x14ac:dyDescent="0.25">
      <c r="A85" s="294"/>
      <c r="B85" s="120"/>
      <c r="C85" s="120"/>
      <c r="D85" s="295"/>
      <c r="E85" s="120"/>
      <c r="F85" s="231"/>
      <c r="G85" s="243"/>
      <c r="H85" s="120"/>
      <c r="I85" s="243"/>
      <c r="J85" s="120"/>
      <c r="K85" s="120"/>
      <c r="L85" s="243"/>
      <c r="M85" s="243"/>
    </row>
    <row r="86" spans="1:13" x14ac:dyDescent="0.25">
      <c r="A86" s="120"/>
      <c r="B86" s="120"/>
      <c r="C86" s="120"/>
      <c r="D86" s="295"/>
      <c r="E86" s="120"/>
      <c r="F86" s="231"/>
      <c r="G86" s="243"/>
      <c r="H86" s="120"/>
      <c r="I86" s="243"/>
      <c r="J86" s="120"/>
      <c r="K86" s="120"/>
      <c r="L86" s="243"/>
      <c r="M86" s="243"/>
    </row>
    <row r="87" spans="1:13" x14ac:dyDescent="0.25">
      <c r="A87" s="120"/>
      <c r="B87" s="120"/>
      <c r="C87" s="120"/>
      <c r="D87" s="295"/>
      <c r="E87" s="120"/>
      <c r="F87" s="231"/>
      <c r="G87" s="243"/>
      <c r="H87" s="120"/>
      <c r="I87" s="243"/>
      <c r="J87" s="120"/>
      <c r="K87" s="120"/>
      <c r="L87" s="243"/>
      <c r="M87" s="243"/>
    </row>
    <row r="88" spans="1:13" x14ac:dyDescent="0.25">
      <c r="A88" s="120"/>
      <c r="B88" s="120"/>
      <c r="C88" s="120"/>
      <c r="D88" s="295"/>
      <c r="E88" s="120"/>
      <c r="F88" s="231"/>
      <c r="G88" s="297"/>
      <c r="H88" s="120"/>
      <c r="I88" s="297"/>
      <c r="J88" s="120"/>
      <c r="K88" s="120"/>
      <c r="L88" s="243"/>
      <c r="M88" s="243"/>
    </row>
    <row r="89" spans="1:13" x14ac:dyDescent="0.25">
      <c r="A89" s="294"/>
      <c r="B89" s="120"/>
      <c r="C89" s="120"/>
      <c r="D89" s="295"/>
      <c r="E89" s="120"/>
      <c r="F89" s="231"/>
      <c r="G89" s="243"/>
      <c r="H89" s="120"/>
      <c r="I89" s="243"/>
      <c r="J89" s="120"/>
      <c r="K89" s="120"/>
      <c r="L89" s="243"/>
      <c r="M89" s="243"/>
    </row>
    <row r="90" spans="1:13" ht="17.25" x14ac:dyDescent="0.4">
      <c r="A90" s="120"/>
      <c r="B90" s="120"/>
      <c r="C90" s="120"/>
      <c r="D90" s="295"/>
      <c r="E90" s="120"/>
      <c r="F90" s="231"/>
      <c r="G90" s="296"/>
      <c r="H90" s="120"/>
      <c r="I90" s="297"/>
      <c r="J90" s="120"/>
      <c r="K90" s="120"/>
      <c r="L90" s="243"/>
      <c r="M90" s="243"/>
    </row>
    <row r="91" spans="1:13" x14ac:dyDescent="0.25">
      <c r="A91" s="294"/>
      <c r="B91" s="120"/>
      <c r="C91" s="120"/>
      <c r="D91" s="295"/>
      <c r="E91" s="120"/>
      <c r="F91" s="231"/>
      <c r="G91" s="120"/>
      <c r="H91" s="120"/>
      <c r="I91" s="120"/>
      <c r="J91" s="120"/>
      <c r="K91" s="120"/>
      <c r="L91" s="243"/>
      <c r="M91" s="243"/>
    </row>
    <row r="92" spans="1:13" x14ac:dyDescent="0.25">
      <c r="A92" s="120"/>
      <c r="B92" s="120"/>
      <c r="C92" s="120"/>
      <c r="D92" s="295"/>
      <c r="E92" s="120"/>
      <c r="F92" s="231"/>
      <c r="G92" s="120"/>
      <c r="H92" s="120"/>
      <c r="I92" s="120"/>
      <c r="J92" s="120"/>
      <c r="K92" s="120"/>
      <c r="L92" s="243"/>
      <c r="M92" s="243"/>
    </row>
    <row r="93" spans="1:13" x14ac:dyDescent="0.25">
      <c r="A93" s="294"/>
      <c r="B93" s="120"/>
      <c r="C93" s="120"/>
      <c r="D93" s="295"/>
      <c r="E93" s="120"/>
      <c r="F93" s="231"/>
      <c r="G93" s="298"/>
      <c r="H93" s="120"/>
      <c r="I93" s="120"/>
      <c r="J93" s="120"/>
      <c r="K93" s="120"/>
      <c r="L93" s="243"/>
      <c r="M93" s="243"/>
    </row>
    <row r="94" spans="1:13" ht="18.75" x14ac:dyDescent="0.25">
      <c r="A94" s="372"/>
      <c r="B94" s="372"/>
      <c r="C94" s="372"/>
      <c r="D94" s="372"/>
      <c r="E94" s="372"/>
      <c r="F94" s="372"/>
      <c r="G94" s="372"/>
    </row>
    <row r="95" spans="1:13" ht="18.75" x14ac:dyDescent="0.25">
      <c r="A95" s="372"/>
      <c r="B95" s="372"/>
      <c r="C95" s="372"/>
      <c r="D95" s="372"/>
      <c r="E95" s="372"/>
      <c r="F95" s="372"/>
      <c r="G95" s="372"/>
    </row>
    <row r="96" spans="1:13" x14ac:dyDescent="0.25">
      <c r="A96" s="30"/>
      <c r="B96" s="23"/>
      <c r="C96" s="23"/>
      <c r="D96" s="36"/>
      <c r="E96" s="23"/>
      <c r="F96" s="31"/>
    </row>
    <row r="97" spans="1:7" x14ac:dyDescent="0.25">
      <c r="A97" s="23"/>
      <c r="B97" s="23"/>
      <c r="C97" s="23"/>
      <c r="D97" s="36"/>
      <c r="E97" s="23"/>
      <c r="F97" s="31"/>
    </row>
    <row r="98" spans="1:7" ht="17.25" x14ac:dyDescent="0.4">
      <c r="A98" s="23"/>
      <c r="B98" s="23"/>
      <c r="C98" s="23"/>
      <c r="D98" s="36"/>
      <c r="E98" s="23"/>
      <c r="F98" s="31"/>
      <c r="G98" s="15"/>
    </row>
    <row r="99" spans="1:7" x14ac:dyDescent="0.25">
      <c r="A99" s="30"/>
      <c r="B99" s="23"/>
      <c r="C99" s="23"/>
      <c r="D99" s="36"/>
      <c r="E99" s="23"/>
      <c r="F99" s="31"/>
    </row>
    <row r="100" spans="1:7" x14ac:dyDescent="0.25">
      <c r="A100" s="23"/>
      <c r="B100" s="23"/>
      <c r="C100" s="23"/>
      <c r="D100" s="36"/>
      <c r="E100" s="23"/>
      <c r="F100" s="31"/>
    </row>
    <row r="101" spans="1:7" x14ac:dyDescent="0.25">
      <c r="A101" s="23"/>
      <c r="B101" s="23"/>
      <c r="C101" s="23"/>
      <c r="D101" s="36"/>
      <c r="E101" s="23"/>
      <c r="F101" s="31"/>
    </row>
    <row r="102" spans="1:7" x14ac:dyDescent="0.25">
      <c r="A102" s="23"/>
      <c r="B102" s="23"/>
      <c r="C102" s="23"/>
      <c r="D102" s="36"/>
      <c r="E102" s="23"/>
      <c r="F102" s="31"/>
      <c r="G102" s="18"/>
    </row>
    <row r="103" spans="1:7" x14ac:dyDescent="0.25">
      <c r="A103" s="30"/>
      <c r="B103" s="23"/>
      <c r="C103" s="23"/>
      <c r="D103" s="36"/>
      <c r="E103" s="23"/>
      <c r="F103" s="31"/>
    </row>
    <row r="104" spans="1:7" ht="17.25" x14ac:dyDescent="0.4">
      <c r="A104" s="23"/>
      <c r="B104" s="23"/>
      <c r="C104" s="23"/>
      <c r="D104" s="36"/>
      <c r="E104" s="23"/>
      <c r="F104" s="31"/>
      <c r="G104" s="15"/>
    </row>
    <row r="105" spans="1:7" x14ac:dyDescent="0.25">
      <c r="A105" s="30"/>
      <c r="B105" s="23"/>
      <c r="C105" s="23"/>
      <c r="D105" s="36"/>
      <c r="E105" s="23"/>
      <c r="F105" s="31"/>
      <c r="G105" s="23"/>
    </row>
    <row r="106" spans="1:7" x14ac:dyDescent="0.25">
      <c r="A106" s="23"/>
      <c r="B106" s="23"/>
      <c r="C106" s="23"/>
      <c r="D106" s="36"/>
      <c r="E106" s="23"/>
      <c r="F106" s="31"/>
      <c r="G106" s="23"/>
    </row>
    <row r="107" spans="1:7" x14ac:dyDescent="0.25">
      <c r="A107" s="30"/>
      <c r="B107" s="23"/>
      <c r="C107" s="23"/>
      <c r="D107" s="36"/>
      <c r="E107" s="23"/>
      <c r="F107" s="31"/>
      <c r="G107" s="38"/>
    </row>
  </sheetData>
  <mergeCells count="11">
    <mergeCell ref="A95:G95"/>
    <mergeCell ref="A64:G64"/>
    <mergeCell ref="A80:G80"/>
    <mergeCell ref="A81:G81"/>
    <mergeCell ref="A1:G1"/>
    <mergeCell ref="A79:G79"/>
    <mergeCell ref="A63:G63"/>
    <mergeCell ref="A2:G2"/>
    <mergeCell ref="A94:G94"/>
    <mergeCell ref="A47:G47"/>
    <mergeCell ref="A48:G48"/>
  </mergeCells>
  <printOptions horizontalCentered="1"/>
  <pageMargins left="0.45" right="0.25" top="0.5" bottom="0.5" header="0.3" footer="0.3"/>
  <pageSetup scale="96" orientation="portrait" horizontalDpi="4294967293" r:id="rId1"/>
  <rowBreaks count="2" manualBreakCount="2">
    <brk id="45" max="16383" man="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A48BB-F532-4492-80AA-E3E399DCB458}">
  <sheetPr>
    <tabColor rgb="FF92D050"/>
  </sheetPr>
  <dimension ref="B1:D24"/>
  <sheetViews>
    <sheetView showGridLines="0" workbookViewId="0">
      <selection activeCell="F20" sqref="F20"/>
    </sheetView>
  </sheetViews>
  <sheetFormatPr defaultRowHeight="15" x14ac:dyDescent="0.2"/>
  <cols>
    <col min="2" max="2" width="4.109375" style="182" customWidth="1"/>
    <col min="3" max="3" width="86.33203125" style="176" customWidth="1"/>
    <col min="4" max="4" width="2" bestFit="1" customWidth="1"/>
  </cols>
  <sheetData>
    <row r="1" spans="2:4" ht="18" x14ac:dyDescent="0.25">
      <c r="C1" s="186"/>
    </row>
    <row r="2" spans="2:4" ht="18" x14ac:dyDescent="0.25">
      <c r="C2" s="186" t="s">
        <v>251</v>
      </c>
    </row>
    <row r="3" spans="2:4" ht="18" x14ac:dyDescent="0.25">
      <c r="C3" s="185"/>
    </row>
    <row r="4" spans="2:4" x14ac:dyDescent="0.2">
      <c r="B4" s="183" t="s">
        <v>247</v>
      </c>
      <c r="C4" s="364" t="s">
        <v>249</v>
      </c>
      <c r="D4" s="184"/>
    </row>
    <row r="5" spans="2:4" x14ac:dyDescent="0.2">
      <c r="B5" s="183"/>
      <c r="C5" s="364"/>
      <c r="D5" s="184"/>
    </row>
    <row r="6" spans="2:4" x14ac:dyDescent="0.2">
      <c r="B6" s="183" t="s">
        <v>248</v>
      </c>
      <c r="C6" s="364" t="s">
        <v>250</v>
      </c>
    </row>
    <row r="7" spans="2:4" x14ac:dyDescent="0.2">
      <c r="B7" s="183"/>
      <c r="C7" s="364"/>
    </row>
    <row r="8" spans="2:4" ht="30" x14ac:dyDescent="0.2">
      <c r="B8" s="183" t="s">
        <v>112</v>
      </c>
      <c r="C8" s="364" t="s">
        <v>324</v>
      </c>
    </row>
    <row r="9" spans="2:4" x14ac:dyDescent="0.2">
      <c r="B9" s="183"/>
      <c r="C9" s="364"/>
    </row>
    <row r="10" spans="2:4" ht="30" x14ac:dyDescent="0.2">
      <c r="B10" s="183" t="s">
        <v>88</v>
      </c>
      <c r="C10" s="364" t="s">
        <v>320</v>
      </c>
    </row>
    <row r="12" spans="2:4" ht="30" x14ac:dyDescent="0.2">
      <c r="B12" s="183" t="s">
        <v>257</v>
      </c>
      <c r="C12" s="364" t="s">
        <v>315</v>
      </c>
    </row>
    <row r="14" spans="2:4" x14ac:dyDescent="0.2">
      <c r="B14" s="182" t="s">
        <v>129</v>
      </c>
      <c r="C14" s="364" t="s">
        <v>321</v>
      </c>
    </row>
    <row r="16" spans="2:4" ht="60" x14ac:dyDescent="0.2">
      <c r="B16" s="183" t="s">
        <v>113</v>
      </c>
      <c r="C16" s="364" t="s">
        <v>317</v>
      </c>
    </row>
    <row r="18" spans="2:3" x14ac:dyDescent="0.2">
      <c r="B18" s="183" t="s">
        <v>259</v>
      </c>
      <c r="C18" s="364" t="s">
        <v>323</v>
      </c>
    </row>
    <row r="20" spans="2:3" x14ac:dyDescent="0.2">
      <c r="B20" s="182" t="s">
        <v>258</v>
      </c>
      <c r="C20" s="176" t="s">
        <v>325</v>
      </c>
    </row>
    <row r="22" spans="2:3" x14ac:dyDescent="0.2">
      <c r="B22" s="183" t="s">
        <v>261</v>
      </c>
      <c r="C22" s="364" t="s">
        <v>316</v>
      </c>
    </row>
    <row r="24" spans="2:3" x14ac:dyDescent="0.2">
      <c r="B24" s="183"/>
      <c r="C24" s="36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A01C-7852-4E95-BD91-257134D74ABD}">
  <sheetPr>
    <tabColor rgb="FF92D050"/>
  </sheetPr>
  <dimension ref="A1:L42"/>
  <sheetViews>
    <sheetView topLeftCell="B1" workbookViewId="0">
      <selection activeCell="G28" sqref="G28"/>
    </sheetView>
  </sheetViews>
  <sheetFormatPr defaultColWidth="8.88671875" defaultRowHeight="15" x14ac:dyDescent="0.25"/>
  <cols>
    <col min="1" max="1" width="12.44140625" style="1" customWidth="1"/>
    <col min="2" max="2" width="20.6640625" style="1" customWidth="1"/>
    <col min="3" max="6" width="12.6640625" style="6" customWidth="1"/>
    <col min="7" max="7" width="15.6640625" style="6" customWidth="1"/>
    <col min="8" max="8" width="12.6640625" style="6" customWidth="1"/>
    <col min="9" max="9" width="6.5546875" style="11" customWidth="1"/>
    <col min="10" max="10" width="8.88671875" style="1"/>
    <col min="11" max="11" width="10.77734375" style="1" customWidth="1"/>
    <col min="12" max="16384" width="8.88671875" style="1"/>
  </cols>
  <sheetData>
    <row r="1" spans="1:12" x14ac:dyDescent="0.25">
      <c r="B1" s="1" t="s">
        <v>53</v>
      </c>
      <c r="E1" s="332">
        <v>2025</v>
      </c>
      <c r="K1" s="1" t="s">
        <v>287</v>
      </c>
    </row>
    <row r="2" spans="1:12" x14ac:dyDescent="0.25">
      <c r="C2" s="108"/>
      <c r="D2" s="108"/>
      <c r="E2" s="108" t="s">
        <v>174</v>
      </c>
      <c r="F2" s="108"/>
      <c r="G2" s="108"/>
      <c r="H2" s="108" t="s">
        <v>11</v>
      </c>
    </row>
    <row r="3" spans="1:12" x14ac:dyDescent="0.25">
      <c r="A3" s="233" t="s">
        <v>184</v>
      </c>
      <c r="B3" s="233"/>
      <c r="C3" s="108" t="s">
        <v>54</v>
      </c>
      <c r="D3" s="108" t="s">
        <v>54</v>
      </c>
      <c r="E3" s="108" t="s">
        <v>55</v>
      </c>
      <c r="F3" s="108" t="s">
        <v>54</v>
      </c>
      <c r="G3" s="171" t="s">
        <v>54</v>
      </c>
      <c r="H3" s="108" t="s">
        <v>54</v>
      </c>
      <c r="J3" s="10"/>
      <c r="K3" s="170"/>
    </row>
    <row r="4" spans="1:12" x14ac:dyDescent="0.25">
      <c r="B4" s="1" t="s">
        <v>56</v>
      </c>
      <c r="C4" s="108" t="s">
        <v>57</v>
      </c>
      <c r="D4" s="108" t="s">
        <v>58</v>
      </c>
      <c r="E4" s="108" t="s">
        <v>59</v>
      </c>
      <c r="F4" s="108" t="s">
        <v>60</v>
      </c>
      <c r="G4" s="171"/>
      <c r="H4" s="108" t="s">
        <v>61</v>
      </c>
      <c r="J4" s="171"/>
      <c r="K4" s="171"/>
    </row>
    <row r="5" spans="1:12" x14ac:dyDescent="0.25">
      <c r="A5" s="1" t="s">
        <v>176</v>
      </c>
      <c r="B5" s="10">
        <v>1</v>
      </c>
      <c r="C5" s="6" t="s">
        <v>175</v>
      </c>
      <c r="E5" s="333">
        <f>53000/26</f>
        <v>2038.4615384615386</v>
      </c>
      <c r="F5" s="157">
        <f>E5*26</f>
        <v>53000</v>
      </c>
      <c r="H5" s="6">
        <f>F5+G5</f>
        <v>53000</v>
      </c>
      <c r="J5" s="172"/>
      <c r="K5" s="1" t="s">
        <v>231</v>
      </c>
      <c r="L5" s="248"/>
    </row>
    <row r="6" spans="1:12" x14ac:dyDescent="0.25">
      <c r="A6" s="1" t="s">
        <v>177</v>
      </c>
      <c r="B6" s="10">
        <v>2</v>
      </c>
      <c r="C6" s="6" t="s">
        <v>175</v>
      </c>
      <c r="D6" s="6">
        <v>0</v>
      </c>
      <c r="E6" s="333">
        <f>41000/26</f>
        <v>1576.9230769230769</v>
      </c>
      <c r="F6" s="157">
        <f>E6*26</f>
        <v>41000</v>
      </c>
      <c r="H6" s="6">
        <f>F6+G6</f>
        <v>41000</v>
      </c>
      <c r="J6" s="172"/>
      <c r="L6" s="248"/>
    </row>
    <row r="7" spans="1:12" x14ac:dyDescent="0.25">
      <c r="A7" s="1" t="s">
        <v>178</v>
      </c>
      <c r="B7" s="10">
        <v>3</v>
      </c>
      <c r="C7" s="157">
        <v>1092</v>
      </c>
      <c r="D7" s="157">
        <v>0</v>
      </c>
      <c r="E7" s="333">
        <v>21.36</v>
      </c>
      <c r="F7" s="157">
        <f>C7*E7</f>
        <v>23325.119999999999</v>
      </c>
      <c r="H7" s="6">
        <f>F7+G7</f>
        <v>23325.119999999999</v>
      </c>
      <c r="J7" s="172"/>
    </row>
    <row r="8" spans="1:12" x14ac:dyDescent="0.25">
      <c r="A8" s="1" t="s">
        <v>252</v>
      </c>
      <c r="B8" s="10" t="s">
        <v>272</v>
      </c>
      <c r="C8" s="157">
        <v>728</v>
      </c>
      <c r="D8" s="157">
        <v>0</v>
      </c>
      <c r="E8" s="333">
        <v>20</v>
      </c>
      <c r="F8" s="157">
        <f>C8*E8</f>
        <v>14560</v>
      </c>
      <c r="H8" s="6">
        <f t="shared" ref="H8" si="0">F8+G8</f>
        <v>14560</v>
      </c>
      <c r="J8" s="172"/>
      <c r="K8" s="157"/>
      <c r="L8" s="157"/>
    </row>
    <row r="9" spans="1:12" x14ac:dyDescent="0.25">
      <c r="A9" s="223" t="s">
        <v>252</v>
      </c>
      <c r="B9" s="10"/>
      <c r="C9" s="157"/>
      <c r="D9" s="157"/>
      <c r="E9" s="333"/>
      <c r="F9" s="157"/>
      <c r="G9" s="157"/>
      <c r="H9" s="371"/>
    </row>
    <row r="10" spans="1:12" x14ac:dyDescent="0.25">
      <c r="B10" s="1" t="s">
        <v>87</v>
      </c>
      <c r="E10" s="140"/>
      <c r="H10" s="6">
        <f>SUM(H5:H8)</f>
        <v>131885.12</v>
      </c>
    </row>
    <row r="11" spans="1:12" x14ac:dyDescent="0.25">
      <c r="A11" s="11" t="s">
        <v>189</v>
      </c>
      <c r="B11" s="1" t="s">
        <v>190</v>
      </c>
    </row>
    <row r="12" spans="1:12" x14ac:dyDescent="0.25">
      <c r="B12" s="1" t="s">
        <v>130</v>
      </c>
    </row>
    <row r="13" spans="1:12" x14ac:dyDescent="0.25">
      <c r="B13" s="1" t="s">
        <v>271</v>
      </c>
      <c r="H13" s="6">
        <v>6000</v>
      </c>
    </row>
    <row r="14" spans="1:12" x14ac:dyDescent="0.25">
      <c r="B14" s="1" t="s">
        <v>271</v>
      </c>
      <c r="C14" s="108"/>
      <c r="D14" s="108"/>
      <c r="E14" s="108"/>
      <c r="F14" s="108"/>
      <c r="G14" s="171"/>
      <c r="H14" s="108">
        <v>6000</v>
      </c>
      <c r="J14" s="10"/>
      <c r="K14" s="170"/>
    </row>
    <row r="15" spans="1:12" x14ac:dyDescent="0.25">
      <c r="B15" s="1" t="s">
        <v>271</v>
      </c>
      <c r="C15" s="108"/>
      <c r="D15" s="108"/>
      <c r="E15" s="108"/>
      <c r="F15" s="108"/>
      <c r="G15" s="180"/>
      <c r="H15" s="269">
        <v>6000</v>
      </c>
      <c r="J15" s="171"/>
      <c r="K15" s="171"/>
    </row>
    <row r="16" spans="1:12" x14ac:dyDescent="0.25">
      <c r="E16" s="140"/>
      <c r="H16" s="6">
        <f>SUM(H13:H15)</f>
        <v>18000</v>
      </c>
      <c r="J16" s="172"/>
    </row>
    <row r="21" spans="2:11" x14ac:dyDescent="0.25">
      <c r="H21" s="108" t="s">
        <v>23</v>
      </c>
    </row>
    <row r="22" spans="2:11" x14ac:dyDescent="0.25">
      <c r="E22" s="6" t="s">
        <v>62</v>
      </c>
      <c r="H22" s="6">
        <f>H10</f>
        <v>131885.12</v>
      </c>
    </row>
    <row r="23" spans="2:11" x14ac:dyDescent="0.25">
      <c r="E23" s="6" t="s">
        <v>63</v>
      </c>
      <c r="H23" s="19">
        <f>-SAO!D20</f>
        <v>-128043</v>
      </c>
      <c r="J23" s="1" t="s">
        <v>288</v>
      </c>
    </row>
    <row r="24" spans="2:11" x14ac:dyDescent="0.25">
      <c r="E24" s="6" t="s">
        <v>131</v>
      </c>
      <c r="H24" s="6">
        <f>H22+H23</f>
        <v>3842.1199999999953</v>
      </c>
      <c r="I24" s="10"/>
    </row>
    <row r="25" spans="2:11" x14ac:dyDescent="0.25">
      <c r="H25" s="6" t="s">
        <v>64</v>
      </c>
      <c r="I25" s="10"/>
    </row>
    <row r="26" spans="2:11" x14ac:dyDescent="0.25">
      <c r="E26" s="6" t="s">
        <v>127</v>
      </c>
      <c r="H26" s="6">
        <f>H10+H16</f>
        <v>149885.12</v>
      </c>
      <c r="I26" s="10"/>
    </row>
    <row r="27" spans="2:11" x14ac:dyDescent="0.25">
      <c r="E27" s="6" t="s">
        <v>65</v>
      </c>
      <c r="H27" s="109">
        <v>7.6499999999999999E-2</v>
      </c>
      <c r="I27" s="10"/>
    </row>
    <row r="28" spans="2:11" x14ac:dyDescent="0.25">
      <c r="E28" s="6" t="s">
        <v>66</v>
      </c>
      <c r="H28" s="6">
        <f>H26*H27</f>
        <v>11466.211679999999</v>
      </c>
      <c r="I28" s="10"/>
    </row>
    <row r="29" spans="2:11" x14ac:dyDescent="0.25">
      <c r="E29" s="6" t="s">
        <v>67</v>
      </c>
      <c r="H29" s="371">
        <v>-11172.29</v>
      </c>
      <c r="I29" s="10"/>
      <c r="K29" s="1" t="s">
        <v>322</v>
      </c>
    </row>
    <row r="30" spans="2:11" x14ac:dyDescent="0.25">
      <c r="E30" s="6" t="s">
        <v>68</v>
      </c>
      <c r="H30" s="5">
        <f>H28+H29</f>
        <v>293.92167999999765</v>
      </c>
      <c r="I30" s="10"/>
    </row>
    <row r="31" spans="2:11" x14ac:dyDescent="0.25">
      <c r="I31" s="10"/>
    </row>
    <row r="32" spans="2:11" x14ac:dyDescent="0.25">
      <c r="B32" s="229" t="s">
        <v>199</v>
      </c>
      <c r="C32" s="250"/>
      <c r="D32" s="181"/>
      <c r="I32" s="10"/>
    </row>
    <row r="33" spans="2:9" x14ac:dyDescent="0.25">
      <c r="B33" s="11"/>
      <c r="H33" s="19"/>
      <c r="I33" s="10"/>
    </row>
    <row r="34" spans="2:9" x14ac:dyDescent="0.25">
      <c r="B34" s="11"/>
      <c r="I34" s="10"/>
    </row>
    <row r="35" spans="2:9" x14ac:dyDescent="0.25">
      <c r="B35" s="11"/>
    </row>
    <row r="36" spans="2:9" x14ac:dyDescent="0.25">
      <c r="B36" s="11"/>
      <c r="C36" s="19"/>
      <c r="E36" s="171"/>
    </row>
    <row r="39" spans="2:9" x14ac:dyDescent="0.25">
      <c r="B39" s="222" t="s">
        <v>159</v>
      </c>
    </row>
    <row r="40" spans="2:9" x14ac:dyDescent="0.25">
      <c r="B40" s="1" t="s">
        <v>160</v>
      </c>
      <c r="C40" s="6">
        <v>6000</v>
      </c>
    </row>
    <row r="41" spans="2:9" x14ac:dyDescent="0.25">
      <c r="B41" s="1" t="s">
        <v>161</v>
      </c>
      <c r="C41" s="6">
        <v>6000</v>
      </c>
    </row>
    <row r="42" spans="2:9" x14ac:dyDescent="0.25">
      <c r="B42" s="1" t="s">
        <v>162</v>
      </c>
      <c r="C42" s="6">
        <v>6000</v>
      </c>
    </row>
  </sheetData>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O56"/>
  <sheetViews>
    <sheetView topLeftCell="B7" workbookViewId="0">
      <selection activeCell="J19" sqref="J19"/>
    </sheetView>
  </sheetViews>
  <sheetFormatPr defaultColWidth="8.88671875" defaultRowHeight="15" x14ac:dyDescent="0.25"/>
  <cols>
    <col min="1" max="1" width="14.21875" style="1" customWidth="1"/>
    <col min="2" max="2" width="11.5546875" style="142" bestFit="1" customWidth="1"/>
    <col min="3" max="4" width="11.5546875" style="142" customWidth="1"/>
    <col min="5" max="5" width="9.88671875" style="142" customWidth="1"/>
    <col min="6" max="6" width="9.77734375" style="124" customWidth="1"/>
    <col min="7" max="7" width="9.77734375" style="123" customWidth="1"/>
    <col min="8" max="8" width="7.77734375" style="122" customWidth="1"/>
    <col min="9" max="9" width="11.44140625" style="122" customWidth="1"/>
    <col min="10" max="10" width="10.6640625" style="142" customWidth="1"/>
    <col min="11" max="11" width="10.109375" style="122" customWidth="1"/>
    <col min="12" max="12" width="10.5546875" style="142" customWidth="1"/>
    <col min="13" max="13" width="10.44140625" style="11" customWidth="1"/>
    <col min="14" max="14" width="8.88671875" style="1"/>
    <col min="15" max="15" width="10.109375" style="1" customWidth="1"/>
    <col min="16" max="16" width="9" style="1" bestFit="1" customWidth="1"/>
    <col min="17" max="17" width="9.77734375" style="1" bestFit="1" customWidth="1"/>
    <col min="18" max="16384" width="8.88671875" style="1"/>
  </cols>
  <sheetData>
    <row r="1" spans="1:15" x14ac:dyDescent="0.25">
      <c r="A1" s="153" t="s">
        <v>92</v>
      </c>
    </row>
    <row r="2" spans="1:15" x14ac:dyDescent="0.25">
      <c r="B2" s="228">
        <v>2025</v>
      </c>
      <c r="C2" s="144"/>
      <c r="D2" s="144"/>
    </row>
    <row r="3" spans="1:15" x14ac:dyDescent="0.25">
      <c r="B3" s="166" t="s">
        <v>93</v>
      </c>
      <c r="C3" s="142" t="s">
        <v>93</v>
      </c>
      <c r="D3" s="142" t="s">
        <v>43</v>
      </c>
      <c r="E3" s="142" t="s">
        <v>93</v>
      </c>
      <c r="I3" s="161" t="s">
        <v>11</v>
      </c>
      <c r="J3" s="166" t="s">
        <v>109</v>
      </c>
      <c r="K3" s="161" t="s">
        <v>94</v>
      </c>
      <c r="L3" s="166" t="s">
        <v>94</v>
      </c>
      <c r="M3" s="10" t="s">
        <v>110</v>
      </c>
    </row>
    <row r="4" spans="1:15" x14ac:dyDescent="0.25">
      <c r="B4" s="177"/>
      <c r="C4" s="151"/>
      <c r="D4" s="151" t="s">
        <v>93</v>
      </c>
      <c r="E4" s="142" t="s">
        <v>95</v>
      </c>
      <c r="F4" s="124" t="s">
        <v>95</v>
      </c>
      <c r="G4" s="123" t="s">
        <v>107</v>
      </c>
      <c r="H4" s="122" t="s">
        <v>105</v>
      </c>
      <c r="I4" s="161" t="s">
        <v>108</v>
      </c>
      <c r="J4" s="166" t="s">
        <v>108</v>
      </c>
      <c r="K4" s="161" t="s">
        <v>96</v>
      </c>
      <c r="L4" s="166" t="s">
        <v>96</v>
      </c>
      <c r="M4" s="10" t="s">
        <v>96</v>
      </c>
    </row>
    <row r="5" spans="1:15" x14ac:dyDescent="0.25">
      <c r="A5" s="153" t="s">
        <v>111</v>
      </c>
      <c r="B5" s="178" t="s">
        <v>97</v>
      </c>
      <c r="C5" s="142" t="s">
        <v>97</v>
      </c>
      <c r="D5" s="142" t="s">
        <v>97</v>
      </c>
      <c r="E5" s="142" t="s">
        <v>98</v>
      </c>
      <c r="F5" s="124" t="s">
        <v>99</v>
      </c>
      <c r="G5" s="123" t="s">
        <v>99</v>
      </c>
      <c r="H5" s="122" t="s">
        <v>106</v>
      </c>
      <c r="I5" s="161" t="s">
        <v>101</v>
      </c>
      <c r="J5" s="166" t="s">
        <v>101</v>
      </c>
      <c r="K5" s="161" t="s">
        <v>100</v>
      </c>
      <c r="L5" s="166" t="s">
        <v>101</v>
      </c>
      <c r="M5" s="10" t="s">
        <v>101</v>
      </c>
    </row>
    <row r="6" spans="1:15" x14ac:dyDescent="0.25">
      <c r="A6" s="10">
        <v>1</v>
      </c>
      <c r="B6" s="142">
        <v>1735.42</v>
      </c>
      <c r="C6" s="158"/>
      <c r="D6" s="142">
        <f>B6+C6</f>
        <v>1735.42</v>
      </c>
      <c r="E6" s="142">
        <f>C6</f>
        <v>0</v>
      </c>
      <c r="F6" s="124">
        <f t="shared" ref="F6:F7" si="0">E6/D6</f>
        <v>0</v>
      </c>
      <c r="G6" s="141">
        <f t="shared" ref="G6:G7" si="1">1-F6</f>
        <v>1</v>
      </c>
      <c r="H6" s="150">
        <v>1</v>
      </c>
      <c r="I6" s="122">
        <f>D6*H6*12</f>
        <v>20825.04</v>
      </c>
      <c r="J6" s="142">
        <f>D6*G6*H6*12</f>
        <v>20825.04</v>
      </c>
      <c r="K6" s="123">
        <v>0.78</v>
      </c>
      <c r="L6" s="142">
        <f>D6*H6*12*K6</f>
        <v>16243.531200000001</v>
      </c>
      <c r="M6" s="122">
        <f>IF(J6&lt;L6,0,L6-J6)</f>
        <v>-4581.5087999999996</v>
      </c>
    </row>
    <row r="7" spans="1:15" x14ac:dyDescent="0.25">
      <c r="A7" s="10">
        <v>1</v>
      </c>
      <c r="B7" s="142">
        <v>1735.42</v>
      </c>
      <c r="C7" s="158"/>
      <c r="D7" s="142">
        <f t="shared" ref="D7" si="2">B7+C7</f>
        <v>1735.42</v>
      </c>
      <c r="E7" s="142">
        <f t="shared" ref="E7" si="3">C7</f>
        <v>0</v>
      </c>
      <c r="F7" s="124">
        <f t="shared" si="0"/>
        <v>0</v>
      </c>
      <c r="G7" s="141">
        <f t="shared" si="1"/>
        <v>1</v>
      </c>
      <c r="H7" s="150">
        <v>1</v>
      </c>
      <c r="I7" s="122">
        <f t="shared" ref="I7" si="4">D7*H7*12</f>
        <v>20825.04</v>
      </c>
      <c r="J7" s="142">
        <f t="shared" ref="J7" si="5">D7*G7*H7*12</f>
        <v>20825.04</v>
      </c>
      <c r="K7" s="123">
        <v>0.78</v>
      </c>
      <c r="L7" s="142">
        <f t="shared" ref="L7" si="6">D7*H7*12*K7</f>
        <v>16243.531200000001</v>
      </c>
      <c r="M7" s="122">
        <f t="shared" ref="M7" si="7">IF(J7&lt;L7,0,L7-J7)</f>
        <v>-4581.5087999999996</v>
      </c>
    </row>
    <row r="8" spans="1:15" x14ac:dyDescent="0.25">
      <c r="C8" s="158"/>
      <c r="G8" s="141"/>
      <c r="H8" s="150"/>
      <c r="K8" s="123"/>
      <c r="M8" s="122"/>
    </row>
    <row r="9" spans="1:15" x14ac:dyDescent="0.25">
      <c r="B9" s="145"/>
      <c r="C9" s="159"/>
      <c r="D9" s="145"/>
      <c r="E9" s="159"/>
      <c r="G9" s="141"/>
      <c r="H9" s="150"/>
      <c r="I9" s="147"/>
      <c r="J9" s="145"/>
      <c r="K9" s="123"/>
      <c r="L9" s="145"/>
      <c r="M9" s="147"/>
    </row>
    <row r="10" spans="1:15" x14ac:dyDescent="0.25">
      <c r="A10" s="1" t="s">
        <v>43</v>
      </c>
      <c r="B10" s="142">
        <f>SUM(B6:B9)</f>
        <v>3470.84</v>
      </c>
      <c r="C10" s="142">
        <f>SUM(C6:C9)</f>
        <v>0</v>
      </c>
      <c r="D10" s="142">
        <f>SUM(D6:D9)</f>
        <v>3470.84</v>
      </c>
      <c r="E10" s="142">
        <f>SUM(E6:E9)</f>
        <v>0</v>
      </c>
      <c r="G10" s="125"/>
      <c r="I10" s="142">
        <f>SUM(I6:I9)</f>
        <v>41650.080000000002</v>
      </c>
      <c r="J10" s="142">
        <f>SUM(J6:J9)</f>
        <v>41650.080000000002</v>
      </c>
      <c r="L10" s="142">
        <f>SUM(L6:L9)</f>
        <v>32487.062400000003</v>
      </c>
      <c r="M10" s="142">
        <f>SUM(M6:M9)</f>
        <v>-9163.0175999999992</v>
      </c>
      <c r="N10" s="2"/>
      <c r="O10" s="121"/>
    </row>
    <row r="11" spans="1:15" x14ac:dyDescent="0.25">
      <c r="G11" s="125" t="s">
        <v>293</v>
      </c>
      <c r="I11" s="147">
        <v>50</v>
      </c>
      <c r="L11" s="145">
        <v>50</v>
      </c>
    </row>
    <row r="12" spans="1:15" x14ac:dyDescent="0.25">
      <c r="A12" s="154"/>
      <c r="I12" s="122">
        <f>SUM(I10:I11)</f>
        <v>41700.080000000002</v>
      </c>
      <c r="J12" s="143"/>
      <c r="K12" s="126"/>
      <c r="L12" s="122">
        <f>SUM(L10:L11)</f>
        <v>32537.062400000003</v>
      </c>
    </row>
    <row r="13" spans="1:15" x14ac:dyDescent="0.25">
      <c r="A13" s="146"/>
      <c r="G13" s="141"/>
      <c r="H13" s="150"/>
      <c r="K13" s="152"/>
      <c r="M13" s="122"/>
    </row>
    <row r="14" spans="1:15" x14ac:dyDescent="0.25">
      <c r="A14" s="146"/>
      <c r="G14" s="141"/>
      <c r="H14" s="150"/>
      <c r="K14" s="152"/>
      <c r="M14" s="122"/>
    </row>
    <row r="15" spans="1:15" x14ac:dyDescent="0.25">
      <c r="A15" s="146"/>
      <c r="G15" s="141"/>
      <c r="H15" s="150"/>
      <c r="K15" s="152"/>
      <c r="M15" s="122"/>
    </row>
    <row r="16" spans="1:15" x14ac:dyDescent="0.25">
      <c r="G16" s="141"/>
      <c r="H16" s="150"/>
      <c r="I16" s="147"/>
      <c r="J16" s="145"/>
      <c r="K16" s="125"/>
      <c r="M16" s="147"/>
    </row>
    <row r="17" spans="1:14" x14ac:dyDescent="0.25">
      <c r="I17" s="142"/>
      <c r="M17" s="142"/>
    </row>
    <row r="19" spans="1:14" x14ac:dyDescent="0.25">
      <c r="A19" s="153" t="s">
        <v>193</v>
      </c>
      <c r="J19" s="156">
        <f>L12</f>
        <v>32537.062400000003</v>
      </c>
    </row>
    <row r="20" spans="1:14" x14ac:dyDescent="0.25">
      <c r="A20" s="153" t="s">
        <v>290</v>
      </c>
      <c r="J20" s="160">
        <f>-SAO!D24</f>
        <v>-31794</v>
      </c>
    </row>
    <row r="21" spans="1:14" x14ac:dyDescent="0.25">
      <c r="A21" s="153" t="s">
        <v>191</v>
      </c>
      <c r="J21" s="156">
        <f>J19+J20</f>
        <v>743.06240000000253</v>
      </c>
      <c r="K21" s="242"/>
    </row>
    <row r="23" spans="1:14" x14ac:dyDescent="0.25">
      <c r="A23" s="1" t="s">
        <v>192</v>
      </c>
    </row>
    <row r="24" spans="1:14" ht="15.75" thickBot="1" x14ac:dyDescent="0.3">
      <c r="A24" s="153"/>
      <c r="M24" s="155">
        <f>M10+M17</f>
        <v>-9163.0175999999992</v>
      </c>
      <c r="N24" s="10" t="s">
        <v>113</v>
      </c>
    </row>
    <row r="25" spans="1:14" ht="15.75" thickTop="1" x14ac:dyDescent="0.25"/>
    <row r="26" spans="1:14" x14ac:dyDescent="0.25">
      <c r="A26" s="1" t="s">
        <v>280</v>
      </c>
      <c r="C26" s="166"/>
      <c r="D26" s="166"/>
    </row>
    <row r="27" spans="1:14" ht="17.25" x14ac:dyDescent="0.4">
      <c r="A27" s="311">
        <v>2024</v>
      </c>
      <c r="B27" s="312" t="s">
        <v>221</v>
      </c>
      <c r="C27" s="168" t="s">
        <v>273</v>
      </c>
      <c r="D27" s="310" t="s">
        <v>274</v>
      </c>
      <c r="F27" s="168"/>
      <c r="G27" s="142"/>
      <c r="H27" s="124"/>
      <c r="I27" s="123"/>
    </row>
    <row r="28" spans="1:14" x14ac:dyDescent="0.25">
      <c r="A28" s="1" t="s">
        <v>115</v>
      </c>
      <c r="B28" s="142">
        <v>3499.02</v>
      </c>
      <c r="C28" s="142">
        <v>1170.77</v>
      </c>
      <c r="D28" s="142">
        <v>2328.25</v>
      </c>
      <c r="F28" s="249"/>
      <c r="G28" s="142"/>
      <c r="H28" s="346"/>
      <c r="I28" s="108"/>
    </row>
    <row r="29" spans="1:14" x14ac:dyDescent="0.25">
      <c r="A29" s="1" t="s">
        <v>116</v>
      </c>
      <c r="B29" s="142">
        <v>3499.02</v>
      </c>
      <c r="C29" s="142">
        <v>1170.77</v>
      </c>
      <c r="D29" s="142">
        <v>2328.25</v>
      </c>
      <c r="E29" s="249" t="s">
        <v>292</v>
      </c>
      <c r="F29" s="249"/>
      <c r="G29" s="142"/>
      <c r="H29" s="346"/>
      <c r="I29" s="108"/>
    </row>
    <row r="30" spans="1:14" x14ac:dyDescent="0.25">
      <c r="A30" s="1" t="s">
        <v>117</v>
      </c>
      <c r="B30" s="142">
        <v>2341.54</v>
      </c>
      <c r="C30" s="142">
        <f>C29*2</f>
        <v>2341.54</v>
      </c>
      <c r="F30" s="142"/>
      <c r="G30" s="142"/>
      <c r="H30" s="124"/>
      <c r="I30" s="108"/>
    </row>
    <row r="31" spans="1:14" x14ac:dyDescent="0.25">
      <c r="A31" s="1" t="s">
        <v>118</v>
      </c>
      <c r="B31" s="142">
        <v>2341.54</v>
      </c>
      <c r="C31" s="142">
        <f>B31</f>
        <v>2341.54</v>
      </c>
    </row>
    <row r="32" spans="1:14" x14ac:dyDescent="0.25">
      <c r="A32" s="1" t="s">
        <v>119</v>
      </c>
      <c r="B32" s="142">
        <v>2341.54</v>
      </c>
      <c r="C32" s="142">
        <f>B32</f>
        <v>2341.54</v>
      </c>
    </row>
    <row r="33" spans="1:6" x14ac:dyDescent="0.25">
      <c r="A33" s="1" t="s">
        <v>120</v>
      </c>
      <c r="B33" s="142">
        <v>2341.54</v>
      </c>
      <c r="C33" s="142">
        <f>B33</f>
        <v>2341.54</v>
      </c>
      <c r="E33" s="249" t="s">
        <v>281</v>
      </c>
    </row>
    <row r="34" spans="1:6" x14ac:dyDescent="0.25">
      <c r="A34" s="1" t="s">
        <v>121</v>
      </c>
      <c r="B34" s="142">
        <v>2907.22</v>
      </c>
      <c r="C34" s="142">
        <f>B34</f>
        <v>2907.22</v>
      </c>
    </row>
    <row r="35" spans="1:6" x14ac:dyDescent="0.25">
      <c r="A35" s="1" t="s">
        <v>122</v>
      </c>
      <c r="B35" s="142">
        <v>2957.22</v>
      </c>
      <c r="C35" s="142">
        <v>2907.22</v>
      </c>
      <c r="E35" s="142">
        <v>50</v>
      </c>
      <c r="F35" s="124" t="s">
        <v>275</v>
      </c>
    </row>
    <row r="36" spans="1:6" x14ac:dyDescent="0.25">
      <c r="A36" s="1" t="s">
        <v>123</v>
      </c>
      <c r="B36" s="142">
        <v>2907.22</v>
      </c>
      <c r="C36" s="142">
        <f>B36</f>
        <v>2907.22</v>
      </c>
    </row>
    <row r="37" spans="1:6" x14ac:dyDescent="0.25">
      <c r="A37" s="1" t="s">
        <v>124</v>
      </c>
      <c r="B37" s="142">
        <v>2907.22</v>
      </c>
      <c r="C37" s="142">
        <f>B37</f>
        <v>2907.22</v>
      </c>
    </row>
    <row r="38" spans="1:6" x14ac:dyDescent="0.25">
      <c r="A38" s="1" t="s">
        <v>125</v>
      </c>
      <c r="B38" s="142">
        <v>2907.22</v>
      </c>
      <c r="C38" s="142">
        <f>B38</f>
        <v>2907.22</v>
      </c>
    </row>
    <row r="39" spans="1:6" x14ac:dyDescent="0.25">
      <c r="A39" s="1" t="s">
        <v>126</v>
      </c>
      <c r="B39" s="142">
        <v>2907.22</v>
      </c>
      <c r="C39" s="142">
        <f>B39</f>
        <v>2907.22</v>
      </c>
    </row>
    <row r="40" spans="1:6" x14ac:dyDescent="0.25">
      <c r="A40" s="10" t="s">
        <v>43</v>
      </c>
      <c r="B40" s="142">
        <f>SUM(B28:B39)</f>
        <v>33857.520000000004</v>
      </c>
      <c r="C40" s="142">
        <f>SUM(C28:C39)</f>
        <v>29151.020000000004</v>
      </c>
      <c r="D40" s="142">
        <f>SUM(D28:D39)</f>
        <v>4656.5</v>
      </c>
    </row>
    <row r="43" spans="1:6" x14ac:dyDescent="0.25">
      <c r="A43" s="311">
        <v>2025</v>
      </c>
      <c r="B43" s="312" t="s">
        <v>221</v>
      </c>
      <c r="C43" s="168" t="s">
        <v>273</v>
      </c>
    </row>
    <row r="44" spans="1:6" x14ac:dyDescent="0.25">
      <c r="A44" s="1" t="s">
        <v>115</v>
      </c>
      <c r="B44" s="142">
        <v>2907.22</v>
      </c>
      <c r="C44" s="142">
        <f t="shared" ref="C44:C50" si="8">B44</f>
        <v>2907.22</v>
      </c>
    </row>
    <row r="45" spans="1:6" x14ac:dyDescent="0.25">
      <c r="A45" s="1" t="s">
        <v>116</v>
      </c>
      <c r="B45" s="142">
        <v>2907.22</v>
      </c>
      <c r="C45" s="142">
        <f t="shared" si="8"/>
        <v>2907.22</v>
      </c>
    </row>
    <row r="46" spans="1:6" x14ac:dyDescent="0.25">
      <c r="A46" s="1" t="s">
        <v>117</v>
      </c>
      <c r="B46" s="142">
        <v>2907.22</v>
      </c>
      <c r="C46" s="142">
        <f t="shared" si="8"/>
        <v>2907.22</v>
      </c>
    </row>
    <row r="47" spans="1:6" x14ac:dyDescent="0.25">
      <c r="A47" s="1" t="s">
        <v>118</v>
      </c>
      <c r="B47" s="142">
        <v>2907.22</v>
      </c>
      <c r="C47" s="142">
        <f t="shared" si="8"/>
        <v>2907.22</v>
      </c>
    </row>
    <row r="48" spans="1:6" x14ac:dyDescent="0.25">
      <c r="A48" s="1" t="s">
        <v>119</v>
      </c>
      <c r="B48" s="142">
        <v>2907.22</v>
      </c>
      <c r="C48" s="142">
        <f t="shared" si="8"/>
        <v>2907.22</v>
      </c>
    </row>
    <row r="49" spans="1:6" x14ac:dyDescent="0.25">
      <c r="A49" s="1" t="s">
        <v>120</v>
      </c>
      <c r="B49" s="142">
        <v>2907.22</v>
      </c>
      <c r="C49" s="142">
        <f t="shared" si="8"/>
        <v>2907.22</v>
      </c>
    </row>
    <row r="50" spans="1:6" x14ac:dyDescent="0.25">
      <c r="A50" s="1" t="s">
        <v>121</v>
      </c>
      <c r="B50" s="142">
        <f>1735.42*2</f>
        <v>3470.84</v>
      </c>
      <c r="C50" s="142">
        <f t="shared" si="8"/>
        <v>3470.84</v>
      </c>
      <c r="E50" s="249" t="s">
        <v>281</v>
      </c>
    </row>
    <row r="51" spans="1:6" x14ac:dyDescent="0.25">
      <c r="A51" s="1" t="s">
        <v>122</v>
      </c>
      <c r="B51" s="142">
        <f t="shared" ref="B51:B55" si="9">1735.42*2</f>
        <v>3470.84</v>
      </c>
      <c r="C51" s="142">
        <f>B51</f>
        <v>3470.84</v>
      </c>
      <c r="E51" s="142">
        <v>50</v>
      </c>
      <c r="F51" s="124" t="s">
        <v>275</v>
      </c>
    </row>
    <row r="52" spans="1:6" x14ac:dyDescent="0.25">
      <c r="A52" s="1" t="s">
        <v>123</v>
      </c>
      <c r="B52" s="142">
        <f t="shared" si="9"/>
        <v>3470.84</v>
      </c>
      <c r="C52" s="142">
        <f>B52</f>
        <v>3470.84</v>
      </c>
    </row>
    <row r="53" spans="1:6" x14ac:dyDescent="0.25">
      <c r="A53" s="1" t="s">
        <v>124</v>
      </c>
      <c r="B53" s="142">
        <f t="shared" si="9"/>
        <v>3470.84</v>
      </c>
      <c r="C53" s="142">
        <f>B53</f>
        <v>3470.84</v>
      </c>
    </row>
    <row r="54" spans="1:6" x14ac:dyDescent="0.25">
      <c r="A54" s="1" t="s">
        <v>125</v>
      </c>
      <c r="B54" s="142">
        <f t="shared" si="9"/>
        <v>3470.84</v>
      </c>
      <c r="C54" s="142">
        <f>B54</f>
        <v>3470.84</v>
      </c>
    </row>
    <row r="55" spans="1:6" x14ac:dyDescent="0.25">
      <c r="A55" s="1" t="s">
        <v>126</v>
      </c>
      <c r="B55" s="145">
        <f t="shared" si="9"/>
        <v>3470.84</v>
      </c>
      <c r="C55" s="145">
        <f>B55</f>
        <v>3470.84</v>
      </c>
    </row>
    <row r="56" spans="1:6" x14ac:dyDescent="0.25">
      <c r="A56" s="10" t="s">
        <v>291</v>
      </c>
      <c r="B56" s="142">
        <f>SUM(B44:B55)</f>
        <v>38268.36</v>
      </c>
      <c r="C56" s="142">
        <f>SUM(C44:C55)</f>
        <v>38268.36</v>
      </c>
    </row>
  </sheetData>
  <phoneticPr fontId="28"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30B1-5320-458A-B984-AF0BD6A9981A}">
  <sheetPr>
    <tabColor rgb="FF92D050"/>
    <pageSetUpPr fitToPage="1"/>
  </sheetPr>
  <dimension ref="B1:Z27"/>
  <sheetViews>
    <sheetView showGridLines="0" topLeftCell="D1" workbookViewId="0">
      <selection activeCell="H23" sqref="H23"/>
    </sheetView>
  </sheetViews>
  <sheetFormatPr defaultRowHeight="15" x14ac:dyDescent="0.2"/>
  <cols>
    <col min="1" max="1" width="1.77734375" customWidth="1"/>
    <col min="2" max="2" width="17.77734375" customWidth="1"/>
    <col min="3" max="12" width="7.77734375" customWidth="1"/>
    <col min="13" max="13" width="10.6640625" customWidth="1"/>
    <col min="14" max="14" width="0.77734375" customWidth="1"/>
    <col min="15" max="15" width="2.33203125" customWidth="1"/>
    <col min="16" max="16" width="13.77734375" bestFit="1" customWidth="1"/>
    <col min="18" max="18" width="12" customWidth="1"/>
    <col min="25" max="25" width="11.109375" bestFit="1" customWidth="1"/>
  </cols>
  <sheetData>
    <row r="1" spans="2:26" ht="15.75" x14ac:dyDescent="0.25">
      <c r="B1" s="7"/>
      <c r="C1" s="7"/>
      <c r="D1" s="7"/>
      <c r="E1" s="7"/>
      <c r="F1" s="7"/>
      <c r="G1" s="7"/>
      <c r="H1" s="7"/>
      <c r="I1" s="7"/>
      <c r="J1" s="7"/>
      <c r="K1" s="7"/>
      <c r="L1" s="7"/>
      <c r="M1" s="7"/>
      <c r="N1" s="7"/>
      <c r="O1" s="7"/>
      <c r="P1" s="7"/>
    </row>
    <row r="2" spans="2:26" ht="15.75" x14ac:dyDescent="0.25">
      <c r="B2" s="47"/>
      <c r="C2" s="48"/>
      <c r="D2" s="48"/>
      <c r="E2" s="48"/>
      <c r="F2" s="48"/>
      <c r="G2" s="48"/>
      <c r="H2" s="48"/>
      <c r="I2" s="48"/>
      <c r="J2" s="48"/>
      <c r="K2" s="48"/>
      <c r="L2" s="48"/>
      <c r="M2" s="48"/>
      <c r="N2" s="49"/>
      <c r="O2" s="7"/>
      <c r="P2" s="7"/>
      <c r="Y2" s="234" t="s">
        <v>157</v>
      </c>
      <c r="Z2" s="236" t="s">
        <v>182</v>
      </c>
    </row>
    <row r="3" spans="2:26" ht="20.25" x14ac:dyDescent="0.4">
      <c r="B3" s="51" t="s">
        <v>135</v>
      </c>
      <c r="C3" s="50"/>
      <c r="D3" s="50"/>
      <c r="E3" s="50"/>
      <c r="F3" s="50"/>
      <c r="G3" s="50"/>
      <c r="H3" s="50"/>
      <c r="I3" s="50"/>
      <c r="J3" s="50"/>
      <c r="K3" s="50"/>
      <c r="L3" s="50"/>
      <c r="M3" s="50"/>
      <c r="N3" s="41"/>
      <c r="O3" s="7"/>
      <c r="P3" s="7"/>
      <c r="Y3" s="235" t="s">
        <v>158</v>
      </c>
      <c r="Z3" s="237" t="s">
        <v>183</v>
      </c>
    </row>
    <row r="4" spans="2:26" ht="18.75" x14ac:dyDescent="0.3">
      <c r="B4" s="51" t="s">
        <v>69</v>
      </c>
      <c r="C4" s="52"/>
      <c r="D4" s="52"/>
      <c r="E4" s="52"/>
      <c r="F4" s="52"/>
      <c r="G4" s="52"/>
      <c r="H4" s="52"/>
      <c r="I4" s="52"/>
      <c r="J4" s="52"/>
      <c r="K4" s="52"/>
      <c r="L4" s="52"/>
      <c r="M4" s="52"/>
      <c r="N4" s="41"/>
      <c r="O4" s="7"/>
      <c r="P4" s="7"/>
      <c r="W4" s="60" t="s">
        <v>169</v>
      </c>
      <c r="Y4" s="226">
        <v>400000</v>
      </c>
      <c r="Z4" t="s">
        <v>156</v>
      </c>
    </row>
    <row r="5" spans="2:26" ht="18.75" x14ac:dyDescent="0.25">
      <c r="B5" s="187" t="str">
        <f>SAO!A3</f>
        <v>Jessamine County Water District #1</v>
      </c>
      <c r="C5" s="50"/>
      <c r="D5" s="50"/>
      <c r="E5" s="50"/>
      <c r="F5" s="50"/>
      <c r="G5" s="50"/>
      <c r="H5" s="50"/>
      <c r="I5" s="50"/>
      <c r="J5" s="50"/>
      <c r="K5" s="50"/>
      <c r="L5" s="50"/>
      <c r="M5" s="50"/>
      <c r="N5" s="41"/>
      <c r="O5" s="7"/>
      <c r="P5" s="7"/>
      <c r="W5" s="66" t="s">
        <v>170</v>
      </c>
      <c r="Y5" s="226">
        <v>945000</v>
      </c>
      <c r="Z5" t="s">
        <v>156</v>
      </c>
    </row>
    <row r="6" spans="2:26" ht="15.75" x14ac:dyDescent="0.25">
      <c r="B6" s="53" t="s">
        <v>279</v>
      </c>
      <c r="C6" s="54"/>
      <c r="D6" s="54"/>
      <c r="E6" s="54"/>
      <c r="F6" s="54"/>
      <c r="G6" s="54"/>
      <c r="H6" s="54"/>
      <c r="I6" s="54"/>
      <c r="J6" s="54"/>
      <c r="K6" s="54"/>
      <c r="L6" s="54"/>
      <c r="M6" s="54"/>
      <c r="N6" s="41"/>
      <c r="O6" s="7"/>
      <c r="P6" s="7"/>
      <c r="W6" s="66" t="s">
        <v>167</v>
      </c>
      <c r="Y6" s="226">
        <f>1194000+298000</f>
        <v>1492000</v>
      </c>
      <c r="Z6" t="s">
        <v>171</v>
      </c>
    </row>
    <row r="7" spans="2:26" ht="15.75" x14ac:dyDescent="0.25">
      <c r="B7" s="55"/>
      <c r="C7" s="54"/>
      <c r="D7" s="54"/>
      <c r="E7" s="54"/>
      <c r="F7" s="54"/>
      <c r="G7" s="54"/>
      <c r="H7" s="54"/>
      <c r="I7" s="54"/>
      <c r="J7" s="54"/>
      <c r="K7" s="54"/>
      <c r="L7" s="54"/>
      <c r="M7" s="54"/>
      <c r="N7" s="41"/>
      <c r="O7" s="7"/>
      <c r="P7" s="7"/>
      <c r="W7" s="224" t="s">
        <v>168</v>
      </c>
      <c r="Y7" s="226">
        <v>376000</v>
      </c>
      <c r="Z7" t="s">
        <v>181</v>
      </c>
    </row>
    <row r="8" spans="2:26" ht="15.75" x14ac:dyDescent="0.25">
      <c r="B8" s="56"/>
      <c r="C8" s="57"/>
      <c r="D8" s="58"/>
      <c r="E8" s="57"/>
      <c r="F8" s="59"/>
      <c r="G8" s="57"/>
      <c r="H8" s="59"/>
      <c r="I8" s="57"/>
      <c r="J8" s="59"/>
      <c r="K8" s="57"/>
      <c r="L8" s="59"/>
      <c r="M8" s="58"/>
      <c r="N8" s="49"/>
      <c r="O8" s="7"/>
      <c r="P8" s="7"/>
      <c r="W8" s="66" t="s">
        <v>166</v>
      </c>
      <c r="Y8" s="227">
        <v>1080000</v>
      </c>
      <c r="Z8" t="s">
        <v>172</v>
      </c>
    </row>
    <row r="9" spans="2:26" ht="17.25" x14ac:dyDescent="0.25">
      <c r="B9" s="60"/>
      <c r="C9" s="375" t="s">
        <v>70</v>
      </c>
      <c r="D9" s="376"/>
      <c r="E9" s="377" t="s">
        <v>153</v>
      </c>
      <c r="F9" s="376"/>
      <c r="G9" s="377" t="s">
        <v>197</v>
      </c>
      <c r="H9" s="376"/>
      <c r="I9" s="377" t="s">
        <v>277</v>
      </c>
      <c r="J9" s="378"/>
      <c r="K9" s="377" t="s">
        <v>278</v>
      </c>
      <c r="L9" s="378"/>
      <c r="M9" s="7"/>
      <c r="N9" s="41"/>
      <c r="O9" s="7"/>
      <c r="P9" s="7"/>
    </row>
    <row r="10" spans="2:26" ht="17.25" x14ac:dyDescent="0.25">
      <c r="B10" s="60"/>
      <c r="C10" s="61"/>
      <c r="D10" s="62" t="s">
        <v>71</v>
      </c>
      <c r="E10" s="63"/>
      <c r="F10" s="62" t="s">
        <v>71</v>
      </c>
      <c r="G10" s="63"/>
      <c r="H10" s="62" t="s">
        <v>71</v>
      </c>
      <c r="I10" s="63"/>
      <c r="J10" s="62" t="s">
        <v>71</v>
      </c>
      <c r="K10" s="63"/>
      <c r="L10" s="62" t="s">
        <v>71</v>
      </c>
      <c r="M10" s="7"/>
      <c r="N10" s="41"/>
      <c r="O10" s="7"/>
      <c r="P10" s="7" t="s">
        <v>157</v>
      </c>
    </row>
    <row r="11" spans="2:26" ht="18" x14ac:dyDescent="0.4">
      <c r="B11" s="60"/>
      <c r="C11" s="61" t="s">
        <v>72</v>
      </c>
      <c r="D11" s="64" t="s">
        <v>73</v>
      </c>
      <c r="E11" s="61" t="s">
        <v>72</v>
      </c>
      <c r="F11" s="64" t="s">
        <v>73</v>
      </c>
      <c r="G11" s="61" t="s">
        <v>72</v>
      </c>
      <c r="H11" s="64" t="s">
        <v>73</v>
      </c>
      <c r="I11" s="61" t="s">
        <v>72</v>
      </c>
      <c r="J11" s="64" t="s">
        <v>73</v>
      </c>
      <c r="K11" s="61" t="s">
        <v>72</v>
      </c>
      <c r="L11" s="64" t="s">
        <v>73</v>
      </c>
      <c r="M11" s="65" t="s">
        <v>52</v>
      </c>
      <c r="N11" s="41"/>
      <c r="O11" s="7"/>
      <c r="P11" s="221" t="s">
        <v>158</v>
      </c>
    </row>
    <row r="12" spans="2:26" ht="15.4" customHeight="1" x14ac:dyDescent="0.25">
      <c r="B12" s="340" t="s">
        <v>169</v>
      </c>
      <c r="C12" s="246">
        <v>7000</v>
      </c>
      <c r="D12" s="245">
        <v>8218</v>
      </c>
      <c r="E12" s="246">
        <v>7000</v>
      </c>
      <c r="F12" s="245">
        <v>8051</v>
      </c>
      <c r="G12" s="246">
        <v>7500</v>
      </c>
      <c r="H12" s="244">
        <v>7873</v>
      </c>
      <c r="I12" s="245">
        <v>7500</v>
      </c>
      <c r="J12" s="244">
        <v>7695</v>
      </c>
      <c r="K12" s="245">
        <v>8000</v>
      </c>
      <c r="L12" s="244">
        <v>7505</v>
      </c>
      <c r="M12" s="240">
        <f>SUM(C12:L12)</f>
        <v>76342</v>
      </c>
      <c r="N12" s="41"/>
      <c r="O12" s="7"/>
      <c r="P12" s="226">
        <v>400000</v>
      </c>
      <c r="Q12" s="179" t="s">
        <v>155</v>
      </c>
      <c r="R12" t="s">
        <v>156</v>
      </c>
    </row>
    <row r="13" spans="2:26" ht="15.4" customHeight="1" x14ac:dyDescent="0.25">
      <c r="B13" s="341" t="s">
        <v>170</v>
      </c>
      <c r="C13" s="247">
        <v>16500</v>
      </c>
      <c r="D13" s="239">
        <v>19344</v>
      </c>
      <c r="E13" s="247">
        <v>17000</v>
      </c>
      <c r="F13" s="239">
        <v>18941</v>
      </c>
      <c r="G13" s="247">
        <v>17500</v>
      </c>
      <c r="H13" s="239">
        <v>18525</v>
      </c>
      <c r="I13" s="324">
        <v>18000</v>
      </c>
      <c r="J13" s="325">
        <v>18098</v>
      </c>
      <c r="K13" s="324">
        <v>19000</v>
      </c>
      <c r="L13" s="325">
        <v>17646</v>
      </c>
      <c r="M13" s="240">
        <f>SUM(C13:L13)</f>
        <v>180554</v>
      </c>
      <c r="N13" s="41"/>
      <c r="O13" s="7"/>
      <c r="P13" s="226">
        <v>945000</v>
      </c>
      <c r="Q13" s="179" t="s">
        <v>154</v>
      </c>
      <c r="R13" t="s">
        <v>156</v>
      </c>
    </row>
    <row r="14" spans="2:26" ht="15.4" customHeight="1" x14ac:dyDescent="0.25">
      <c r="B14" s="341" t="s">
        <v>167</v>
      </c>
      <c r="C14" s="238">
        <v>8900</v>
      </c>
      <c r="D14" s="239">
        <v>8740</v>
      </c>
      <c r="E14" s="238">
        <v>9400</v>
      </c>
      <c r="F14" s="239">
        <v>8295</v>
      </c>
      <c r="G14" s="238">
        <v>9800</v>
      </c>
      <c r="H14" s="239">
        <v>7825</v>
      </c>
      <c r="I14" s="324">
        <v>10400</v>
      </c>
      <c r="J14" s="326">
        <v>7335</v>
      </c>
      <c r="K14" s="324">
        <v>10800</v>
      </c>
      <c r="L14" s="326">
        <v>6815</v>
      </c>
      <c r="M14" s="240">
        <f>SUM(C14:L14)</f>
        <v>88310</v>
      </c>
      <c r="N14" s="41"/>
      <c r="O14" s="7"/>
      <c r="P14" s="226">
        <f>1194000+298000</f>
        <v>1492000</v>
      </c>
      <c r="Q14" s="179"/>
      <c r="R14" t="s">
        <v>171</v>
      </c>
    </row>
    <row r="15" spans="2:26" ht="15.4" customHeight="1" x14ac:dyDescent="0.25">
      <c r="B15" s="341" t="s">
        <v>166</v>
      </c>
      <c r="C15" s="1">
        <v>40000</v>
      </c>
      <c r="D15" s="244">
        <v>24465</v>
      </c>
      <c r="E15" s="1">
        <v>40000</v>
      </c>
      <c r="F15" s="244">
        <v>23185</v>
      </c>
      <c r="G15" s="1">
        <v>40000</v>
      </c>
      <c r="H15" s="244">
        <v>21905</v>
      </c>
      <c r="I15" s="324">
        <v>45000</v>
      </c>
      <c r="J15" s="326">
        <f>10312.5*2</f>
        <v>20625</v>
      </c>
      <c r="K15" s="324">
        <v>45000</v>
      </c>
      <c r="L15" s="326">
        <f>9558.75*2</f>
        <v>19117.5</v>
      </c>
      <c r="M15" s="240">
        <f t="shared" ref="M15:M17" si="0">SUM(C15:L15)</f>
        <v>319297.5</v>
      </c>
      <c r="N15" s="41"/>
      <c r="O15" s="7"/>
      <c r="P15" s="227">
        <v>1080000</v>
      </c>
      <c r="R15" t="s">
        <v>172</v>
      </c>
    </row>
    <row r="16" spans="2:26" ht="15.4" customHeight="1" x14ac:dyDescent="0.25">
      <c r="B16" s="342">
        <v>2023</v>
      </c>
      <c r="C16" s="1">
        <v>17000</v>
      </c>
      <c r="D16" s="244">
        <v>20570</v>
      </c>
      <c r="E16" s="1">
        <v>17000</v>
      </c>
      <c r="F16" s="244">
        <v>20200</v>
      </c>
      <c r="G16" s="1">
        <v>18000</v>
      </c>
      <c r="H16" s="244">
        <v>19840</v>
      </c>
      <c r="I16" s="324">
        <v>18000</v>
      </c>
      <c r="J16" s="326">
        <v>19460</v>
      </c>
      <c r="K16" s="324">
        <v>18000</v>
      </c>
      <c r="L16" s="326">
        <v>19080</v>
      </c>
      <c r="M16" s="240">
        <f t="shared" si="0"/>
        <v>187150</v>
      </c>
      <c r="N16" s="41"/>
      <c r="O16" s="7"/>
      <c r="P16" s="227">
        <v>1000000</v>
      </c>
      <c r="R16" s="184" t="s">
        <v>198</v>
      </c>
    </row>
    <row r="17" spans="2:18" ht="15.75" x14ac:dyDescent="0.25">
      <c r="B17" s="334"/>
      <c r="C17" s="335"/>
      <c r="D17" s="336"/>
      <c r="E17" s="335"/>
      <c r="F17" s="336"/>
      <c r="G17" s="335"/>
      <c r="H17" s="337"/>
      <c r="I17" s="338"/>
      <c r="J17" s="339"/>
      <c r="K17" s="338"/>
      <c r="L17" s="339"/>
      <c r="M17" s="240">
        <f t="shared" si="0"/>
        <v>0</v>
      </c>
      <c r="N17" s="41"/>
      <c r="O17" s="7"/>
    </row>
    <row r="18" spans="2:18" ht="15.75" x14ac:dyDescent="0.25">
      <c r="B18" s="42" t="s">
        <v>52</v>
      </c>
      <c r="C18" s="67">
        <f>SUM(C12:C17)</f>
        <v>89400</v>
      </c>
      <c r="D18" s="67">
        <f>SUM(D12:D17)</f>
        <v>81337</v>
      </c>
      <c r="E18" s="67">
        <f>SUM(E12:E17)</f>
        <v>90400</v>
      </c>
      <c r="F18" s="67">
        <f>SUM(F12:F17)</f>
        <v>78672</v>
      </c>
      <c r="G18" s="67">
        <f t="shared" ref="G18:L18" si="1">SUM(G12:G17)</f>
        <v>92800</v>
      </c>
      <c r="H18" s="67">
        <f t="shared" si="1"/>
        <v>75968</v>
      </c>
      <c r="I18" s="67">
        <f t="shared" si="1"/>
        <v>98900</v>
      </c>
      <c r="J18" s="67">
        <f t="shared" si="1"/>
        <v>73213</v>
      </c>
      <c r="K18" s="67">
        <f t="shared" si="1"/>
        <v>100800</v>
      </c>
      <c r="L18" s="67">
        <f t="shared" si="1"/>
        <v>70163.5</v>
      </c>
      <c r="M18" s="67">
        <f>SUM(M12:M17)</f>
        <v>851653.5</v>
      </c>
      <c r="N18" s="41"/>
      <c r="O18" s="7"/>
      <c r="P18" s="7"/>
    </row>
    <row r="19" spans="2:18" ht="15.75" x14ac:dyDescent="0.25">
      <c r="B19" s="68"/>
      <c r="C19" s="69"/>
      <c r="D19" s="70"/>
      <c r="E19" s="69"/>
      <c r="F19" s="71"/>
      <c r="G19" s="69"/>
      <c r="H19" s="71"/>
      <c r="I19" s="69"/>
      <c r="J19" s="72"/>
      <c r="K19" s="69"/>
      <c r="L19" s="71"/>
      <c r="M19" s="70"/>
      <c r="N19" s="39"/>
      <c r="O19" s="7"/>
      <c r="P19" s="7"/>
    </row>
    <row r="20" spans="2:18" ht="15.75" x14ac:dyDescent="0.25">
      <c r="B20" s="73"/>
      <c r="C20" s="74"/>
      <c r="D20" s="74"/>
      <c r="E20" s="74"/>
      <c r="F20" s="74"/>
      <c r="G20" s="74"/>
      <c r="H20" s="74"/>
      <c r="I20" s="74"/>
      <c r="J20" s="75"/>
      <c r="K20" s="75"/>
      <c r="L20" s="75"/>
      <c r="M20" s="74"/>
      <c r="N20" s="41"/>
      <c r="O20" s="7"/>
      <c r="P20" s="7"/>
    </row>
    <row r="21" spans="2:18" ht="15.75" x14ac:dyDescent="0.25">
      <c r="B21" s="76"/>
      <c r="C21" s="77"/>
      <c r="D21" s="78"/>
      <c r="E21" s="77"/>
      <c r="F21" s="77"/>
      <c r="G21" s="77"/>
      <c r="H21" s="77"/>
      <c r="I21" s="78" t="s">
        <v>185</v>
      </c>
      <c r="J21" s="7"/>
      <c r="K21" s="79"/>
      <c r="L21" s="80"/>
      <c r="M21" s="77">
        <f>M18/5</f>
        <v>170330.7</v>
      </c>
      <c r="N21" s="41"/>
      <c r="O21" s="7"/>
      <c r="P21" s="7"/>
    </row>
    <row r="22" spans="2:18" ht="15.75" x14ac:dyDescent="0.25">
      <c r="B22" s="9"/>
      <c r="C22" s="78"/>
      <c r="D22" s="7"/>
      <c r="E22" s="78"/>
      <c r="F22" s="78"/>
      <c r="G22" s="78"/>
      <c r="H22" s="78"/>
      <c r="I22" s="78"/>
      <c r="J22" s="7"/>
      <c r="K22" s="12"/>
      <c r="L22" s="79"/>
      <c r="M22" s="17"/>
      <c r="N22" s="41"/>
      <c r="O22" s="7"/>
      <c r="P22" s="7"/>
      <c r="R22" s="226"/>
    </row>
    <row r="23" spans="2:18" ht="15.75" x14ac:dyDescent="0.25">
      <c r="B23" s="76"/>
      <c r="C23" s="78"/>
      <c r="D23" s="78"/>
      <c r="E23" s="78"/>
      <c r="F23" s="78"/>
      <c r="G23" s="78"/>
      <c r="H23" s="78"/>
      <c r="I23" s="78" t="s">
        <v>186</v>
      </c>
      <c r="J23" s="7"/>
      <c r="K23" s="79"/>
      <c r="L23" s="78"/>
      <c r="M23" s="77">
        <f>M21*0.2</f>
        <v>34066.140000000007</v>
      </c>
      <c r="N23" s="41"/>
      <c r="O23" s="7"/>
      <c r="P23" s="7">
        <f>M23+M21</f>
        <v>204396.84000000003</v>
      </c>
      <c r="R23" s="226"/>
    </row>
    <row r="24" spans="2:18" ht="15.75" x14ac:dyDescent="0.25">
      <c r="B24" s="303"/>
      <c r="C24" s="40"/>
      <c r="D24" s="40"/>
      <c r="E24" s="40"/>
      <c r="F24" s="40"/>
      <c r="G24" s="40"/>
      <c r="H24" s="40"/>
      <c r="I24" s="40"/>
      <c r="J24" s="40"/>
      <c r="K24" s="40"/>
      <c r="L24" s="40"/>
      <c r="M24" s="40"/>
      <c r="N24" s="41"/>
      <c r="O24" s="7"/>
      <c r="P24" s="7"/>
      <c r="R24" s="226"/>
    </row>
    <row r="25" spans="2:18" hidden="1" x14ac:dyDescent="0.2">
      <c r="B25" s="283"/>
      <c r="N25" s="285"/>
      <c r="R25" s="226"/>
    </row>
    <row r="26" spans="2:18" hidden="1" x14ac:dyDescent="0.2">
      <c r="B26" s="283"/>
      <c r="N26" s="285"/>
      <c r="R26" s="227"/>
    </row>
    <row r="27" spans="2:18" ht="15.75" x14ac:dyDescent="0.25">
      <c r="B27" s="289"/>
      <c r="C27" s="290"/>
      <c r="D27" s="290"/>
      <c r="E27" s="290"/>
      <c r="F27" s="290"/>
      <c r="G27" s="290"/>
      <c r="H27" s="290"/>
      <c r="I27" s="304" t="s">
        <v>165</v>
      </c>
      <c r="J27" s="304"/>
      <c r="K27" s="304"/>
      <c r="L27" s="304"/>
      <c r="M27" s="305">
        <f>(D18+F18+H18+J18+L18)/5</f>
        <v>75870.7</v>
      </c>
      <c r="N27" s="291"/>
      <c r="R27" s="225"/>
    </row>
  </sheetData>
  <mergeCells count="5">
    <mergeCell ref="C9:D9"/>
    <mergeCell ref="E9:F9"/>
    <mergeCell ref="G9:H9"/>
    <mergeCell ref="I9:J9"/>
    <mergeCell ref="K9:L9"/>
  </mergeCells>
  <pageMargins left="0.7" right="0.7" top="0.75" bottom="0.75" header="0.3" footer="0.3"/>
  <pageSetup scale="92" fitToHeight="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590D3-A7C3-4727-A9D4-F5C014E94ADB}">
  <sheetPr>
    <tabColor rgb="FF92D050"/>
    <pageSetUpPr fitToPage="1"/>
  </sheetPr>
  <dimension ref="A1:R52"/>
  <sheetViews>
    <sheetView showGridLines="0" tabSelected="1" topLeftCell="A9" workbookViewId="0">
      <selection activeCell="J36" sqref="J36"/>
    </sheetView>
  </sheetViews>
  <sheetFormatPr defaultRowHeight="15.75" x14ac:dyDescent="0.25"/>
  <cols>
    <col min="1" max="1" width="2" customWidth="1"/>
    <col min="2" max="2" width="1.88671875" customWidth="1"/>
    <col min="3" max="3" width="1.77734375" customWidth="1"/>
    <col min="4" max="4" width="27.44140625" style="1" customWidth="1"/>
    <col min="5" max="5" width="8.33203125" style="1" customWidth="1"/>
    <col min="6" max="6" width="10.6640625" style="132" customWidth="1"/>
    <col min="7" max="7" width="9.33203125" style="1" bestFit="1" customWidth="1"/>
    <col min="8" max="8" width="9.33203125" style="128" customWidth="1"/>
    <col min="9" max="9" width="6.109375" customWidth="1"/>
    <col min="10" max="10" width="9.33203125" style="128" customWidth="1"/>
    <col min="11" max="11" width="10.6640625" customWidth="1"/>
    <col min="12" max="12" width="1.88671875" customWidth="1"/>
    <col min="13" max="13" width="2.44140625" customWidth="1"/>
    <col min="15" max="18" width="8.88671875" style="1"/>
  </cols>
  <sheetData>
    <row r="1" spans="1:14" x14ac:dyDescent="0.25">
      <c r="A1" s="1"/>
      <c r="B1" s="1"/>
      <c r="C1" s="3"/>
      <c r="D1" s="3"/>
      <c r="E1" s="3"/>
      <c r="G1" s="91"/>
      <c r="H1" s="8"/>
      <c r="I1" s="91"/>
      <c r="J1" s="8"/>
      <c r="K1" s="3"/>
      <c r="L1" s="3"/>
      <c r="M1" s="3"/>
    </row>
    <row r="2" spans="1:14" x14ac:dyDescent="0.25">
      <c r="A2" s="1"/>
      <c r="B2" s="81"/>
      <c r="C2" s="83"/>
      <c r="D2" s="83"/>
      <c r="E2" s="83"/>
      <c r="F2" s="133"/>
      <c r="G2" s="92"/>
      <c r="H2" s="127"/>
      <c r="I2" s="92"/>
      <c r="J2" s="127"/>
      <c r="K2" s="83"/>
      <c r="L2" s="98"/>
      <c r="M2" s="101"/>
    </row>
    <row r="3" spans="1:14" ht="18.75" x14ac:dyDescent="0.3">
      <c r="A3" s="1"/>
      <c r="B3" s="21"/>
      <c r="C3" s="379" t="s">
        <v>134</v>
      </c>
      <c r="D3" s="379"/>
      <c r="E3" s="379"/>
      <c r="F3" s="379"/>
      <c r="G3" s="379"/>
      <c r="H3" s="379"/>
      <c r="I3" s="379"/>
      <c r="J3" s="379"/>
      <c r="K3" s="379"/>
      <c r="L3" s="99"/>
      <c r="M3" s="101"/>
    </row>
    <row r="4" spans="1:14" ht="18.75" x14ac:dyDescent="0.3">
      <c r="A4" s="1"/>
      <c r="B4" s="21"/>
      <c r="C4" s="380" t="s">
        <v>31</v>
      </c>
      <c r="D4" s="380"/>
      <c r="E4" s="380"/>
      <c r="F4" s="380"/>
      <c r="G4" s="380"/>
      <c r="H4" s="380"/>
      <c r="I4" s="380"/>
      <c r="J4" s="380"/>
      <c r="K4" s="380"/>
      <c r="L4" s="99"/>
      <c r="M4" s="101"/>
    </row>
    <row r="5" spans="1:14" ht="18.75" x14ac:dyDescent="0.25">
      <c r="A5" s="1"/>
      <c r="B5" s="21"/>
      <c r="C5" s="381" t="str">
        <f>'Debt Service'!B5</f>
        <v>Jessamine County Water District #1</v>
      </c>
      <c r="D5" s="381"/>
      <c r="E5" s="381"/>
      <c r="F5" s="381"/>
      <c r="G5" s="381"/>
      <c r="H5" s="381"/>
      <c r="I5" s="381"/>
      <c r="J5" s="381"/>
      <c r="K5" s="381"/>
      <c r="L5" s="99"/>
      <c r="M5" s="101"/>
    </row>
    <row r="6" spans="1:14" x14ac:dyDescent="0.25">
      <c r="A6" s="1"/>
      <c r="B6" s="21"/>
      <c r="C6" s="3"/>
      <c r="D6" s="3"/>
      <c r="E6" s="3"/>
      <c r="G6" s="93"/>
      <c r="H6" s="8"/>
      <c r="I6" s="93"/>
      <c r="J6" s="8"/>
      <c r="K6" s="85" t="s">
        <v>32</v>
      </c>
      <c r="L6" s="99"/>
      <c r="M6" s="101"/>
    </row>
    <row r="7" spans="1:14" x14ac:dyDescent="0.25">
      <c r="A7" s="1"/>
      <c r="B7" s="21"/>
      <c r="C7" s="84"/>
      <c r="D7" s="84"/>
      <c r="E7" s="84" t="s">
        <v>33</v>
      </c>
      <c r="F7" s="134" t="s">
        <v>34</v>
      </c>
      <c r="G7" s="382" t="s">
        <v>86</v>
      </c>
      <c r="H7" s="382"/>
      <c r="I7" s="382" t="s">
        <v>25</v>
      </c>
      <c r="J7" s="382"/>
      <c r="K7" s="85" t="s">
        <v>35</v>
      </c>
      <c r="L7" s="99"/>
      <c r="M7" s="101"/>
    </row>
    <row r="8" spans="1:14" ht="18" x14ac:dyDescent="0.4">
      <c r="A8" s="1"/>
      <c r="B8" s="21"/>
      <c r="C8" s="85"/>
      <c r="D8" s="89" t="s">
        <v>77</v>
      </c>
      <c r="E8" s="85" t="s">
        <v>36</v>
      </c>
      <c r="F8" s="135" t="s">
        <v>85</v>
      </c>
      <c r="G8" s="16" t="s">
        <v>37</v>
      </c>
      <c r="H8" s="85" t="s">
        <v>38</v>
      </c>
      <c r="I8" s="16" t="s">
        <v>37</v>
      </c>
      <c r="J8" s="85" t="s">
        <v>38</v>
      </c>
      <c r="K8" s="85" t="s">
        <v>29</v>
      </c>
      <c r="L8" s="99"/>
      <c r="M8" s="101"/>
    </row>
    <row r="9" spans="1:14" x14ac:dyDescent="0.25">
      <c r="A9" s="1"/>
      <c r="B9" s="21"/>
      <c r="C9" s="86" t="s">
        <v>74</v>
      </c>
      <c r="D9" s="3"/>
      <c r="E9" s="90"/>
      <c r="G9" s="93"/>
      <c r="H9" s="118"/>
      <c r="I9" s="93"/>
      <c r="J9" s="118"/>
      <c r="K9" s="2"/>
      <c r="L9" s="99"/>
      <c r="M9" s="101"/>
    </row>
    <row r="10" spans="1:14" x14ac:dyDescent="0.25">
      <c r="A10" s="1"/>
      <c r="B10" s="21"/>
      <c r="C10" s="86"/>
      <c r="D10" s="3" t="s">
        <v>297</v>
      </c>
      <c r="E10" s="90">
        <v>45260</v>
      </c>
      <c r="F10" s="349">
        <v>1710</v>
      </c>
      <c r="G10" s="238">
        <v>5</v>
      </c>
      <c r="H10" s="350">
        <v>28</v>
      </c>
      <c r="I10" s="93">
        <v>10</v>
      </c>
      <c r="J10" s="117">
        <f>F10/I10</f>
        <v>171</v>
      </c>
      <c r="K10" s="12">
        <f>J10-H10</f>
        <v>143</v>
      </c>
      <c r="L10" s="99"/>
      <c r="M10" s="101"/>
    </row>
    <row r="11" spans="1:14" x14ac:dyDescent="0.25">
      <c r="A11" s="1"/>
      <c r="B11" s="21"/>
      <c r="C11" s="3"/>
      <c r="E11" s="90"/>
      <c r="F11" s="349"/>
      <c r="G11" s="238"/>
      <c r="H11" s="350"/>
      <c r="I11" s="93"/>
      <c r="J11" s="117"/>
      <c r="K11" s="12"/>
      <c r="L11" s="99"/>
      <c r="M11" s="101"/>
    </row>
    <row r="12" spans="1:14" x14ac:dyDescent="0.25">
      <c r="A12" s="1"/>
      <c r="B12" s="21"/>
      <c r="C12" s="86" t="s">
        <v>75</v>
      </c>
      <c r="D12" s="3"/>
      <c r="E12" s="90"/>
      <c r="G12" s="351"/>
      <c r="H12" s="118"/>
      <c r="I12" s="94"/>
      <c r="J12" s="118"/>
      <c r="K12" s="2"/>
      <c r="L12" s="99"/>
      <c r="M12" s="101"/>
    </row>
    <row r="13" spans="1:14" x14ac:dyDescent="0.25">
      <c r="A13" s="1"/>
      <c r="B13" s="21"/>
      <c r="C13" s="86"/>
      <c r="D13" s="3" t="s">
        <v>78</v>
      </c>
      <c r="E13" s="90">
        <v>1998</v>
      </c>
      <c r="F13" s="349">
        <v>6550</v>
      </c>
      <c r="G13" s="238">
        <v>40</v>
      </c>
      <c r="H13" s="350">
        <v>164</v>
      </c>
      <c r="I13" s="93">
        <v>37.5</v>
      </c>
      <c r="J13" s="117">
        <f>F13/I13</f>
        <v>174.66666666666666</v>
      </c>
      <c r="K13" s="12">
        <f>J13-H13</f>
        <v>10.666666666666657</v>
      </c>
      <c r="L13" s="99"/>
      <c r="M13" s="101"/>
    </row>
    <row r="14" spans="1:14" x14ac:dyDescent="0.25">
      <c r="A14" s="1"/>
      <c r="B14" s="21"/>
      <c r="C14" s="3"/>
      <c r="D14" s="3"/>
      <c r="E14" s="90"/>
      <c r="F14" s="349"/>
      <c r="G14" s="238"/>
      <c r="H14" s="350"/>
      <c r="I14" s="292"/>
      <c r="J14" s="118"/>
      <c r="K14" s="12"/>
      <c r="L14" s="99"/>
      <c r="M14" s="101"/>
      <c r="N14" s="184"/>
    </row>
    <row r="15" spans="1:14" x14ac:dyDescent="0.25">
      <c r="A15" s="1"/>
      <c r="B15" s="21"/>
      <c r="C15" s="85"/>
      <c r="D15" s="85"/>
      <c r="E15" s="85"/>
      <c r="G15" s="351"/>
      <c r="H15" s="118"/>
      <c r="I15" s="94"/>
      <c r="J15" s="118"/>
      <c r="K15" s="2"/>
      <c r="L15" s="99"/>
      <c r="M15" s="101"/>
    </row>
    <row r="16" spans="1:14" x14ac:dyDescent="0.25">
      <c r="A16" s="1"/>
      <c r="B16" s="21"/>
      <c r="C16" s="86" t="s">
        <v>76</v>
      </c>
      <c r="D16" s="3"/>
      <c r="E16" s="90"/>
      <c r="G16" s="292"/>
      <c r="H16" s="118"/>
      <c r="I16" s="93"/>
      <c r="J16" s="118"/>
      <c r="K16" s="2"/>
      <c r="L16" s="99"/>
      <c r="M16" s="101"/>
    </row>
    <row r="17" spans="1:14" x14ac:dyDescent="0.25">
      <c r="A17" s="1"/>
      <c r="B17" s="21"/>
      <c r="C17" s="86"/>
      <c r="D17" s="3" t="s">
        <v>79</v>
      </c>
      <c r="E17" s="90" t="s">
        <v>51</v>
      </c>
      <c r="F17" s="349">
        <v>27000</v>
      </c>
      <c r="G17" s="238">
        <v>40</v>
      </c>
      <c r="H17" s="350">
        <v>676</v>
      </c>
      <c r="I17" s="93">
        <v>50</v>
      </c>
      <c r="J17" s="117">
        <f t="shared" ref="J17:J21" si="0">F17/I17</f>
        <v>540</v>
      </c>
      <c r="K17" s="12">
        <f>J17-H17</f>
        <v>-136</v>
      </c>
      <c r="L17" s="99"/>
      <c r="M17" s="101"/>
    </row>
    <row r="18" spans="1:14" x14ac:dyDescent="0.25">
      <c r="A18" s="1"/>
      <c r="B18" s="21"/>
      <c r="C18" s="86"/>
      <c r="D18" s="3" t="s">
        <v>80</v>
      </c>
      <c r="E18" s="90" t="s">
        <v>51</v>
      </c>
      <c r="F18" s="349">
        <v>5714185</v>
      </c>
      <c r="G18" s="238">
        <v>40</v>
      </c>
      <c r="H18" s="350">
        <v>147651</v>
      </c>
      <c r="I18" s="93">
        <v>62.5</v>
      </c>
      <c r="J18" s="117">
        <f>F18/I18</f>
        <v>91426.96</v>
      </c>
      <c r="K18" s="12">
        <f t="shared" ref="K18:K21" si="1">J18-H18</f>
        <v>-56224.039999999994</v>
      </c>
      <c r="L18" s="99"/>
      <c r="M18" s="101"/>
    </row>
    <row r="19" spans="1:14" x14ac:dyDescent="0.25">
      <c r="A19" s="1"/>
      <c r="B19" s="21"/>
      <c r="C19" s="86"/>
      <c r="D19" s="3" t="s">
        <v>81</v>
      </c>
      <c r="E19" s="90" t="s">
        <v>51</v>
      </c>
      <c r="F19" s="349">
        <v>1282503</v>
      </c>
      <c r="G19" s="238">
        <v>10</v>
      </c>
      <c r="H19" s="350">
        <v>128251</v>
      </c>
      <c r="I19" s="93">
        <v>15</v>
      </c>
      <c r="J19" s="117">
        <f t="shared" si="0"/>
        <v>85500.2</v>
      </c>
      <c r="K19" s="12">
        <f t="shared" si="1"/>
        <v>-42750.8</v>
      </c>
      <c r="L19" s="99"/>
      <c r="M19" s="101"/>
    </row>
    <row r="20" spans="1:14" x14ac:dyDescent="0.25">
      <c r="A20" s="1"/>
      <c r="B20" s="21"/>
      <c r="C20" s="86"/>
      <c r="D20" s="3" t="s">
        <v>82</v>
      </c>
      <c r="E20" s="90" t="s">
        <v>51</v>
      </c>
      <c r="F20" s="349">
        <v>4321140</v>
      </c>
      <c r="G20" s="238">
        <v>40</v>
      </c>
      <c r="H20" s="350">
        <v>108030</v>
      </c>
      <c r="I20" s="93">
        <v>40</v>
      </c>
      <c r="J20" s="117">
        <f t="shared" si="0"/>
        <v>108028.5</v>
      </c>
      <c r="K20" s="12">
        <f t="shared" si="1"/>
        <v>-1.5</v>
      </c>
      <c r="L20" s="99"/>
      <c r="M20" s="101"/>
    </row>
    <row r="21" spans="1:14" x14ac:dyDescent="0.25">
      <c r="A21" s="1"/>
      <c r="B21" s="21"/>
      <c r="C21" s="86"/>
      <c r="D21" s="3" t="s">
        <v>83</v>
      </c>
      <c r="E21" s="90" t="s">
        <v>51</v>
      </c>
      <c r="F21" s="349">
        <v>5306391</v>
      </c>
      <c r="G21" s="238">
        <v>40</v>
      </c>
      <c r="H21" s="350">
        <v>131423</v>
      </c>
      <c r="I21" s="93">
        <v>45</v>
      </c>
      <c r="J21" s="117">
        <f t="shared" si="0"/>
        <v>117919.8</v>
      </c>
      <c r="K21" s="12">
        <f t="shared" si="1"/>
        <v>-13503.199999999997</v>
      </c>
      <c r="L21" s="99"/>
      <c r="M21" s="101"/>
    </row>
    <row r="22" spans="1:14" x14ac:dyDescent="0.25">
      <c r="A22" s="1"/>
      <c r="B22" s="21"/>
      <c r="C22" s="86"/>
      <c r="E22" s="90"/>
      <c r="G22" s="94"/>
      <c r="H22" s="118"/>
      <c r="I22" s="94"/>
      <c r="J22" s="118"/>
      <c r="K22" s="12"/>
      <c r="L22" s="99"/>
      <c r="M22" s="101"/>
    </row>
    <row r="23" spans="1:14" x14ac:dyDescent="0.25">
      <c r="A23" s="1"/>
      <c r="B23" s="21"/>
      <c r="C23" s="86"/>
      <c r="E23" s="90"/>
      <c r="G23" s="93"/>
      <c r="H23" s="118"/>
      <c r="I23" s="97"/>
      <c r="J23" s="118"/>
      <c r="K23" s="2"/>
      <c r="L23" s="99"/>
      <c r="M23" s="101"/>
    </row>
    <row r="24" spans="1:14" x14ac:dyDescent="0.25">
      <c r="A24" s="1"/>
      <c r="B24" s="21"/>
      <c r="C24" s="3"/>
      <c r="E24" s="90"/>
      <c r="G24" s="93"/>
      <c r="H24" s="118"/>
      <c r="I24" s="97"/>
      <c r="J24" s="118"/>
      <c r="K24" s="2"/>
      <c r="L24" s="99"/>
      <c r="M24" s="101"/>
    </row>
    <row r="25" spans="1:14" x14ac:dyDescent="0.25">
      <c r="A25" s="1"/>
      <c r="B25" s="21"/>
      <c r="C25" s="85"/>
      <c r="D25" s="85"/>
      <c r="E25" s="85"/>
      <c r="G25" s="94"/>
      <c r="H25" s="118"/>
      <c r="I25" s="94"/>
      <c r="J25" s="118"/>
      <c r="K25" s="2"/>
      <c r="L25" s="99"/>
      <c r="M25" s="101"/>
    </row>
    <row r="26" spans="1:14" x14ac:dyDescent="0.25">
      <c r="A26" s="1"/>
      <c r="B26" s="21"/>
      <c r="C26" s="3"/>
      <c r="D26" s="3"/>
      <c r="E26" s="3"/>
      <c r="G26" s="2"/>
      <c r="H26" s="117"/>
      <c r="I26" s="2"/>
      <c r="J26" s="131"/>
      <c r="K26" s="2"/>
      <c r="L26" s="99"/>
      <c r="M26" s="101"/>
    </row>
    <row r="27" spans="1:14" x14ac:dyDescent="0.25">
      <c r="A27" s="1"/>
      <c r="B27" s="21"/>
      <c r="C27" s="87" t="s">
        <v>52</v>
      </c>
      <c r="F27" s="129">
        <f>SUM(F10:F26)</f>
        <v>16659479</v>
      </c>
      <c r="G27" s="95"/>
      <c r="H27" s="129">
        <f>SUM(H10:H26)</f>
        <v>516223</v>
      </c>
      <c r="I27" s="96"/>
      <c r="J27" s="129">
        <f>SUM(J10:J26)</f>
        <v>403761.12666666665</v>
      </c>
      <c r="K27" s="96">
        <f>SUM(K10:K26)</f>
        <v>-112461.87333333334</v>
      </c>
      <c r="L27" s="99"/>
      <c r="M27" s="101"/>
      <c r="N27" s="10"/>
    </row>
    <row r="28" spans="1:14" x14ac:dyDescent="0.25">
      <c r="A28" s="1"/>
      <c r="B28" s="82"/>
      <c r="C28" s="88"/>
      <c r="D28" s="88"/>
      <c r="E28" s="88"/>
      <c r="F28" s="136"/>
      <c r="G28" s="88"/>
      <c r="H28" s="130"/>
      <c r="I28" s="88"/>
      <c r="J28" s="130"/>
      <c r="K28" s="88"/>
      <c r="L28" s="100"/>
      <c r="M28" s="102"/>
    </row>
    <row r="29" spans="1:14" x14ac:dyDescent="0.25">
      <c r="A29" s="1"/>
      <c r="B29" s="1"/>
      <c r="C29" s="3"/>
      <c r="D29" s="3"/>
      <c r="E29" s="3"/>
      <c r="G29" s="3"/>
      <c r="H29" s="131"/>
      <c r="I29" s="3"/>
      <c r="J29" s="131"/>
      <c r="K29" s="3"/>
      <c r="L29" s="3"/>
      <c r="M29" s="3"/>
    </row>
    <row r="30" spans="1:14" x14ac:dyDescent="0.25">
      <c r="D30" s="3" t="s">
        <v>84</v>
      </c>
    </row>
    <row r="31" spans="1:14" x14ac:dyDescent="0.25">
      <c r="D31" s="3"/>
    </row>
    <row r="33" spans="4:15" x14ac:dyDescent="0.25">
      <c r="D33" s="1" t="s">
        <v>102</v>
      </c>
      <c r="F33" s="132">
        <f>J27</f>
        <v>403761.12666666665</v>
      </c>
    </row>
    <row r="34" spans="4:15" ht="18" x14ac:dyDescent="0.4">
      <c r="D34" s="1" t="s">
        <v>103</v>
      </c>
      <c r="F34" s="137">
        <f>-SAO!D40</f>
        <v>-516223</v>
      </c>
      <c r="G34" s="223" t="s">
        <v>327</v>
      </c>
    </row>
    <row r="35" spans="4:15" x14ac:dyDescent="0.25">
      <c r="D35" s="1" t="s">
        <v>104</v>
      </c>
      <c r="F35" s="132">
        <f>F33+F34</f>
        <v>-112461.87333333335</v>
      </c>
      <c r="G35" s="241"/>
    </row>
    <row r="43" spans="4:15" x14ac:dyDescent="0.25">
      <c r="F43" s="1"/>
      <c r="G43" s="132"/>
      <c r="H43" s="1"/>
      <c r="I43" s="128"/>
      <c r="J43"/>
      <c r="K43" s="128"/>
      <c r="O43"/>
    </row>
    <row r="44" spans="4:15" x14ac:dyDescent="0.25">
      <c r="F44" s="1"/>
      <c r="G44" s="132"/>
      <c r="H44" s="1"/>
      <c r="I44" s="128"/>
      <c r="J44"/>
      <c r="K44" s="128"/>
      <c r="O44"/>
    </row>
    <row r="45" spans="4:15" x14ac:dyDescent="0.25">
      <c r="F45" s="1"/>
      <c r="G45" s="132"/>
      <c r="H45" s="1"/>
      <c r="I45" s="128"/>
      <c r="J45"/>
      <c r="K45" s="128"/>
      <c r="O45"/>
    </row>
    <row r="46" spans="4:15" x14ac:dyDescent="0.25">
      <c r="F46" s="1"/>
      <c r="G46" s="132"/>
      <c r="H46" s="1"/>
      <c r="I46" s="128"/>
      <c r="J46"/>
      <c r="K46" s="128"/>
      <c r="O46"/>
    </row>
    <row r="47" spans="4:15" x14ac:dyDescent="0.25">
      <c r="F47" s="1"/>
      <c r="G47" s="132"/>
      <c r="H47" s="138"/>
      <c r="I47" s="128"/>
      <c r="J47"/>
      <c r="K47" s="128"/>
      <c r="O47"/>
    </row>
    <row r="48" spans="4:15" x14ac:dyDescent="0.25">
      <c r="F48" s="1"/>
      <c r="G48" s="132"/>
      <c r="H48" s="138"/>
      <c r="I48" s="128"/>
      <c r="J48"/>
      <c r="K48" s="128"/>
      <c r="O48"/>
    </row>
    <row r="49" spans="6:15" x14ac:dyDescent="0.25">
      <c r="F49" s="1"/>
      <c r="G49" s="132"/>
      <c r="H49" s="1"/>
      <c r="I49" s="128"/>
      <c r="J49"/>
      <c r="K49" s="128"/>
      <c r="O49"/>
    </row>
    <row r="50" spans="6:15" x14ac:dyDescent="0.25">
      <c r="F50" s="1"/>
      <c r="G50" s="132"/>
      <c r="H50" s="1"/>
      <c r="I50" s="128"/>
      <c r="J50"/>
      <c r="K50" s="128"/>
      <c r="O50"/>
    </row>
    <row r="51" spans="6:15" x14ac:dyDescent="0.25">
      <c r="F51" s="1"/>
      <c r="G51" s="132"/>
      <c r="H51" s="1"/>
      <c r="I51" s="128"/>
      <c r="J51"/>
      <c r="K51" s="128"/>
      <c r="O51"/>
    </row>
    <row r="52" spans="6:15" x14ac:dyDescent="0.25">
      <c r="F52" s="1"/>
      <c r="G52" s="132"/>
      <c r="H52" s="1"/>
      <c r="I52" s="128"/>
      <c r="J52"/>
      <c r="K52" s="128"/>
      <c r="O52"/>
    </row>
  </sheetData>
  <mergeCells count="5">
    <mergeCell ref="C3:K3"/>
    <mergeCell ref="C4:K4"/>
    <mergeCell ref="C5:K5"/>
    <mergeCell ref="G7:H7"/>
    <mergeCell ref="I7:J7"/>
  </mergeCells>
  <pageMargins left="0.7" right="0.7" top="0.75" bottom="0.75" header="0.3" footer="0.3"/>
  <pageSetup scale="7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2889-0321-45D3-A9A4-AE60C9D6113F}">
  <sheetPr>
    <tabColor rgb="FF92D050"/>
  </sheetPr>
  <dimension ref="A1:R116"/>
  <sheetViews>
    <sheetView showGridLines="0" topLeftCell="D6" workbookViewId="0">
      <selection activeCell="E6" sqref="E6"/>
    </sheetView>
  </sheetViews>
  <sheetFormatPr defaultColWidth="8.88671875" defaultRowHeight="14.25" x14ac:dyDescent="0.2"/>
  <cols>
    <col min="1" max="1" width="8.88671875" style="106"/>
    <col min="2" max="2" width="23.88671875" style="106" customWidth="1"/>
    <col min="3" max="3" width="10.109375" style="106" bestFit="1" customWidth="1"/>
    <col min="4" max="4" width="15.33203125" style="106" bestFit="1" customWidth="1"/>
    <col min="5" max="5" width="15.6640625" style="106" customWidth="1"/>
    <col min="6" max="6" width="12.33203125" style="106" bestFit="1" customWidth="1"/>
    <col min="7" max="8" width="11.109375" style="106" customWidth="1"/>
    <col min="9" max="9" width="13.33203125" style="106" bestFit="1" customWidth="1"/>
    <col min="10" max="10" width="10.109375" style="106" bestFit="1" customWidth="1"/>
    <col min="11" max="11" width="13.88671875" style="106" bestFit="1" customWidth="1"/>
    <col min="12" max="12" width="10.109375" style="106" bestFit="1" customWidth="1"/>
    <col min="13" max="15" width="12.33203125" style="106" bestFit="1" customWidth="1"/>
    <col min="16" max="16" width="12.6640625" style="106" customWidth="1"/>
    <col min="17" max="17" width="13" style="106" bestFit="1" customWidth="1"/>
    <col min="18" max="18" width="11.44140625" style="106" bestFit="1" customWidth="1"/>
    <col min="19" max="16384" width="8.88671875" style="106"/>
  </cols>
  <sheetData>
    <row r="1" spans="1:17" ht="15" x14ac:dyDescent="0.25">
      <c r="A1" s="1"/>
      <c r="B1" s="167" t="s">
        <v>180</v>
      </c>
      <c r="C1" s="1"/>
    </row>
    <row r="2" spans="1:17" ht="15" x14ac:dyDescent="0.25">
      <c r="A2" s="1"/>
      <c r="B2" s="1" t="s">
        <v>213</v>
      </c>
      <c r="C2" s="1"/>
      <c r="E2" s="359">
        <f>J98+K98+L98</f>
        <v>119360.333378992</v>
      </c>
    </row>
    <row r="3" spans="1:17" ht="15" x14ac:dyDescent="0.25">
      <c r="A3" s="1"/>
      <c r="B3" s="1" t="s">
        <v>212</v>
      </c>
      <c r="C3" s="1"/>
      <c r="D3" s="261"/>
      <c r="E3" s="169">
        <f>M98</f>
        <v>1268276.28012</v>
      </c>
    </row>
    <row r="4" spans="1:17" ht="15" x14ac:dyDescent="0.25">
      <c r="A4" s="1"/>
      <c r="B4" s="1"/>
      <c r="C4" s="1" t="s">
        <v>43</v>
      </c>
      <c r="D4" s="258"/>
      <c r="E4" s="360">
        <f>E2+E3</f>
        <v>1387636.6134989921</v>
      </c>
    </row>
    <row r="5" spans="1:17" ht="15" x14ac:dyDescent="0.25">
      <c r="A5" s="1"/>
      <c r="B5" s="1"/>
      <c r="E5" s="169"/>
    </row>
    <row r="6" spans="1:17" ht="15" x14ac:dyDescent="0.25">
      <c r="A6" s="1"/>
      <c r="B6" s="1"/>
      <c r="C6" s="1" t="s">
        <v>276</v>
      </c>
      <c r="E6" s="361">
        <f>SAO!D27</f>
        <v>1311515</v>
      </c>
      <c r="G6" s="106" t="s">
        <v>216</v>
      </c>
    </row>
    <row r="7" spans="1:17" ht="15" x14ac:dyDescent="0.25">
      <c r="A7" s="1"/>
      <c r="B7" s="1"/>
      <c r="C7" s="1" t="s">
        <v>128</v>
      </c>
      <c r="E7" s="169">
        <f>E4-E6</f>
        <v>76121.613498992054</v>
      </c>
      <c r="J7" s="253"/>
    </row>
    <row r="8" spans="1:17" x14ac:dyDescent="0.2">
      <c r="Q8" s="162" t="s">
        <v>228</v>
      </c>
    </row>
    <row r="9" spans="1:17" ht="15" x14ac:dyDescent="0.2">
      <c r="F9" s="383">
        <v>2024</v>
      </c>
      <c r="G9" s="384"/>
      <c r="Q9" s="162" t="s">
        <v>229</v>
      </c>
    </row>
    <row r="10" spans="1:17" ht="15" x14ac:dyDescent="0.25">
      <c r="A10" s="1"/>
      <c r="B10" s="1"/>
      <c r="C10" s="1"/>
      <c r="F10" s="174" t="s">
        <v>210</v>
      </c>
      <c r="G10" s="175"/>
      <c r="H10" s="175"/>
      <c r="J10" s="162" t="s">
        <v>36</v>
      </c>
      <c r="K10" s="260"/>
      <c r="N10" s="162" t="s">
        <v>203</v>
      </c>
      <c r="O10" s="162" t="s">
        <v>208</v>
      </c>
      <c r="P10" s="254">
        <v>3.09</v>
      </c>
      <c r="Q10" s="315">
        <v>4.2359999999999998</v>
      </c>
    </row>
    <row r="11" spans="1:17" x14ac:dyDescent="0.2">
      <c r="F11" s="173"/>
      <c r="G11" s="175" t="s">
        <v>200</v>
      </c>
      <c r="H11" s="175" t="s">
        <v>203</v>
      </c>
      <c r="I11" s="175" t="s">
        <v>12</v>
      </c>
      <c r="J11" s="175" t="s">
        <v>173</v>
      </c>
      <c r="K11" s="175" t="s">
        <v>201</v>
      </c>
      <c r="L11" s="175" t="s">
        <v>202</v>
      </c>
      <c r="M11" s="175" t="s">
        <v>207</v>
      </c>
      <c r="N11" s="175" t="s">
        <v>11</v>
      </c>
      <c r="O11" s="175" t="s">
        <v>11</v>
      </c>
      <c r="P11" s="255" t="s">
        <v>209</v>
      </c>
      <c r="Q11" s="255" t="s">
        <v>209</v>
      </c>
    </row>
    <row r="12" spans="1:17" hidden="1" x14ac:dyDescent="0.2">
      <c r="F12" s="173"/>
      <c r="G12" s="263"/>
      <c r="H12" s="251"/>
      <c r="I12" s="264"/>
      <c r="J12" s="265"/>
      <c r="K12" s="265"/>
      <c r="L12" s="265"/>
      <c r="M12" s="265"/>
      <c r="N12" s="261"/>
      <c r="O12" s="265"/>
      <c r="P12" s="261"/>
      <c r="Q12" s="266"/>
    </row>
    <row r="13" spans="1:17" hidden="1" x14ac:dyDescent="0.2">
      <c r="F13" s="173"/>
      <c r="G13" s="175"/>
      <c r="I13" s="264"/>
      <c r="J13" s="267"/>
      <c r="K13" s="267"/>
      <c r="L13" s="267"/>
      <c r="M13" s="267"/>
      <c r="N13" s="257"/>
      <c r="O13" s="267"/>
      <c r="P13" s="257"/>
      <c r="Q13" s="268"/>
    </row>
    <row r="14" spans="1:17" hidden="1" x14ac:dyDescent="0.2">
      <c r="F14" s="173"/>
      <c r="G14" s="175"/>
      <c r="I14" s="264"/>
      <c r="J14" s="267"/>
      <c r="K14" s="267"/>
      <c r="L14" s="267"/>
      <c r="M14" s="267"/>
      <c r="N14" s="257"/>
      <c r="O14" s="257"/>
      <c r="P14" s="268"/>
      <c r="Q14" s="257"/>
    </row>
    <row r="15" spans="1:17" x14ac:dyDescent="0.2">
      <c r="F15" s="169" t="s">
        <v>115</v>
      </c>
      <c r="G15" s="251">
        <v>45294</v>
      </c>
      <c r="H15" s="251" t="s">
        <v>204</v>
      </c>
      <c r="I15" s="258">
        <v>16573700</v>
      </c>
      <c r="J15" s="257">
        <v>892.5</v>
      </c>
      <c r="K15" s="257"/>
      <c r="L15" s="257"/>
      <c r="M15" s="257">
        <v>51212.73</v>
      </c>
      <c r="N15" s="257">
        <f>SUM(J15:M15)</f>
        <v>52105.23</v>
      </c>
      <c r="O15" s="257"/>
      <c r="P15" s="257">
        <f>I15*0.00309</f>
        <v>51212.733</v>
      </c>
    </row>
    <row r="16" spans="1:17" x14ac:dyDescent="0.2">
      <c r="H16" s="106" t="s">
        <v>205</v>
      </c>
      <c r="I16" s="258">
        <v>422310</v>
      </c>
      <c r="J16" s="257">
        <v>148.72999999999999</v>
      </c>
      <c r="K16" s="257"/>
      <c r="L16" s="257"/>
      <c r="M16" s="257">
        <v>1304.94</v>
      </c>
      <c r="N16" s="257">
        <f t="shared" ref="N16:N17" si="0">SUM(J16:M16)</f>
        <v>1453.67</v>
      </c>
      <c r="P16" s="256">
        <f>I16*0.00309</f>
        <v>1304.9378999999999</v>
      </c>
    </row>
    <row r="17" spans="1:18" x14ac:dyDescent="0.2">
      <c r="H17" s="106" t="s">
        <v>206</v>
      </c>
      <c r="I17" s="258">
        <v>6983500</v>
      </c>
      <c r="J17" s="257">
        <v>746.7</v>
      </c>
      <c r="K17" s="257">
        <v>2509.94</v>
      </c>
      <c r="L17" s="257">
        <v>1851.95</v>
      </c>
      <c r="M17" s="257">
        <v>29603.29</v>
      </c>
      <c r="N17" s="257">
        <f t="shared" si="0"/>
        <v>34711.880000000005</v>
      </c>
      <c r="O17" s="253">
        <f>SUM(N15:N17)</f>
        <v>88270.78</v>
      </c>
      <c r="P17" s="256"/>
      <c r="Q17" s="256">
        <f>(I17/1000)*Q10</f>
        <v>29582.106</v>
      </c>
    </row>
    <row r="18" spans="1:18" x14ac:dyDescent="0.2">
      <c r="F18" s="169" t="s">
        <v>116</v>
      </c>
      <c r="G18" s="251">
        <v>45324</v>
      </c>
      <c r="H18" s="251" t="s">
        <v>204</v>
      </c>
      <c r="I18" s="258">
        <v>17922260</v>
      </c>
      <c r="J18" s="257">
        <v>892.5</v>
      </c>
      <c r="K18" s="257"/>
      <c r="L18" s="257"/>
      <c r="M18" s="257">
        <v>55379.78</v>
      </c>
      <c r="N18" s="257">
        <f t="shared" ref="N18:N50" si="1">SUM(J18:M18)</f>
        <v>56272.28</v>
      </c>
      <c r="P18" s="256">
        <f>I18*0.00309</f>
        <v>55379.7834</v>
      </c>
    </row>
    <row r="19" spans="1:18" x14ac:dyDescent="0.2">
      <c r="H19" s="106" t="s">
        <v>205</v>
      </c>
      <c r="I19" s="258">
        <v>473870</v>
      </c>
      <c r="J19" s="257">
        <v>148.72999999999999</v>
      </c>
      <c r="K19" s="257"/>
      <c r="L19" s="257"/>
      <c r="M19" s="257">
        <v>1464.26</v>
      </c>
      <c r="N19" s="257">
        <f t="shared" si="1"/>
        <v>1612.99</v>
      </c>
      <c r="P19" s="256">
        <f>I19*0.00309</f>
        <v>1464.2583</v>
      </c>
    </row>
    <row r="20" spans="1:18" x14ac:dyDescent="0.2">
      <c r="H20" s="106" t="s">
        <v>206</v>
      </c>
      <c r="I20" s="258">
        <v>6417000</v>
      </c>
      <c r="J20" s="257">
        <v>746.7</v>
      </c>
      <c r="K20" s="257">
        <v>2309.7399999999998</v>
      </c>
      <c r="L20" s="257">
        <v>1700.51</v>
      </c>
      <c r="M20" s="257">
        <v>27182.41</v>
      </c>
      <c r="N20" s="257">
        <f t="shared" si="1"/>
        <v>31939.360000000001</v>
      </c>
      <c r="O20" s="253">
        <f>SUM(N18:N20)</f>
        <v>89824.63</v>
      </c>
      <c r="P20" s="256"/>
      <c r="Q20" s="256">
        <f>(I20/1000)*Q10</f>
        <v>27182.412</v>
      </c>
    </row>
    <row r="21" spans="1:18" ht="15" x14ac:dyDescent="0.25">
      <c r="A21" s="1"/>
      <c r="B21" s="1"/>
      <c r="C21" s="1"/>
      <c r="F21" s="169" t="s">
        <v>117</v>
      </c>
      <c r="G21" s="251">
        <v>45352</v>
      </c>
      <c r="H21" s="251" t="s">
        <v>204</v>
      </c>
      <c r="I21" s="258">
        <v>15824650</v>
      </c>
      <c r="J21" s="257">
        <v>892.5</v>
      </c>
      <c r="K21" s="257"/>
      <c r="L21" s="257"/>
      <c r="M21" s="257">
        <v>48898.17</v>
      </c>
      <c r="N21" s="257">
        <f t="shared" si="1"/>
        <v>49790.67</v>
      </c>
      <c r="P21" s="256">
        <f>I21*0.00309</f>
        <v>48898.1685</v>
      </c>
    </row>
    <row r="22" spans="1:18" ht="15" x14ac:dyDescent="0.25">
      <c r="A22" s="1"/>
      <c r="B22" s="1"/>
      <c r="C22" s="1"/>
      <c r="H22" s="106" t="s">
        <v>205</v>
      </c>
      <c r="I22" s="258">
        <v>421370</v>
      </c>
      <c r="J22" s="257">
        <v>148.72999999999999</v>
      </c>
      <c r="K22" s="257"/>
      <c r="L22" s="257"/>
      <c r="M22" s="257">
        <v>1302.03</v>
      </c>
      <c r="N22" s="257">
        <f t="shared" si="1"/>
        <v>1450.76</v>
      </c>
      <c r="P22" s="256">
        <f>I22*0.00309</f>
        <v>1302.0333000000001</v>
      </c>
    </row>
    <row r="23" spans="1:18" ht="15" x14ac:dyDescent="0.25">
      <c r="A23" s="1"/>
      <c r="B23" s="1"/>
      <c r="C23" s="1"/>
      <c r="F23" s="230"/>
      <c r="G23" s="323" t="s">
        <v>307</v>
      </c>
      <c r="H23" s="106" t="s">
        <v>206</v>
      </c>
      <c r="I23" s="258">
        <v>7644700</v>
      </c>
      <c r="J23" s="257">
        <v>969.25</v>
      </c>
      <c r="K23" s="257">
        <v>265.14</v>
      </c>
      <c r="L23" s="257">
        <v>2025.85</v>
      </c>
      <c r="M23" s="257">
        <f>3133.83+39748.7</f>
        <v>42882.53</v>
      </c>
      <c r="N23" s="257">
        <f t="shared" si="1"/>
        <v>46142.77</v>
      </c>
      <c r="O23" s="253">
        <f>SUM(N21:N23)</f>
        <v>97384.2</v>
      </c>
      <c r="P23" s="256"/>
      <c r="Q23" s="256">
        <f>M23</f>
        <v>42882.53</v>
      </c>
    </row>
    <row r="24" spans="1:18" ht="15" x14ac:dyDescent="0.25">
      <c r="A24" s="1"/>
      <c r="B24" s="1"/>
      <c r="C24" s="1"/>
      <c r="F24" s="169" t="s">
        <v>118</v>
      </c>
      <c r="G24" s="251"/>
      <c r="H24" s="251" t="s">
        <v>204</v>
      </c>
      <c r="I24" s="258">
        <v>17032060</v>
      </c>
      <c r="J24" s="257">
        <v>892.5</v>
      </c>
      <c r="K24" s="257"/>
      <c r="L24" s="257"/>
      <c r="M24" s="257">
        <v>52629.07</v>
      </c>
      <c r="N24" s="257">
        <f t="shared" si="1"/>
        <v>53521.57</v>
      </c>
      <c r="P24" s="256">
        <f t="shared" ref="P24:P25" si="2">I24*0.00309</f>
        <v>52629.065399999999</v>
      </c>
    </row>
    <row r="25" spans="1:18" ht="15" x14ac:dyDescent="0.25">
      <c r="A25" s="1"/>
      <c r="B25" s="1"/>
      <c r="C25" s="1"/>
      <c r="H25" s="106" t="s">
        <v>205</v>
      </c>
      <c r="I25" s="258">
        <v>468280</v>
      </c>
      <c r="J25" s="257">
        <v>148.72999999999999</v>
      </c>
      <c r="K25" s="257"/>
      <c r="L25" s="257"/>
      <c r="M25" s="257">
        <v>1446.99</v>
      </c>
      <c r="N25" s="257">
        <f t="shared" si="1"/>
        <v>1595.72</v>
      </c>
      <c r="P25" s="256">
        <f t="shared" si="2"/>
        <v>1446.9851999999998</v>
      </c>
    </row>
    <row r="26" spans="1:18" ht="15" x14ac:dyDescent="0.25">
      <c r="A26" s="1"/>
      <c r="B26" s="1"/>
      <c r="C26" s="1"/>
      <c r="H26" s="106" t="s">
        <v>206</v>
      </c>
      <c r="I26" s="258">
        <v>7008300</v>
      </c>
      <c r="J26" s="257">
        <v>993.1</v>
      </c>
      <c r="K26" s="257">
        <v>0</v>
      </c>
      <c r="L26" s="257">
        <v>1881.13</v>
      </c>
      <c r="M26" s="257">
        <v>40343.980000000003</v>
      </c>
      <c r="N26" s="257">
        <f t="shared" si="1"/>
        <v>43218.210000000006</v>
      </c>
      <c r="O26" s="253">
        <f>SUM(N24:N26)</f>
        <v>98335.5</v>
      </c>
      <c r="P26" s="256"/>
      <c r="Q26" s="256">
        <f>(I26/100)*R26</f>
        <v>40343.979779999994</v>
      </c>
      <c r="R26" s="106">
        <v>0.57565999999999995</v>
      </c>
    </row>
    <row r="27" spans="1:18" ht="15" x14ac:dyDescent="0.25">
      <c r="A27" s="1"/>
      <c r="B27" s="1"/>
      <c r="C27" s="1"/>
      <c r="F27" s="169" t="s">
        <v>119</v>
      </c>
      <c r="G27" s="251">
        <v>45413</v>
      </c>
      <c r="H27" s="251" t="s">
        <v>204</v>
      </c>
      <c r="I27" s="258">
        <v>16318560</v>
      </c>
      <c r="J27" s="257">
        <v>892.5</v>
      </c>
      <c r="K27" s="257"/>
      <c r="L27" s="257"/>
      <c r="M27" s="257">
        <v>50424.35</v>
      </c>
      <c r="N27" s="257">
        <f t="shared" si="1"/>
        <v>51316.85</v>
      </c>
      <c r="P27" s="256">
        <f t="shared" ref="P27:P28" si="3">I27*0.00309</f>
        <v>50424.350399999996</v>
      </c>
    </row>
    <row r="28" spans="1:18" ht="15" x14ac:dyDescent="0.25">
      <c r="A28" s="1"/>
      <c r="B28" s="1"/>
      <c r="C28" s="1"/>
      <c r="H28" s="106" t="s">
        <v>205</v>
      </c>
      <c r="I28" s="258">
        <v>456530</v>
      </c>
      <c r="J28" s="257">
        <v>148.72999999999999</v>
      </c>
      <c r="K28" s="257"/>
      <c r="L28" s="257"/>
      <c r="M28" s="257">
        <v>1410.68</v>
      </c>
      <c r="N28" s="257">
        <f t="shared" si="1"/>
        <v>1559.41</v>
      </c>
      <c r="P28" s="256">
        <f t="shared" si="3"/>
        <v>1410.6777</v>
      </c>
    </row>
    <row r="29" spans="1:18" ht="15" x14ac:dyDescent="0.25">
      <c r="A29" s="1"/>
      <c r="B29" s="1"/>
      <c r="C29" s="1"/>
      <c r="H29" s="106" t="s">
        <v>206</v>
      </c>
      <c r="I29" s="258">
        <v>8542400</v>
      </c>
      <c r="J29" s="257">
        <v>993.1</v>
      </c>
      <c r="K29" s="257">
        <v>0</v>
      </c>
      <c r="L29" s="257">
        <v>2545.64</v>
      </c>
      <c r="M29" s="257">
        <v>49175.18</v>
      </c>
      <c r="N29" s="257">
        <f t="shared" si="1"/>
        <v>52713.919999999998</v>
      </c>
      <c r="O29" s="253">
        <f>SUM(N27:N29)</f>
        <v>105590.18</v>
      </c>
      <c r="P29" s="256"/>
      <c r="Q29" s="256">
        <f>(I29/100)*R26</f>
        <v>49175.179839999997</v>
      </c>
    </row>
    <row r="30" spans="1:18" ht="15" x14ac:dyDescent="0.25">
      <c r="A30" s="1"/>
      <c r="B30" s="1"/>
      <c r="C30" s="1"/>
      <c r="F30" s="169" t="s">
        <v>120</v>
      </c>
      <c r="G30" s="251">
        <v>45446</v>
      </c>
      <c r="H30" s="251" t="s">
        <v>204</v>
      </c>
      <c r="I30" s="258">
        <v>19185300</v>
      </c>
      <c r="J30" s="257">
        <v>892.5</v>
      </c>
      <c r="K30" s="257"/>
      <c r="L30" s="257"/>
      <c r="M30" s="257">
        <v>59282.58</v>
      </c>
      <c r="N30" s="257">
        <f t="shared" si="1"/>
        <v>60175.08</v>
      </c>
      <c r="P30" s="256">
        <f t="shared" ref="P30:P31" si="4">I30*0.00309</f>
        <v>59282.576999999997</v>
      </c>
    </row>
    <row r="31" spans="1:18" ht="15" x14ac:dyDescent="0.25">
      <c r="A31" s="1"/>
      <c r="B31" s="1"/>
      <c r="C31" s="1"/>
      <c r="H31" s="106" t="s">
        <v>205</v>
      </c>
      <c r="I31" s="258">
        <v>532260</v>
      </c>
      <c r="J31" s="257">
        <v>148.72999999999999</v>
      </c>
      <c r="K31" s="257"/>
      <c r="L31" s="257"/>
      <c r="M31" s="257">
        <v>1644.68</v>
      </c>
      <c r="N31" s="257">
        <f t="shared" si="1"/>
        <v>1793.41</v>
      </c>
      <c r="P31" s="256">
        <f t="shared" si="4"/>
        <v>1644.6833999999999</v>
      </c>
    </row>
    <row r="32" spans="1:18" x14ac:dyDescent="0.2">
      <c r="H32" s="106" t="s">
        <v>206</v>
      </c>
      <c r="I32" s="258">
        <v>10721600</v>
      </c>
      <c r="J32" s="257">
        <v>993.1</v>
      </c>
      <c r="K32" s="257">
        <v>0</v>
      </c>
      <c r="L32" s="257">
        <v>3195.04</v>
      </c>
      <c r="M32" s="257">
        <v>61719.96</v>
      </c>
      <c r="N32" s="257">
        <f t="shared" si="1"/>
        <v>65908.100000000006</v>
      </c>
      <c r="O32" s="253">
        <f>SUM(N30:N32)</f>
        <v>127876.59000000001</v>
      </c>
      <c r="P32" s="256"/>
      <c r="Q32" s="256">
        <f>(I32/100)*R26</f>
        <v>61719.962559999993</v>
      </c>
    </row>
    <row r="33" spans="1:18" x14ac:dyDescent="0.2">
      <c r="F33" s="169" t="s">
        <v>121</v>
      </c>
      <c r="G33" s="251">
        <v>45474</v>
      </c>
      <c r="H33" s="251" t="s">
        <v>204</v>
      </c>
      <c r="I33" s="258">
        <v>18379390</v>
      </c>
      <c r="J33" s="257">
        <v>892.5</v>
      </c>
      <c r="K33" s="257"/>
      <c r="L33" s="257"/>
      <c r="M33" s="257">
        <v>56792.32</v>
      </c>
      <c r="N33" s="257">
        <f t="shared" si="1"/>
        <v>57684.82</v>
      </c>
      <c r="P33" s="256">
        <f t="shared" ref="P33:P34" si="5">I33*0.00309</f>
        <v>56792.3151</v>
      </c>
    </row>
    <row r="34" spans="1:18" x14ac:dyDescent="0.2">
      <c r="H34" s="106" t="s">
        <v>205</v>
      </c>
      <c r="I34" s="258">
        <v>542350</v>
      </c>
      <c r="J34" s="257">
        <v>148.72999999999999</v>
      </c>
      <c r="K34" s="257"/>
      <c r="L34" s="257"/>
      <c r="M34" s="257">
        <v>1675.86</v>
      </c>
      <c r="N34" s="257">
        <f t="shared" si="1"/>
        <v>1824.59</v>
      </c>
      <c r="P34" s="256">
        <f t="shared" si="5"/>
        <v>1675.8615</v>
      </c>
    </row>
    <row r="35" spans="1:18" x14ac:dyDescent="0.2">
      <c r="E35" s="256"/>
      <c r="G35" s="323" t="s">
        <v>211</v>
      </c>
      <c r="H35" s="106" t="s">
        <v>206</v>
      </c>
      <c r="I35" s="258">
        <v>11641100</v>
      </c>
      <c r="J35" s="257">
        <v>955.4</v>
      </c>
      <c r="K35" s="257">
        <v>781.53</v>
      </c>
      <c r="L35" s="257">
        <v>3469.05</v>
      </c>
      <c r="M35" s="257">
        <f>52653.2+11702.3</f>
        <v>64355.5</v>
      </c>
      <c r="N35" s="257">
        <f t="shared" si="1"/>
        <v>69561.48</v>
      </c>
      <c r="O35" s="253">
        <f>SUM(N33:N35)</f>
        <v>129070.88999999998</v>
      </c>
      <c r="P35" s="256"/>
      <c r="Q35" s="256">
        <f>M35</f>
        <v>64355.5</v>
      </c>
      <c r="R35" s="106">
        <v>0.46911999999999998</v>
      </c>
    </row>
    <row r="36" spans="1:18" x14ac:dyDescent="0.2">
      <c r="F36" s="169" t="s">
        <v>122</v>
      </c>
      <c r="G36" s="251">
        <v>45505</v>
      </c>
      <c r="H36" s="251" t="s">
        <v>204</v>
      </c>
      <c r="I36" s="258">
        <v>20961810</v>
      </c>
      <c r="J36" s="257">
        <v>892.5</v>
      </c>
      <c r="K36" s="257"/>
      <c r="L36" s="257"/>
      <c r="M36" s="257">
        <v>64771.99</v>
      </c>
      <c r="N36" s="257">
        <f t="shared" si="1"/>
        <v>65664.489999999991</v>
      </c>
      <c r="P36" s="256">
        <f t="shared" ref="P36:P37" si="6">I36*0.00309</f>
        <v>64771.992899999997</v>
      </c>
    </row>
    <row r="37" spans="1:18" ht="15" x14ac:dyDescent="0.25">
      <c r="A37" s="1"/>
      <c r="B37" s="1"/>
      <c r="C37" s="1"/>
      <c r="H37" s="106" t="s">
        <v>205</v>
      </c>
      <c r="I37" s="258">
        <v>620810</v>
      </c>
      <c r="J37" s="257">
        <v>148.72999999999999</v>
      </c>
      <c r="K37" s="257"/>
      <c r="L37" s="257"/>
      <c r="M37" s="257">
        <v>1918.3</v>
      </c>
      <c r="N37" s="257">
        <f t="shared" si="1"/>
        <v>2067.0299999999997</v>
      </c>
      <c r="P37" s="256">
        <f t="shared" si="6"/>
        <v>1918.3028999999999</v>
      </c>
    </row>
    <row r="38" spans="1:18" ht="15" x14ac:dyDescent="0.25">
      <c r="A38" s="1"/>
      <c r="B38" s="1"/>
      <c r="C38" s="1"/>
      <c r="H38" s="106" t="s">
        <v>206</v>
      </c>
      <c r="I38" s="258">
        <v>13677300</v>
      </c>
      <c r="J38" s="257">
        <v>817.2</v>
      </c>
      <c r="K38" s="257">
        <v>4275.6899999999996</v>
      </c>
      <c r="L38" s="257">
        <v>4075.84</v>
      </c>
      <c r="M38" s="313">
        <f>64162.95-46481.3</f>
        <v>17681.649999999994</v>
      </c>
      <c r="N38" s="257">
        <f t="shared" si="1"/>
        <v>26850.379999999994</v>
      </c>
      <c r="O38" s="253">
        <f>SUM(N36:N38)</f>
        <v>94581.89999999998</v>
      </c>
      <c r="P38" s="256"/>
      <c r="Q38" s="256">
        <f>(I38/100)*R35</f>
        <v>64162.949759999996</v>
      </c>
    </row>
    <row r="39" spans="1:18" ht="15" x14ac:dyDescent="0.25">
      <c r="A39" s="1"/>
      <c r="B39" s="1"/>
      <c r="C39" s="10"/>
      <c r="F39" s="169" t="s">
        <v>123</v>
      </c>
      <c r="G39" s="251">
        <v>45538</v>
      </c>
      <c r="H39" s="251" t="s">
        <v>204</v>
      </c>
      <c r="I39" s="258">
        <v>23502510</v>
      </c>
      <c r="J39" s="257">
        <v>892.5</v>
      </c>
      <c r="K39" s="257"/>
      <c r="L39" s="257"/>
      <c r="M39" s="257">
        <v>72622.759999999995</v>
      </c>
      <c r="N39" s="257">
        <f t="shared" si="1"/>
        <v>73515.259999999995</v>
      </c>
      <c r="P39" s="256">
        <f t="shared" ref="P39:P40" si="7">I39*0.00309</f>
        <v>72622.755900000004</v>
      </c>
    </row>
    <row r="40" spans="1:18" x14ac:dyDescent="0.2">
      <c r="H40" s="106" t="s">
        <v>205</v>
      </c>
      <c r="I40" s="258">
        <v>678650</v>
      </c>
      <c r="J40" s="257">
        <v>148.72999999999999</v>
      </c>
      <c r="K40" s="257"/>
      <c r="L40" s="257"/>
      <c r="M40" s="257">
        <v>2097.0300000000002</v>
      </c>
      <c r="N40" s="257">
        <f t="shared" si="1"/>
        <v>2245.7600000000002</v>
      </c>
      <c r="P40" s="256">
        <f t="shared" si="7"/>
        <v>2097.0284999999999</v>
      </c>
    </row>
    <row r="41" spans="1:18" x14ac:dyDescent="0.2">
      <c r="H41" s="106" t="s">
        <v>206</v>
      </c>
      <c r="I41" s="258">
        <v>13799500</v>
      </c>
      <c r="J41" s="257">
        <v>817.2</v>
      </c>
      <c r="K41" s="257">
        <v>4290.37</v>
      </c>
      <c r="L41" s="257">
        <v>4112.25</v>
      </c>
      <c r="M41" s="257">
        <v>64736.21</v>
      </c>
      <c r="N41" s="257">
        <f t="shared" si="1"/>
        <v>73956.03</v>
      </c>
      <c r="O41" s="253">
        <f>SUM(N39:N41)</f>
        <v>149717.04999999999</v>
      </c>
      <c r="Q41" s="256">
        <f>(I41/100)*R35</f>
        <v>64736.214399999997</v>
      </c>
    </row>
    <row r="42" spans="1:18" x14ac:dyDescent="0.2">
      <c r="A42" s="162"/>
      <c r="F42" s="169" t="s">
        <v>124</v>
      </c>
      <c r="G42" s="251">
        <v>45566</v>
      </c>
      <c r="H42" s="251" t="s">
        <v>204</v>
      </c>
      <c r="I42" s="258">
        <v>20173210</v>
      </c>
      <c r="J42" s="257">
        <v>892.5</v>
      </c>
      <c r="K42" s="257"/>
      <c r="L42" s="257"/>
      <c r="M42" s="257">
        <v>62335.22</v>
      </c>
      <c r="N42" s="257">
        <f t="shared" si="1"/>
        <v>63227.72</v>
      </c>
      <c r="P42" s="256">
        <f t="shared" ref="P42:P43" si="8">I42*0.00309</f>
        <v>62335.2189</v>
      </c>
    </row>
    <row r="43" spans="1:18" x14ac:dyDescent="0.2">
      <c r="H43" s="106" t="s">
        <v>205</v>
      </c>
      <c r="I43" s="258">
        <v>423360</v>
      </c>
      <c r="J43" s="257">
        <v>148.72999999999999</v>
      </c>
      <c r="K43" s="257"/>
      <c r="L43" s="257"/>
      <c r="M43" s="257">
        <v>1308.18</v>
      </c>
      <c r="N43" s="257">
        <f t="shared" si="1"/>
        <v>1456.91</v>
      </c>
      <c r="P43" s="256">
        <f t="shared" si="8"/>
        <v>1308.1823999999999</v>
      </c>
    </row>
    <row r="44" spans="1:18" x14ac:dyDescent="0.2">
      <c r="H44" s="106" t="s">
        <v>206</v>
      </c>
      <c r="I44" s="258">
        <v>9575500</v>
      </c>
      <c r="J44" s="257">
        <v>817.2</v>
      </c>
      <c r="K44" s="257">
        <v>2876.91</v>
      </c>
      <c r="L44" s="257">
        <v>2853.5</v>
      </c>
      <c r="M44" s="257">
        <v>44920.59</v>
      </c>
      <c r="N44" s="257">
        <f t="shared" si="1"/>
        <v>51468.2</v>
      </c>
      <c r="O44" s="253">
        <f>SUM(N42:N44)</f>
        <v>116152.83</v>
      </c>
      <c r="Q44" s="256">
        <f>(I44/100)*R35</f>
        <v>44920.585599999999</v>
      </c>
    </row>
    <row r="45" spans="1:18" x14ac:dyDescent="0.2">
      <c r="F45" s="169" t="s">
        <v>125</v>
      </c>
      <c r="G45" s="251">
        <v>45597</v>
      </c>
      <c r="H45" s="251" t="s">
        <v>204</v>
      </c>
      <c r="I45" s="258">
        <v>19542090</v>
      </c>
      <c r="J45" s="257">
        <v>892.5</v>
      </c>
      <c r="K45" s="257"/>
      <c r="L45" s="257"/>
      <c r="M45" s="257">
        <v>60385.06</v>
      </c>
      <c r="N45" s="257">
        <f t="shared" si="1"/>
        <v>61277.56</v>
      </c>
      <c r="P45" s="256">
        <f t="shared" ref="P45:P46" si="9">I45*0.00309</f>
        <v>60385.058099999995</v>
      </c>
    </row>
    <row r="46" spans="1:18" x14ac:dyDescent="0.2">
      <c r="H46" s="106" t="s">
        <v>205</v>
      </c>
      <c r="I46" s="258">
        <v>460470</v>
      </c>
      <c r="J46" s="257">
        <v>148.72999999999999</v>
      </c>
      <c r="K46" s="257"/>
      <c r="L46" s="257"/>
      <c r="M46" s="257">
        <v>1732.69</v>
      </c>
      <c r="N46" s="257">
        <f t="shared" si="1"/>
        <v>1881.42</v>
      </c>
      <c r="P46" s="256">
        <f t="shared" si="9"/>
        <v>1422.8523</v>
      </c>
    </row>
    <row r="47" spans="1:18" x14ac:dyDescent="0.2">
      <c r="H47" s="106" t="s">
        <v>206</v>
      </c>
      <c r="I47" s="258">
        <v>10832500</v>
      </c>
      <c r="J47" s="257">
        <v>817.2</v>
      </c>
      <c r="K47" s="257">
        <v>3247.82</v>
      </c>
      <c r="L47" s="257">
        <v>3228.09</v>
      </c>
      <c r="M47" s="257">
        <v>50817.42</v>
      </c>
      <c r="N47" s="257">
        <f t="shared" si="1"/>
        <v>58110.53</v>
      </c>
      <c r="O47" s="253">
        <f>SUM(N45:N47)</f>
        <v>121269.51</v>
      </c>
      <c r="Q47" s="256">
        <f>(I47/100)*R35</f>
        <v>50817.423999999999</v>
      </c>
      <c r="R47" s="106">
        <v>4.9527000000000001</v>
      </c>
    </row>
    <row r="48" spans="1:18" x14ac:dyDescent="0.2">
      <c r="F48" s="169" t="s">
        <v>126</v>
      </c>
      <c r="G48" s="251">
        <v>45628</v>
      </c>
      <c r="H48" s="251" t="s">
        <v>204</v>
      </c>
      <c r="I48" s="258">
        <v>16866340</v>
      </c>
      <c r="J48" s="257">
        <v>892.5</v>
      </c>
      <c r="K48" s="257"/>
      <c r="L48" s="257"/>
      <c r="M48" s="257">
        <v>52116.99</v>
      </c>
      <c r="N48" s="257">
        <f t="shared" si="1"/>
        <v>53009.49</v>
      </c>
      <c r="P48" s="256">
        <f t="shared" ref="P48:P49" si="10">I48*0.00309</f>
        <v>52116.990599999997</v>
      </c>
    </row>
    <row r="49" spans="6:18" x14ac:dyDescent="0.2">
      <c r="H49" s="106" t="s">
        <v>205</v>
      </c>
      <c r="I49" s="258">
        <v>484680</v>
      </c>
      <c r="J49" s="257">
        <v>148.72999999999999</v>
      </c>
      <c r="K49" s="257"/>
      <c r="L49" s="257"/>
      <c r="M49" s="257">
        <v>1497.66</v>
      </c>
      <c r="N49" s="257">
        <f t="shared" si="1"/>
        <v>1646.39</v>
      </c>
      <c r="P49" s="256">
        <f t="shared" si="10"/>
        <v>1497.6612</v>
      </c>
    </row>
    <row r="50" spans="6:18" x14ac:dyDescent="0.2">
      <c r="H50" s="106" t="s">
        <v>206</v>
      </c>
      <c r="I50" s="258">
        <v>6818200</v>
      </c>
      <c r="J50" s="313">
        <v>871.08</v>
      </c>
      <c r="K50" s="257">
        <v>2174.96</v>
      </c>
      <c r="L50" s="257">
        <v>2031.82</v>
      </c>
      <c r="M50" s="257">
        <f>1102.95+32604.07</f>
        <v>33707.019999999997</v>
      </c>
      <c r="N50" s="257">
        <f t="shared" si="1"/>
        <v>38784.879999999997</v>
      </c>
      <c r="O50" s="253">
        <f>SUM(N48:N50)</f>
        <v>93440.76</v>
      </c>
      <c r="Q50" s="256">
        <f>(I50/1000)*R47</f>
        <v>33768.49914</v>
      </c>
    </row>
    <row r="51" spans="6:18" x14ac:dyDescent="0.2">
      <c r="I51" s="258"/>
      <c r="J51" s="257"/>
      <c r="K51" s="257"/>
      <c r="L51" s="257"/>
      <c r="M51" s="257"/>
      <c r="N51" s="257"/>
    </row>
    <row r="52" spans="6:18" x14ac:dyDescent="0.2">
      <c r="I52" s="321">
        <f t="shared" ref="I52:Q52" si="11">SUM(I15:I51)</f>
        <v>341928420</v>
      </c>
      <c r="J52" s="322">
        <f t="shared" si="11"/>
        <v>23031.99</v>
      </c>
      <c r="K52" s="322">
        <f t="shared" si="11"/>
        <v>22732.1</v>
      </c>
      <c r="L52" s="322">
        <f t="shared" si="11"/>
        <v>32970.67</v>
      </c>
      <c r="M52" s="322">
        <f t="shared" si="11"/>
        <v>1232780.0599999998</v>
      </c>
      <c r="N52" s="322">
        <f t="shared" si="11"/>
        <v>1311514.8199999996</v>
      </c>
      <c r="O52" s="322">
        <f t="shared" si="11"/>
        <v>1311514.82</v>
      </c>
      <c r="P52" s="322">
        <f t="shared" si="11"/>
        <v>705344.47380000004</v>
      </c>
      <c r="Q52" s="322">
        <f t="shared" si="11"/>
        <v>573647.34308000002</v>
      </c>
      <c r="R52" s="256">
        <f>Q52+P52</f>
        <v>1278991.8168800001</v>
      </c>
    </row>
    <row r="53" spans="6:18" x14ac:dyDescent="0.2">
      <c r="I53" s="258"/>
      <c r="J53" s="257"/>
      <c r="K53" s="257"/>
      <c r="L53" s="257"/>
      <c r="M53" s="257"/>
      <c r="N53" s="257"/>
    </row>
    <row r="54" spans="6:18" x14ac:dyDescent="0.2">
      <c r="I54" s="258"/>
      <c r="J54" s="257" t="s">
        <v>309</v>
      </c>
      <c r="K54" s="257"/>
      <c r="L54" s="257"/>
      <c r="M54" s="257" t="s">
        <v>215</v>
      </c>
      <c r="N54" s="257"/>
      <c r="Q54" s="162" t="s">
        <v>228</v>
      </c>
    </row>
    <row r="55" spans="6:18" ht="15" x14ac:dyDescent="0.2">
      <c r="F55" s="385" t="s">
        <v>311</v>
      </c>
      <c r="G55" s="386"/>
      <c r="H55" s="387"/>
      <c r="J55" s="106" t="s">
        <v>308</v>
      </c>
      <c r="K55" s="162" t="s">
        <v>310</v>
      </c>
      <c r="M55" s="265">
        <v>3.09</v>
      </c>
      <c r="Q55" s="162" t="s">
        <v>229</v>
      </c>
    </row>
    <row r="56" spans="6:18" x14ac:dyDescent="0.2">
      <c r="F56" s="174" t="s">
        <v>214</v>
      </c>
      <c r="G56" s="175"/>
      <c r="H56" s="175"/>
      <c r="I56" s="162">
        <v>2024</v>
      </c>
      <c r="J56" s="162" t="s">
        <v>36</v>
      </c>
      <c r="K56" s="356">
        <v>0.1106</v>
      </c>
      <c r="M56" s="255" t="s">
        <v>209</v>
      </c>
      <c r="N56" s="162" t="s">
        <v>203</v>
      </c>
      <c r="O56" s="162" t="s">
        <v>208</v>
      </c>
      <c r="P56" s="265">
        <v>3.09</v>
      </c>
      <c r="Q56" s="355">
        <v>4.9527000000000001</v>
      </c>
    </row>
    <row r="57" spans="6:18" x14ac:dyDescent="0.2">
      <c r="F57" s="173"/>
      <c r="G57" s="175" t="s">
        <v>200</v>
      </c>
      <c r="H57" s="175" t="s">
        <v>203</v>
      </c>
      <c r="I57" s="175" t="s">
        <v>12</v>
      </c>
      <c r="J57" s="175" t="s">
        <v>173</v>
      </c>
      <c r="K57" s="175" t="s">
        <v>201</v>
      </c>
      <c r="L57" s="175" t="s">
        <v>202</v>
      </c>
      <c r="M57" s="175" t="s">
        <v>207</v>
      </c>
      <c r="N57" s="175" t="s">
        <v>11</v>
      </c>
      <c r="O57" s="175" t="s">
        <v>11</v>
      </c>
      <c r="P57" s="255" t="s">
        <v>209</v>
      </c>
      <c r="Q57" s="255" t="s">
        <v>209</v>
      </c>
    </row>
    <row r="58" spans="6:18" hidden="1" x14ac:dyDescent="0.2">
      <c r="F58" s="173"/>
      <c r="G58" s="263"/>
      <c r="H58" s="251"/>
      <c r="I58" s="316"/>
      <c r="J58" s="313"/>
      <c r="K58" s="314"/>
      <c r="L58" s="314"/>
      <c r="M58" s="314"/>
      <c r="N58" s="317"/>
      <c r="O58" s="314"/>
      <c r="P58" s="317"/>
      <c r="Q58" s="318"/>
    </row>
    <row r="59" spans="6:18" hidden="1" x14ac:dyDescent="0.2">
      <c r="F59" s="173"/>
      <c r="G59" s="175"/>
      <c r="I59" s="316"/>
      <c r="J59" s="313"/>
      <c r="K59" s="319"/>
      <c r="L59" s="319"/>
      <c r="M59" s="314"/>
      <c r="N59" s="313"/>
      <c r="O59" s="319"/>
      <c r="P59" s="317"/>
      <c r="Q59" s="320"/>
    </row>
    <row r="60" spans="6:18" hidden="1" x14ac:dyDescent="0.2">
      <c r="F60" s="173"/>
      <c r="G60" s="175"/>
      <c r="I60" s="316"/>
      <c r="J60" s="313"/>
      <c r="K60" s="319"/>
      <c r="L60" s="319"/>
      <c r="M60" s="319"/>
      <c r="N60" s="313"/>
      <c r="O60" s="313"/>
      <c r="P60" s="320"/>
      <c r="Q60" s="313"/>
    </row>
    <row r="61" spans="6:18" x14ac:dyDescent="0.2">
      <c r="F61" s="169" t="s">
        <v>115</v>
      </c>
      <c r="G61" s="251">
        <v>45294</v>
      </c>
      <c r="H61" s="251" t="s">
        <v>204</v>
      </c>
      <c r="I61" s="258">
        <v>16573700</v>
      </c>
      <c r="J61" s="257">
        <v>892.5</v>
      </c>
      <c r="K61" s="257"/>
      <c r="L61" s="257"/>
      <c r="M61" s="265">
        <f t="shared" ref="M61:M62" si="12">(I61/1000)*3.09</f>
        <v>51212.733</v>
      </c>
      <c r="N61" s="257">
        <f>SUM(J61:M61)</f>
        <v>52105.233</v>
      </c>
      <c r="O61" s="257"/>
      <c r="P61" s="261">
        <f t="shared" ref="P61:P62" si="13">I61*0.00309</f>
        <v>51212.733</v>
      </c>
    </row>
    <row r="62" spans="6:18" x14ac:dyDescent="0.2">
      <c r="H62" s="106" t="s">
        <v>205</v>
      </c>
      <c r="I62" s="258">
        <v>422310</v>
      </c>
      <c r="J62" s="257">
        <v>148.72999999999999</v>
      </c>
      <c r="K62" s="257"/>
      <c r="L62" s="257"/>
      <c r="M62" s="265">
        <f t="shared" si="12"/>
        <v>1304.9378999999999</v>
      </c>
      <c r="N62" s="257">
        <f t="shared" ref="N62:N96" si="14">SUM(J62:M62)</f>
        <v>1453.6678999999999</v>
      </c>
      <c r="P62" s="261">
        <f t="shared" si="13"/>
        <v>1304.9378999999999</v>
      </c>
    </row>
    <row r="63" spans="6:18" x14ac:dyDescent="0.2">
      <c r="H63" s="106" t="s">
        <v>206</v>
      </c>
      <c r="I63" s="258">
        <v>6983500</v>
      </c>
      <c r="J63" s="257">
        <v>873</v>
      </c>
      <c r="K63" s="267">
        <f>(J63+M63)*K56</f>
        <v>3921.8959577700002</v>
      </c>
      <c r="L63" s="257">
        <v>1851.95</v>
      </c>
      <c r="M63" s="357">
        <f>(I63/1000)*Q56</f>
        <v>34587.18045</v>
      </c>
      <c r="N63" s="257">
        <f t="shared" si="14"/>
        <v>41234.026407769998</v>
      </c>
      <c r="O63" s="253">
        <f>SUM(N61:N63)</f>
        <v>94792.927307770005</v>
      </c>
      <c r="P63" s="256"/>
      <c r="Q63" s="357">
        <f>(I63/1000)*Q56</f>
        <v>34587.18045</v>
      </c>
    </row>
    <row r="64" spans="6:18" x14ac:dyDescent="0.2">
      <c r="F64" s="169" t="s">
        <v>116</v>
      </c>
      <c r="G64" s="251">
        <v>45324</v>
      </c>
      <c r="H64" s="251" t="s">
        <v>204</v>
      </c>
      <c r="I64" s="258">
        <v>17922260</v>
      </c>
      <c r="J64" s="257">
        <v>892.5</v>
      </c>
      <c r="K64" s="257"/>
      <c r="L64" s="257"/>
      <c r="M64" s="265">
        <f t="shared" ref="M64:M65" si="15">(I64/1000)*3.09</f>
        <v>55379.783399999993</v>
      </c>
      <c r="N64" s="257">
        <f t="shared" si="14"/>
        <v>56272.283399999993</v>
      </c>
      <c r="P64" s="261">
        <f t="shared" ref="P64:P65" si="16">I64*0.00309</f>
        <v>55379.7834</v>
      </c>
    </row>
    <row r="65" spans="6:17" x14ac:dyDescent="0.2">
      <c r="H65" s="106" t="s">
        <v>205</v>
      </c>
      <c r="I65" s="258">
        <v>473870</v>
      </c>
      <c r="J65" s="257">
        <v>148.72999999999999</v>
      </c>
      <c r="K65" s="257"/>
      <c r="L65" s="257"/>
      <c r="M65" s="265">
        <f t="shared" si="15"/>
        <v>1464.2583</v>
      </c>
      <c r="N65" s="257">
        <f t="shared" si="14"/>
        <v>1612.9883</v>
      </c>
      <c r="P65" s="261">
        <f t="shared" si="16"/>
        <v>1464.2583</v>
      </c>
    </row>
    <row r="66" spans="6:17" x14ac:dyDescent="0.2">
      <c r="H66" s="106" t="s">
        <v>206</v>
      </c>
      <c r="I66" s="258">
        <v>6417000</v>
      </c>
      <c r="J66" s="257">
        <v>873</v>
      </c>
      <c r="K66" s="267">
        <f>(J66+M66)*K56</f>
        <v>3611.5850345400004</v>
      </c>
      <c r="L66" s="257">
        <v>1700.51</v>
      </c>
      <c r="M66" s="357">
        <f>(I66/1000)*Q56</f>
        <v>31781.475900000001</v>
      </c>
      <c r="N66" s="257">
        <f t="shared" si="14"/>
        <v>37966.570934540003</v>
      </c>
      <c r="O66" s="253">
        <f>SUM(N64:N66)</f>
        <v>95851.842634539993</v>
      </c>
      <c r="P66" s="256"/>
      <c r="Q66" s="256">
        <f>(I66/1000)*Q56</f>
        <v>31781.475900000001</v>
      </c>
    </row>
    <row r="67" spans="6:17" x14ac:dyDescent="0.2">
      <c r="F67" s="169" t="s">
        <v>117</v>
      </c>
      <c r="G67" s="251">
        <v>45352</v>
      </c>
      <c r="H67" s="251" t="s">
        <v>204</v>
      </c>
      <c r="I67" s="258">
        <v>15824650</v>
      </c>
      <c r="J67" s="257">
        <v>892.5</v>
      </c>
      <c r="K67" s="257"/>
      <c r="L67" s="257"/>
      <c r="M67" s="265">
        <f t="shared" ref="M67:M68" si="17">(I67/1000)*3.09</f>
        <v>48898.1685</v>
      </c>
      <c r="N67" s="257">
        <f t="shared" si="14"/>
        <v>49790.6685</v>
      </c>
      <c r="P67" s="261">
        <f t="shared" ref="P67:P68" si="18">I67*0.00309</f>
        <v>48898.1685</v>
      </c>
    </row>
    <row r="68" spans="6:17" x14ac:dyDescent="0.2">
      <c r="H68" s="106" t="s">
        <v>205</v>
      </c>
      <c r="I68" s="258">
        <v>421370</v>
      </c>
      <c r="J68" s="257">
        <v>148.72999999999999</v>
      </c>
      <c r="K68" s="257"/>
      <c r="L68" s="257"/>
      <c r="M68" s="265">
        <f t="shared" si="17"/>
        <v>1302.0333000000001</v>
      </c>
      <c r="N68" s="257">
        <f t="shared" si="14"/>
        <v>1450.7633000000001</v>
      </c>
      <c r="P68" s="261">
        <f t="shared" si="18"/>
        <v>1302.0333000000001</v>
      </c>
    </row>
    <row r="69" spans="6:17" x14ac:dyDescent="0.2">
      <c r="G69" s="323" t="s">
        <v>307</v>
      </c>
      <c r="H69" s="106" t="s">
        <v>206</v>
      </c>
      <c r="I69" s="258">
        <v>7644700</v>
      </c>
      <c r="J69" s="257">
        <v>873</v>
      </c>
      <c r="K69" s="267">
        <f>(J69+M69)*K56</f>
        <v>4284.0805693140001</v>
      </c>
      <c r="L69" s="257">
        <v>2025.85</v>
      </c>
      <c r="M69" s="357">
        <f>(I69/1000)*Q56</f>
        <v>37861.90569</v>
      </c>
      <c r="N69" s="257">
        <f t="shared" si="14"/>
        <v>45044.836259313997</v>
      </c>
      <c r="O69" s="253">
        <f>SUM(N67:N69)</f>
        <v>96286.268059313996</v>
      </c>
      <c r="P69" s="256"/>
      <c r="Q69" s="256">
        <f>(I69/1000)*Q56</f>
        <v>37861.90569</v>
      </c>
    </row>
    <row r="70" spans="6:17" x14ac:dyDescent="0.2">
      <c r="F70" s="169" t="s">
        <v>118</v>
      </c>
      <c r="G70" s="251"/>
      <c r="H70" s="251" t="s">
        <v>204</v>
      </c>
      <c r="I70" s="258">
        <v>17032060</v>
      </c>
      <c r="J70" s="257">
        <v>892.5</v>
      </c>
      <c r="K70" s="257"/>
      <c r="L70" s="257"/>
      <c r="M70" s="265">
        <f t="shared" ref="M70:M71" si="19">(I70/1000)*3.09</f>
        <v>52629.065399999999</v>
      </c>
      <c r="N70" s="257">
        <f t="shared" si="14"/>
        <v>53521.565399999999</v>
      </c>
      <c r="P70" s="261">
        <f t="shared" ref="P70:P71" si="20">I70*0.00309</f>
        <v>52629.065399999999</v>
      </c>
    </row>
    <row r="71" spans="6:17" x14ac:dyDescent="0.2">
      <c r="H71" s="106" t="s">
        <v>205</v>
      </c>
      <c r="I71" s="258">
        <v>468280</v>
      </c>
      <c r="J71" s="257">
        <v>148.72999999999999</v>
      </c>
      <c r="K71" s="257"/>
      <c r="L71" s="257"/>
      <c r="M71" s="265">
        <f t="shared" si="19"/>
        <v>1446.9851999999998</v>
      </c>
      <c r="N71" s="257">
        <f t="shared" si="14"/>
        <v>1595.7151999999999</v>
      </c>
      <c r="P71" s="261">
        <f t="shared" si="20"/>
        <v>1446.9851999999998</v>
      </c>
    </row>
    <row r="72" spans="6:17" x14ac:dyDescent="0.2">
      <c r="H72" s="106" t="s">
        <v>206</v>
      </c>
      <c r="I72" s="258">
        <v>7008300</v>
      </c>
      <c r="J72" s="257">
        <v>873</v>
      </c>
      <c r="K72" s="267">
        <f>(J72+M72)*K56</f>
        <v>3935.4806195460001</v>
      </c>
      <c r="L72" s="257">
        <v>1881.13</v>
      </c>
      <c r="M72" s="357">
        <f>(I72/1000)*Q56</f>
        <v>34710.007409999998</v>
      </c>
      <c r="N72" s="257">
        <f t="shared" si="14"/>
        <v>41399.618029546</v>
      </c>
      <c r="O72" s="253">
        <f>SUM(N70:N72)</f>
        <v>96516.898629545991</v>
      </c>
      <c r="P72" s="256"/>
      <c r="Q72" s="256">
        <f>(I72/1000)*Q56</f>
        <v>34710.007409999998</v>
      </c>
    </row>
    <row r="73" spans="6:17" x14ac:dyDescent="0.2">
      <c r="F73" s="169" t="s">
        <v>119</v>
      </c>
      <c r="G73" s="251">
        <v>45413</v>
      </c>
      <c r="H73" s="251" t="s">
        <v>204</v>
      </c>
      <c r="I73" s="258">
        <v>16318560</v>
      </c>
      <c r="J73" s="257">
        <v>892.5</v>
      </c>
      <c r="K73" s="257"/>
      <c r="L73" s="257"/>
      <c r="M73" s="265">
        <f t="shared" ref="M73:M74" si="21">(I73/1000)*3.09</f>
        <v>50424.350399999996</v>
      </c>
      <c r="N73" s="257">
        <f t="shared" si="14"/>
        <v>51316.850399999996</v>
      </c>
      <c r="P73" s="261">
        <f t="shared" ref="P73:P74" si="22">I73*0.00309</f>
        <v>50424.350399999996</v>
      </c>
    </row>
    <row r="74" spans="6:17" x14ac:dyDescent="0.2">
      <c r="H74" s="106" t="s">
        <v>205</v>
      </c>
      <c r="I74" s="258">
        <v>456530</v>
      </c>
      <c r="J74" s="257">
        <v>148.72999999999999</v>
      </c>
      <c r="K74" s="257"/>
      <c r="L74" s="257"/>
      <c r="M74" s="265">
        <f t="shared" si="21"/>
        <v>1410.6777</v>
      </c>
      <c r="N74" s="257">
        <f t="shared" si="14"/>
        <v>1559.4077</v>
      </c>
      <c r="P74" s="261">
        <f t="shared" si="22"/>
        <v>1410.6777</v>
      </c>
    </row>
    <row r="75" spans="6:17" x14ac:dyDescent="0.2">
      <c r="H75" s="106" t="s">
        <v>206</v>
      </c>
      <c r="I75" s="258">
        <v>8542400</v>
      </c>
      <c r="J75" s="257">
        <v>873</v>
      </c>
      <c r="K75" s="267">
        <f>(J75+M75)*K56</f>
        <v>4775.8124594880001</v>
      </c>
      <c r="L75" s="257">
        <v>2545.64</v>
      </c>
      <c r="M75" s="357">
        <f>(I75/1000)*Q56</f>
        <v>42307.944479999998</v>
      </c>
      <c r="N75" s="257">
        <f t="shared" si="14"/>
        <v>50502.396939487997</v>
      </c>
      <c r="O75" s="253">
        <f>SUM(N73:N75)</f>
        <v>103378.65503948799</v>
      </c>
      <c r="P75" s="256"/>
      <c r="Q75" s="256">
        <f>(I75/1000)*Q56</f>
        <v>42307.944479999998</v>
      </c>
    </row>
    <row r="76" spans="6:17" x14ac:dyDescent="0.2">
      <c r="F76" s="169" t="s">
        <v>120</v>
      </c>
      <c r="G76" s="251">
        <v>45446</v>
      </c>
      <c r="H76" s="251" t="s">
        <v>204</v>
      </c>
      <c r="I76" s="258">
        <v>19185300</v>
      </c>
      <c r="J76" s="257">
        <v>892.5</v>
      </c>
      <c r="K76" s="257"/>
      <c r="L76" s="257"/>
      <c r="M76" s="265">
        <f t="shared" ref="M76:M77" si="23">(I76/1000)*3.09</f>
        <v>59282.576999999997</v>
      </c>
      <c r="N76" s="257">
        <f t="shared" si="14"/>
        <v>60175.076999999997</v>
      </c>
      <c r="P76" s="261">
        <f t="shared" ref="P76:P77" si="24">I76*0.00309</f>
        <v>59282.576999999997</v>
      </c>
    </row>
    <row r="77" spans="6:17" x14ac:dyDescent="0.2">
      <c r="H77" s="106" t="s">
        <v>205</v>
      </c>
      <c r="I77" s="258">
        <v>532260</v>
      </c>
      <c r="J77" s="257">
        <v>148.72999999999999</v>
      </c>
      <c r="K77" s="257"/>
      <c r="L77" s="257"/>
      <c r="M77" s="265">
        <f t="shared" si="23"/>
        <v>1644.6833999999999</v>
      </c>
      <c r="N77" s="257">
        <f t="shared" si="14"/>
        <v>1793.4133999999999</v>
      </c>
      <c r="P77" s="261">
        <f t="shared" si="24"/>
        <v>1644.6833999999999</v>
      </c>
    </row>
    <row r="78" spans="6:17" x14ac:dyDescent="0.2">
      <c r="H78" s="106" t="s">
        <v>206</v>
      </c>
      <c r="I78" s="258">
        <v>10721600</v>
      </c>
      <c r="J78" s="257">
        <v>873</v>
      </c>
      <c r="K78" s="267">
        <f>(J78+M78)*K56</f>
        <v>5969.509836192</v>
      </c>
      <c r="L78" s="257">
        <v>3195.04</v>
      </c>
      <c r="M78" s="357">
        <f>(I78/1000)*Q56</f>
        <v>53100.868320000001</v>
      </c>
      <c r="N78" s="257">
        <f t="shared" si="14"/>
        <v>63138.418156191998</v>
      </c>
      <c r="O78" s="253">
        <f>SUM(N76:N78)</f>
        <v>125106.90855619199</v>
      </c>
      <c r="P78" s="256"/>
      <c r="Q78" s="256">
        <f>(I78/1000)*Q56</f>
        <v>53100.868320000001</v>
      </c>
    </row>
    <row r="79" spans="6:17" x14ac:dyDescent="0.2">
      <c r="F79" s="169" t="s">
        <v>121</v>
      </c>
      <c r="G79" s="251">
        <v>45474</v>
      </c>
      <c r="H79" s="251" t="s">
        <v>204</v>
      </c>
      <c r="I79" s="258">
        <v>18379390</v>
      </c>
      <c r="J79" s="257">
        <v>892.5</v>
      </c>
      <c r="K79" s="257"/>
      <c r="L79" s="257"/>
      <c r="M79" s="265">
        <f t="shared" ref="M79:M80" si="25">(I79/1000)*3.09</f>
        <v>56792.315099999993</v>
      </c>
      <c r="N79" s="257">
        <f t="shared" si="14"/>
        <v>57684.815099999993</v>
      </c>
      <c r="P79" s="261">
        <f t="shared" ref="P79:P80" si="26">I79*0.00309</f>
        <v>56792.3151</v>
      </c>
    </row>
    <row r="80" spans="6:17" x14ac:dyDescent="0.2">
      <c r="H80" s="106" t="s">
        <v>205</v>
      </c>
      <c r="I80" s="258">
        <v>542350</v>
      </c>
      <c r="J80" s="257">
        <v>148.72999999999999</v>
      </c>
      <c r="K80" s="257"/>
      <c r="L80" s="257"/>
      <c r="M80" s="265">
        <f t="shared" si="25"/>
        <v>1675.8615</v>
      </c>
      <c r="N80" s="257">
        <f t="shared" si="14"/>
        <v>1824.5915</v>
      </c>
      <c r="P80" s="261">
        <f t="shared" si="26"/>
        <v>1675.8615</v>
      </c>
    </row>
    <row r="81" spans="6:17" x14ac:dyDescent="0.2">
      <c r="G81" s="323" t="s">
        <v>211</v>
      </c>
      <c r="H81" s="106" t="s">
        <v>206</v>
      </c>
      <c r="I81" s="258">
        <v>11641100</v>
      </c>
      <c r="J81" s="257">
        <v>873</v>
      </c>
      <c r="K81" s="267">
        <f>(J81+M81)*K56</f>
        <v>6473.1830822820002</v>
      </c>
      <c r="L81" s="257">
        <v>3469.05</v>
      </c>
      <c r="M81" s="357">
        <f>(I81/1000)*Q56</f>
        <v>57654.875970000001</v>
      </c>
      <c r="N81" s="257">
        <f t="shared" si="14"/>
        <v>68470.109052282001</v>
      </c>
      <c r="O81" s="253">
        <f>SUM(N79:N81)</f>
        <v>127979.51565228199</v>
      </c>
      <c r="P81" s="256"/>
      <c r="Q81" s="256">
        <f>(I81/1000)*Q56</f>
        <v>57654.875970000001</v>
      </c>
    </row>
    <row r="82" spans="6:17" x14ac:dyDescent="0.2">
      <c r="F82" s="169" t="s">
        <v>122</v>
      </c>
      <c r="G82" s="251">
        <v>45505</v>
      </c>
      <c r="H82" s="251" t="s">
        <v>204</v>
      </c>
      <c r="I82" s="258">
        <v>20961810</v>
      </c>
      <c r="J82" s="257">
        <v>892.5</v>
      </c>
      <c r="K82" s="257"/>
      <c r="L82" s="257"/>
      <c r="M82" s="265">
        <f t="shared" ref="M82:M83" si="27">(I82/1000)*3.09</f>
        <v>64771.992899999997</v>
      </c>
      <c r="N82" s="257">
        <f t="shared" si="14"/>
        <v>65664.492899999997</v>
      </c>
      <c r="P82" s="261">
        <f t="shared" ref="P82:P83" si="28">I82*0.00309</f>
        <v>64771.992899999997</v>
      </c>
    </row>
    <row r="83" spans="6:17" x14ac:dyDescent="0.2">
      <c r="H83" s="106" t="s">
        <v>205</v>
      </c>
      <c r="I83" s="258">
        <v>620810</v>
      </c>
      <c r="J83" s="257">
        <v>148.72999999999999</v>
      </c>
      <c r="K83" s="257"/>
      <c r="L83" s="257"/>
      <c r="M83" s="265">
        <f t="shared" si="27"/>
        <v>1918.3028999999997</v>
      </c>
      <c r="N83" s="257">
        <f t="shared" si="14"/>
        <v>2067.0328999999997</v>
      </c>
      <c r="P83" s="261">
        <f t="shared" si="28"/>
        <v>1918.3028999999999</v>
      </c>
    </row>
    <row r="84" spans="6:17" x14ac:dyDescent="0.2">
      <c r="H84" s="106" t="s">
        <v>206</v>
      </c>
      <c r="I84" s="258">
        <v>13677300</v>
      </c>
      <c r="J84" s="257">
        <v>873</v>
      </c>
      <c r="K84" s="267">
        <f>(J84+M84)*K56</f>
        <v>7588.5495463260004</v>
      </c>
      <c r="L84" s="257">
        <v>4075.84</v>
      </c>
      <c r="M84" s="357">
        <f>(I84/1000)*Q56</f>
        <v>67739.563710000002</v>
      </c>
      <c r="N84" s="257">
        <f t="shared" si="14"/>
        <v>80276.953256326</v>
      </c>
      <c r="O84" s="253">
        <f>SUM(N82:N84)</f>
        <v>148008.479056326</v>
      </c>
      <c r="P84" s="256"/>
      <c r="Q84" s="256">
        <f>(I84/1000)*Q56</f>
        <v>67739.563710000002</v>
      </c>
    </row>
    <row r="85" spans="6:17" x14ac:dyDescent="0.2">
      <c r="F85" s="169" t="s">
        <v>123</v>
      </c>
      <c r="G85" s="251">
        <v>45538</v>
      </c>
      <c r="H85" s="251" t="s">
        <v>204</v>
      </c>
      <c r="I85" s="258">
        <v>23502510</v>
      </c>
      <c r="J85" s="257">
        <v>892.5</v>
      </c>
      <c r="K85" s="257"/>
      <c r="L85" s="257"/>
      <c r="M85" s="265">
        <f t="shared" ref="M85:M86" si="29">(I85/1000)*3.09</f>
        <v>72622.755899999989</v>
      </c>
      <c r="N85" s="257">
        <f t="shared" si="14"/>
        <v>73515.255899999989</v>
      </c>
      <c r="P85" s="261">
        <f t="shared" ref="P85:P86" si="30">I85*0.00309</f>
        <v>72622.755900000004</v>
      </c>
    </row>
    <row r="86" spans="6:17" x14ac:dyDescent="0.2">
      <c r="H86" s="106" t="s">
        <v>205</v>
      </c>
      <c r="I86" s="258">
        <v>678650</v>
      </c>
      <c r="J86" s="257">
        <v>148.72999999999999</v>
      </c>
      <c r="K86" s="257"/>
      <c r="L86" s="257"/>
      <c r="M86" s="265">
        <f t="shared" si="29"/>
        <v>2097.0284999999999</v>
      </c>
      <c r="N86" s="257">
        <f t="shared" si="14"/>
        <v>2245.7584999999999</v>
      </c>
      <c r="P86" s="261">
        <f t="shared" si="30"/>
        <v>2097.0284999999999</v>
      </c>
    </row>
    <row r="87" spans="6:17" x14ac:dyDescent="0.2">
      <c r="H87" s="106" t="s">
        <v>206</v>
      </c>
      <c r="I87" s="258">
        <v>13799500</v>
      </c>
      <c r="J87" s="257">
        <v>873</v>
      </c>
      <c r="K87" s="267">
        <f>(J87+M87)*K56</f>
        <v>7655.48687169</v>
      </c>
      <c r="L87" s="257">
        <v>4112.25</v>
      </c>
      <c r="M87" s="357">
        <f>(I87/1000)*Q56</f>
        <v>68344.783649999998</v>
      </c>
      <c r="N87" s="257">
        <f t="shared" si="14"/>
        <v>80985.520521689992</v>
      </c>
      <c r="O87" s="253">
        <f>SUM(N85:N87)</f>
        <v>156746.53492168998</v>
      </c>
      <c r="Q87" s="256">
        <f>(I87/1000)*Q56</f>
        <v>68344.783649999998</v>
      </c>
    </row>
    <row r="88" spans="6:17" x14ac:dyDescent="0.2">
      <c r="F88" s="169" t="s">
        <v>124</v>
      </c>
      <c r="G88" s="251">
        <v>45566</v>
      </c>
      <c r="H88" s="251" t="s">
        <v>204</v>
      </c>
      <c r="I88" s="258">
        <v>20173210</v>
      </c>
      <c r="J88" s="257">
        <v>892.5</v>
      </c>
      <c r="K88" s="257"/>
      <c r="L88" s="257"/>
      <c r="M88" s="265">
        <f t="shared" ref="M88:M89" si="31">(I88/1000)*3.09</f>
        <v>62335.218899999993</v>
      </c>
      <c r="N88" s="257">
        <f t="shared" si="14"/>
        <v>63227.718899999993</v>
      </c>
      <c r="P88" s="261">
        <f t="shared" ref="P88:P89" si="32">I88*0.00309</f>
        <v>62335.2189</v>
      </c>
    </row>
    <row r="89" spans="6:17" x14ac:dyDescent="0.2">
      <c r="H89" s="106" t="s">
        <v>205</v>
      </c>
      <c r="I89" s="258">
        <v>423360</v>
      </c>
      <c r="J89" s="257">
        <v>148.72999999999999</v>
      </c>
      <c r="K89" s="257"/>
      <c r="L89" s="257"/>
      <c r="M89" s="265">
        <f t="shared" si="31"/>
        <v>1308.1823999999999</v>
      </c>
      <c r="N89" s="257">
        <f t="shared" si="14"/>
        <v>1456.9123999999999</v>
      </c>
      <c r="P89" s="261">
        <f t="shared" si="32"/>
        <v>1308.1823999999999</v>
      </c>
    </row>
    <row r="90" spans="6:17" x14ac:dyDescent="0.2">
      <c r="H90" s="106" t="s">
        <v>206</v>
      </c>
      <c r="I90" s="258">
        <v>9575500</v>
      </c>
      <c r="J90" s="257">
        <v>873</v>
      </c>
      <c r="K90" s="267">
        <f>(J90+M90)*K56</f>
        <v>5341.71222081</v>
      </c>
      <c r="L90" s="257">
        <v>2853.5</v>
      </c>
      <c r="M90" s="357">
        <f>(I90/1000)*Q56</f>
        <v>47424.578849999998</v>
      </c>
      <c r="N90" s="257">
        <f t="shared" si="14"/>
        <v>56492.791070809995</v>
      </c>
      <c r="O90" s="253">
        <f>SUM(N88:N90)</f>
        <v>121177.42237080999</v>
      </c>
      <c r="Q90" s="256">
        <f>(I90/1000)*Q56</f>
        <v>47424.578849999998</v>
      </c>
    </row>
    <row r="91" spans="6:17" x14ac:dyDescent="0.2">
      <c r="F91" s="169" t="s">
        <v>125</v>
      </c>
      <c r="G91" s="251">
        <v>45597</v>
      </c>
      <c r="H91" s="251" t="s">
        <v>204</v>
      </c>
      <c r="I91" s="258">
        <v>19542090</v>
      </c>
      <c r="J91" s="257">
        <v>892.5</v>
      </c>
      <c r="K91" s="257"/>
      <c r="L91" s="257"/>
      <c r="M91" s="265">
        <f t="shared" ref="M91:M92" si="33">(I91/1000)*3.09</f>
        <v>60385.058099999995</v>
      </c>
      <c r="N91" s="257">
        <f t="shared" si="14"/>
        <v>61277.558099999995</v>
      </c>
      <c r="P91" s="261">
        <f t="shared" ref="P91:P92" si="34">I91*0.00309</f>
        <v>60385.058099999995</v>
      </c>
    </row>
    <row r="92" spans="6:17" x14ac:dyDescent="0.2">
      <c r="H92" s="106" t="s">
        <v>205</v>
      </c>
      <c r="I92" s="258">
        <v>460470</v>
      </c>
      <c r="J92" s="257">
        <v>148.72999999999999</v>
      </c>
      <c r="K92" s="257"/>
      <c r="L92" s="257"/>
      <c r="M92" s="265">
        <f t="shared" si="33"/>
        <v>1422.8523</v>
      </c>
      <c r="N92" s="257">
        <f t="shared" si="14"/>
        <v>1571.5823</v>
      </c>
      <c r="P92" s="261">
        <f t="shared" si="34"/>
        <v>1422.8523</v>
      </c>
    </row>
    <row r="93" spans="6:17" x14ac:dyDescent="0.2">
      <c r="H93" s="106" t="s">
        <v>206</v>
      </c>
      <c r="I93" s="258">
        <v>10832500</v>
      </c>
      <c r="J93" s="257">
        <v>873</v>
      </c>
      <c r="K93" s="267">
        <f>(J93+M93)*K56</f>
        <v>6030.2573761500007</v>
      </c>
      <c r="L93" s="257">
        <v>3228.09</v>
      </c>
      <c r="M93" s="357">
        <f>(I93/1000)*Q56</f>
        <v>53650.122750000002</v>
      </c>
      <c r="N93" s="257">
        <f t="shared" si="14"/>
        <v>63781.470126150001</v>
      </c>
      <c r="O93" s="253">
        <f>SUM(N91:N93)</f>
        <v>126630.61052615001</v>
      </c>
      <c r="Q93" s="256">
        <f>(I93/1000)*Q56</f>
        <v>53650.122750000002</v>
      </c>
    </row>
    <row r="94" spans="6:17" x14ac:dyDescent="0.2">
      <c r="F94" s="169" t="s">
        <v>126</v>
      </c>
      <c r="G94" s="251">
        <v>45628</v>
      </c>
      <c r="H94" s="251" t="s">
        <v>204</v>
      </c>
      <c r="I94" s="258">
        <v>16866340</v>
      </c>
      <c r="J94" s="257">
        <v>892.5</v>
      </c>
      <c r="K94" s="257"/>
      <c r="L94" s="257"/>
      <c r="M94" s="257">
        <f>(I94/1000)*3.09</f>
        <v>52116.990599999997</v>
      </c>
      <c r="N94" s="257">
        <f t="shared" si="14"/>
        <v>53009.490599999997</v>
      </c>
      <c r="P94" s="256">
        <f>I94*0.00309</f>
        <v>52116.990599999997</v>
      </c>
    </row>
    <row r="95" spans="6:17" x14ac:dyDescent="0.2">
      <c r="H95" s="106" t="s">
        <v>205</v>
      </c>
      <c r="I95" s="258">
        <v>484680</v>
      </c>
      <c r="J95" s="257">
        <v>148.72999999999999</v>
      </c>
      <c r="K95" s="257"/>
      <c r="L95" s="257"/>
      <c r="M95" s="257">
        <f>(I95/1000)*3.09</f>
        <v>1497.6612</v>
      </c>
      <c r="N95" s="257">
        <f t="shared" si="14"/>
        <v>1646.3912</v>
      </c>
      <c r="P95" s="256">
        <f>I95*0.00309</f>
        <v>1497.6612</v>
      </c>
    </row>
    <row r="96" spans="6:17" x14ac:dyDescent="0.2">
      <c r="H96" s="106" t="s">
        <v>206</v>
      </c>
      <c r="I96" s="258">
        <v>6818200</v>
      </c>
      <c r="J96" s="257">
        <v>873</v>
      </c>
      <c r="K96" s="267">
        <f>(J96+M96)*K56</f>
        <v>3831.3498048840002</v>
      </c>
      <c r="L96" s="257">
        <v>2031.82</v>
      </c>
      <c r="M96" s="357">
        <f>(I96/1000)*Q56</f>
        <v>33768.49914</v>
      </c>
      <c r="N96" s="257">
        <f t="shared" si="14"/>
        <v>40504.668944883997</v>
      </c>
      <c r="O96" s="253">
        <f>SUM(N94:N96)</f>
        <v>95160.550744883993</v>
      </c>
      <c r="Q96" s="256">
        <f>(I96/1000)*Q56</f>
        <v>33768.49914</v>
      </c>
    </row>
    <row r="97" spans="2:18" x14ac:dyDescent="0.2">
      <c r="I97" s="107"/>
      <c r="J97" s="252"/>
      <c r="K97" s="252"/>
      <c r="L97" s="252"/>
      <c r="M97" s="252"/>
      <c r="N97" s="252"/>
    </row>
    <row r="98" spans="2:18" x14ac:dyDescent="0.2">
      <c r="I98" s="259">
        <f>SUM(I61:I97)</f>
        <v>341928420</v>
      </c>
      <c r="J98" s="259">
        <f t="shared" ref="J98:Q98" si="35">SUM(J61:J97)</f>
        <v>22970.759999999995</v>
      </c>
      <c r="K98" s="259">
        <f t="shared" si="35"/>
        <v>63418.903378991999</v>
      </c>
      <c r="L98" s="259">
        <f t="shared" si="35"/>
        <v>32970.67</v>
      </c>
      <c r="M98" s="259">
        <f t="shared" si="35"/>
        <v>1268276.28012</v>
      </c>
      <c r="N98" s="259">
        <f t="shared" si="35"/>
        <v>1387636.6134989918</v>
      </c>
      <c r="O98" s="259">
        <f t="shared" si="35"/>
        <v>1387636.6134989918</v>
      </c>
      <c r="P98" s="259">
        <f t="shared" si="35"/>
        <v>705344.47380000004</v>
      </c>
      <c r="Q98" s="259">
        <f t="shared" si="35"/>
        <v>562931.80631999997</v>
      </c>
      <c r="R98" s="256">
        <f>Q98+P98</f>
        <v>1268276.28012</v>
      </c>
    </row>
    <row r="99" spans="2:18" x14ac:dyDescent="0.2">
      <c r="J99" s="106" t="s">
        <v>222</v>
      </c>
      <c r="K99" s="162" t="s">
        <v>310</v>
      </c>
    </row>
    <row r="100" spans="2:18" x14ac:dyDescent="0.2">
      <c r="J100" s="106" t="s">
        <v>223</v>
      </c>
      <c r="K100" s="356">
        <v>0.1106</v>
      </c>
      <c r="O100" s="358"/>
    </row>
    <row r="107" spans="2:18" x14ac:dyDescent="0.2">
      <c r="B107" s="106" t="s">
        <v>268</v>
      </c>
    </row>
    <row r="108" spans="2:18" ht="15" x14ac:dyDescent="0.2">
      <c r="B108" s="301" t="s">
        <v>219</v>
      </c>
      <c r="C108" s="301">
        <v>2018</v>
      </c>
      <c r="D108" s="301">
        <v>2019</v>
      </c>
      <c r="E108" s="301">
        <v>2020</v>
      </c>
      <c r="F108" s="301">
        <v>2021</v>
      </c>
      <c r="G108" s="301">
        <v>2022</v>
      </c>
      <c r="H108"/>
    </row>
    <row r="109" spans="2:18" ht="15" x14ac:dyDescent="0.2">
      <c r="B109" t="s">
        <v>265</v>
      </c>
      <c r="C109">
        <v>1621</v>
      </c>
      <c r="D109">
        <v>1667</v>
      </c>
      <c r="E109">
        <v>1790</v>
      </c>
      <c r="F109">
        <v>1963</v>
      </c>
      <c r="G109">
        <v>2023</v>
      </c>
      <c r="H109"/>
    </row>
    <row r="110" spans="2:18" ht="15" x14ac:dyDescent="0.2">
      <c r="B110" t="s">
        <v>266</v>
      </c>
      <c r="C110">
        <v>613</v>
      </c>
      <c r="D110">
        <v>637</v>
      </c>
      <c r="E110">
        <v>662</v>
      </c>
      <c r="F110">
        <v>658</v>
      </c>
      <c r="G110">
        <v>668</v>
      </c>
      <c r="H110"/>
    </row>
    <row r="111" spans="2:18" ht="15" x14ac:dyDescent="0.2">
      <c r="C111"/>
      <c r="D111"/>
      <c r="E111"/>
      <c r="F111"/>
      <c r="G111"/>
      <c r="H111"/>
    </row>
    <row r="114" spans="2:7" x14ac:dyDescent="0.2">
      <c r="B114" s="106" t="s">
        <v>269</v>
      </c>
      <c r="C114" s="302">
        <v>1762108</v>
      </c>
      <c r="D114" s="302">
        <v>1867591</v>
      </c>
      <c r="E114" s="302">
        <v>1996840</v>
      </c>
      <c r="F114" s="302">
        <v>2136680</v>
      </c>
      <c r="G114" s="302">
        <v>2407311</v>
      </c>
    </row>
    <row r="115" spans="2:7" x14ac:dyDescent="0.2">
      <c r="B115" s="106" t="s">
        <v>270</v>
      </c>
      <c r="C115" s="302">
        <v>33245</v>
      </c>
      <c r="D115" s="302">
        <v>113569</v>
      </c>
      <c r="E115" s="302">
        <v>-37365</v>
      </c>
      <c r="F115" s="302">
        <v>-76733</v>
      </c>
      <c r="G115" s="302">
        <v>209904</v>
      </c>
    </row>
    <row r="116" spans="2:7" ht="15" x14ac:dyDescent="0.2">
      <c r="B116" t="s">
        <v>267</v>
      </c>
    </row>
  </sheetData>
  <mergeCells count="2">
    <mergeCell ref="F9:G9"/>
    <mergeCell ref="F55:H55"/>
  </mergeCells>
  <phoneticPr fontId="33" type="noConversion"/>
  <pageMargins left="0.7" right="0.7" top="0.75" bottom="0.75" header="0.3" footer="0.3"/>
  <pageSetup orientation="portrait" horizontalDpi="4294967293" r:id="rId1"/>
  <ignoredErrors>
    <ignoredError sqref="N15 N16:N51 R52 N61:N9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EF004-73BD-4C2A-85DA-B682B48EA656}">
  <sheetPr>
    <tabColor rgb="FF92D050"/>
    <pageSetUpPr fitToPage="1"/>
  </sheetPr>
  <dimension ref="A1:O98"/>
  <sheetViews>
    <sheetView showGridLines="0" workbookViewId="0">
      <selection activeCell="B35" sqref="B35"/>
    </sheetView>
  </sheetViews>
  <sheetFormatPr defaultColWidth="8.88671875" defaultRowHeight="15" x14ac:dyDescent="0.2"/>
  <cols>
    <col min="1" max="1" width="4.109375" style="103" customWidth="1"/>
    <col min="2" max="2" width="7.77734375" style="103" customWidth="1"/>
    <col min="3" max="3" width="17.77734375" style="103" customWidth="1"/>
    <col min="4" max="4" width="16.44140625" style="103" customWidth="1"/>
    <col min="5" max="6" width="10.44140625" style="103" customWidth="1"/>
    <col min="7" max="7" width="13.33203125" style="103" customWidth="1"/>
    <col min="8" max="8" width="11.44140625" style="103" bestFit="1" customWidth="1"/>
    <col min="9" max="14" width="10.44140625" style="103" customWidth="1"/>
    <col min="15" max="15" width="13.109375" style="103" customWidth="1"/>
    <col min="16" max="16384" width="8.88671875" style="103"/>
  </cols>
  <sheetData>
    <row r="1" spans="2:15" ht="21" x14ac:dyDescent="0.35">
      <c r="B1" s="391" t="s">
        <v>282</v>
      </c>
      <c r="C1" s="391"/>
      <c r="D1" s="391"/>
      <c r="E1" s="391"/>
      <c r="F1" s="391"/>
      <c r="G1" s="391"/>
      <c r="H1" s="391"/>
      <c r="I1" s="391"/>
      <c r="M1" s="103" t="s">
        <v>262</v>
      </c>
    </row>
    <row r="2" spans="2:15" ht="18.75" x14ac:dyDescent="0.2">
      <c r="B2" s="381" t="str">
        <f>'Debt Service'!B5</f>
        <v>Jessamine County Water District #1</v>
      </c>
      <c r="C2" s="381"/>
      <c r="D2" s="381"/>
      <c r="E2" s="381"/>
      <c r="F2" s="381"/>
      <c r="G2" s="381"/>
      <c r="H2" s="381"/>
      <c r="I2" s="381"/>
    </row>
    <row r="3" spans="2:15" x14ac:dyDescent="0.25">
      <c r="B3" s="13"/>
      <c r="C3" s="14"/>
      <c r="D3" s="14"/>
      <c r="E3" s="14"/>
      <c r="F3" s="14"/>
      <c r="G3" s="14"/>
      <c r="H3" s="14"/>
      <c r="I3" s="14"/>
    </row>
    <row r="4" spans="2:15" ht="15.75" x14ac:dyDescent="0.25">
      <c r="B4" s="1"/>
      <c r="D4" s="392" t="s">
        <v>39</v>
      </c>
      <c r="E4" s="392"/>
      <c r="F4" s="392"/>
      <c r="G4" s="392"/>
      <c r="H4" s="163"/>
      <c r="I4" s="1"/>
      <c r="L4"/>
    </row>
    <row r="5" spans="2:15" ht="15.75" x14ac:dyDescent="0.25">
      <c r="B5" s="1"/>
      <c r="C5" s="116" t="s">
        <v>89</v>
      </c>
      <c r="D5"/>
      <c r="E5" s="148" t="s">
        <v>41</v>
      </c>
      <c r="F5" s="148" t="s">
        <v>42</v>
      </c>
      <c r="G5" s="149" t="s">
        <v>45</v>
      </c>
      <c r="H5" s="149"/>
      <c r="I5" s="10"/>
      <c r="J5" s="105"/>
      <c r="L5"/>
    </row>
    <row r="6" spans="2:15" ht="15.75" x14ac:dyDescent="0.25">
      <c r="B6" s="1"/>
      <c r="C6" s="116" t="s">
        <v>232</v>
      </c>
      <c r="D6"/>
      <c r="E6" s="148">
        <f>D29</f>
        <v>30376</v>
      </c>
      <c r="F6" s="148">
        <f>E32</f>
        <v>165094493</v>
      </c>
      <c r="G6" s="270">
        <f>H32</f>
        <v>1591246</v>
      </c>
      <c r="H6" s="149"/>
      <c r="I6" s="10"/>
      <c r="J6" s="105"/>
      <c r="L6"/>
      <c r="M6" s="104"/>
      <c r="N6" s="104"/>
      <c r="O6" s="104"/>
    </row>
    <row r="7" spans="2:15" ht="15.75" x14ac:dyDescent="0.25">
      <c r="B7" s="1"/>
      <c r="C7" s="116" t="s">
        <v>314</v>
      </c>
      <c r="D7"/>
      <c r="E7" s="148"/>
      <c r="F7" s="148"/>
      <c r="G7" s="270">
        <f>((1114+77)*12)*30.53</f>
        <v>436334.76</v>
      </c>
      <c r="H7" s="149"/>
      <c r="I7" s="10"/>
      <c r="J7" s="105"/>
      <c r="K7" s="103" t="s">
        <v>319</v>
      </c>
      <c r="L7"/>
      <c r="M7" s="104"/>
      <c r="N7" s="104"/>
      <c r="O7" s="104"/>
    </row>
    <row r="8" spans="2:15" ht="15.75" x14ac:dyDescent="0.25">
      <c r="B8" s="1"/>
      <c r="C8" s="116" t="s">
        <v>233</v>
      </c>
      <c r="D8"/>
      <c r="E8" s="148">
        <f>D44</f>
        <v>1213</v>
      </c>
      <c r="F8" s="148">
        <f>E47</f>
        <v>19069850</v>
      </c>
      <c r="G8" s="270">
        <f>H47</f>
        <v>160098</v>
      </c>
      <c r="H8" s="149"/>
      <c r="I8" s="10"/>
      <c r="J8" s="105"/>
      <c r="L8"/>
      <c r="M8" s="104"/>
      <c r="N8" s="104"/>
      <c r="O8" s="104"/>
    </row>
    <row r="9" spans="2:15" ht="15" customHeight="1" x14ac:dyDescent="0.25">
      <c r="B9" s="1"/>
      <c r="C9" s="116" t="s">
        <v>234</v>
      </c>
      <c r="D9"/>
      <c r="E9" s="148">
        <f>D58</f>
        <v>528</v>
      </c>
      <c r="F9" s="148">
        <f>E60</f>
        <v>19025091</v>
      </c>
      <c r="G9" s="270">
        <f>H60</f>
        <v>148062</v>
      </c>
      <c r="H9" s="149"/>
      <c r="I9" s="10"/>
      <c r="J9" s="105"/>
      <c r="L9"/>
      <c r="M9" s="104"/>
      <c r="N9" s="104"/>
      <c r="O9" s="104"/>
    </row>
    <row r="10" spans="2:15" ht="15.75" x14ac:dyDescent="0.25">
      <c r="B10" s="1"/>
      <c r="C10" s="153" t="s">
        <v>235</v>
      </c>
      <c r="D10"/>
      <c r="E10" s="271">
        <f>D71</f>
        <v>812</v>
      </c>
      <c r="F10" s="272">
        <f>E73</f>
        <v>70917490</v>
      </c>
      <c r="G10" s="80">
        <f>H73</f>
        <v>527951</v>
      </c>
      <c r="H10" s="111"/>
      <c r="I10" s="112"/>
      <c r="J10" s="113"/>
      <c r="K10" s="114"/>
      <c r="L10"/>
      <c r="O10" s="104"/>
    </row>
    <row r="11" spans="2:15" ht="15.75" x14ac:dyDescent="0.25">
      <c r="B11" s="1"/>
      <c r="C11" s="153" t="s">
        <v>298</v>
      </c>
      <c r="D11" s="273"/>
      <c r="E11" s="271">
        <v>12</v>
      </c>
      <c r="F11" s="272">
        <f>E88</f>
        <v>6083646</v>
      </c>
      <c r="G11" s="80">
        <f>H96</f>
        <v>83164</v>
      </c>
      <c r="H11" s="111"/>
      <c r="I11" s="112"/>
      <c r="J11" s="113"/>
      <c r="K11" s="114"/>
      <c r="L11"/>
      <c r="O11" s="104"/>
    </row>
    <row r="12" spans="2:15" ht="15.75" x14ac:dyDescent="0.25">
      <c r="B12" s="1"/>
      <c r="C12" s="1" t="s">
        <v>237</v>
      </c>
      <c r="D12"/>
      <c r="E12" s="2"/>
      <c r="F12" s="369">
        <f>I80</f>
        <v>0</v>
      </c>
      <c r="G12" s="300">
        <f>H80</f>
        <v>23640</v>
      </c>
      <c r="H12" s="111"/>
      <c r="I12" s="112"/>
      <c r="J12" s="113"/>
      <c r="K12" s="114"/>
      <c r="L12"/>
      <c r="M12" s="104"/>
    </row>
    <row r="13" spans="2:15" ht="18" x14ac:dyDescent="0.4">
      <c r="B13" s="1"/>
      <c r="C13" s="1" t="s">
        <v>90</v>
      </c>
      <c r="D13"/>
      <c r="E13" s="192"/>
      <c r="F13" s="192"/>
      <c r="G13" s="274">
        <f>-(32197.58+44788.95+54255.29)</f>
        <v>-131241.82</v>
      </c>
      <c r="H13" s="274"/>
      <c r="I13" s="1"/>
      <c r="K13" s="367" t="s">
        <v>283</v>
      </c>
      <c r="L13"/>
    </row>
    <row r="14" spans="2:15" ht="15.75" x14ac:dyDescent="0.25">
      <c r="B14" s="1"/>
      <c r="C14" s="115" t="s">
        <v>255</v>
      </c>
      <c r="D14"/>
      <c r="E14" s="192"/>
      <c r="F14" s="192"/>
      <c r="G14" s="368">
        <f>SUM(G6:G11)+G13</f>
        <v>2815613.94</v>
      </c>
      <c r="H14" s="275" t="s">
        <v>256</v>
      </c>
      <c r="I14" s="1"/>
      <c r="L14"/>
    </row>
    <row r="15" spans="2:15" ht="18" x14ac:dyDescent="0.4">
      <c r="B15" s="1"/>
      <c r="C15" s="115" t="s">
        <v>313</v>
      </c>
      <c r="D15"/>
      <c r="E15" s="192"/>
      <c r="F15" s="192"/>
      <c r="G15" s="274">
        <f>SAO!D7+SAO!D8-G12</f>
        <v>2794417</v>
      </c>
      <c r="H15" s="276"/>
      <c r="I15" s="1"/>
      <c r="L15"/>
    </row>
    <row r="16" spans="2:15" ht="15.75" x14ac:dyDescent="0.25">
      <c r="B16" s="1"/>
      <c r="C16" s="115" t="s">
        <v>91</v>
      </c>
      <c r="D16"/>
      <c r="E16" s="192"/>
      <c r="F16" s="192"/>
      <c r="G16" s="368">
        <f>G14-G15</f>
        <v>21196.939999999944</v>
      </c>
      <c r="H16" s="275"/>
      <c r="I16" s="1"/>
      <c r="L16"/>
    </row>
    <row r="17" spans="2:12" ht="15.75" x14ac:dyDescent="0.25">
      <c r="B17" s="1"/>
      <c r="C17" s="1"/>
      <c r="D17" s="8"/>
      <c r="E17" s="4">
        <f>SUM(E6:E16)</f>
        <v>32941</v>
      </c>
      <c r="F17" s="277">
        <f>SUM(F6:F16)</f>
        <v>280190570</v>
      </c>
      <c r="G17" s="1"/>
      <c r="H17" s="1"/>
      <c r="I17" s="1"/>
      <c r="L17"/>
    </row>
    <row r="18" spans="2:12" ht="15.75" x14ac:dyDescent="0.25">
      <c r="B18" s="197" t="s">
        <v>147</v>
      </c>
      <c r="C18" s="48"/>
      <c r="D18" s="127"/>
      <c r="E18" s="390" t="s">
        <v>148</v>
      </c>
      <c r="F18" s="390"/>
      <c r="G18" s="198"/>
      <c r="H18" s="199"/>
      <c r="I18" s="200"/>
      <c r="J18" s="201"/>
      <c r="L18"/>
    </row>
    <row r="19" spans="2:12" ht="15.75" x14ac:dyDescent="0.25">
      <c r="B19" s="202"/>
      <c r="C19" s="12"/>
      <c r="D19" s="8"/>
      <c r="E19" s="193"/>
      <c r="F19" s="11" t="s">
        <v>139</v>
      </c>
      <c r="G19" s="11" t="s">
        <v>141</v>
      </c>
      <c r="H19" s="191" t="s">
        <v>143</v>
      </c>
      <c r="I19" s="1"/>
      <c r="J19" s="219"/>
      <c r="L19"/>
    </row>
    <row r="20" spans="2:12" ht="15.75" x14ac:dyDescent="0.25">
      <c r="B20" s="21"/>
      <c r="C20" s="40" t="s">
        <v>40</v>
      </c>
      <c r="D20" s="110" t="s">
        <v>41</v>
      </c>
      <c r="E20" s="110" t="s">
        <v>42</v>
      </c>
      <c r="F20" s="118">
        <f>C21</f>
        <v>3000</v>
      </c>
      <c r="G20" s="118">
        <f>C22</f>
        <v>7000</v>
      </c>
      <c r="H20" s="117">
        <f>C23</f>
        <v>10000</v>
      </c>
      <c r="I20" s="11" t="s">
        <v>11</v>
      </c>
      <c r="J20" s="219"/>
      <c r="L20"/>
    </row>
    <row r="21" spans="2:12" ht="15.75" x14ac:dyDescent="0.25">
      <c r="B21" s="204" t="s">
        <v>139</v>
      </c>
      <c r="C21" s="12">
        <v>3000</v>
      </c>
      <c r="D21" s="278">
        <v>14139</v>
      </c>
      <c r="E21" s="278">
        <v>20837157</v>
      </c>
      <c r="F21" s="117">
        <f>E21</f>
        <v>20837157</v>
      </c>
      <c r="G21" s="117"/>
      <c r="H21" s="117"/>
      <c r="I21" s="12">
        <f>SUM(F21:H21)</f>
        <v>20837157</v>
      </c>
      <c r="J21" s="219"/>
      <c r="L21"/>
    </row>
    <row r="22" spans="2:12" ht="15.75" x14ac:dyDescent="0.25">
      <c r="B22" s="204" t="s">
        <v>141</v>
      </c>
      <c r="C22" s="12">
        <v>7000</v>
      </c>
      <c r="D22" s="278">
        <v>13773</v>
      </c>
      <c r="E22" s="278">
        <v>71027436</v>
      </c>
      <c r="F22" s="117">
        <f>D22*F20</f>
        <v>41319000</v>
      </c>
      <c r="G22" s="117">
        <f>E22-F22</f>
        <v>29708436</v>
      </c>
      <c r="H22" s="117"/>
      <c r="I22" s="12">
        <f>SUM(F22:H22)</f>
        <v>71027436</v>
      </c>
      <c r="J22" s="219"/>
      <c r="L22"/>
    </row>
    <row r="23" spans="2:12" ht="18" x14ac:dyDescent="0.4">
      <c r="B23" s="206" t="s">
        <v>143</v>
      </c>
      <c r="C23" s="12">
        <v>10000</v>
      </c>
      <c r="D23" s="279">
        <v>2464</v>
      </c>
      <c r="E23" s="279">
        <v>73229900</v>
      </c>
      <c r="F23" s="195">
        <f>D23*F20</f>
        <v>7392000</v>
      </c>
      <c r="G23" s="195">
        <f>D23*G20</f>
        <v>17248000</v>
      </c>
      <c r="H23" s="195">
        <f>E23-F23-G23</f>
        <v>48589900</v>
      </c>
      <c r="I23" s="195">
        <f>SUM(F23:H23)</f>
        <v>73229900</v>
      </c>
      <c r="J23" s="219"/>
      <c r="L23"/>
    </row>
    <row r="24" spans="2:12" ht="15.75" x14ac:dyDescent="0.25">
      <c r="B24" s="204"/>
      <c r="C24" s="12"/>
      <c r="D24" s="12">
        <f t="shared" ref="D24:I24" si="0">SUM(D21:D23)</f>
        <v>30376</v>
      </c>
      <c r="E24" s="12">
        <f t="shared" si="0"/>
        <v>165094493</v>
      </c>
      <c r="F24" s="12">
        <f t="shared" si="0"/>
        <v>69548157</v>
      </c>
      <c r="G24" s="12">
        <f t="shared" si="0"/>
        <v>46956436</v>
      </c>
      <c r="H24" s="12">
        <f t="shared" si="0"/>
        <v>48589900</v>
      </c>
      <c r="I24" s="12">
        <f t="shared" si="0"/>
        <v>165094493</v>
      </c>
      <c r="J24" s="219"/>
      <c r="L24"/>
    </row>
    <row r="25" spans="2:12" ht="15.75" x14ac:dyDescent="0.25">
      <c r="B25" s="21"/>
      <c r="C25" s="12"/>
      <c r="D25" s="8"/>
      <c r="E25" s="111"/>
      <c r="F25" s="2"/>
      <c r="G25" s="2"/>
      <c r="H25" s="138"/>
      <c r="I25" s="1"/>
      <c r="J25" s="203"/>
      <c r="L25"/>
    </row>
    <row r="26" spans="2:12" ht="15.75" x14ac:dyDescent="0.25">
      <c r="B26" s="202" t="s">
        <v>149</v>
      </c>
      <c r="C26" s="1"/>
      <c r="D26" s="1"/>
      <c r="E26" s="388" t="s">
        <v>148</v>
      </c>
      <c r="F26" s="388"/>
      <c r="G26" s="153"/>
      <c r="H26" s="153"/>
      <c r="I26" s="12"/>
      <c r="J26" s="205"/>
      <c r="L26"/>
    </row>
    <row r="27" spans="2:12" ht="15.75" x14ac:dyDescent="0.25">
      <c r="B27" s="202"/>
      <c r="C27" s="1"/>
      <c r="D27" s="1"/>
      <c r="E27" s="193"/>
      <c r="F27" s="388" t="s">
        <v>263</v>
      </c>
      <c r="G27" s="388"/>
      <c r="H27" s="153"/>
      <c r="I27" s="12"/>
      <c r="J27" s="205"/>
      <c r="L27"/>
    </row>
    <row r="28" spans="2:12" ht="15.75" x14ac:dyDescent="0.25">
      <c r="B28" s="21"/>
      <c r="C28" s="40" t="s">
        <v>40</v>
      </c>
      <c r="D28" s="110" t="s">
        <v>41</v>
      </c>
      <c r="E28" s="110" t="s">
        <v>42</v>
      </c>
      <c r="F28" s="389" t="s">
        <v>44</v>
      </c>
      <c r="G28" s="389"/>
      <c r="H28" s="161" t="s">
        <v>45</v>
      </c>
      <c r="I28" s="1"/>
      <c r="J28" s="203"/>
      <c r="L28"/>
    </row>
    <row r="29" spans="2:12" ht="15.75" x14ac:dyDescent="0.25">
      <c r="B29" s="204" t="s">
        <v>139</v>
      </c>
      <c r="C29" s="12">
        <f>C21</f>
        <v>3000</v>
      </c>
      <c r="D29" s="12">
        <f>D24</f>
        <v>30376</v>
      </c>
      <c r="E29" s="12">
        <f>F24</f>
        <v>69548157</v>
      </c>
      <c r="F29" s="188">
        <v>30.53</v>
      </c>
      <c r="G29" s="189" t="s">
        <v>140</v>
      </c>
      <c r="H29" s="119">
        <f>ROUND(D29*F29,0)</f>
        <v>927379</v>
      </c>
      <c r="I29" s="1"/>
      <c r="J29" s="203"/>
      <c r="L29"/>
    </row>
    <row r="30" spans="2:12" ht="15.75" x14ac:dyDescent="0.25">
      <c r="B30" s="204" t="s">
        <v>141</v>
      </c>
      <c r="C30" s="12">
        <f>C22</f>
        <v>7000</v>
      </c>
      <c r="D30" s="12"/>
      <c r="E30" s="12">
        <f>G24</f>
        <v>46956436</v>
      </c>
      <c r="F30" s="190">
        <v>7.0600000000000003E-3</v>
      </c>
      <c r="G30" s="189" t="s">
        <v>142</v>
      </c>
      <c r="H30" s="119">
        <f>ROUND(E30*F30,0)</f>
        <v>331512</v>
      </c>
      <c r="I30" s="1"/>
      <c r="J30" s="203"/>
      <c r="L30"/>
    </row>
    <row r="31" spans="2:12" ht="18" x14ac:dyDescent="0.4">
      <c r="B31" s="206" t="s">
        <v>143</v>
      </c>
      <c r="C31" s="12">
        <f>C23</f>
        <v>10000</v>
      </c>
      <c r="D31" s="195"/>
      <c r="E31" s="195">
        <f>H24</f>
        <v>48589900</v>
      </c>
      <c r="F31" s="190">
        <v>6.8399999999999997E-3</v>
      </c>
      <c r="G31" s="189" t="s">
        <v>142</v>
      </c>
      <c r="H31" s="196">
        <f t="shared" ref="H31" si="1">ROUND(E31*F31,0)</f>
        <v>332355</v>
      </c>
      <c r="I31" s="1"/>
      <c r="J31" s="203"/>
      <c r="L31"/>
    </row>
    <row r="32" spans="2:12" ht="15.75" x14ac:dyDescent="0.25">
      <c r="B32" s="207"/>
      <c r="C32" s="208"/>
      <c r="D32" s="208"/>
      <c r="E32" s="220">
        <f>SUM(E29:E31)</f>
        <v>165094493</v>
      </c>
      <c r="F32" s="208"/>
      <c r="G32" s="208"/>
      <c r="H32" s="209">
        <f>SUM(H29:H31)</f>
        <v>1591246</v>
      </c>
      <c r="I32" s="210"/>
      <c r="J32" s="211"/>
      <c r="L32"/>
    </row>
    <row r="33" spans="2:12" ht="15.75" x14ac:dyDescent="0.25">
      <c r="B33" s="11"/>
      <c r="C33" s="12"/>
      <c r="D33" s="12"/>
      <c r="E33" s="12"/>
      <c r="F33" s="12"/>
      <c r="G33" s="12"/>
      <c r="H33" s="119"/>
      <c r="I33" s="1"/>
      <c r="J33" s="194"/>
      <c r="L33"/>
    </row>
    <row r="34" spans="2:12" ht="15.75" x14ac:dyDescent="0.25">
      <c r="B34" s="197" t="s">
        <v>147</v>
      </c>
      <c r="C34" s="48"/>
      <c r="D34" s="127"/>
      <c r="E34" s="390" t="s">
        <v>150</v>
      </c>
      <c r="F34" s="390"/>
      <c r="G34" s="198"/>
      <c r="H34" s="199"/>
      <c r="I34" s="200"/>
      <c r="J34" s="201"/>
      <c r="L34"/>
    </row>
    <row r="35" spans="2:12" ht="15.75" x14ac:dyDescent="0.25">
      <c r="B35" s="202"/>
      <c r="C35" s="12"/>
      <c r="D35" s="8"/>
      <c r="E35" s="193"/>
      <c r="F35" s="11" t="s">
        <v>139</v>
      </c>
      <c r="G35" s="11" t="s">
        <v>141</v>
      </c>
      <c r="H35" s="11" t="s">
        <v>143</v>
      </c>
      <c r="I35" s="1"/>
      <c r="J35" s="203"/>
      <c r="L35"/>
    </row>
    <row r="36" spans="2:12" ht="15.75" x14ac:dyDescent="0.25">
      <c r="B36" s="21"/>
      <c r="C36" s="40" t="s">
        <v>40</v>
      </c>
      <c r="D36" s="110" t="s">
        <v>41</v>
      </c>
      <c r="E36" s="110" t="s">
        <v>42</v>
      </c>
      <c r="F36" s="118">
        <f>C37</f>
        <v>5000</v>
      </c>
      <c r="G36" s="118">
        <f>C38</f>
        <v>5000</v>
      </c>
      <c r="H36" s="118">
        <f>C39</f>
        <v>10000</v>
      </c>
      <c r="I36" s="11" t="s">
        <v>11</v>
      </c>
      <c r="J36" s="203"/>
      <c r="L36"/>
    </row>
    <row r="37" spans="2:12" ht="15.75" x14ac:dyDescent="0.25">
      <c r="B37" s="204" t="s">
        <v>139</v>
      </c>
      <c r="C37" s="12">
        <v>5000</v>
      </c>
      <c r="D37" s="278">
        <v>664</v>
      </c>
      <c r="E37" s="278">
        <v>908768</v>
      </c>
      <c r="F37" s="117">
        <f>E37</f>
        <v>908768</v>
      </c>
      <c r="G37" s="117"/>
      <c r="H37" s="117"/>
      <c r="I37" s="12">
        <f>SUM(E37:H37)</f>
        <v>1817536</v>
      </c>
      <c r="J37" s="203"/>
      <c r="L37"/>
    </row>
    <row r="38" spans="2:12" ht="15.75" x14ac:dyDescent="0.25">
      <c r="B38" s="204" t="s">
        <v>141</v>
      </c>
      <c r="C38" s="12">
        <v>5000</v>
      </c>
      <c r="D38" s="278">
        <v>182</v>
      </c>
      <c r="E38" s="278">
        <v>1312980</v>
      </c>
      <c r="F38" s="117">
        <f>D38*F36</f>
        <v>910000</v>
      </c>
      <c r="G38" s="117">
        <f>E38-F38</f>
        <v>402980</v>
      </c>
      <c r="H38" s="117"/>
      <c r="I38" s="12">
        <f>SUM(E38:H38)</f>
        <v>2625960</v>
      </c>
      <c r="J38" s="203"/>
      <c r="L38"/>
    </row>
    <row r="39" spans="2:12" ht="18" x14ac:dyDescent="0.4">
      <c r="B39" s="204" t="s">
        <v>143</v>
      </c>
      <c r="C39" s="12">
        <v>10000</v>
      </c>
      <c r="D39" s="279">
        <v>367</v>
      </c>
      <c r="E39" s="279">
        <v>16848102</v>
      </c>
      <c r="F39" s="212">
        <f>D39*F36</f>
        <v>1835000</v>
      </c>
      <c r="G39" s="212">
        <f>D39*G36</f>
        <v>1835000</v>
      </c>
      <c r="H39" s="212">
        <f>E39-F39-G39</f>
        <v>13178102</v>
      </c>
      <c r="I39" s="195">
        <f>SUM(F39:H39)</f>
        <v>16848102</v>
      </c>
      <c r="J39" s="203"/>
      <c r="L39"/>
    </row>
    <row r="40" spans="2:12" ht="15.75" x14ac:dyDescent="0.25">
      <c r="B40" s="204"/>
      <c r="C40" s="12"/>
      <c r="D40" s="12">
        <f>SUM(D37:D39)</f>
        <v>1213</v>
      </c>
      <c r="E40" s="12">
        <f>SUM(E37:E39)</f>
        <v>19069850</v>
      </c>
      <c r="F40" s="12">
        <f>SUM(F37:F39)</f>
        <v>3653768</v>
      </c>
      <c r="G40" s="12">
        <f>SUM(G37:G39)</f>
        <v>2237980</v>
      </c>
      <c r="H40" s="12">
        <f>SUM(H37:H39)</f>
        <v>13178102</v>
      </c>
      <c r="I40" s="12">
        <f>SUM(F40:H40)</f>
        <v>19069850</v>
      </c>
      <c r="J40" s="203"/>
      <c r="L40"/>
    </row>
    <row r="41" spans="2:12" ht="15.75" x14ac:dyDescent="0.25">
      <c r="B41" s="204"/>
      <c r="C41" s="12"/>
      <c r="D41" s="12"/>
      <c r="E41" s="12"/>
      <c r="F41" s="12"/>
      <c r="G41" s="12"/>
      <c r="H41" s="12"/>
      <c r="I41" s="12"/>
      <c r="J41" s="203"/>
      <c r="L41"/>
    </row>
    <row r="42" spans="2:12" ht="15.75" x14ac:dyDescent="0.25">
      <c r="B42" s="202" t="s">
        <v>149</v>
      </c>
      <c r="C42" s="1"/>
      <c r="D42" s="153"/>
      <c r="E42" s="388" t="s">
        <v>150</v>
      </c>
      <c r="F42" s="388"/>
      <c r="G42" s="153"/>
      <c r="H42" s="153"/>
      <c r="I42" s="1"/>
      <c r="J42" s="203"/>
      <c r="L42"/>
    </row>
    <row r="43" spans="2:12" ht="15.75" x14ac:dyDescent="0.25">
      <c r="B43" s="21"/>
      <c r="C43" s="40" t="s">
        <v>40</v>
      </c>
      <c r="D43" s="110" t="s">
        <v>41</v>
      </c>
      <c r="E43" s="110" t="s">
        <v>42</v>
      </c>
      <c r="F43" s="389" t="s">
        <v>44</v>
      </c>
      <c r="G43" s="389"/>
      <c r="H43" s="161" t="s">
        <v>45</v>
      </c>
      <c r="I43" s="1"/>
      <c r="J43" s="203"/>
      <c r="L43"/>
    </row>
    <row r="44" spans="2:12" ht="15.75" x14ac:dyDescent="0.25">
      <c r="B44" s="204" t="s">
        <v>139</v>
      </c>
      <c r="C44" s="12">
        <f>C37</f>
        <v>5000</v>
      </c>
      <c r="D44" s="2">
        <f>D40</f>
        <v>1213</v>
      </c>
      <c r="E44" s="2">
        <f>F40</f>
        <v>3653768</v>
      </c>
      <c r="F44" s="188">
        <v>44.65</v>
      </c>
      <c r="G44" s="189" t="s">
        <v>140</v>
      </c>
      <c r="H44" s="119">
        <f>ROUND(D44*F44,0)</f>
        <v>54160</v>
      </c>
      <c r="I44" s="1"/>
      <c r="J44" s="203"/>
      <c r="L44"/>
    </row>
    <row r="45" spans="2:12" ht="15.75" x14ac:dyDescent="0.25">
      <c r="B45" s="204" t="s">
        <v>141</v>
      </c>
      <c r="C45" s="12">
        <f>C38</f>
        <v>5000</v>
      </c>
      <c r="D45" s="1"/>
      <c r="E45" s="2">
        <f>G40</f>
        <v>2237980</v>
      </c>
      <c r="F45" s="190">
        <v>7.0600000000000003E-3</v>
      </c>
      <c r="G45" s="189" t="s">
        <v>142</v>
      </c>
      <c r="H45" s="119">
        <f t="shared" ref="H45:H46" si="2">ROUND(E45*F45,0)</f>
        <v>15800</v>
      </c>
      <c r="I45" s="1"/>
      <c r="J45" s="203"/>
      <c r="L45"/>
    </row>
    <row r="46" spans="2:12" ht="18" x14ac:dyDescent="0.4">
      <c r="B46" s="206" t="s">
        <v>143</v>
      </c>
      <c r="C46" s="12">
        <f>C39</f>
        <v>10000</v>
      </c>
      <c r="D46" s="167"/>
      <c r="E46" s="213">
        <f>H40</f>
        <v>13178102</v>
      </c>
      <c r="F46" s="190">
        <v>6.8399999999999997E-3</v>
      </c>
      <c r="G46" s="189" t="s">
        <v>142</v>
      </c>
      <c r="H46" s="196">
        <f t="shared" si="2"/>
        <v>90138</v>
      </c>
      <c r="I46" s="1"/>
      <c r="J46" s="203"/>
      <c r="L46"/>
    </row>
    <row r="47" spans="2:12" ht="15.75" x14ac:dyDescent="0.25">
      <c r="B47" s="82"/>
      <c r="C47" s="208"/>
      <c r="D47" s="214"/>
      <c r="E47" s="208">
        <f>SUM(E44:E46)</f>
        <v>19069850</v>
      </c>
      <c r="F47" s="210"/>
      <c r="G47" s="210"/>
      <c r="H47" s="209">
        <f>SUM(H44:H46)</f>
        <v>160098</v>
      </c>
      <c r="I47" s="210"/>
      <c r="J47" s="211"/>
      <c r="L47"/>
    </row>
    <row r="48" spans="2:12" ht="15.75" x14ac:dyDescent="0.25">
      <c r="B48" s="1"/>
      <c r="C48" s="12"/>
      <c r="D48" s="215"/>
      <c r="E48" s="12"/>
      <c r="F48" s="1"/>
      <c r="G48" s="1"/>
      <c r="H48" s="119"/>
      <c r="I48" s="1"/>
      <c r="J48" s="1"/>
      <c r="L48"/>
    </row>
    <row r="49" spans="2:12" ht="15.75" x14ac:dyDescent="0.25">
      <c r="B49" s="197" t="s">
        <v>147</v>
      </c>
      <c r="C49" s="48"/>
      <c r="D49" s="127"/>
      <c r="E49" s="390" t="s">
        <v>151</v>
      </c>
      <c r="F49" s="390"/>
      <c r="G49" s="198"/>
      <c r="H49" s="199"/>
      <c r="I49" s="200"/>
      <c r="J49" s="201"/>
      <c r="L49"/>
    </row>
    <row r="50" spans="2:12" ht="15.75" x14ac:dyDescent="0.25">
      <c r="B50" s="202"/>
      <c r="C50" s="12"/>
      <c r="D50" s="8"/>
      <c r="E50" s="193"/>
      <c r="F50" s="11" t="s">
        <v>139</v>
      </c>
      <c r="G50" s="11" t="s">
        <v>143</v>
      </c>
      <c r="H50" s="1"/>
      <c r="J50" s="203"/>
      <c r="L50"/>
    </row>
    <row r="51" spans="2:12" ht="15.75" x14ac:dyDescent="0.25">
      <c r="B51" s="21"/>
      <c r="C51" s="40" t="s">
        <v>40</v>
      </c>
      <c r="D51" s="110" t="s">
        <v>41</v>
      </c>
      <c r="E51" s="110" t="s">
        <v>42</v>
      </c>
      <c r="F51" s="118">
        <f>C52</f>
        <v>10000</v>
      </c>
      <c r="G51" s="118">
        <f>C53</f>
        <v>10000</v>
      </c>
      <c r="H51" s="11" t="s">
        <v>11</v>
      </c>
      <c r="J51" s="203"/>
      <c r="L51"/>
    </row>
    <row r="52" spans="2:12" ht="15.75" x14ac:dyDescent="0.25">
      <c r="B52" s="204" t="s">
        <v>139</v>
      </c>
      <c r="C52" s="12">
        <v>10000</v>
      </c>
      <c r="D52" s="278">
        <v>243</v>
      </c>
      <c r="E52" s="278">
        <v>700228</v>
      </c>
      <c r="F52" s="117">
        <f>E52</f>
        <v>700228</v>
      </c>
      <c r="G52" s="117"/>
      <c r="H52" s="12">
        <f>SUM(E52:G52)</f>
        <v>1400456</v>
      </c>
      <c r="J52" s="203"/>
      <c r="L52"/>
    </row>
    <row r="53" spans="2:12" ht="18" x14ac:dyDescent="0.4">
      <c r="B53" s="204" t="s">
        <v>143</v>
      </c>
      <c r="C53" s="12">
        <v>10000</v>
      </c>
      <c r="D53" s="279">
        <v>285</v>
      </c>
      <c r="E53" s="279">
        <v>18324863</v>
      </c>
      <c r="F53" s="212">
        <f>D53*F51</f>
        <v>2850000</v>
      </c>
      <c r="G53" s="212">
        <f>E53-F53</f>
        <v>15474863</v>
      </c>
      <c r="H53" s="195">
        <f>SUM(F53:G53)</f>
        <v>18324863</v>
      </c>
      <c r="J53" s="203"/>
      <c r="L53"/>
    </row>
    <row r="54" spans="2:12" ht="15.75" x14ac:dyDescent="0.25">
      <c r="B54" s="204"/>
      <c r="C54" s="12"/>
      <c r="D54" s="12">
        <f>SUM(D52:D53)</f>
        <v>528</v>
      </c>
      <c r="E54" s="12">
        <f>SUM(E52:E53)</f>
        <v>19025091</v>
      </c>
      <c r="F54" s="12">
        <f>SUM(F52:F53)</f>
        <v>3550228</v>
      </c>
      <c r="G54" s="12">
        <f>SUM(G52:G53)</f>
        <v>15474863</v>
      </c>
      <c r="H54" s="12">
        <f>SUM(F54:G54)</f>
        <v>19025091</v>
      </c>
      <c r="J54" s="203"/>
      <c r="L54"/>
    </row>
    <row r="55" spans="2:12" ht="15.75" x14ac:dyDescent="0.25">
      <c r="B55" s="21"/>
      <c r="C55" s="12"/>
      <c r="D55" s="1"/>
      <c r="E55" s="1"/>
      <c r="F55" s="1"/>
      <c r="G55" s="1"/>
      <c r="H55" s="12"/>
      <c r="I55" s="12"/>
      <c r="J55" s="203"/>
      <c r="L55"/>
    </row>
    <row r="56" spans="2:12" ht="15.75" x14ac:dyDescent="0.25">
      <c r="B56" s="202" t="s">
        <v>149</v>
      </c>
      <c r="C56" s="12"/>
      <c r="D56" s="8"/>
      <c r="E56" s="388" t="s">
        <v>151</v>
      </c>
      <c r="F56" s="388"/>
      <c r="G56" s="153"/>
      <c r="H56" s="153"/>
      <c r="I56" s="1"/>
      <c r="J56" s="203"/>
      <c r="L56"/>
    </row>
    <row r="57" spans="2:12" ht="15.75" x14ac:dyDescent="0.25">
      <c r="B57" s="21"/>
      <c r="C57" s="40" t="s">
        <v>40</v>
      </c>
      <c r="D57" s="110" t="s">
        <v>41</v>
      </c>
      <c r="E57" s="110" t="s">
        <v>42</v>
      </c>
      <c r="F57" s="389" t="s">
        <v>44</v>
      </c>
      <c r="G57" s="389"/>
      <c r="H57" s="161" t="s">
        <v>45</v>
      </c>
      <c r="I57" s="1"/>
      <c r="J57" s="203"/>
      <c r="L57"/>
    </row>
    <row r="58" spans="2:12" ht="15.75" x14ac:dyDescent="0.25">
      <c r="B58" s="204" t="s">
        <v>139</v>
      </c>
      <c r="C58" s="12">
        <f>C52</f>
        <v>10000</v>
      </c>
      <c r="D58" s="2">
        <f>D54</f>
        <v>528</v>
      </c>
      <c r="E58" s="2">
        <f>F54</f>
        <v>3550228</v>
      </c>
      <c r="F58" s="216">
        <v>79.95</v>
      </c>
      <c r="G58" s="189" t="s">
        <v>140</v>
      </c>
      <c r="H58" s="119">
        <f>ROUND(D58*F58,0)</f>
        <v>42214</v>
      </c>
      <c r="I58" s="1"/>
      <c r="J58" s="203"/>
      <c r="L58"/>
    </row>
    <row r="59" spans="2:12" ht="18" x14ac:dyDescent="0.4">
      <c r="B59" s="206" t="s">
        <v>143</v>
      </c>
      <c r="C59" s="12">
        <f>C53</f>
        <v>10000</v>
      </c>
      <c r="D59" s="167"/>
      <c r="E59" s="213">
        <f>G54</f>
        <v>15474863</v>
      </c>
      <c r="F59" s="218">
        <v>6.8399999999999997E-3</v>
      </c>
      <c r="G59" s="189" t="s">
        <v>142</v>
      </c>
      <c r="H59" s="196">
        <f t="shared" ref="H59" si="3">ROUND(E59*F59,0)</f>
        <v>105848</v>
      </c>
      <c r="I59" s="1"/>
      <c r="J59" s="203"/>
      <c r="L59"/>
    </row>
    <row r="60" spans="2:12" ht="15.75" x14ac:dyDescent="0.25">
      <c r="B60" s="82"/>
      <c r="C60" s="208"/>
      <c r="D60" s="217"/>
      <c r="E60" s="208">
        <f>SUM(E58:E59)</f>
        <v>19025091</v>
      </c>
      <c r="F60" s="210"/>
      <c r="G60" s="210"/>
      <c r="H60" s="209">
        <f>SUM(H58:H59)</f>
        <v>148062</v>
      </c>
      <c r="I60" s="210"/>
      <c r="J60" s="211"/>
      <c r="L60"/>
    </row>
    <row r="61" spans="2:12" ht="15.75" x14ac:dyDescent="0.25">
      <c r="B61" s="1"/>
      <c r="C61" s="12"/>
      <c r="D61" s="111"/>
      <c r="E61" s="12"/>
      <c r="F61" s="1"/>
      <c r="G61" s="1"/>
      <c r="H61" s="111"/>
      <c r="I61" s="1"/>
      <c r="J61" s="1"/>
      <c r="L61"/>
    </row>
    <row r="62" spans="2:12" ht="15.75" x14ac:dyDescent="0.25">
      <c r="B62" s="197" t="s">
        <v>147</v>
      </c>
      <c r="C62" s="48"/>
      <c r="D62" s="127"/>
      <c r="E62" s="390" t="s">
        <v>152</v>
      </c>
      <c r="F62" s="390"/>
      <c r="G62" s="198"/>
      <c r="H62" s="199"/>
      <c r="I62" s="200"/>
      <c r="J62" s="201"/>
      <c r="L62"/>
    </row>
    <row r="63" spans="2:12" ht="15.75" x14ac:dyDescent="0.25">
      <c r="B63" s="202"/>
      <c r="C63" s="12"/>
      <c r="D63" s="8"/>
      <c r="E63" s="193"/>
      <c r="F63" s="11" t="s">
        <v>139</v>
      </c>
      <c r="G63" s="11" t="s">
        <v>143</v>
      </c>
      <c r="H63" s="1"/>
      <c r="J63" s="203"/>
      <c r="L63"/>
    </row>
    <row r="64" spans="2:12" ht="15.75" x14ac:dyDescent="0.25">
      <c r="B64" s="21"/>
      <c r="C64" s="40" t="s">
        <v>40</v>
      </c>
      <c r="D64" s="110" t="s">
        <v>41</v>
      </c>
      <c r="E64" s="110" t="s">
        <v>42</v>
      </c>
      <c r="F64" s="118">
        <f>C65</f>
        <v>20000</v>
      </c>
      <c r="G64" s="118">
        <f>C66</f>
        <v>20000</v>
      </c>
      <c r="H64" s="11" t="s">
        <v>11</v>
      </c>
      <c r="J64" s="203"/>
      <c r="L64"/>
    </row>
    <row r="65" spans="1:12" ht="15.75" x14ac:dyDescent="0.25">
      <c r="B65" s="204" t="s">
        <v>139</v>
      </c>
      <c r="C65" s="12">
        <v>20000</v>
      </c>
      <c r="D65" s="278">
        <v>385</v>
      </c>
      <c r="E65" s="278">
        <v>2802712</v>
      </c>
      <c r="F65" s="117">
        <f>E65</f>
        <v>2802712</v>
      </c>
      <c r="G65" s="117"/>
      <c r="H65" s="12">
        <f>SUM(E65:G65)</f>
        <v>5605424</v>
      </c>
      <c r="J65" s="203"/>
      <c r="L65"/>
    </row>
    <row r="66" spans="1:12" ht="18" x14ac:dyDescent="0.4">
      <c r="B66" s="204" t="s">
        <v>143</v>
      </c>
      <c r="C66" s="12">
        <v>20000</v>
      </c>
      <c r="D66" s="279">
        <v>427</v>
      </c>
      <c r="E66" s="279">
        <v>68114778</v>
      </c>
      <c r="F66" s="212">
        <f>D66*F64</f>
        <v>8540000</v>
      </c>
      <c r="G66" s="212">
        <f>E66-F66</f>
        <v>59574778</v>
      </c>
      <c r="H66" s="195">
        <f>SUM(F66:G66)</f>
        <v>68114778</v>
      </c>
      <c r="J66" s="203"/>
      <c r="L66"/>
    </row>
    <row r="67" spans="1:12" ht="15.75" x14ac:dyDescent="0.25">
      <c r="B67" s="204"/>
      <c r="C67" s="12"/>
      <c r="D67" s="12">
        <f>SUM(D65:D66)</f>
        <v>812</v>
      </c>
      <c r="E67" s="12">
        <f>SUM(E65:E66)</f>
        <v>70917490</v>
      </c>
      <c r="F67" s="12">
        <f>SUM(F65:F66)</f>
        <v>11342712</v>
      </c>
      <c r="G67" s="12">
        <f>SUM(G65:G66)</f>
        <v>59574778</v>
      </c>
      <c r="H67" s="12">
        <f>SUM(F67:G67)</f>
        <v>70917490</v>
      </c>
      <c r="J67" s="203"/>
      <c r="L67"/>
    </row>
    <row r="68" spans="1:12" ht="15.75" x14ac:dyDescent="0.25">
      <c r="B68" s="21"/>
      <c r="C68" s="12"/>
      <c r="D68" s="1"/>
      <c r="E68" s="1"/>
      <c r="F68" s="1"/>
      <c r="G68" s="1"/>
      <c r="H68" s="12"/>
      <c r="I68" s="12"/>
      <c r="J68" s="203"/>
      <c r="L68"/>
    </row>
    <row r="69" spans="1:12" ht="15.75" x14ac:dyDescent="0.25">
      <c r="B69" s="202" t="s">
        <v>149</v>
      </c>
      <c r="C69" s="153"/>
      <c r="D69" s="153"/>
      <c r="E69" s="388" t="s">
        <v>152</v>
      </c>
      <c r="F69" s="388"/>
      <c r="G69" s="153"/>
      <c r="H69" s="153"/>
      <c r="I69" s="1"/>
      <c r="J69" s="203"/>
      <c r="L69"/>
    </row>
    <row r="70" spans="1:12" ht="15.75" x14ac:dyDescent="0.25">
      <c r="B70" s="21"/>
      <c r="C70" s="40" t="s">
        <v>40</v>
      </c>
      <c r="D70" s="110" t="s">
        <v>41</v>
      </c>
      <c r="E70" s="110" t="s">
        <v>42</v>
      </c>
      <c r="F70" s="389" t="s">
        <v>44</v>
      </c>
      <c r="G70" s="389"/>
      <c r="H70" s="161" t="s">
        <v>45</v>
      </c>
      <c r="I70" s="1"/>
      <c r="J70" s="203"/>
      <c r="L70"/>
    </row>
    <row r="71" spans="1:12" ht="15.75" x14ac:dyDescent="0.25">
      <c r="B71" s="204" t="s">
        <v>139</v>
      </c>
      <c r="C71" s="12">
        <f>C65</f>
        <v>20000</v>
      </c>
      <c r="D71" s="2">
        <f>D67</f>
        <v>812</v>
      </c>
      <c r="E71" s="2">
        <f>F67</f>
        <v>11342712</v>
      </c>
      <c r="F71" s="216">
        <v>148.35</v>
      </c>
      <c r="G71" s="189" t="s">
        <v>140</v>
      </c>
      <c r="H71" s="119">
        <f>ROUND(D71*F71,0)</f>
        <v>120460</v>
      </c>
      <c r="I71" s="1"/>
      <c r="J71" s="203"/>
      <c r="L71"/>
    </row>
    <row r="72" spans="1:12" ht="18" x14ac:dyDescent="0.4">
      <c r="B72" s="206" t="s">
        <v>143</v>
      </c>
      <c r="C72" s="12">
        <f>C66</f>
        <v>20000</v>
      </c>
      <c r="D72" s="167"/>
      <c r="E72" s="213">
        <f>G67</f>
        <v>59574778</v>
      </c>
      <c r="F72" s="218">
        <v>6.8399999999999997E-3</v>
      </c>
      <c r="G72" s="189" t="s">
        <v>142</v>
      </c>
      <c r="H72" s="196">
        <f t="shared" ref="H72" si="4">ROUND(E72*F72,0)</f>
        <v>407491</v>
      </c>
      <c r="I72" s="1"/>
      <c r="J72" s="203"/>
      <c r="L72"/>
    </row>
    <row r="73" spans="1:12" ht="15.75" x14ac:dyDescent="0.25">
      <c r="B73" s="82"/>
      <c r="C73" s="208"/>
      <c r="D73" s="217"/>
      <c r="E73" s="208">
        <f>SUM(E71:E72)</f>
        <v>70917490</v>
      </c>
      <c r="F73" s="210"/>
      <c r="G73" s="210"/>
      <c r="H73" s="209">
        <f>SUM(H71:H72)</f>
        <v>527951</v>
      </c>
      <c r="I73" s="210"/>
      <c r="J73" s="211"/>
      <c r="L73"/>
    </row>
    <row r="74" spans="1:12" x14ac:dyDescent="0.2">
      <c r="A74"/>
      <c r="B74"/>
      <c r="C74"/>
      <c r="D74"/>
      <c r="E74"/>
      <c r="F74"/>
      <c r="G74"/>
      <c r="H74"/>
      <c r="I74"/>
      <c r="J74"/>
      <c r="K74"/>
      <c r="L74"/>
    </row>
    <row r="75" spans="1:12" ht="15.75" x14ac:dyDescent="0.25">
      <c r="A75"/>
      <c r="B75" s="280" t="s">
        <v>220</v>
      </c>
      <c r="C75" s="281"/>
      <c r="D75" s="281"/>
      <c r="E75" s="281"/>
      <c r="F75" s="281"/>
      <c r="G75" s="362" t="s">
        <v>238</v>
      </c>
      <c r="H75" s="362" t="s">
        <v>239</v>
      </c>
      <c r="I75" s="281"/>
      <c r="J75" s="282"/>
      <c r="K75"/>
      <c r="L75"/>
    </row>
    <row r="76" spans="1:12" ht="15.75" x14ac:dyDescent="0.25">
      <c r="A76"/>
      <c r="B76" s="283"/>
      <c r="C76"/>
      <c r="D76"/>
      <c r="E76" s="284" t="s">
        <v>219</v>
      </c>
      <c r="F76" s="284" t="s">
        <v>240</v>
      </c>
      <c r="G76" s="363" t="s">
        <v>241</v>
      </c>
      <c r="H76" s="161" t="s">
        <v>45</v>
      </c>
      <c r="I76" s="363" t="s">
        <v>40</v>
      </c>
      <c r="J76" s="285"/>
      <c r="K76"/>
      <c r="L76"/>
    </row>
    <row r="77" spans="1:12" x14ac:dyDescent="0.2">
      <c r="A77"/>
      <c r="B77" s="283"/>
      <c r="C77" t="s">
        <v>242</v>
      </c>
      <c r="D77"/>
      <c r="E77"/>
      <c r="F77" s="286">
        <v>18</v>
      </c>
      <c r="G77"/>
      <c r="H77" s="225">
        <f>(E77*12)*F77</f>
        <v>0</v>
      </c>
      <c r="I77"/>
      <c r="J77" s="285"/>
      <c r="K77"/>
      <c r="L77"/>
    </row>
    <row r="78" spans="1:12" x14ac:dyDescent="0.2">
      <c r="A78"/>
      <c r="B78" s="283"/>
      <c r="C78" t="s">
        <v>243</v>
      </c>
      <c r="D78"/>
      <c r="E78" s="309">
        <v>55</v>
      </c>
      <c r="F78" s="286">
        <v>35</v>
      </c>
      <c r="G78">
        <v>660</v>
      </c>
      <c r="H78" s="225">
        <f>F78*G78</f>
        <v>23100</v>
      </c>
      <c r="I78" s="347"/>
      <c r="J78" s="285"/>
      <c r="K78"/>
      <c r="L78"/>
    </row>
    <row r="79" spans="1:12" x14ac:dyDescent="0.2">
      <c r="A79"/>
      <c r="B79" s="283"/>
      <c r="C79" t="s">
        <v>244</v>
      </c>
      <c r="D79"/>
      <c r="E79" s="309">
        <v>1</v>
      </c>
      <c r="F79" s="286">
        <v>45</v>
      </c>
      <c r="G79">
        <v>12</v>
      </c>
      <c r="H79" s="287">
        <f>F79*G79</f>
        <v>540</v>
      </c>
      <c r="I79" s="348"/>
      <c r="J79" s="285"/>
      <c r="K79"/>
      <c r="L79"/>
    </row>
    <row r="80" spans="1:12" x14ac:dyDescent="0.2">
      <c r="A80"/>
      <c r="B80" s="289"/>
      <c r="C80" s="290"/>
      <c r="D80" s="290"/>
      <c r="E80" s="290"/>
      <c r="F80" s="290"/>
      <c r="G80" s="290"/>
      <c r="H80" s="287">
        <f>SUM(H77:H79)</f>
        <v>23640</v>
      </c>
      <c r="I80" s="288">
        <f>SUM(I78:I79)</f>
        <v>0</v>
      </c>
      <c r="J80" s="291"/>
      <c r="K80"/>
      <c r="L80"/>
    </row>
    <row r="81" spans="1:12" x14ac:dyDescent="0.2">
      <c r="A81"/>
      <c r="B81"/>
      <c r="C81"/>
      <c r="D81"/>
      <c r="E81"/>
      <c r="F81"/>
      <c r="G81"/>
      <c r="H81"/>
      <c r="I81"/>
      <c r="J81"/>
      <c r="K81"/>
      <c r="L81"/>
    </row>
    <row r="82" spans="1:12" ht="15.75" x14ac:dyDescent="0.25">
      <c r="A82"/>
      <c r="B82" s="197" t="s">
        <v>236</v>
      </c>
      <c r="C82" s="48"/>
      <c r="D82" s="127"/>
      <c r="E82" s="390"/>
      <c r="F82" s="390"/>
      <c r="G82" s="198"/>
      <c r="H82" s="199"/>
      <c r="I82" s="200"/>
      <c r="J82" s="201"/>
      <c r="K82"/>
      <c r="L82"/>
    </row>
    <row r="83" spans="1:12" ht="15.75" x14ac:dyDescent="0.25">
      <c r="A83"/>
      <c r="B83" s="202" t="s">
        <v>284</v>
      </c>
      <c r="C83" s="12"/>
      <c r="D83" s="8"/>
      <c r="E83" s="193"/>
      <c r="F83" s="11" t="s">
        <v>139</v>
      </c>
      <c r="G83" s="11" t="s">
        <v>141</v>
      </c>
      <c r="H83" s="191" t="s">
        <v>143</v>
      </c>
      <c r="I83" s="1"/>
      <c r="J83" s="219"/>
      <c r="K83"/>
      <c r="L83"/>
    </row>
    <row r="84" spans="1:12" ht="15.75" x14ac:dyDescent="0.25">
      <c r="A84"/>
      <c r="B84" s="21"/>
      <c r="C84" s="40" t="s">
        <v>40</v>
      </c>
      <c r="D84" s="110" t="s">
        <v>296</v>
      </c>
      <c r="E84" s="110" t="s">
        <v>42</v>
      </c>
      <c r="F84" s="118">
        <f>C85</f>
        <v>3000</v>
      </c>
      <c r="G84" s="118">
        <f>C86</f>
        <v>7000</v>
      </c>
      <c r="H84" s="117">
        <f>C87</f>
        <v>10000</v>
      </c>
      <c r="I84" s="11" t="s">
        <v>11</v>
      </c>
      <c r="J84" s="219"/>
      <c r="K84"/>
      <c r="L84"/>
    </row>
    <row r="85" spans="1:12" ht="15.75" x14ac:dyDescent="0.25">
      <c r="A85"/>
      <c r="B85" s="204" t="s">
        <v>139</v>
      </c>
      <c r="C85" s="12">
        <v>3000</v>
      </c>
      <c r="D85" s="278">
        <v>227</v>
      </c>
      <c r="E85" s="278">
        <v>6083646</v>
      </c>
      <c r="F85" s="117">
        <f>E85</f>
        <v>6083646</v>
      </c>
      <c r="G85" s="117"/>
      <c r="H85" s="117"/>
      <c r="I85" s="12">
        <f>SUM(F85:H85)</f>
        <v>6083646</v>
      </c>
      <c r="J85" s="219"/>
      <c r="K85"/>
      <c r="L85"/>
    </row>
    <row r="86" spans="1:12" ht="15.75" x14ac:dyDescent="0.25">
      <c r="A86"/>
      <c r="B86" s="204" t="s">
        <v>141</v>
      </c>
      <c r="C86" s="12">
        <v>7000</v>
      </c>
      <c r="D86" s="278"/>
      <c r="E86" s="278"/>
      <c r="F86" s="117">
        <f>D86*F84</f>
        <v>0</v>
      </c>
      <c r="G86" s="117">
        <f>E86-F86</f>
        <v>0</v>
      </c>
      <c r="H86" s="117"/>
      <c r="I86" s="12">
        <f>SUM(F86:H86)</f>
        <v>0</v>
      </c>
      <c r="J86" s="219"/>
      <c r="K86"/>
      <c r="L86"/>
    </row>
    <row r="87" spans="1:12" ht="18" x14ac:dyDescent="0.4">
      <c r="A87"/>
      <c r="B87" s="206" t="s">
        <v>143</v>
      </c>
      <c r="C87" s="12">
        <v>10000</v>
      </c>
      <c r="D87" s="279"/>
      <c r="E87" s="279"/>
      <c r="F87" s="195">
        <f>D87*F84</f>
        <v>0</v>
      </c>
      <c r="G87" s="195">
        <f>D87*G84</f>
        <v>0</v>
      </c>
      <c r="H87" s="195">
        <f>E87-F87-G87</f>
        <v>0</v>
      </c>
      <c r="I87" s="195">
        <f>SUM(F87:H87)</f>
        <v>0</v>
      </c>
      <c r="J87" s="219"/>
      <c r="K87"/>
      <c r="L87"/>
    </row>
    <row r="88" spans="1:12" ht="15.75" x14ac:dyDescent="0.25">
      <c r="A88"/>
      <c r="B88" s="204"/>
      <c r="C88" s="12"/>
      <c r="D88" s="12">
        <f t="shared" ref="D88:I88" si="5">SUM(D85:D87)</f>
        <v>227</v>
      </c>
      <c r="E88" s="12">
        <f t="shared" si="5"/>
        <v>6083646</v>
      </c>
      <c r="F88" s="12">
        <f t="shared" si="5"/>
        <v>6083646</v>
      </c>
      <c r="G88" s="12">
        <f t="shared" si="5"/>
        <v>0</v>
      </c>
      <c r="H88" s="12">
        <f t="shared" si="5"/>
        <v>0</v>
      </c>
      <c r="I88" s="12">
        <f t="shared" si="5"/>
        <v>6083646</v>
      </c>
      <c r="J88" s="219"/>
      <c r="K88"/>
      <c r="L88"/>
    </row>
    <row r="89" spans="1:12" ht="15.75" x14ac:dyDescent="0.25">
      <c r="A89"/>
      <c r="B89" s="21"/>
      <c r="C89" s="12"/>
      <c r="D89" s="8"/>
      <c r="E89" s="111"/>
      <c r="F89" s="2"/>
      <c r="G89" s="2"/>
      <c r="H89" s="138"/>
      <c r="I89" s="1"/>
      <c r="J89" s="203"/>
      <c r="K89"/>
      <c r="L89"/>
    </row>
    <row r="90" spans="1:12" ht="15.75" x14ac:dyDescent="0.25">
      <c r="A90"/>
      <c r="B90" s="202" t="s">
        <v>149</v>
      </c>
      <c r="C90" s="1"/>
      <c r="D90" s="1"/>
      <c r="E90" s="388" t="s">
        <v>295</v>
      </c>
      <c r="F90" s="388"/>
      <c r="G90" s="153"/>
      <c r="H90" s="153"/>
      <c r="I90" s="12"/>
      <c r="J90" s="205"/>
      <c r="K90"/>
      <c r="L90"/>
    </row>
    <row r="91" spans="1:12" ht="15.75" x14ac:dyDescent="0.25">
      <c r="A91"/>
      <c r="B91" s="202"/>
      <c r="C91" s="1"/>
      <c r="D91" s="10" t="s">
        <v>245</v>
      </c>
      <c r="E91" s="193"/>
      <c r="F91" s="193"/>
      <c r="G91" s="153"/>
      <c r="H91" s="153"/>
      <c r="I91" s="12"/>
      <c r="J91" s="205"/>
      <c r="K91"/>
      <c r="L91"/>
    </row>
    <row r="92" spans="1:12" ht="15.75" x14ac:dyDescent="0.25">
      <c r="A92"/>
      <c r="B92" s="21"/>
      <c r="C92" s="40" t="s">
        <v>40</v>
      </c>
      <c r="D92" s="110" t="s">
        <v>246</v>
      </c>
      <c r="E92" s="110" t="s">
        <v>42</v>
      </c>
      <c r="F92" s="389" t="s">
        <v>44</v>
      </c>
      <c r="G92" s="389"/>
      <c r="H92" s="161" t="s">
        <v>45</v>
      </c>
      <c r="I92" s="1"/>
      <c r="J92" s="203"/>
      <c r="K92"/>
      <c r="L92"/>
    </row>
    <row r="93" spans="1:12" ht="15.75" x14ac:dyDescent="0.25">
      <c r="A93"/>
      <c r="B93" s="204" t="s">
        <v>139</v>
      </c>
      <c r="C93" s="12">
        <f>C85</f>
        <v>3000</v>
      </c>
      <c r="D93" s="12">
        <f>D88*12</f>
        <v>2724</v>
      </c>
      <c r="E93" s="12">
        <f>F88</f>
        <v>6083646</v>
      </c>
      <c r="F93" s="188">
        <v>30.53</v>
      </c>
      <c r="G93" s="189" t="s">
        <v>140</v>
      </c>
      <c r="H93" s="119">
        <f>ROUND(D93*F93,0)</f>
        <v>83164</v>
      </c>
      <c r="I93" s="1"/>
      <c r="J93" s="203"/>
      <c r="K93"/>
      <c r="L93"/>
    </row>
    <row r="94" spans="1:12" ht="15.75" x14ac:dyDescent="0.25">
      <c r="A94"/>
      <c r="B94" s="204" t="s">
        <v>141</v>
      </c>
      <c r="C94" s="12">
        <f>C86</f>
        <v>7000</v>
      </c>
      <c r="D94" s="12"/>
      <c r="E94" s="12">
        <f>G88</f>
        <v>0</v>
      </c>
      <c r="F94" s="190">
        <v>7.0600000000000003E-3</v>
      </c>
      <c r="G94" s="189" t="s">
        <v>142</v>
      </c>
      <c r="H94" s="119">
        <f>ROUND(E94*F94,0)</f>
        <v>0</v>
      </c>
      <c r="I94" s="1"/>
      <c r="J94" s="203"/>
      <c r="K94"/>
      <c r="L94"/>
    </row>
    <row r="95" spans="1:12" ht="18" x14ac:dyDescent="0.4">
      <c r="A95"/>
      <c r="B95" s="206" t="s">
        <v>143</v>
      </c>
      <c r="C95" s="12">
        <f>C87</f>
        <v>10000</v>
      </c>
      <c r="D95" s="195"/>
      <c r="E95" s="195">
        <f>H88</f>
        <v>0</v>
      </c>
      <c r="F95" s="190">
        <v>6.8399999999999997E-3</v>
      </c>
      <c r="G95" s="189" t="s">
        <v>142</v>
      </c>
      <c r="H95" s="196">
        <f t="shared" ref="H95" si="6">ROUND(E95*F95,0)</f>
        <v>0</v>
      </c>
      <c r="I95" s="1"/>
      <c r="J95" s="203"/>
      <c r="K95"/>
      <c r="L95"/>
    </row>
    <row r="96" spans="1:12" ht="15.75" x14ac:dyDescent="0.25">
      <c r="A96"/>
      <c r="B96" s="207"/>
      <c r="C96" s="208"/>
      <c r="D96" s="208"/>
      <c r="E96" s="220">
        <f>SUM(E93:E95)</f>
        <v>6083646</v>
      </c>
      <c r="F96" s="208"/>
      <c r="G96" s="208"/>
      <c r="H96" s="209">
        <f>SUM(H93:H95)</f>
        <v>83164</v>
      </c>
      <c r="I96" s="210"/>
      <c r="J96" s="211"/>
      <c r="K96"/>
      <c r="L96"/>
    </row>
    <row r="97" spans="1:12" x14ac:dyDescent="0.2">
      <c r="A97"/>
      <c r="B97"/>
      <c r="C97"/>
      <c r="D97"/>
      <c r="E97"/>
      <c r="F97"/>
      <c r="G97"/>
      <c r="H97"/>
      <c r="I97"/>
      <c r="J97"/>
      <c r="K97"/>
      <c r="L97"/>
    </row>
    <row r="98" spans="1:12" x14ac:dyDescent="0.2">
      <c r="A98"/>
      <c r="B98"/>
      <c r="C98"/>
      <c r="D98"/>
      <c r="E98"/>
      <c r="F98"/>
      <c r="G98"/>
      <c r="H98"/>
      <c r="I98"/>
      <c r="J98"/>
      <c r="K98"/>
      <c r="L98"/>
    </row>
  </sheetData>
  <mergeCells count="19">
    <mergeCell ref="F28:G28"/>
    <mergeCell ref="B1:I1"/>
    <mergeCell ref="B2:I2"/>
    <mergeCell ref="D4:G4"/>
    <mergeCell ref="E18:F18"/>
    <mergeCell ref="E26:F26"/>
    <mergeCell ref="F27:G27"/>
    <mergeCell ref="E34:F34"/>
    <mergeCell ref="E42:F42"/>
    <mergeCell ref="F43:G43"/>
    <mergeCell ref="E49:F49"/>
    <mergeCell ref="E56:F56"/>
    <mergeCell ref="E90:F90"/>
    <mergeCell ref="F92:G92"/>
    <mergeCell ref="F57:G57"/>
    <mergeCell ref="E62:F62"/>
    <mergeCell ref="E69:F69"/>
    <mergeCell ref="F70:G70"/>
    <mergeCell ref="E82:F82"/>
  </mergeCells>
  <pageMargins left="0.7" right="0.7" top="0.75" bottom="0.75" header="0.3" footer="0.3"/>
  <pageSetup scale="88"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SAO</vt:lpstr>
      <vt:lpstr>References</vt:lpstr>
      <vt:lpstr>Wages</vt:lpstr>
      <vt:lpstr>Medical</vt:lpstr>
      <vt:lpstr>Debt Service</vt:lpstr>
      <vt:lpstr>Depreciation</vt:lpstr>
      <vt:lpstr>Purch. Water</vt:lpstr>
      <vt:lpstr>ExBA</vt:lpstr>
      <vt:lpstr>'Debt Service'!Print_Area</vt:lpstr>
      <vt:lpstr>Depreciation!Print_Area</vt:lpstr>
      <vt:lpstr>SAO!Print_Area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Tina Frederick</cp:lastModifiedBy>
  <cp:lastPrinted>2022-11-16T18:36:52Z</cp:lastPrinted>
  <dcterms:created xsi:type="dcterms:W3CDTF">2016-05-18T14:12:06Z</dcterms:created>
  <dcterms:modified xsi:type="dcterms:W3CDTF">2025-06-19T13:44:01Z</dcterms:modified>
</cp:coreProperties>
</file>