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Green-Taylor\RFI #1 files\"/>
    </mc:Choice>
  </mc:AlternateContent>
  <xr:revisionPtr revIDLastSave="0" documentId="8_{2F6716DA-D007-42C1-B918-FE77C56B4BE8}" xr6:coauthVersionLast="47" xr6:coauthVersionMax="47" xr10:uidLastSave="{00000000-0000-0000-0000-000000000000}"/>
  <bookViews>
    <workbookView xWindow="-120" yWindow="-120" windowWidth="29040" windowHeight="15840" xr2:uid="{F715ACF9-E8B1-4BC9-900A-D91B813F56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1" l="1"/>
  <c r="O27" i="1"/>
  <c r="F41" i="1"/>
  <c r="E35" i="1"/>
  <c r="F35" i="1" s="1"/>
  <c r="E34" i="1"/>
  <c r="F34" i="1" s="1"/>
  <c r="O33" i="1"/>
  <c r="F33" i="1"/>
  <c r="F36" i="1" s="1"/>
  <c r="F37" i="1" s="1"/>
  <c r="E33" i="1"/>
  <c r="F32" i="1"/>
  <c r="E32" i="1"/>
  <c r="H30" i="1"/>
  <c r="H32" i="1" s="1"/>
  <c r="H28" i="1"/>
  <c r="E28" i="1"/>
  <c r="F28" i="1" s="1"/>
  <c r="S27" i="1"/>
  <c r="F27" i="1"/>
  <c r="E27" i="1"/>
  <c r="U26" i="1"/>
  <c r="E26" i="1"/>
  <c r="F26" i="1" s="1"/>
  <c r="U25" i="1"/>
  <c r="E25" i="1"/>
  <c r="F25" i="1" s="1"/>
  <c r="F29" i="1" s="1"/>
  <c r="F30" i="1" s="1"/>
  <c r="F39" i="1" s="1"/>
  <c r="F40" i="1" s="1"/>
  <c r="F42" i="1" s="1"/>
  <c r="U24" i="1"/>
  <c r="N16" i="1"/>
  <c r="M16" i="1"/>
  <c r="O16" i="1" s="1"/>
  <c r="D16" i="1"/>
  <c r="E16" i="1" s="1"/>
  <c r="E18" i="1" s="1"/>
  <c r="N15" i="1"/>
  <c r="M15" i="1"/>
  <c r="O15" i="1" s="1"/>
  <c r="N14" i="1"/>
  <c r="M14" i="1"/>
  <c r="O14" i="1" s="1"/>
  <c r="N13" i="1"/>
  <c r="M13" i="1"/>
  <c r="O13" i="1" s="1"/>
  <c r="N12" i="1"/>
  <c r="M12" i="1"/>
  <c r="O12" i="1" s="1"/>
  <c r="D12" i="1"/>
  <c r="N11" i="1"/>
  <c r="M11" i="1"/>
  <c r="O11" i="1" s="1"/>
  <c r="N10" i="1"/>
  <c r="M10" i="1"/>
  <c r="O10" i="1" s="1"/>
  <c r="T9" i="1"/>
  <c r="T11" i="1" s="1"/>
  <c r="N9" i="1"/>
  <c r="M9" i="1"/>
  <c r="O9" i="1" s="1"/>
  <c r="T8" i="1"/>
  <c r="N8" i="1"/>
  <c r="M8" i="1"/>
  <c r="O8" i="1" s="1"/>
  <c r="T7" i="1"/>
  <c r="N7" i="1"/>
  <c r="M7" i="1"/>
  <c r="O7" i="1" s="1"/>
  <c r="O17" i="1" s="1"/>
  <c r="D6" i="1"/>
  <c r="C17" i="1" s="1"/>
  <c r="U27" i="1" l="1"/>
  <c r="U29" i="1" s="1"/>
  <c r="O30" i="1"/>
  <c r="O32" i="1" s="1"/>
  <c r="O34" i="1" s="1"/>
  <c r="O26" i="1"/>
  <c r="O28" i="1" s="1"/>
  <c r="O20" i="1"/>
  <c r="O22" i="1" s="1"/>
  <c r="T12" i="1"/>
  <c r="T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AlanV</author>
    <author>Alan Vilines</author>
  </authors>
  <commentList>
    <comment ref="O24" authorId="0" shapeId="0" xr:uid="{7B6CEECD-E4DC-4C66-8F37-2F40C7A4DA32}">
      <text>
        <r>
          <rPr>
            <b/>
            <sz val="9"/>
            <color indexed="81"/>
            <rFont val="Tahoma"/>
            <family val="2"/>
          </rPr>
          <t>AlanV:</t>
        </r>
        <r>
          <rPr>
            <sz val="9"/>
            <color indexed="81"/>
            <rFont val="Tahoma"/>
            <family val="2"/>
          </rPr>
          <t xml:space="preserve">
Includes Commissioners</t>
        </r>
      </text>
    </comment>
    <comment ref="O31" authorId="1" shapeId="0" xr:uid="{7DB3A604-EAAC-4DEA-99D1-B6ED4FE05C23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new rate effective 7/1/22
 per KPPA web site</t>
        </r>
      </text>
    </comment>
  </commentList>
</comments>
</file>

<file path=xl/sharedStrings.xml><?xml version="1.0" encoding="utf-8"?>
<sst xmlns="http://schemas.openxmlformats.org/spreadsheetml/2006/main" count="110" uniqueCount="97">
  <si>
    <t>Green-Taylor Water District</t>
  </si>
  <si>
    <t>Water Loss Adjustment:</t>
  </si>
  <si>
    <t>Salaries &amp; Wages and Associated Adjustments</t>
  </si>
  <si>
    <t>Addition to Depreciation Expense:</t>
  </si>
  <si>
    <t>Total</t>
  </si>
  <si>
    <t>Produced &amp; Purchased</t>
  </si>
  <si>
    <t>Pro Forma</t>
  </si>
  <si>
    <t xml:space="preserve">Pro Forma </t>
  </si>
  <si>
    <t>New Meter Installations:</t>
  </si>
  <si>
    <t>Sold</t>
  </si>
  <si>
    <t>Employee</t>
  </si>
  <si>
    <t>Reg. Hrs</t>
  </si>
  <si>
    <t>O. T. Hours</t>
  </si>
  <si>
    <t>Wage Rate</t>
  </si>
  <si>
    <t>Reg. Wages</t>
  </si>
  <si>
    <t>O. T. Wages</t>
  </si>
  <si>
    <t>Wages</t>
  </si>
  <si>
    <t>No.</t>
  </si>
  <si>
    <t>Charge</t>
  </si>
  <si>
    <t>Uses:</t>
  </si>
  <si>
    <t>Tucker</t>
  </si>
  <si>
    <t>3/4" meters</t>
  </si>
  <si>
    <t xml:space="preserve">  WTP</t>
  </si>
  <si>
    <t>Coffey</t>
  </si>
  <si>
    <t>1" meters</t>
  </si>
  <si>
    <t xml:space="preserve">  Flushing</t>
  </si>
  <si>
    <t>Robertson</t>
  </si>
  <si>
    <t>Addition to depr. Table</t>
  </si>
  <si>
    <t xml:space="preserve">  Fire</t>
  </si>
  <si>
    <t>Riggle</t>
  </si>
  <si>
    <t xml:space="preserve">  Other</t>
  </si>
  <si>
    <t>Patterson</t>
  </si>
  <si>
    <t>labor adjustment</t>
  </si>
  <si>
    <t>Lane</t>
  </si>
  <si>
    <t>materials adjustment</t>
  </si>
  <si>
    <t>Line Brks.</t>
  </si>
  <si>
    <t>Larimore</t>
  </si>
  <si>
    <t>Line Leaks</t>
  </si>
  <si>
    <t>Glasscoe</t>
  </si>
  <si>
    <t>Theft</t>
  </si>
  <si>
    <t>Lowe</t>
  </si>
  <si>
    <t xml:space="preserve">  water loss percentage</t>
  </si>
  <si>
    <t>Pierce</t>
  </si>
  <si>
    <t>check</t>
  </si>
  <si>
    <t xml:space="preserve">  allowable in rates</t>
  </si>
  <si>
    <t xml:space="preserve">  adjustment not required</t>
  </si>
  <si>
    <t>Adjustments</t>
  </si>
  <si>
    <t>Pro Forma Salaries &amp; Wages Expense</t>
  </si>
  <si>
    <t>Insurance Adjustment</t>
  </si>
  <si>
    <t>GASB Liability Adjustments</t>
  </si>
  <si>
    <t>Less: Test Year Salaries &amp; Wages Exp</t>
  </si>
  <si>
    <t>Monthly</t>
  </si>
  <si>
    <t>BLS avg.</t>
  </si>
  <si>
    <t>Premium</t>
  </si>
  <si>
    <t>Pro Forma Salaries &amp; Wages Adj'mt</t>
  </si>
  <si>
    <t>Empl. rate</t>
  </si>
  <si>
    <t>Adj'mt.</t>
  </si>
  <si>
    <t>Dist. Contrib</t>
  </si>
  <si>
    <t>Employee Benefits (from Auditor):</t>
  </si>
  <si>
    <t xml:space="preserve"> </t>
  </si>
  <si>
    <t>Gals x 1000</t>
  </si>
  <si>
    <t>Rate</t>
  </si>
  <si>
    <t>Cost</t>
  </si>
  <si>
    <t>Empl/Spouse</t>
  </si>
  <si>
    <t>Emp. Heath, Dental, etc</t>
  </si>
  <si>
    <t>Pro Forma Taxable Salaries and Wages</t>
  </si>
  <si>
    <t>Greensburg</t>
  </si>
  <si>
    <t>Health</t>
  </si>
  <si>
    <t>Retirement</t>
  </si>
  <si>
    <t>Times: 7.65 Percent FICA Rate</t>
  </si>
  <si>
    <t>Green River Valley</t>
  </si>
  <si>
    <t>Life</t>
  </si>
  <si>
    <t>OPEB</t>
  </si>
  <si>
    <t>Pro Forma Payroll Taxes</t>
  </si>
  <si>
    <t>Campbellsville</t>
  </si>
  <si>
    <t>Dental</t>
  </si>
  <si>
    <t>GASB 68</t>
  </si>
  <si>
    <t>Less: Test Year Payroll Taxes</t>
  </si>
  <si>
    <t>Vision</t>
  </si>
  <si>
    <t>Total Pen &amp; Benefits</t>
  </si>
  <si>
    <t>Payroll Tax Adjustment</t>
  </si>
  <si>
    <t>Test Year WP expense</t>
  </si>
  <si>
    <t>Water Purchased Adjustment</t>
  </si>
  <si>
    <t>Contrib. x No. in Tier</t>
  </si>
  <si>
    <t>Reported Ins.</t>
  </si>
  <si>
    <t>Wages applicable to CERS payments</t>
  </si>
  <si>
    <t>Family</t>
  </si>
  <si>
    <t>Actual Dist. Pmts.</t>
  </si>
  <si>
    <t>Times: Percent Pension Contribution</t>
  </si>
  <si>
    <t>Total Pro Forma Pension Contribution</t>
  </si>
  <si>
    <t>Less: Test Year Pension Contribution</t>
  </si>
  <si>
    <t>Pension &amp; Benefits Adjustments</t>
  </si>
  <si>
    <t>Total Allowable monthly prem.</t>
  </si>
  <si>
    <t>Allowable annual prem.</t>
  </si>
  <si>
    <t>Less prem. pd. in test yr.</t>
  </si>
  <si>
    <t>Health Ins. Adjustment</t>
  </si>
  <si>
    <t>Purchased Water Adjustment for PWA (Scenario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</si>
</sst>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$-409]* #,##0_);_([$$-409]* \(#,##0\);_([$$-409]* &quot;-&quot;??_);_(@_)"/>
    <numFmt numFmtId="166" formatCode="0.000%"/>
    <numFmt numFmtId="167" formatCode="_(&quot;$&quot;* #,##0_);_(&quot;$&quot;* \(#,##0\);_(&quot;$&quot;* &quot;-&quot;??_);_(@_)"/>
    <numFmt numFmtId="168" formatCode="_(* #,##0.000_);_(* \(#,##0.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"/>
      <family val="2"/>
    </font>
    <font>
      <b/>
      <i/>
      <u/>
      <sz val="11"/>
      <color rgb="FF00B050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8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1" applyFont="1"/>
    <xf numFmtId="43" fontId="3" fillId="0" borderId="0" xfId="2" applyFont="1"/>
    <xf numFmtId="164" fontId="3" fillId="0" borderId="0" xfId="2" applyNumberFormat="1" applyFont="1"/>
    <xf numFmtId="0" fontId="3" fillId="0" borderId="1" xfId="0" applyFont="1" applyBorder="1" applyAlignment="1">
      <alignment horizontal="center"/>
    </xf>
    <xf numFmtId="43" fontId="3" fillId="0" borderId="0" xfId="2" applyFont="1" applyAlignment="1">
      <alignment horizontal="right"/>
    </xf>
    <xf numFmtId="164" fontId="3" fillId="0" borderId="0" xfId="0" applyNumberFormat="1" applyFont="1"/>
    <xf numFmtId="164" fontId="5" fillId="0" borderId="0" xfId="2" applyNumberFormat="1" applyFont="1"/>
    <xf numFmtId="164" fontId="10" fillId="0" borderId="0" xfId="2" applyNumberFormat="1" applyFont="1"/>
    <xf numFmtId="43" fontId="5" fillId="0" borderId="0" xfId="2" applyFont="1"/>
    <xf numFmtId="0" fontId="5" fillId="0" borderId="0" xfId="0" applyFont="1"/>
    <xf numFmtId="165" fontId="3" fillId="0" borderId="0" xfId="0" applyNumberFormat="1" applyFont="1"/>
    <xf numFmtId="166" fontId="3" fillId="0" borderId="0" xfId="3" applyNumberFormat="1" applyFont="1"/>
    <xf numFmtId="3" fontId="3" fillId="0" borderId="0" xfId="0" applyNumberFormat="1" applyFont="1" applyAlignment="1">
      <alignment horizontal="right"/>
    </xf>
    <xf numFmtId="166" fontId="11" fillId="0" borderId="0" xfId="3" applyNumberFormat="1" applyFont="1"/>
    <xf numFmtId="164" fontId="3" fillId="0" borderId="0" xfId="2" applyNumberFormat="1" applyFont="1" applyAlignment="1">
      <alignment vertical="center"/>
    </xf>
    <xf numFmtId="166" fontId="5" fillId="0" borderId="0" xfId="3" applyNumberFormat="1" applyFont="1"/>
    <xf numFmtId="3" fontId="5" fillId="0" borderId="0" xfId="0" applyNumberFormat="1" applyFont="1"/>
    <xf numFmtId="0" fontId="12" fillId="0" borderId="0" xfId="0" applyFont="1" applyAlignment="1">
      <alignment horizontal="center"/>
    </xf>
    <xf numFmtId="0" fontId="1" fillId="0" borderId="0" xfId="0" applyFont="1"/>
    <xf numFmtId="43" fontId="9" fillId="0" borderId="0" xfId="2" applyFont="1" applyAlignment="1">
      <alignment horizontal="center"/>
    </xf>
    <xf numFmtId="0" fontId="2" fillId="0" borderId="0" xfId="0" applyFont="1"/>
    <xf numFmtId="167" fontId="2" fillId="0" borderId="2" xfId="1" applyNumberFormat="1" applyFont="1" applyBorder="1"/>
    <xf numFmtId="0" fontId="11" fillId="0" borderId="0" xfId="0" applyFont="1"/>
    <xf numFmtId="3" fontId="13" fillId="0" borderId="0" xfId="0" applyNumberFormat="1" applyFont="1" applyAlignment="1">
      <alignment vertical="center"/>
    </xf>
    <xf numFmtId="167" fontId="3" fillId="0" borderId="0" xfId="1" applyNumberFormat="1" applyFont="1"/>
    <xf numFmtId="9" fontId="3" fillId="0" borderId="0" xfId="3" applyFont="1"/>
    <xf numFmtId="10" fontId="3" fillId="0" borderId="1" xfId="0" applyNumberFormat="1" applyFont="1" applyBorder="1"/>
    <xf numFmtId="3" fontId="14" fillId="0" borderId="0" xfId="0" applyNumberFormat="1" applyFont="1" applyAlignment="1">
      <alignment vertical="center"/>
    </xf>
    <xf numFmtId="167" fontId="3" fillId="0" borderId="1" xfId="1" applyNumberFormat="1" applyFont="1" applyBorder="1"/>
    <xf numFmtId="43" fontId="3" fillId="0" borderId="0" xfId="0" applyNumberFormat="1" applyFont="1"/>
    <xf numFmtId="43" fontId="9" fillId="0" borderId="0" xfId="2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9" fontId="3" fillId="0" borderId="0" xfId="3" applyFont="1" applyAlignment="1">
      <alignment horizontal="right"/>
    </xf>
    <xf numFmtId="0" fontId="15" fillId="0" borderId="0" xfId="0" applyFont="1" applyAlignment="1">
      <alignment vertical="center"/>
    </xf>
    <xf numFmtId="164" fontId="9" fillId="0" borderId="0" xfId="2" applyNumberFormat="1" applyFont="1"/>
    <xf numFmtId="43" fontId="5" fillId="0" borderId="0" xfId="2" applyFont="1" applyAlignment="1">
      <alignment horizontal="right"/>
    </xf>
    <xf numFmtId="164" fontId="3" fillId="0" borderId="0" xfId="2" applyNumberFormat="1" applyFont="1" applyAlignment="1">
      <alignment horizontal="center"/>
    </xf>
    <xf numFmtId="43" fontId="3" fillId="0" borderId="0" xfId="2" applyFont="1" applyAlignment="1">
      <alignment horizontal="center"/>
    </xf>
    <xf numFmtId="164" fontId="3" fillId="0" borderId="0" xfId="2" applyNumberFormat="1" applyFont="1" applyBorder="1"/>
    <xf numFmtId="164" fontId="9" fillId="0" borderId="0" xfId="2" applyNumberFormat="1" applyFont="1" applyBorder="1"/>
    <xf numFmtId="43" fontId="3" fillId="0" borderId="0" xfId="2" quotePrefix="1" applyFont="1" applyAlignment="1">
      <alignment horizontal="right"/>
    </xf>
    <xf numFmtId="43" fontId="3" fillId="0" borderId="0" xfId="2" applyFont="1" applyBorder="1"/>
    <xf numFmtId="164" fontId="1" fillId="0" borderId="0" xfId="2" applyNumberFormat="1" applyFont="1"/>
    <xf numFmtId="43" fontId="9" fillId="0" borderId="0" xfId="2" applyFont="1" applyAlignment="1">
      <alignment horizontal="left"/>
    </xf>
    <xf numFmtId="168" fontId="3" fillId="0" borderId="0" xfId="2" applyNumberFormat="1" applyFont="1"/>
    <xf numFmtId="164" fontId="3" fillId="0" borderId="0" xfId="2" applyNumberFormat="1" applyFont="1" applyFill="1" applyBorder="1"/>
    <xf numFmtId="164" fontId="5" fillId="0" borderId="0" xfId="2" applyNumberFormat="1" applyFont="1" applyAlignment="1">
      <alignment vertical="center"/>
    </xf>
    <xf numFmtId="164" fontId="9" fillId="0" borderId="0" xfId="2" applyNumberFormat="1" applyFont="1" applyFill="1" applyBorder="1"/>
    <xf numFmtId="164" fontId="10" fillId="0" borderId="0" xfId="2" applyNumberFormat="1" applyFont="1" applyAlignment="1">
      <alignment vertical="center"/>
    </xf>
    <xf numFmtId="164" fontId="3" fillId="0" borderId="1" xfId="2" applyNumberFormat="1" applyFont="1" applyBorder="1"/>
    <xf numFmtId="164" fontId="5" fillId="0" borderId="0" xfId="2" applyNumberFormat="1" applyFont="1" applyAlignment="1">
      <alignment horizontal="right"/>
    </xf>
  </cellXfs>
  <cellStyles count="4">
    <cellStyle name="Comma 2" xfId="2" xr:uid="{7B96E014-008F-4B90-BB23-1AB904AD736B}"/>
    <cellStyle name="Currency 2" xfId="1" xr:uid="{02F3F95D-C8DB-40A3-9A4F-86D12CFF843D}"/>
    <cellStyle name="Normal" xfId="0" builtinId="0"/>
    <cellStyle name="Percent 2" xfId="3" xr:uid="{24C6343D-D236-496E-B78D-B2D4C8D27A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7D934-2ED3-4C41-97CB-B6083AC03128}">
  <dimension ref="A1:U43"/>
  <sheetViews>
    <sheetView tabSelected="1" workbookViewId="0">
      <selection activeCell="S16" sqref="S16"/>
    </sheetView>
  </sheetViews>
  <sheetFormatPr defaultRowHeight="15" x14ac:dyDescent="0.25"/>
  <cols>
    <col min="1" max="1" width="4.85546875" customWidth="1"/>
    <col min="2" max="2" width="13.7109375" customWidth="1"/>
    <col min="3" max="3" width="13" customWidth="1"/>
    <col min="4" max="4" width="13.28515625" customWidth="1"/>
    <col min="5" max="5" width="12.5703125" customWidth="1"/>
    <col min="6" max="6" width="13.42578125" customWidth="1"/>
    <col min="7" max="7" width="12.5703125" customWidth="1"/>
    <col min="8" max="8" width="12" bestFit="1" customWidth="1"/>
    <col min="9" max="9" width="15.85546875" customWidth="1"/>
    <col min="10" max="10" width="12.28515625" customWidth="1"/>
    <col min="11" max="12" width="11.42578125"/>
    <col min="13" max="13" width="12.7109375" customWidth="1"/>
    <col min="14" max="14" width="13" customWidth="1"/>
    <col min="15" max="15" width="13.5703125" customWidth="1"/>
    <col min="16" max="16" width="11.42578125"/>
    <col min="17" max="17" width="14.28515625" customWidth="1"/>
    <col min="18" max="18" width="11.42578125"/>
    <col min="19" max="19" width="13.85546875" customWidth="1"/>
    <col min="21" max="21" width="11.140625" customWidth="1"/>
  </cols>
  <sheetData>
    <row r="1" spans="1:21" ht="18.75" x14ac:dyDescent="0.25">
      <c r="A1" s="1"/>
      <c r="B1" s="2" t="s">
        <v>0</v>
      </c>
      <c r="C1" s="1"/>
      <c r="D1" s="1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4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0"/>
      <c r="B3" s="5" t="s">
        <v>1</v>
      </c>
      <c r="C3" s="6"/>
      <c r="D3" s="6"/>
      <c r="E3" s="6"/>
      <c r="F3" s="6"/>
      <c r="G3" s="1"/>
      <c r="H3" s="1"/>
      <c r="I3" s="5" t="s">
        <v>2</v>
      </c>
      <c r="J3" s="1"/>
      <c r="K3" s="1"/>
      <c r="L3" s="1"/>
      <c r="M3" s="1"/>
      <c r="N3" s="1"/>
      <c r="O3" s="1"/>
      <c r="P3" s="1"/>
      <c r="Q3" s="5" t="s">
        <v>3</v>
      </c>
      <c r="R3" s="1"/>
      <c r="S3" s="1"/>
      <c r="T3" s="1"/>
      <c r="U3" s="1"/>
    </row>
    <row r="4" spans="1:21" x14ac:dyDescent="0.25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 t="s">
        <v>4</v>
      </c>
      <c r="P4" s="1"/>
      <c r="Q4" s="1"/>
      <c r="R4" s="1"/>
      <c r="S4" s="1"/>
      <c r="T4" s="1"/>
      <c r="U4" s="1"/>
    </row>
    <row r="5" spans="1:21" x14ac:dyDescent="0.25">
      <c r="A5" s="10"/>
      <c r="B5" s="6" t="s">
        <v>5</v>
      </c>
      <c r="C5" s="10"/>
      <c r="D5" s="10">
        <v>372524</v>
      </c>
      <c r="E5" s="6"/>
      <c r="F5" s="8"/>
      <c r="G5" s="1"/>
      <c r="H5" s="1"/>
      <c r="I5" s="1"/>
      <c r="J5" s="7" t="s">
        <v>6</v>
      </c>
      <c r="K5" s="7" t="s">
        <v>6</v>
      </c>
      <c r="L5" s="7" t="s">
        <v>7</v>
      </c>
      <c r="M5" s="7" t="s">
        <v>6</v>
      </c>
      <c r="N5" s="7" t="s">
        <v>6</v>
      </c>
      <c r="O5" s="7" t="s">
        <v>6</v>
      </c>
      <c r="P5" s="1"/>
      <c r="Q5" s="9" t="s">
        <v>8</v>
      </c>
      <c r="R5" s="1"/>
      <c r="S5" s="10"/>
      <c r="T5" s="1"/>
      <c r="U5" s="1"/>
    </row>
    <row r="6" spans="1:21" ht="17.25" x14ac:dyDescent="0.4">
      <c r="A6" s="10"/>
      <c r="B6" s="6" t="s">
        <v>9</v>
      </c>
      <c r="C6" s="10"/>
      <c r="D6" s="10">
        <f>261630+28501+9911</f>
        <v>300042</v>
      </c>
      <c r="E6" s="6"/>
      <c r="F6" s="6"/>
      <c r="G6" s="1"/>
      <c r="H6" s="1"/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"/>
      <c r="Q6" s="1"/>
      <c r="R6" s="27" t="s">
        <v>17</v>
      </c>
      <c r="S6" s="27" t="s">
        <v>18</v>
      </c>
      <c r="T6" s="27" t="s">
        <v>4</v>
      </c>
      <c r="U6" s="1"/>
    </row>
    <row r="7" spans="1:21" x14ac:dyDescent="0.25">
      <c r="A7" s="10"/>
      <c r="B7" s="6" t="s">
        <v>19</v>
      </c>
      <c r="C7" s="10"/>
      <c r="D7" s="10"/>
      <c r="E7" s="6"/>
      <c r="F7" s="6"/>
      <c r="G7" s="1"/>
      <c r="H7" s="1"/>
      <c r="I7" s="10" t="s">
        <v>20</v>
      </c>
      <c r="J7" s="45">
        <v>2080</v>
      </c>
      <c r="K7" s="46">
        <v>0</v>
      </c>
      <c r="L7" s="9">
        <v>30.98</v>
      </c>
      <c r="M7" s="47">
        <f t="shared" ref="M7:M16" si="0">J7*L7</f>
        <v>64438.400000000001</v>
      </c>
      <c r="N7" s="47">
        <f t="shared" ref="N7:N16" si="1">K7*L7*1.5</f>
        <v>0</v>
      </c>
      <c r="O7" s="10">
        <f>M7+N7</f>
        <v>64438.400000000001</v>
      </c>
      <c r="P7" s="1"/>
      <c r="Q7" s="12" t="s">
        <v>21</v>
      </c>
      <c r="R7" s="10">
        <v>82</v>
      </c>
      <c r="S7" s="9">
        <v>750</v>
      </c>
      <c r="T7" s="10">
        <f>S7*R7</f>
        <v>61500</v>
      </c>
      <c r="U7" s="1"/>
    </row>
    <row r="8" spans="1:21" ht="17.25" x14ac:dyDescent="0.4">
      <c r="A8" s="10"/>
      <c r="B8" s="1" t="s">
        <v>22</v>
      </c>
      <c r="C8" s="10">
        <v>0</v>
      </c>
      <c r="D8" s="10"/>
      <c r="E8" s="6"/>
      <c r="F8" s="6"/>
      <c r="G8" s="1"/>
      <c r="H8" s="1"/>
      <c r="I8" s="10" t="s">
        <v>23</v>
      </c>
      <c r="J8" s="45">
        <v>2080</v>
      </c>
      <c r="K8" s="46">
        <v>217.5</v>
      </c>
      <c r="L8" s="9">
        <v>23.37</v>
      </c>
      <c r="M8" s="47">
        <f t="shared" si="0"/>
        <v>48609.599999999999</v>
      </c>
      <c r="N8" s="47">
        <f t="shared" si="1"/>
        <v>7624.4625000000005</v>
      </c>
      <c r="O8" s="10">
        <f t="shared" ref="O8:O16" si="2">M8+N8</f>
        <v>56234.0625</v>
      </c>
      <c r="P8" s="13"/>
      <c r="Q8" s="12" t="s">
        <v>24</v>
      </c>
      <c r="R8" s="10">
        <v>3</v>
      </c>
      <c r="S8" s="10">
        <v>1300</v>
      </c>
      <c r="T8" s="43">
        <f>S8*R8</f>
        <v>3900</v>
      </c>
      <c r="U8" s="1"/>
    </row>
    <row r="9" spans="1:21" x14ac:dyDescent="0.25">
      <c r="A9" s="10"/>
      <c r="B9" s="6" t="s">
        <v>25</v>
      </c>
      <c r="C9" s="10">
        <v>20316</v>
      </c>
      <c r="D9" s="10"/>
      <c r="E9" s="6"/>
      <c r="F9" s="6"/>
      <c r="G9" s="1"/>
      <c r="H9" s="1"/>
      <c r="I9" s="10" t="s">
        <v>26</v>
      </c>
      <c r="J9" s="45">
        <v>2080</v>
      </c>
      <c r="K9" s="46">
        <v>322</v>
      </c>
      <c r="L9" s="9">
        <v>20.94</v>
      </c>
      <c r="M9" s="47">
        <f t="shared" si="0"/>
        <v>43555.200000000004</v>
      </c>
      <c r="N9" s="47">
        <f t="shared" si="1"/>
        <v>10114.02</v>
      </c>
      <c r="O9" s="10">
        <f t="shared" si="2"/>
        <v>53669.22</v>
      </c>
      <c r="P9" s="1"/>
      <c r="Q9" s="1"/>
      <c r="R9" s="10"/>
      <c r="S9" s="59" t="s">
        <v>27</v>
      </c>
      <c r="T9" s="14">
        <f>T8+T7</f>
        <v>65400</v>
      </c>
      <c r="U9" s="1"/>
    </row>
    <row r="10" spans="1:21" x14ac:dyDescent="0.25">
      <c r="A10" s="10"/>
      <c r="B10" s="6" t="s">
        <v>28</v>
      </c>
      <c r="C10" s="10">
        <v>90</v>
      </c>
      <c r="D10" s="10"/>
      <c r="E10" s="6"/>
      <c r="F10" s="6"/>
      <c r="G10" s="1"/>
      <c r="H10" s="1"/>
      <c r="I10" s="10" t="s">
        <v>29</v>
      </c>
      <c r="J10" s="45">
        <v>2080</v>
      </c>
      <c r="K10" s="46">
        <v>207</v>
      </c>
      <c r="L10" s="9">
        <v>19.95</v>
      </c>
      <c r="M10" s="47">
        <f t="shared" si="0"/>
        <v>41496</v>
      </c>
      <c r="N10" s="47">
        <f t="shared" si="1"/>
        <v>6194.4749999999995</v>
      </c>
      <c r="O10" s="10">
        <f t="shared" si="2"/>
        <v>47690.474999999999</v>
      </c>
      <c r="P10" s="1"/>
      <c r="Q10" s="1"/>
      <c r="R10" s="10"/>
      <c r="S10" s="10"/>
      <c r="T10" s="1"/>
      <c r="U10" s="1"/>
    </row>
    <row r="11" spans="1:21" ht="17.25" x14ac:dyDescent="0.4">
      <c r="A11" s="10"/>
      <c r="B11" s="6" t="s">
        <v>30</v>
      </c>
      <c r="C11" s="48">
        <v>0</v>
      </c>
      <c r="D11" s="10"/>
      <c r="E11" s="6"/>
      <c r="F11" s="6"/>
      <c r="G11" s="1"/>
      <c r="H11" s="1"/>
      <c r="I11" s="10" t="s">
        <v>31</v>
      </c>
      <c r="J11" s="45">
        <v>2080</v>
      </c>
      <c r="K11" s="46">
        <v>216</v>
      </c>
      <c r="L11" s="9">
        <v>19.2</v>
      </c>
      <c r="M11" s="47">
        <f t="shared" si="0"/>
        <v>39936</v>
      </c>
      <c r="N11" s="47">
        <f t="shared" si="1"/>
        <v>6220.7999999999993</v>
      </c>
      <c r="O11" s="10">
        <f t="shared" si="2"/>
        <v>46156.800000000003</v>
      </c>
      <c r="P11" s="13"/>
      <c r="Q11" s="12"/>
      <c r="R11" s="14" t="s">
        <v>32</v>
      </c>
      <c r="S11" s="14"/>
      <c r="T11" s="14">
        <f>0.3*T9</f>
        <v>19620</v>
      </c>
      <c r="U11" s="1"/>
    </row>
    <row r="12" spans="1:21" ht="17.25" x14ac:dyDescent="0.4">
      <c r="A12" s="10"/>
      <c r="B12" s="6"/>
      <c r="C12" s="10"/>
      <c r="D12" s="10">
        <f>SUM(C8:C11)</f>
        <v>20406</v>
      </c>
      <c r="E12" s="6"/>
      <c r="F12" s="6"/>
      <c r="G12" s="1"/>
      <c r="H12" s="1"/>
      <c r="I12" s="10" t="s">
        <v>33</v>
      </c>
      <c r="J12" s="45">
        <v>2080</v>
      </c>
      <c r="K12" s="46">
        <v>284</v>
      </c>
      <c r="L12" s="9">
        <v>19.2</v>
      </c>
      <c r="M12" s="47">
        <f t="shared" si="0"/>
        <v>39936</v>
      </c>
      <c r="N12" s="47">
        <f t="shared" si="1"/>
        <v>8179.2000000000007</v>
      </c>
      <c r="O12" s="10">
        <f t="shared" si="2"/>
        <v>48115.199999999997</v>
      </c>
      <c r="P12" s="1"/>
      <c r="Q12" s="49"/>
      <c r="R12" s="14" t="s">
        <v>34</v>
      </c>
      <c r="S12" s="14"/>
      <c r="T12" s="15">
        <f>0.7*T9</f>
        <v>45780</v>
      </c>
      <c r="U12" s="1"/>
    </row>
    <row r="13" spans="1:21" x14ac:dyDescent="0.25">
      <c r="A13" s="10"/>
      <c r="B13" s="6" t="s">
        <v>35</v>
      </c>
      <c r="C13" s="10">
        <v>15954</v>
      </c>
      <c r="D13" s="10"/>
      <c r="E13" s="6"/>
      <c r="F13" s="6"/>
      <c r="G13" s="1"/>
      <c r="H13" s="1"/>
      <c r="I13" s="10" t="s">
        <v>36</v>
      </c>
      <c r="J13" s="45">
        <v>2080</v>
      </c>
      <c r="K13" s="50">
        <v>38</v>
      </c>
      <c r="L13" s="50">
        <v>23.14</v>
      </c>
      <c r="M13" s="47">
        <f t="shared" si="0"/>
        <v>48131.200000000004</v>
      </c>
      <c r="N13" s="47">
        <f t="shared" si="1"/>
        <v>1318.98</v>
      </c>
      <c r="O13" s="10">
        <f t="shared" si="2"/>
        <v>49450.180000000008</v>
      </c>
      <c r="P13" s="13"/>
      <c r="Q13" s="1"/>
      <c r="R13" s="16"/>
      <c r="S13" s="17"/>
      <c r="T13" s="13">
        <f>T11+T12</f>
        <v>65400</v>
      </c>
      <c r="U13" s="1"/>
    </row>
    <row r="14" spans="1:21" x14ac:dyDescent="0.25">
      <c r="A14" s="10"/>
      <c r="B14" s="6" t="s">
        <v>37</v>
      </c>
      <c r="C14" s="47">
        <v>9004</v>
      </c>
      <c r="D14" s="10"/>
      <c r="E14" s="6"/>
      <c r="F14" s="6"/>
      <c r="G14" s="1"/>
      <c r="H14" s="1"/>
      <c r="I14" s="10" t="s">
        <v>38</v>
      </c>
      <c r="J14" s="45">
        <v>2080</v>
      </c>
      <c r="K14" s="50">
        <v>24</v>
      </c>
      <c r="L14" s="50">
        <v>17.149999999999999</v>
      </c>
      <c r="M14" s="47">
        <f t="shared" si="0"/>
        <v>35672</v>
      </c>
      <c r="N14" s="47">
        <f t="shared" si="1"/>
        <v>617.4</v>
      </c>
      <c r="O14" s="10">
        <f t="shared" si="2"/>
        <v>36289.4</v>
      </c>
      <c r="P14" s="18"/>
      <c r="Q14" s="1"/>
      <c r="R14" s="16"/>
      <c r="S14" s="17"/>
      <c r="T14" s="13"/>
      <c r="U14" s="1"/>
    </row>
    <row r="15" spans="1:21" ht="17.25" x14ac:dyDescent="0.4">
      <c r="A15" s="10"/>
      <c r="B15" s="6" t="s">
        <v>39</v>
      </c>
      <c r="C15" s="48">
        <v>27118</v>
      </c>
      <c r="D15" s="10"/>
      <c r="E15" s="6"/>
      <c r="F15" s="6"/>
      <c r="G15" s="1"/>
      <c r="H15" s="1"/>
      <c r="I15" s="10" t="s">
        <v>40</v>
      </c>
      <c r="J15" s="45">
        <v>2080</v>
      </c>
      <c r="K15" s="50">
        <v>0</v>
      </c>
      <c r="L15" s="50">
        <v>17.149999999999999</v>
      </c>
      <c r="M15" s="47">
        <f t="shared" si="0"/>
        <v>35672</v>
      </c>
      <c r="N15" s="47">
        <f t="shared" si="1"/>
        <v>0</v>
      </c>
      <c r="O15" s="10">
        <f t="shared" si="2"/>
        <v>35672</v>
      </c>
      <c r="P15" s="1"/>
      <c r="Q15" s="1"/>
      <c r="R15" s="16"/>
      <c r="S15" s="17"/>
      <c r="T15" s="13"/>
      <c r="U15" s="1"/>
    </row>
    <row r="16" spans="1:21" ht="17.25" x14ac:dyDescent="0.4">
      <c r="A16" s="10"/>
      <c r="B16" s="6"/>
      <c r="C16" s="10"/>
      <c r="D16" s="10">
        <f>SUM(C13:C15)</f>
        <v>52076</v>
      </c>
      <c r="E16" s="19">
        <f>D16/D5</f>
        <v>0.13979233552737541</v>
      </c>
      <c r="F16" s="6" t="s">
        <v>41</v>
      </c>
      <c r="G16" s="1"/>
      <c r="H16" s="1"/>
      <c r="I16" s="10" t="s">
        <v>42</v>
      </c>
      <c r="J16" s="45">
        <v>2080</v>
      </c>
      <c r="K16" s="50">
        <v>2.5</v>
      </c>
      <c r="L16" s="50">
        <v>13.7</v>
      </c>
      <c r="M16" s="47">
        <f t="shared" si="0"/>
        <v>28496</v>
      </c>
      <c r="N16" s="47">
        <f t="shared" si="1"/>
        <v>51.375</v>
      </c>
      <c r="O16" s="43">
        <f t="shared" si="2"/>
        <v>28547.375</v>
      </c>
      <c r="P16" s="1"/>
      <c r="Q16" s="1"/>
      <c r="R16" s="1"/>
      <c r="S16" s="1"/>
      <c r="T16" s="1"/>
      <c r="U16" s="1"/>
    </row>
    <row r="17" spans="1:21" x14ac:dyDescent="0.25">
      <c r="A17" s="10"/>
      <c r="B17" s="20" t="s">
        <v>43</v>
      </c>
      <c r="C17" s="10">
        <f>SUM(D6:D16)</f>
        <v>372524</v>
      </c>
      <c r="D17" s="10"/>
      <c r="E17" s="21">
        <v>0.15</v>
      </c>
      <c r="F17" s="6" t="s">
        <v>44</v>
      </c>
      <c r="G17" s="1"/>
      <c r="H17" s="1"/>
      <c r="I17" s="10"/>
      <c r="J17" s="10"/>
      <c r="K17" s="10"/>
      <c r="L17" s="9"/>
      <c r="M17" s="10"/>
      <c r="N17" s="10"/>
      <c r="O17" s="18">
        <f>SUM(O7:O16)</f>
        <v>466263.11250000005</v>
      </c>
      <c r="P17" s="1"/>
      <c r="Q17" s="1"/>
      <c r="R17" s="1"/>
      <c r="S17" s="1"/>
      <c r="T17" s="1"/>
      <c r="U17" s="1"/>
    </row>
    <row r="18" spans="1:21" x14ac:dyDescent="0.25">
      <c r="A18" s="10"/>
      <c r="B18" s="22"/>
      <c r="C18" s="6"/>
      <c r="D18" s="6"/>
      <c r="E18" s="23">
        <f>E16-E17</f>
        <v>-1.0207664472624584E-2</v>
      </c>
      <c r="F18" s="24" t="s">
        <v>45</v>
      </c>
      <c r="G18" s="1"/>
      <c r="H18" s="1"/>
      <c r="I18" s="10"/>
      <c r="J18" s="10"/>
      <c r="K18" s="10"/>
      <c r="L18" s="1"/>
      <c r="M18" s="1"/>
      <c r="N18" s="1"/>
      <c r="O18" s="25"/>
      <c r="P18" s="1"/>
      <c r="Q18" s="1"/>
      <c r="R18" s="1"/>
      <c r="S18" s="1"/>
      <c r="T18" s="1"/>
      <c r="U18" s="1"/>
    </row>
    <row r="19" spans="1:21" x14ac:dyDescent="0.25">
      <c r="A19" s="10"/>
      <c r="B19" s="1"/>
      <c r="C19" s="1"/>
      <c r="D19" s="1"/>
      <c r="E19" s="1"/>
      <c r="F19" s="1"/>
      <c r="G19" s="1"/>
      <c r="H19" s="1"/>
      <c r="I19" s="51"/>
      <c r="J19" s="10"/>
      <c r="K19" s="10"/>
      <c r="L19" s="1"/>
      <c r="M19" s="1"/>
      <c r="N19" s="1"/>
      <c r="O19" s="25" t="s">
        <v>46</v>
      </c>
      <c r="P19" s="1"/>
      <c r="Q19" s="1"/>
      <c r="R19" s="1"/>
      <c r="S19" s="1"/>
      <c r="T19" s="1"/>
      <c r="U19" s="1"/>
    </row>
    <row r="20" spans="1:21" x14ac:dyDescent="0.25">
      <c r="A20" s="10"/>
      <c r="B20" s="1"/>
      <c r="C20" s="1"/>
      <c r="D20" s="1"/>
      <c r="E20" s="1"/>
      <c r="F20" s="1"/>
      <c r="G20" s="1"/>
      <c r="H20" s="1"/>
      <c r="I20" s="10"/>
      <c r="J20" s="10"/>
      <c r="K20" s="10"/>
      <c r="L20" s="1" t="s">
        <v>47</v>
      </c>
      <c r="M20" s="1"/>
      <c r="N20" s="1"/>
      <c r="O20" s="18">
        <f>O17</f>
        <v>466263.11250000005</v>
      </c>
      <c r="P20" s="1"/>
      <c r="Q20" s="1"/>
      <c r="R20" s="1"/>
      <c r="S20" s="1"/>
      <c r="T20" s="1"/>
      <c r="U20" s="1"/>
    </row>
    <row r="21" spans="1:21" ht="17.25" x14ac:dyDescent="0.4">
      <c r="A21" s="10"/>
      <c r="B21" s="5" t="s">
        <v>48</v>
      </c>
      <c r="C21" s="9"/>
      <c r="D21" s="9"/>
      <c r="E21" s="10"/>
      <c r="F21" s="1"/>
      <c r="G21" s="1"/>
      <c r="H21" s="5" t="s">
        <v>49</v>
      </c>
      <c r="I21" s="1"/>
      <c r="J21" s="1"/>
      <c r="K21" s="10"/>
      <c r="L21" s="1" t="s">
        <v>50</v>
      </c>
      <c r="M21" s="1"/>
      <c r="N21" s="1"/>
      <c r="O21" s="43">
        <f>-502617+18200</f>
        <v>-484417</v>
      </c>
      <c r="P21" s="26"/>
      <c r="Q21" s="5" t="s">
        <v>96</v>
      </c>
      <c r="T21" s="1"/>
      <c r="U21" s="1"/>
    </row>
    <row r="22" spans="1:21" ht="18" thickBot="1" x14ac:dyDescent="0.45">
      <c r="A22" s="10"/>
      <c r="B22" s="1"/>
      <c r="C22" s="27" t="s">
        <v>51</v>
      </c>
      <c r="D22" s="27" t="s">
        <v>52</v>
      </c>
      <c r="E22" s="27" t="s">
        <v>53</v>
      </c>
      <c r="F22" s="27" t="s">
        <v>6</v>
      </c>
      <c r="G22" s="1"/>
      <c r="H22" s="1"/>
      <c r="I22" s="1"/>
      <c r="J22" s="1"/>
      <c r="K22" s="10"/>
      <c r="L22" s="28" t="s">
        <v>54</v>
      </c>
      <c r="M22" s="28"/>
      <c r="N22" s="28"/>
      <c r="O22" s="29">
        <f>O20+O21</f>
        <v>-18153.887499999953</v>
      </c>
      <c r="P22" s="1"/>
      <c r="Q22" s="1"/>
      <c r="R22" s="1"/>
      <c r="S22" s="1"/>
      <c r="T22" s="1"/>
      <c r="U22" s="1"/>
    </row>
    <row r="23" spans="1:21" ht="18" thickTop="1" x14ac:dyDescent="0.4">
      <c r="A23" s="1"/>
      <c r="B23" s="1"/>
      <c r="C23" s="27" t="s">
        <v>53</v>
      </c>
      <c r="D23" s="27" t="s">
        <v>55</v>
      </c>
      <c r="E23" s="27" t="s">
        <v>56</v>
      </c>
      <c r="F23" s="27" t="s">
        <v>57</v>
      </c>
      <c r="G23" s="1"/>
      <c r="H23" s="30" t="s">
        <v>58</v>
      </c>
      <c r="I23" s="1"/>
      <c r="J23" s="1"/>
      <c r="K23" s="10"/>
      <c r="L23" s="1"/>
      <c r="M23" s="1"/>
      <c r="N23" s="1"/>
      <c r="O23" s="1" t="s">
        <v>59</v>
      </c>
      <c r="P23" s="1"/>
      <c r="Q23" s="1"/>
      <c r="R23" s="1"/>
      <c r="S23" s="27" t="s">
        <v>60</v>
      </c>
      <c r="T23" s="27" t="s">
        <v>61</v>
      </c>
      <c r="U23" s="27" t="s">
        <v>62</v>
      </c>
    </row>
    <row r="24" spans="1:21" ht="17.25" x14ac:dyDescent="0.4">
      <c r="A24" s="1"/>
      <c r="B24" s="52" t="s">
        <v>63</v>
      </c>
      <c r="C24" s="46"/>
      <c r="D24" s="46"/>
      <c r="E24" s="46"/>
      <c r="F24" s="46"/>
      <c r="G24" s="1"/>
      <c r="H24" s="22">
        <v>176066</v>
      </c>
      <c r="I24" s="31" t="s">
        <v>64</v>
      </c>
      <c r="J24" s="1"/>
      <c r="K24" s="10"/>
      <c r="L24" s="1" t="s">
        <v>65</v>
      </c>
      <c r="M24" s="1"/>
      <c r="N24" s="1"/>
      <c r="O24" s="32">
        <v>484463</v>
      </c>
      <c r="P24" s="1"/>
      <c r="Q24" s="1" t="s">
        <v>66</v>
      </c>
      <c r="R24" s="1"/>
      <c r="S24" s="9">
        <v>199711</v>
      </c>
      <c r="T24" s="53">
        <v>2.206</v>
      </c>
      <c r="U24" s="54">
        <f>ROUND(T24*S24,0)</f>
        <v>440562</v>
      </c>
    </row>
    <row r="25" spans="1:21" ht="15.75" x14ac:dyDescent="0.25">
      <c r="A25" s="1"/>
      <c r="B25" s="6" t="s">
        <v>67</v>
      </c>
      <c r="C25" s="9">
        <v>949.89</v>
      </c>
      <c r="D25" s="33">
        <v>0.34</v>
      </c>
      <c r="E25" s="9">
        <f>C25*D25</f>
        <v>322.96260000000001</v>
      </c>
      <c r="F25" s="9">
        <f>C25-E25</f>
        <v>626.92740000000003</v>
      </c>
      <c r="G25" s="1"/>
      <c r="H25" s="22">
        <v>129971</v>
      </c>
      <c r="I25" s="31" t="s">
        <v>68</v>
      </c>
      <c r="J25" s="1"/>
      <c r="K25" s="10"/>
      <c r="L25" s="1" t="s">
        <v>69</v>
      </c>
      <c r="M25" s="1"/>
      <c r="N25" s="1"/>
      <c r="O25" s="34">
        <v>7.6499999999999999E-2</v>
      </c>
      <c r="P25" s="1"/>
      <c r="Q25" s="1" t="s">
        <v>70</v>
      </c>
      <c r="R25" s="1"/>
      <c r="S25" s="9">
        <v>32022.77</v>
      </c>
      <c r="T25" s="53">
        <v>2.59</v>
      </c>
      <c r="U25" s="54">
        <f t="shared" ref="U25:U26" si="3">ROUND(T25*S25,0)</f>
        <v>82939</v>
      </c>
    </row>
    <row r="26" spans="1:21" ht="17.25" x14ac:dyDescent="0.4">
      <c r="A26" s="1"/>
      <c r="B26" s="6" t="s">
        <v>71</v>
      </c>
      <c r="C26" s="9">
        <v>30</v>
      </c>
      <c r="D26" s="33">
        <v>0</v>
      </c>
      <c r="E26" s="9">
        <f t="shared" ref="E26:E28" si="4">C26*D26</f>
        <v>0</v>
      </c>
      <c r="F26" s="9">
        <f t="shared" ref="F26:F28" si="5">C26-E26</f>
        <v>30</v>
      </c>
      <c r="G26" s="1"/>
      <c r="H26" s="55">
        <v>63766</v>
      </c>
      <c r="I26" s="35" t="s">
        <v>72</v>
      </c>
      <c r="J26" s="1"/>
      <c r="K26" s="1"/>
      <c r="L26" s="1" t="s">
        <v>73</v>
      </c>
      <c r="M26" s="1"/>
      <c r="N26" s="1"/>
      <c r="O26" s="10">
        <f>+O24*O25</f>
        <v>37061.419499999996</v>
      </c>
      <c r="P26" s="1"/>
      <c r="Q26" s="1" t="s">
        <v>74</v>
      </c>
      <c r="R26" s="1"/>
      <c r="S26" s="38">
        <v>138349</v>
      </c>
      <c r="T26" s="53">
        <v>2.76</v>
      </c>
      <c r="U26" s="56">
        <f t="shared" si="3"/>
        <v>381843</v>
      </c>
    </row>
    <row r="27" spans="1:21" ht="17.25" x14ac:dyDescent="0.25">
      <c r="A27" s="1"/>
      <c r="B27" s="6" t="s">
        <v>75</v>
      </c>
      <c r="C27" s="9">
        <v>45.69</v>
      </c>
      <c r="D27" s="33">
        <v>0.6</v>
      </c>
      <c r="E27" s="9">
        <f t="shared" si="4"/>
        <v>27.413999999999998</v>
      </c>
      <c r="F27" s="9">
        <f t="shared" si="5"/>
        <v>18.276</v>
      </c>
      <c r="G27" s="1"/>
      <c r="H27" s="57">
        <v>63227</v>
      </c>
      <c r="I27" s="35" t="s">
        <v>76</v>
      </c>
      <c r="J27" s="1"/>
      <c r="K27" s="1"/>
      <c r="L27" s="1" t="s">
        <v>77</v>
      </c>
      <c r="M27" s="1"/>
      <c r="N27" s="1"/>
      <c r="O27" s="36">
        <f>-502617*O25</f>
        <v>-38450.200499999999</v>
      </c>
      <c r="P27" s="18"/>
      <c r="Q27" s="1"/>
      <c r="R27" s="1"/>
      <c r="S27" s="37">
        <f>SUM(S24:S26)</f>
        <v>370082.77</v>
      </c>
      <c r="T27" s="1"/>
      <c r="U27" s="10">
        <f>SUM(U24:U26)</f>
        <v>905344</v>
      </c>
    </row>
    <row r="28" spans="1:21" ht="18" thickBot="1" x14ac:dyDescent="0.45">
      <c r="A28" s="1"/>
      <c r="B28" s="6" t="s">
        <v>78</v>
      </c>
      <c r="C28" s="9">
        <v>13</v>
      </c>
      <c r="D28" s="33">
        <v>0</v>
      </c>
      <c r="E28" s="9">
        <f t="shared" si="4"/>
        <v>0</v>
      </c>
      <c r="F28" s="38">
        <f t="shared" si="5"/>
        <v>13</v>
      </c>
      <c r="G28" s="1"/>
      <c r="H28" s="22">
        <f>SUM(H24:H27)</f>
        <v>433030</v>
      </c>
      <c r="I28" s="31" t="s">
        <v>79</v>
      </c>
      <c r="J28" s="1"/>
      <c r="K28" s="1"/>
      <c r="L28" s="28" t="s">
        <v>80</v>
      </c>
      <c r="M28" s="28"/>
      <c r="N28" s="28"/>
      <c r="O28" s="29">
        <f>+O26+O27</f>
        <v>-1388.7810000000027</v>
      </c>
      <c r="P28" s="1"/>
      <c r="Q28" s="1"/>
      <c r="R28" s="1"/>
      <c r="S28" s="1"/>
      <c r="T28" s="39" t="s">
        <v>81</v>
      </c>
      <c r="U28" s="43">
        <v>-833835</v>
      </c>
    </row>
    <row r="29" spans="1:21" ht="15.75" thickTop="1" x14ac:dyDescent="0.25">
      <c r="A29" s="1"/>
      <c r="B29" s="6"/>
      <c r="C29" s="9"/>
      <c r="D29" s="33"/>
      <c r="E29" s="9"/>
      <c r="F29" s="9">
        <f>SUM(F25:F28)</f>
        <v>688.20339999999999</v>
      </c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0" t="s">
        <v>82</v>
      </c>
      <c r="U29" s="16">
        <f>(U27+U28)</f>
        <v>71509</v>
      </c>
    </row>
    <row r="30" spans="1:21" x14ac:dyDescent="0.25">
      <c r="A30" s="1"/>
      <c r="B30" s="6"/>
      <c r="C30" s="9"/>
      <c r="D30" s="41" t="s">
        <v>83</v>
      </c>
      <c r="E30" s="10">
        <v>2</v>
      </c>
      <c r="F30" s="9">
        <f>F29*E30</f>
        <v>1376.4068</v>
      </c>
      <c r="G30" s="10"/>
      <c r="H30" s="13">
        <f>H24</f>
        <v>176066</v>
      </c>
      <c r="I30" s="9" t="s">
        <v>84</v>
      </c>
      <c r="J30" s="1"/>
      <c r="K30" s="10"/>
      <c r="L30" s="1" t="s">
        <v>85</v>
      </c>
      <c r="M30" s="1"/>
      <c r="N30" s="1"/>
      <c r="O30" s="32">
        <f>O17</f>
        <v>466263.11250000005</v>
      </c>
      <c r="P30" s="1"/>
      <c r="Q30" s="1"/>
      <c r="R30" s="1"/>
      <c r="S30" s="1"/>
      <c r="T30" s="1"/>
      <c r="U30" s="1"/>
    </row>
    <row r="31" spans="1:21" ht="17.25" x14ac:dyDescent="0.4">
      <c r="A31" s="1"/>
      <c r="B31" s="52" t="s">
        <v>86</v>
      </c>
      <c r="C31" s="46"/>
      <c r="D31" s="46"/>
      <c r="E31" s="46"/>
      <c r="F31" s="46"/>
      <c r="G31" s="1"/>
      <c r="H31" s="43">
        <v>150474</v>
      </c>
      <c r="I31" s="10" t="s">
        <v>87</v>
      </c>
      <c r="J31" s="10"/>
      <c r="K31" s="10"/>
      <c r="L31" s="1" t="s">
        <v>88</v>
      </c>
      <c r="M31" s="1"/>
      <c r="N31" s="1"/>
      <c r="O31" s="34">
        <v>0.26790000000000003</v>
      </c>
      <c r="P31" s="1"/>
      <c r="Q31" s="1"/>
      <c r="R31" s="1"/>
      <c r="S31" s="1"/>
      <c r="T31" s="1"/>
      <c r="U31" s="1"/>
    </row>
    <row r="32" spans="1:21" x14ac:dyDescent="0.25">
      <c r="A32" s="1"/>
      <c r="B32" s="6" t="s">
        <v>67</v>
      </c>
      <c r="C32" s="9">
        <v>1440.43</v>
      </c>
      <c r="D32" s="33">
        <v>0.34</v>
      </c>
      <c r="E32" s="9">
        <f>C32*D32</f>
        <v>489.74620000000004</v>
      </c>
      <c r="F32" s="9">
        <f>C32-E32</f>
        <v>950.68380000000002</v>
      </c>
      <c r="G32" s="1"/>
      <c r="H32" s="14">
        <f>H31-H30</f>
        <v>-25592</v>
      </c>
      <c r="I32" s="14" t="s">
        <v>48</v>
      </c>
      <c r="J32" s="10"/>
      <c r="K32" s="10"/>
      <c r="L32" s="1" t="s">
        <v>89</v>
      </c>
      <c r="M32" s="1"/>
      <c r="N32" s="1"/>
      <c r="O32" s="10">
        <f>+O30*O31</f>
        <v>124911.88783875003</v>
      </c>
      <c r="P32" s="1"/>
      <c r="Q32" s="1"/>
      <c r="R32" s="1"/>
      <c r="S32" s="1"/>
      <c r="T32" s="1"/>
      <c r="U32" s="1"/>
    </row>
    <row r="33" spans="1:21" x14ac:dyDescent="0.25">
      <c r="A33" s="1"/>
      <c r="B33" s="6" t="s">
        <v>71</v>
      </c>
      <c r="C33" s="9">
        <v>27.5</v>
      </c>
      <c r="D33" s="33">
        <v>0</v>
      </c>
      <c r="E33" s="9">
        <f t="shared" ref="E33:E35" si="6">C33*D33</f>
        <v>0</v>
      </c>
      <c r="F33" s="9">
        <f t="shared" ref="F33:F35" si="7">C33-E33</f>
        <v>27.5</v>
      </c>
      <c r="G33" s="1"/>
      <c r="H33" s="10"/>
      <c r="I33" s="10"/>
      <c r="J33" s="10"/>
      <c r="K33" s="10"/>
      <c r="L33" s="1" t="s">
        <v>90</v>
      </c>
      <c r="M33" s="1"/>
      <c r="N33" s="1"/>
      <c r="O33" s="58">
        <f>-H25</f>
        <v>-129971</v>
      </c>
      <c r="P33" s="1"/>
      <c r="Q33" s="10"/>
      <c r="R33" s="10"/>
      <c r="S33" s="1"/>
      <c r="T33" s="1"/>
      <c r="U33" s="1"/>
    </row>
    <row r="34" spans="1:21" ht="15.75" thickBot="1" x14ac:dyDescent="0.3">
      <c r="A34" s="1"/>
      <c r="B34" s="6" t="s">
        <v>75</v>
      </c>
      <c r="C34" s="9">
        <v>82.68</v>
      </c>
      <c r="D34" s="33">
        <v>0.6</v>
      </c>
      <c r="E34" s="9">
        <f t="shared" si="6"/>
        <v>49.608000000000004</v>
      </c>
      <c r="F34" s="9">
        <f t="shared" si="7"/>
        <v>33.072000000000003</v>
      </c>
      <c r="G34" s="1"/>
      <c r="H34" s="10"/>
      <c r="I34" s="10"/>
      <c r="J34" s="10"/>
      <c r="K34" s="10"/>
      <c r="L34" s="28" t="s">
        <v>91</v>
      </c>
      <c r="M34" s="28"/>
      <c r="N34" s="28"/>
      <c r="O34" s="29">
        <f>+O32+O33</f>
        <v>-5059.1121612499701</v>
      </c>
      <c r="P34" s="1"/>
      <c r="Q34" s="1"/>
      <c r="R34" s="10"/>
      <c r="S34" s="1"/>
      <c r="T34" s="42"/>
      <c r="U34" s="1"/>
    </row>
    <row r="35" spans="1:21" ht="18" thickTop="1" x14ac:dyDescent="0.4">
      <c r="A35" s="1"/>
      <c r="B35" s="6" t="s">
        <v>78</v>
      </c>
      <c r="C35" s="9">
        <v>21.53</v>
      </c>
      <c r="D35" s="33">
        <v>0</v>
      </c>
      <c r="E35" s="9">
        <f t="shared" si="6"/>
        <v>0</v>
      </c>
      <c r="F35" s="38">
        <f t="shared" si="7"/>
        <v>21.53</v>
      </c>
      <c r="G35" s="1"/>
      <c r="H35" s="10"/>
      <c r="I35" s="1"/>
      <c r="J35" s="1"/>
      <c r="K35" s="1"/>
      <c r="L35" s="1"/>
      <c r="M35" s="1"/>
      <c r="N35" s="10"/>
      <c r="O35" s="10"/>
      <c r="P35" s="10"/>
      <c r="Q35" s="1"/>
      <c r="R35" s="10"/>
      <c r="S35" s="1"/>
      <c r="T35" s="1"/>
      <c r="U35" s="1"/>
    </row>
    <row r="36" spans="1:21" x14ac:dyDescent="0.25">
      <c r="A36" s="1"/>
      <c r="B36" s="6"/>
      <c r="C36" s="9"/>
      <c r="D36" s="1"/>
      <c r="E36" s="1"/>
      <c r="F36" s="37">
        <f>SUM(F32:F35)</f>
        <v>1032.7858000000001</v>
      </c>
      <c r="G36" s="1"/>
      <c r="H36" s="10"/>
      <c r="I36" s="1"/>
      <c r="J36" s="1"/>
      <c r="K36" s="1"/>
      <c r="L36" s="1"/>
      <c r="M36" s="1"/>
      <c r="N36" s="10"/>
      <c r="O36" s="10"/>
      <c r="P36" s="10"/>
      <c r="Q36" s="1"/>
      <c r="R36" s="1"/>
      <c r="S36" s="1"/>
      <c r="T36" s="42"/>
      <c r="U36" s="1"/>
    </row>
    <row r="37" spans="1:21" x14ac:dyDescent="0.25">
      <c r="A37" s="1"/>
      <c r="B37" s="6"/>
      <c r="C37" s="9"/>
      <c r="D37" s="41" t="s">
        <v>83</v>
      </c>
      <c r="E37" s="10">
        <v>8</v>
      </c>
      <c r="F37" s="9">
        <f>F36*E37</f>
        <v>8262.2864000000009</v>
      </c>
      <c r="G37" s="10"/>
      <c r="H37" s="10"/>
      <c r="I37" s="1"/>
      <c r="J37" s="1"/>
      <c r="K37" s="1"/>
      <c r="L37" s="1"/>
      <c r="Q37" s="1"/>
      <c r="R37" s="1"/>
      <c r="S37" s="1"/>
      <c r="T37" s="1"/>
      <c r="U37" s="1"/>
    </row>
    <row r="38" spans="1:21" ht="17.25" x14ac:dyDescent="0.4">
      <c r="A38" s="1"/>
      <c r="B38" s="6"/>
      <c r="C38" s="9"/>
      <c r="D38" s="33"/>
      <c r="E38" s="9"/>
      <c r="F38" s="38"/>
      <c r="G38" s="10"/>
      <c r="H38" s="1"/>
      <c r="I38" s="1"/>
      <c r="J38" s="1"/>
      <c r="K38" s="1"/>
      <c r="L38" s="1"/>
      <c r="Q38" s="1"/>
      <c r="R38" s="1"/>
      <c r="S38" s="1"/>
      <c r="T38" s="1"/>
      <c r="U38" s="1"/>
    </row>
    <row r="39" spans="1:21" x14ac:dyDescent="0.25">
      <c r="A39" s="1"/>
      <c r="B39" s="6"/>
      <c r="C39" s="9"/>
      <c r="D39" s="1"/>
      <c r="E39" s="12" t="s">
        <v>92</v>
      </c>
      <c r="F39" s="10">
        <f>F30+F37</f>
        <v>9638.6932000000015</v>
      </c>
      <c r="G39" s="10"/>
      <c r="H39" s="13"/>
      <c r="I39" s="1"/>
      <c r="J39" s="1"/>
      <c r="K39" s="1"/>
      <c r="L39" s="9"/>
      <c r="Q39" s="1"/>
      <c r="R39" s="1"/>
      <c r="S39" s="1"/>
      <c r="T39" s="1"/>
      <c r="U39" s="1"/>
    </row>
    <row r="40" spans="1:21" x14ac:dyDescent="0.25">
      <c r="A40" s="1"/>
      <c r="B40" s="6"/>
      <c r="C40" s="9"/>
      <c r="D40" s="1"/>
      <c r="E40" s="12" t="s">
        <v>93</v>
      </c>
      <c r="F40" s="10">
        <f>F39*12</f>
        <v>115664.31840000002</v>
      </c>
      <c r="G40" s="10"/>
      <c r="H40" s="37"/>
      <c r="I40" s="1"/>
      <c r="J40" s="1"/>
      <c r="K40" s="1"/>
      <c r="L40" s="9"/>
      <c r="Q40" s="1"/>
      <c r="R40" s="1"/>
      <c r="S40" s="1"/>
      <c r="T40" s="1"/>
      <c r="U40" s="1"/>
    </row>
    <row r="41" spans="1:21" ht="17.25" x14ac:dyDescent="0.4">
      <c r="A41" s="1"/>
      <c r="B41" s="6"/>
      <c r="C41" s="9"/>
      <c r="D41" s="1"/>
      <c r="E41" s="12" t="s">
        <v>94</v>
      </c>
      <c r="F41" s="43">
        <f>-H31</f>
        <v>-150474</v>
      </c>
      <c r="G41" s="1"/>
      <c r="H41" s="1"/>
      <c r="I41" s="1"/>
      <c r="J41" s="1"/>
      <c r="K41" s="1"/>
      <c r="L41" s="9"/>
      <c r="Q41" s="1"/>
      <c r="R41" s="1"/>
      <c r="S41" s="1"/>
      <c r="T41" s="1"/>
      <c r="U41" s="1"/>
    </row>
    <row r="42" spans="1:21" x14ac:dyDescent="0.25">
      <c r="A42" s="1"/>
      <c r="B42" s="6"/>
      <c r="C42" s="9"/>
      <c r="D42" s="16"/>
      <c r="E42" s="44" t="s">
        <v>95</v>
      </c>
      <c r="F42" s="14">
        <f>F40+F41</f>
        <v>-34809.681599999982</v>
      </c>
      <c r="G42" s="1"/>
      <c r="H42" s="1"/>
      <c r="I42" s="1"/>
      <c r="J42" s="1"/>
      <c r="K42" s="1"/>
      <c r="L42" s="9"/>
      <c r="Q42" s="1"/>
      <c r="R42" s="1"/>
      <c r="S42" s="1"/>
      <c r="T42" s="1"/>
      <c r="U42" s="1"/>
    </row>
    <row r="43" spans="1:21" x14ac:dyDescent="0.25">
      <c r="A43" s="1"/>
      <c r="B43" s="6"/>
      <c r="C43" s="9"/>
      <c r="D43" s="9"/>
      <c r="E43" s="9"/>
      <c r="F43" s="9"/>
      <c r="G43" s="1"/>
      <c r="H43" s="1"/>
      <c r="I43" s="1"/>
      <c r="J43" s="1"/>
      <c r="K43" s="1"/>
      <c r="L43" s="9"/>
      <c r="Q43" s="1"/>
      <c r="R43" s="1"/>
      <c r="S43" s="1"/>
      <c r="T43" s="1"/>
      <c r="U43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2022-09-19T12:38:07Z</dcterms:created>
  <dcterms:modified xsi:type="dcterms:W3CDTF">2022-09-19T12:53:10Z</dcterms:modified>
</cp:coreProperties>
</file>