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i\Google Drive\Green-Taylor\RFI #1 files\"/>
    </mc:Choice>
  </mc:AlternateContent>
  <xr:revisionPtr revIDLastSave="0" documentId="8_{A73FFE93-814D-4412-9CF9-5209BDA2BB0F}" xr6:coauthVersionLast="47" xr6:coauthVersionMax="47" xr10:uidLastSave="{00000000-0000-0000-0000-000000000000}"/>
  <bookViews>
    <workbookView xWindow="-15" yWindow="-15" windowWidth="28830" windowHeight="15630" xr2:uid="{4843A697-1280-48CB-B039-28E3DA64E32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5" i="1" l="1"/>
  <c r="F64" i="1"/>
  <c r="F66" i="1" s="1"/>
  <c r="G12" i="1" s="1"/>
  <c r="B58" i="1"/>
  <c r="B57" i="1"/>
  <c r="D52" i="1"/>
  <c r="C52" i="1"/>
  <c r="E52" i="1" s="1"/>
  <c r="D51" i="1"/>
  <c r="D53" i="1" s="1"/>
  <c r="C51" i="1"/>
  <c r="C53" i="1" s="1"/>
  <c r="C57" i="1" s="1"/>
  <c r="F50" i="1"/>
  <c r="E50" i="1"/>
  <c r="B45" i="1"/>
  <c r="B44" i="1"/>
  <c r="B43" i="1"/>
  <c r="D39" i="1"/>
  <c r="F7" i="1" s="1"/>
  <c r="D38" i="1"/>
  <c r="C38" i="1"/>
  <c r="F38" i="1" s="1"/>
  <c r="D37" i="1"/>
  <c r="C37" i="1"/>
  <c r="E37" i="1" s="1"/>
  <c r="D36" i="1"/>
  <c r="E36" i="1" s="1"/>
  <c r="C36" i="1"/>
  <c r="C39" i="1" s="1"/>
  <c r="G35" i="1"/>
  <c r="F35" i="1"/>
  <c r="E35" i="1"/>
  <c r="B30" i="1"/>
  <c r="B29" i="1"/>
  <c r="B28" i="1"/>
  <c r="B27" i="1"/>
  <c r="G22" i="1"/>
  <c r="F22" i="1"/>
  <c r="E22" i="1"/>
  <c r="D22" i="1"/>
  <c r="H22" i="1" s="1"/>
  <c r="H23" i="1" s="1"/>
  <c r="D30" i="1" s="1"/>
  <c r="F30" i="1" s="1"/>
  <c r="C22" i="1"/>
  <c r="D21" i="1"/>
  <c r="C21" i="1"/>
  <c r="E21" i="1" s="1"/>
  <c r="D20" i="1"/>
  <c r="C20" i="1"/>
  <c r="E20" i="1" s="1"/>
  <c r="D19" i="1"/>
  <c r="D23" i="1" s="1"/>
  <c r="F6" i="1" s="1"/>
  <c r="C19" i="1"/>
  <c r="C23" i="1" s="1"/>
  <c r="H18" i="1"/>
  <c r="G18" i="1"/>
  <c r="F18" i="1"/>
  <c r="E18" i="1"/>
  <c r="M12" i="1"/>
  <c r="G10" i="1" s="1"/>
  <c r="G38" i="1" l="1"/>
  <c r="G39" i="1" s="1"/>
  <c r="D45" i="1" s="1"/>
  <c r="F45" i="1" s="1"/>
  <c r="H36" i="1"/>
  <c r="E39" i="1"/>
  <c r="D43" i="1" s="1"/>
  <c r="C27" i="1"/>
  <c r="E6" i="1"/>
  <c r="I21" i="1"/>
  <c r="I22" i="1"/>
  <c r="C59" i="1"/>
  <c r="E8" i="1" s="1"/>
  <c r="F57" i="1"/>
  <c r="F52" i="1"/>
  <c r="F53" i="1" s="1"/>
  <c r="D58" i="1" s="1"/>
  <c r="F58" i="1" s="1"/>
  <c r="E7" i="1"/>
  <c r="C43" i="1"/>
  <c r="F20" i="1"/>
  <c r="F23" i="1" s="1"/>
  <c r="D28" i="1" s="1"/>
  <c r="F28" i="1" s="1"/>
  <c r="G21" i="1"/>
  <c r="G23" i="1" s="1"/>
  <c r="D29" i="1" s="1"/>
  <c r="F29" i="1" s="1"/>
  <c r="F37" i="1"/>
  <c r="F39" i="1" s="1"/>
  <c r="D44" i="1" s="1"/>
  <c r="F44" i="1" s="1"/>
  <c r="E38" i="1"/>
  <c r="E19" i="1"/>
  <c r="F21" i="1"/>
  <c r="E51" i="1"/>
  <c r="E53" i="1" l="1"/>
  <c r="D57" i="1" s="1"/>
  <c r="D59" i="1" s="1"/>
  <c r="F8" i="1" s="1"/>
  <c r="F9" i="1" s="1"/>
  <c r="L64" i="1" s="1"/>
  <c r="G51" i="1"/>
  <c r="E9" i="1"/>
  <c r="C31" i="1"/>
  <c r="F27" i="1"/>
  <c r="F31" i="1" s="1"/>
  <c r="G6" i="1" s="1"/>
  <c r="I19" i="1"/>
  <c r="E23" i="1"/>
  <c r="D27" i="1" s="1"/>
  <c r="D31" i="1" s="1"/>
  <c r="D46" i="1"/>
  <c r="H38" i="1"/>
  <c r="C46" i="1"/>
  <c r="F43" i="1"/>
  <c r="F46" i="1" s="1"/>
  <c r="G7" i="1" s="1"/>
  <c r="F59" i="1"/>
  <c r="G8" i="1" s="1"/>
  <c r="G52" i="1"/>
  <c r="H37" i="1"/>
  <c r="H39" i="1" s="1"/>
  <c r="I20" i="1"/>
  <c r="I23" i="1" l="1"/>
  <c r="G53" i="1"/>
  <c r="G9" i="1"/>
  <c r="G11" i="1" s="1"/>
  <c r="G13" i="1" s="1"/>
</calcChain>
</file>

<file path=xl/sharedStrings.xml><?xml version="1.0" encoding="utf-8"?>
<sst xmlns="http://schemas.openxmlformats.org/spreadsheetml/2006/main" count="83" uniqueCount="32">
  <si>
    <t>CURRENT BILLING ANALYSIS - 2021 USAGE &amp; EXISTING RATES</t>
  </si>
  <si>
    <t>Green Taylor Water District</t>
  </si>
  <si>
    <t xml:space="preserve">  SUMMARY  </t>
  </si>
  <si>
    <t>No. of Bills</t>
  </si>
  <si>
    <t>Gallons Sold</t>
  </si>
  <si>
    <t>Revenue</t>
  </si>
  <si>
    <t xml:space="preserve">     5/8" X 3/4" Meters</t>
  </si>
  <si>
    <t xml:space="preserve">     1" Meters</t>
  </si>
  <si>
    <t xml:space="preserve">     2" Meters</t>
  </si>
  <si>
    <t>Totals</t>
  </si>
  <si>
    <t>Less applicable billeing adjustments</t>
  </si>
  <si>
    <t>Misread meters</t>
  </si>
  <si>
    <t>Pro Forma Retail Sales Revenue</t>
  </si>
  <si>
    <t>Pro Forma Wholesale Sales Revenue</t>
  </si>
  <si>
    <t>Total Sales Revenue</t>
  </si>
  <si>
    <t>5/8" x 3/4" METERS</t>
  </si>
  <si>
    <t>FIRST</t>
  </si>
  <si>
    <t>NEXT</t>
  </si>
  <si>
    <t>ALL OVER</t>
  </si>
  <si>
    <t>USAGE</t>
  </si>
  <si>
    <t>BILLS</t>
  </si>
  <si>
    <t>GALLONS</t>
  </si>
  <si>
    <t>TOTAL</t>
  </si>
  <si>
    <t xml:space="preserve">     REVENUE BY RATE INCREMENT</t>
  </si>
  <si>
    <t>RATE</t>
  </si>
  <si>
    <t>REVENUE</t>
  </si>
  <si>
    <t>1" METERS</t>
  </si>
  <si>
    <t>2" METERS</t>
  </si>
  <si>
    <t>WHOLESALE CUSTOMERS</t>
  </si>
  <si>
    <t>Larue Co. Water District #1</t>
  </si>
  <si>
    <t>City of Greenburg</t>
  </si>
  <si>
    <t>Leak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</si>
</sst>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12"/>
      <name val="Arial"/>
      <family val="2"/>
    </font>
    <font>
      <u val="singleAccounting"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u val="singleAccounting"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3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right"/>
    </xf>
    <xf numFmtId="165" fontId="2" fillId="0" borderId="0" xfId="2" applyNumberFormat="1" applyFont="1"/>
    <xf numFmtId="43" fontId="2" fillId="0" borderId="0" xfId="0" applyNumberFormat="1" applyFont="1"/>
    <xf numFmtId="164" fontId="6" fillId="0" borderId="0" xfId="1" applyNumberFormat="1" applyFont="1"/>
    <xf numFmtId="164" fontId="6" fillId="0" borderId="0" xfId="1" applyNumberFormat="1" applyFont="1" applyAlignment="1">
      <alignment horizontal="right"/>
    </xf>
    <xf numFmtId="164" fontId="2" fillId="0" borderId="0" xfId="0" applyNumberFormat="1" applyFont="1"/>
    <xf numFmtId="164" fontId="2" fillId="0" borderId="0" xfId="1" applyNumberFormat="1" applyFont="1" applyBorder="1"/>
    <xf numFmtId="165" fontId="2" fillId="0" borderId="0" xfId="2" applyNumberFormat="1" applyFont="1" applyBorder="1"/>
    <xf numFmtId="44" fontId="2" fillId="0" borderId="0" xfId="2" applyFont="1"/>
    <xf numFmtId="3" fontId="2" fillId="0" borderId="0" xfId="0" applyNumberFormat="1" applyFont="1" applyAlignment="1">
      <alignment horizontal="right"/>
    </xf>
    <xf numFmtId="165" fontId="2" fillId="0" borderId="0" xfId="0" applyNumberFormat="1" applyFont="1"/>
    <xf numFmtId="0" fontId="2" fillId="0" borderId="0" xfId="0" applyFont="1" applyAlignment="1">
      <alignment horizontal="right"/>
    </xf>
    <xf numFmtId="164" fontId="6" fillId="0" borderId="0" xfId="1" applyNumberFormat="1" applyFont="1" applyFill="1"/>
    <xf numFmtId="164" fontId="2" fillId="0" borderId="0" xfId="1" applyNumberFormat="1" applyFont="1" applyFill="1"/>
    <xf numFmtId="0" fontId="7" fillId="0" borderId="0" xfId="0" applyFont="1"/>
    <xf numFmtId="37" fontId="2" fillId="0" borderId="1" xfId="0" applyNumberFormat="1" applyFont="1" applyBorder="1" applyAlignment="1">
      <alignment horizontal="center"/>
    </xf>
    <xf numFmtId="37" fontId="2" fillId="0" borderId="0" xfId="0" applyNumberFormat="1" applyFont="1"/>
    <xf numFmtId="37" fontId="2" fillId="0" borderId="1" xfId="0" applyNumberFormat="1" applyFont="1" applyBorder="1"/>
    <xf numFmtId="164" fontId="2" fillId="0" borderId="1" xfId="1" applyNumberFormat="1" applyFont="1" applyFill="1" applyBorder="1"/>
    <xf numFmtId="0" fontId="8" fillId="0" borderId="0" xfId="0" applyFont="1" applyAlignment="1">
      <alignment horizontal="left"/>
    </xf>
    <xf numFmtId="43" fontId="2" fillId="0" borderId="0" xfId="1" applyFont="1"/>
    <xf numFmtId="43" fontId="2" fillId="0" borderId="1" xfId="1" applyFont="1" applyBorder="1"/>
    <xf numFmtId="164" fontId="2" fillId="0" borderId="1" xfId="1" applyNumberFormat="1" applyFont="1" applyBorder="1"/>
    <xf numFmtId="164" fontId="6" fillId="0" borderId="0" xfId="0" applyNumberFormat="1" applyFont="1"/>
    <xf numFmtId="0" fontId="9" fillId="0" borderId="0" xfId="0" applyFont="1" applyFill="1"/>
    <xf numFmtId="164" fontId="9" fillId="0" borderId="0" xfId="0" applyNumberFormat="1" applyFont="1" applyFill="1" applyAlignment="1">
      <alignment horizontal="right"/>
    </xf>
    <xf numFmtId="164" fontId="9" fillId="0" borderId="0" xfId="1" applyNumberFormat="1" applyFont="1" applyFill="1"/>
    <xf numFmtId="164" fontId="10" fillId="0" borderId="0" xfId="1" applyNumberFormat="1" applyFont="1" applyFill="1"/>
  </cellXfs>
  <cellStyles count="3">
    <cellStyle name="Comma 2" xfId="1" xr:uid="{DA2BD416-BAF1-4A9E-BB69-35A1D9454C3D}"/>
    <cellStyle name="Currency 2" xfId="2" xr:uid="{F3DAC272-E622-4CCE-9A98-37A1A14F3FF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6751C-4818-46D4-87E1-E14763756107}">
  <dimension ref="A1:M66"/>
  <sheetViews>
    <sheetView tabSelected="1" workbookViewId="0">
      <selection activeCell="L20" sqref="L20"/>
    </sheetView>
  </sheetViews>
  <sheetFormatPr defaultRowHeight="15" x14ac:dyDescent="0.25"/>
  <cols>
    <col min="1" max="1" width="10.85546875" customWidth="1"/>
    <col min="2" max="2" width="9.7109375" customWidth="1"/>
    <col min="3" max="3" width="10.28515625" customWidth="1"/>
    <col min="4" max="4" width="14.85546875" customWidth="1"/>
    <col min="5" max="5" width="12.5703125" customWidth="1"/>
    <col min="6" max="6" width="13.28515625" customWidth="1"/>
    <col min="7" max="7" width="13.7109375" customWidth="1"/>
    <col min="8" max="8" width="12.5703125" customWidth="1"/>
    <col min="9" max="9" width="13.140625" customWidth="1"/>
    <col min="10" max="10" width="11.85546875" bestFit="1" customWidth="1"/>
    <col min="11" max="11" width="12.42578125" customWidth="1"/>
    <col min="12" max="12" width="13.140625" customWidth="1"/>
    <col min="13" max="13" width="12.140625" customWidth="1"/>
  </cols>
  <sheetData>
    <row r="1" spans="1:13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2" spans="1:13" ht="18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2"/>
      <c r="K2" s="2"/>
      <c r="L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x14ac:dyDescent="0.25">
      <c r="A4" s="2"/>
      <c r="B4" s="2"/>
      <c r="C4" s="4" t="s">
        <v>2</v>
      </c>
      <c r="D4" s="2"/>
      <c r="E4" s="2"/>
      <c r="F4" s="2"/>
      <c r="G4" s="2"/>
      <c r="H4" s="2"/>
      <c r="I4" s="2"/>
      <c r="J4" s="5"/>
      <c r="K4" s="2"/>
      <c r="L4" s="2"/>
    </row>
    <row r="5" spans="1:13" x14ac:dyDescent="0.25">
      <c r="A5" s="2"/>
      <c r="B5" s="2"/>
      <c r="C5" s="6"/>
      <c r="D5" s="7"/>
      <c r="E5" s="8" t="s">
        <v>3</v>
      </c>
      <c r="F5" s="8" t="s">
        <v>4</v>
      </c>
      <c r="G5" s="8" t="s">
        <v>5</v>
      </c>
      <c r="H5" s="9"/>
      <c r="I5" s="2"/>
      <c r="J5" s="2"/>
      <c r="K5" s="2"/>
      <c r="L5" s="2"/>
    </row>
    <row r="6" spans="1:13" x14ac:dyDescent="0.25">
      <c r="A6" s="2"/>
      <c r="B6" s="2"/>
      <c r="C6" s="2" t="s">
        <v>6</v>
      </c>
      <c r="D6" s="2"/>
      <c r="E6" s="10">
        <f>C23</f>
        <v>61683</v>
      </c>
      <c r="F6" s="11">
        <f>D23</f>
        <v>245911343</v>
      </c>
      <c r="G6" s="12">
        <f>F31</f>
        <v>2597793.1685099998</v>
      </c>
      <c r="H6" s="12"/>
      <c r="I6" s="2"/>
      <c r="J6" s="2"/>
      <c r="K6" s="2"/>
      <c r="L6" s="2"/>
    </row>
    <row r="7" spans="1:13" x14ac:dyDescent="0.25">
      <c r="A7" s="2"/>
      <c r="B7" s="2"/>
      <c r="C7" s="2" t="s">
        <v>7</v>
      </c>
      <c r="D7" s="2"/>
      <c r="E7" s="10">
        <f>C39</f>
        <v>655</v>
      </c>
      <c r="F7" s="11">
        <f>D39</f>
        <v>8279674</v>
      </c>
      <c r="G7" s="10">
        <f>F46</f>
        <v>67022.237330000004</v>
      </c>
      <c r="H7" s="10"/>
      <c r="I7" s="2"/>
      <c r="J7" s="2"/>
      <c r="K7" s="2"/>
      <c r="L7" s="13"/>
    </row>
    <row r="8" spans="1:13" ht="17.25" x14ac:dyDescent="0.4">
      <c r="A8" s="2"/>
      <c r="B8" s="2"/>
      <c r="C8" s="2" t="s">
        <v>8</v>
      </c>
      <c r="D8" s="2"/>
      <c r="E8" s="14">
        <f>C59</f>
        <v>238</v>
      </c>
      <c r="F8" s="15">
        <f>D59</f>
        <v>28918528</v>
      </c>
      <c r="G8" s="14">
        <f>F59</f>
        <v>162433.06617999999</v>
      </c>
      <c r="H8" s="10"/>
      <c r="I8" s="2"/>
      <c r="J8" s="2"/>
      <c r="K8" s="2"/>
      <c r="L8" s="2"/>
    </row>
    <row r="9" spans="1:13" x14ac:dyDescent="0.25">
      <c r="A9" s="2"/>
      <c r="B9" s="2"/>
      <c r="C9" s="2" t="s">
        <v>9</v>
      </c>
      <c r="D9" s="2"/>
      <c r="E9" s="16">
        <f>SUM(E6:E8)</f>
        <v>62576</v>
      </c>
      <c r="F9" s="17">
        <f>SUM(F6:F8)</f>
        <v>283109545</v>
      </c>
      <c r="G9" s="18">
        <f>SUM(G6:G8)</f>
        <v>2827248.4720199998</v>
      </c>
      <c r="H9" s="18"/>
      <c r="I9" s="2"/>
      <c r="J9" s="2"/>
      <c r="K9" s="16"/>
      <c r="L9" s="19"/>
    </row>
    <row r="10" spans="1:13" ht="18" x14ac:dyDescent="0.4">
      <c r="A10" s="2"/>
      <c r="B10" s="2"/>
      <c r="C10" s="2"/>
      <c r="D10" s="2"/>
      <c r="E10" s="2"/>
      <c r="F10" s="11" t="s">
        <v>10</v>
      </c>
      <c r="G10" s="14">
        <f>M12</f>
        <v>-117494</v>
      </c>
      <c r="H10" s="10"/>
      <c r="I10" s="16"/>
      <c r="J10" s="35"/>
      <c r="L10" s="36" t="s">
        <v>11</v>
      </c>
      <c r="M10" s="37">
        <v>-101300</v>
      </c>
    </row>
    <row r="11" spans="1:13" ht="18" x14ac:dyDescent="0.4">
      <c r="A11" s="2"/>
      <c r="B11" s="2"/>
      <c r="C11" s="2"/>
      <c r="D11" s="2"/>
      <c r="E11" s="2"/>
      <c r="F11" s="20" t="s">
        <v>12</v>
      </c>
      <c r="G11" s="21">
        <f>G9+G10</f>
        <v>2709754.4720199998</v>
      </c>
      <c r="H11" s="21"/>
      <c r="I11" s="21"/>
      <c r="J11" s="35"/>
      <c r="L11" s="36" t="s">
        <v>31</v>
      </c>
      <c r="M11" s="38">
        <v>-16194</v>
      </c>
    </row>
    <row r="12" spans="1:13" ht="18" x14ac:dyDescent="0.4">
      <c r="A12" s="2"/>
      <c r="B12" s="2"/>
      <c r="C12" s="2"/>
      <c r="D12" s="2"/>
      <c r="E12" s="2"/>
      <c r="F12" s="22" t="s">
        <v>13</v>
      </c>
      <c r="G12" s="23">
        <f>F66</f>
        <v>28899.590000000004</v>
      </c>
      <c r="H12" s="2"/>
      <c r="I12" s="21"/>
      <c r="J12" s="35"/>
      <c r="L12" s="35"/>
      <c r="M12" s="37">
        <f>M10+M11</f>
        <v>-117494</v>
      </c>
    </row>
    <row r="13" spans="1:13" x14ac:dyDescent="0.25">
      <c r="A13" s="2"/>
      <c r="B13" s="2"/>
      <c r="C13" s="2"/>
      <c r="D13" s="2"/>
      <c r="E13" s="2"/>
      <c r="F13" s="22" t="s">
        <v>14</v>
      </c>
      <c r="G13" s="24">
        <f>G11+G12</f>
        <v>2738654.0620199996</v>
      </c>
      <c r="H13" s="2"/>
      <c r="I13" s="21"/>
      <c r="J13" s="2"/>
      <c r="K13" s="2"/>
      <c r="L13" s="2"/>
    </row>
    <row r="14" spans="1:13" x14ac:dyDescent="0.25">
      <c r="A14" s="2"/>
      <c r="B14" s="2"/>
      <c r="C14" s="2"/>
      <c r="D14" s="2"/>
      <c r="E14" s="2"/>
      <c r="F14" s="22"/>
      <c r="G14" s="24"/>
      <c r="H14" s="2"/>
      <c r="I14" s="21"/>
      <c r="J14" s="2"/>
      <c r="K14" s="2"/>
      <c r="L14" s="2"/>
    </row>
    <row r="15" spans="1:13" ht="17.25" x14ac:dyDescent="0.4">
      <c r="A15" s="2"/>
      <c r="B15" s="2"/>
      <c r="C15" s="2"/>
      <c r="D15" s="2"/>
      <c r="E15" s="2"/>
      <c r="F15" s="22"/>
      <c r="G15" s="23"/>
      <c r="H15" s="2"/>
      <c r="I15" s="21"/>
    </row>
    <row r="16" spans="1:13" ht="15.75" x14ac:dyDescent="0.25">
      <c r="A16" s="25" t="s">
        <v>15</v>
      </c>
      <c r="B16" s="2"/>
      <c r="C16" s="2"/>
      <c r="D16" s="2"/>
      <c r="E16" s="2"/>
      <c r="F16" s="2"/>
      <c r="G16" s="2"/>
      <c r="H16" s="2"/>
      <c r="I16" s="2"/>
    </row>
    <row r="17" spans="1:12" x14ac:dyDescent="0.25">
      <c r="A17" s="2"/>
      <c r="B17" s="2"/>
      <c r="C17" s="2"/>
      <c r="D17" s="2"/>
      <c r="E17" s="9" t="s">
        <v>16</v>
      </c>
      <c r="F17" s="9" t="s">
        <v>17</v>
      </c>
      <c r="G17" s="9" t="s">
        <v>17</v>
      </c>
      <c r="H17" s="9" t="s">
        <v>18</v>
      </c>
      <c r="I17" s="2"/>
    </row>
    <row r="18" spans="1:12" x14ac:dyDescent="0.25">
      <c r="A18" s="2"/>
      <c r="B18" s="8" t="s">
        <v>19</v>
      </c>
      <c r="C18" s="26" t="s">
        <v>20</v>
      </c>
      <c r="D18" s="26" t="s">
        <v>21</v>
      </c>
      <c r="E18" s="26">
        <f>B19</f>
        <v>2000</v>
      </c>
      <c r="F18" s="26">
        <f>B20</f>
        <v>3000</v>
      </c>
      <c r="G18" s="26">
        <f>B21</f>
        <v>5000</v>
      </c>
      <c r="H18" s="26">
        <f>B22</f>
        <v>10000</v>
      </c>
      <c r="I18" s="8" t="s">
        <v>22</v>
      </c>
    </row>
    <row r="19" spans="1:12" x14ac:dyDescent="0.25">
      <c r="A19" s="22" t="s">
        <v>16</v>
      </c>
      <c r="B19" s="27">
        <v>2000</v>
      </c>
      <c r="C19" s="24">
        <f>23894+393</f>
        <v>24287</v>
      </c>
      <c r="D19" s="24">
        <f>24809693+306005</f>
        <v>25115698</v>
      </c>
      <c r="E19" s="24">
        <f>D19</f>
        <v>25115698</v>
      </c>
      <c r="F19" s="24"/>
      <c r="G19" s="24"/>
      <c r="H19" s="24"/>
      <c r="I19" s="24">
        <f>SUM(E19:H19)</f>
        <v>25115698</v>
      </c>
    </row>
    <row r="20" spans="1:12" x14ac:dyDescent="0.25">
      <c r="A20" s="22" t="s">
        <v>17</v>
      </c>
      <c r="B20" s="27">
        <v>3000</v>
      </c>
      <c r="C20" s="24">
        <f>24285+145</f>
        <v>24430</v>
      </c>
      <c r="D20" s="24">
        <f>80580915+490038</f>
        <v>81070953</v>
      </c>
      <c r="E20" s="24">
        <f>C20*E$18</f>
        <v>48860000</v>
      </c>
      <c r="F20" s="24">
        <f>D20-E20</f>
        <v>32210953</v>
      </c>
      <c r="G20" s="24"/>
      <c r="H20" s="24"/>
      <c r="I20" s="24">
        <f>SUM(E20:H20)</f>
        <v>81070953</v>
      </c>
    </row>
    <row r="21" spans="1:12" x14ac:dyDescent="0.25">
      <c r="A21" s="22" t="s">
        <v>17</v>
      </c>
      <c r="B21" s="27">
        <v>5000</v>
      </c>
      <c r="C21" s="24">
        <f>9586+64</f>
        <v>9650</v>
      </c>
      <c r="D21" s="24">
        <f>64679463+442991</f>
        <v>65122454</v>
      </c>
      <c r="E21" s="24">
        <f>C21*E$18</f>
        <v>19300000</v>
      </c>
      <c r="F21" s="24">
        <f>$C21*F$18</f>
        <v>28950000</v>
      </c>
      <c r="G21" s="24">
        <f>D21-(E21+F21)</f>
        <v>16872454</v>
      </c>
      <c r="H21" s="24"/>
      <c r="I21" s="24">
        <f>SUM(E21:H21)</f>
        <v>65122454</v>
      </c>
    </row>
    <row r="22" spans="1:12" x14ac:dyDescent="0.25">
      <c r="A22" s="22" t="s">
        <v>18</v>
      </c>
      <c r="B22" s="28">
        <v>10000</v>
      </c>
      <c r="C22" s="29">
        <f>3271+45</f>
        <v>3316</v>
      </c>
      <c r="D22" s="29">
        <f>73554873+1047365</f>
        <v>74602238</v>
      </c>
      <c r="E22" s="29">
        <f>C22*E$18</f>
        <v>6632000</v>
      </c>
      <c r="F22" s="29">
        <f>$C22*F$18</f>
        <v>9948000</v>
      </c>
      <c r="G22" s="29">
        <f>$C22*G$18</f>
        <v>16580000</v>
      </c>
      <c r="H22" s="29">
        <f>D22-(F22+E22+G22)</f>
        <v>41442238</v>
      </c>
      <c r="I22" s="29">
        <f>SUM(E22:H22)</f>
        <v>74602238</v>
      </c>
    </row>
    <row r="23" spans="1:12" x14ac:dyDescent="0.25">
      <c r="A23" s="22"/>
      <c r="B23" s="27"/>
      <c r="C23" s="17">
        <f t="shared" ref="C23:I23" si="0">SUM(C19:C22)</f>
        <v>61683</v>
      </c>
      <c r="D23" s="17">
        <f t="shared" si="0"/>
        <v>245911343</v>
      </c>
      <c r="E23" s="17">
        <f t="shared" si="0"/>
        <v>99907698</v>
      </c>
      <c r="F23" s="17">
        <f t="shared" si="0"/>
        <v>71108953</v>
      </c>
      <c r="G23" s="17">
        <f t="shared" si="0"/>
        <v>33452454</v>
      </c>
      <c r="H23" s="17">
        <f t="shared" si="0"/>
        <v>41442238</v>
      </c>
      <c r="I23" s="17">
        <f t="shared" si="0"/>
        <v>245911343</v>
      </c>
    </row>
    <row r="24" spans="1:12" x14ac:dyDescent="0.25">
      <c r="A24" s="22"/>
      <c r="B24" s="27"/>
      <c r="C24" s="2"/>
      <c r="D24" s="27"/>
      <c r="E24" s="27"/>
      <c r="F24" s="27"/>
      <c r="G24" s="27"/>
      <c r="H24" s="27"/>
      <c r="I24" s="27"/>
    </row>
    <row r="25" spans="1:12" x14ac:dyDescent="0.25">
      <c r="A25" s="30" t="s">
        <v>23</v>
      </c>
      <c r="B25" s="30"/>
      <c r="C25" s="2"/>
      <c r="D25" s="27"/>
      <c r="E25" s="27"/>
      <c r="F25" s="27"/>
      <c r="G25" s="27"/>
      <c r="H25" s="27"/>
      <c r="I25" s="27"/>
    </row>
    <row r="26" spans="1:12" x14ac:dyDescent="0.25">
      <c r="A26" s="22"/>
      <c r="B26" s="8"/>
      <c r="C26" s="26" t="s">
        <v>20</v>
      </c>
      <c r="D26" s="8" t="s">
        <v>21</v>
      </c>
      <c r="E26" s="26" t="s">
        <v>24</v>
      </c>
      <c r="F26" s="26" t="s">
        <v>25</v>
      </c>
      <c r="G26" s="27"/>
      <c r="H26" s="27"/>
      <c r="I26" s="27"/>
    </row>
    <row r="27" spans="1:12" x14ac:dyDescent="0.25">
      <c r="A27" s="22" t="s">
        <v>16</v>
      </c>
      <c r="B27" s="27">
        <f>B19</f>
        <v>2000</v>
      </c>
      <c r="C27" s="10">
        <f>C23</f>
        <v>61683</v>
      </c>
      <c r="D27" s="24">
        <f>E23</f>
        <v>99907698</v>
      </c>
      <c r="E27" s="19">
        <v>23.15</v>
      </c>
      <c r="F27" s="12">
        <f>E27*C27</f>
        <v>1427961.45</v>
      </c>
      <c r="G27" s="27"/>
      <c r="H27" s="2"/>
      <c r="I27" s="31"/>
    </row>
    <row r="28" spans="1:12" x14ac:dyDescent="0.25">
      <c r="A28" s="22" t="s">
        <v>17</v>
      </c>
      <c r="B28" s="27">
        <f>B20</f>
        <v>3000</v>
      </c>
      <c r="C28" s="2"/>
      <c r="D28" s="24">
        <f>F23</f>
        <v>71108953</v>
      </c>
      <c r="E28" s="31">
        <v>9.73</v>
      </c>
      <c r="F28" s="10">
        <f>E28*(D28/1000)</f>
        <v>691890.11268999998</v>
      </c>
      <c r="G28" s="27"/>
      <c r="H28" s="2"/>
      <c r="I28" s="31"/>
    </row>
    <row r="29" spans="1:12" x14ac:dyDescent="0.25">
      <c r="A29" s="22" t="s">
        <v>17</v>
      </c>
      <c r="B29" s="27">
        <f>B21</f>
        <v>5000</v>
      </c>
      <c r="C29" s="2"/>
      <c r="D29" s="24">
        <f>G23</f>
        <v>33452454</v>
      </c>
      <c r="E29" s="31">
        <v>7.87</v>
      </c>
      <c r="F29" s="10">
        <f>E29*(D29/1000)</f>
        <v>263270.81297999999</v>
      </c>
      <c r="G29" s="27"/>
      <c r="H29" s="2"/>
      <c r="I29" s="31"/>
      <c r="J29" s="2"/>
      <c r="K29" s="2"/>
      <c r="L29" s="2"/>
    </row>
    <row r="30" spans="1:12" x14ac:dyDescent="0.25">
      <c r="A30" s="22" t="s">
        <v>18</v>
      </c>
      <c r="B30" s="28">
        <f>B22</f>
        <v>10000</v>
      </c>
      <c r="C30" s="7"/>
      <c r="D30" s="29">
        <f>H23</f>
        <v>41442238</v>
      </c>
      <c r="E30" s="32">
        <v>5.18</v>
      </c>
      <c r="F30" s="33">
        <f>E30*(D30/1000)</f>
        <v>214670.79283999998</v>
      </c>
      <c r="G30" s="27"/>
      <c r="H30" s="2"/>
      <c r="I30" s="2"/>
      <c r="J30" s="2"/>
      <c r="K30" s="2"/>
      <c r="L30" s="2"/>
    </row>
    <row r="31" spans="1:12" x14ac:dyDescent="0.25">
      <c r="A31" s="22"/>
      <c r="B31" s="27" t="s">
        <v>22</v>
      </c>
      <c r="C31" s="10">
        <f>SUM(C27:C30)</f>
        <v>61683</v>
      </c>
      <c r="D31" s="17">
        <f>SUM(D27:D30)</f>
        <v>245911343</v>
      </c>
      <c r="E31" s="2"/>
      <c r="F31" s="12">
        <f>SUM(F27:F30)</f>
        <v>2597793.1685099998</v>
      </c>
      <c r="G31" s="27"/>
      <c r="H31" s="27"/>
      <c r="I31" s="27"/>
      <c r="J31" s="2"/>
      <c r="K31" s="2"/>
      <c r="L31" s="2"/>
    </row>
    <row r="32" spans="1:12" x14ac:dyDescent="0.25">
      <c r="A32" s="22"/>
      <c r="B32" s="27"/>
      <c r="C32" s="10"/>
      <c r="D32" s="17"/>
      <c r="E32" s="2"/>
      <c r="F32" s="12"/>
      <c r="G32" s="27"/>
      <c r="H32" s="27"/>
      <c r="I32" s="27"/>
      <c r="J32" s="2"/>
      <c r="K32" s="2"/>
      <c r="L32" s="2"/>
    </row>
    <row r="33" spans="1:12" ht="15.75" x14ac:dyDescent="0.25">
      <c r="A33" s="25" t="s">
        <v>26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9" t="s">
        <v>16</v>
      </c>
      <c r="F34" s="9" t="s">
        <v>17</v>
      </c>
      <c r="G34" s="9" t="s">
        <v>18</v>
      </c>
      <c r="H34" s="2"/>
      <c r="I34" s="2"/>
      <c r="J34" s="2"/>
      <c r="K34" s="2"/>
      <c r="L34" s="2"/>
    </row>
    <row r="35" spans="1:12" x14ac:dyDescent="0.25">
      <c r="A35" s="2"/>
      <c r="B35" s="8" t="s">
        <v>19</v>
      </c>
      <c r="C35" s="26" t="s">
        <v>20</v>
      </c>
      <c r="D35" s="26" t="s">
        <v>21</v>
      </c>
      <c r="E35" s="26">
        <f>B36</f>
        <v>5000</v>
      </c>
      <c r="F35" s="26">
        <f>B37</f>
        <v>5000</v>
      </c>
      <c r="G35" s="26">
        <f>B38</f>
        <v>10000</v>
      </c>
      <c r="H35" s="8" t="s">
        <v>22</v>
      </c>
      <c r="I35" s="2"/>
      <c r="J35" s="2"/>
      <c r="K35" s="2"/>
      <c r="L35" s="2"/>
    </row>
    <row r="36" spans="1:12" x14ac:dyDescent="0.25">
      <c r="A36" s="22" t="s">
        <v>16</v>
      </c>
      <c r="B36" s="27">
        <v>5000</v>
      </c>
      <c r="C36" s="24">
        <f>308+13</f>
        <v>321</v>
      </c>
      <c r="D36" s="24">
        <f>846489+28841</f>
        <v>875330</v>
      </c>
      <c r="E36" s="24">
        <f>D36</f>
        <v>875330</v>
      </c>
      <c r="F36" s="24">
        <v>0</v>
      </c>
      <c r="G36" s="24">
        <v>0</v>
      </c>
      <c r="H36" s="24">
        <f>SUM(E36:G36)</f>
        <v>875330</v>
      </c>
      <c r="I36" s="2"/>
      <c r="J36" s="2"/>
      <c r="K36" s="2"/>
      <c r="L36" s="2"/>
    </row>
    <row r="37" spans="1:12" x14ac:dyDescent="0.25">
      <c r="A37" s="22" t="s">
        <v>17</v>
      </c>
      <c r="B37" s="27">
        <v>5000</v>
      </c>
      <c r="C37" s="24">
        <f>179+7</f>
        <v>186</v>
      </c>
      <c r="D37" s="24">
        <f>1275509+42980</f>
        <v>1318489</v>
      </c>
      <c r="E37" s="24">
        <f>$C37*E$35</f>
        <v>930000</v>
      </c>
      <c r="F37" s="24">
        <f>D37-E37</f>
        <v>388489</v>
      </c>
      <c r="G37" s="24">
        <v>0</v>
      </c>
      <c r="H37" s="24">
        <f>SUM(E37:G37)</f>
        <v>1318489</v>
      </c>
      <c r="I37" s="2"/>
      <c r="J37" s="2"/>
      <c r="K37" s="2"/>
      <c r="L37" s="2"/>
    </row>
    <row r="38" spans="1:12" x14ac:dyDescent="0.25">
      <c r="A38" s="22" t="s">
        <v>18</v>
      </c>
      <c r="B38" s="28">
        <v>10000</v>
      </c>
      <c r="C38" s="29">
        <f>113+35</f>
        <v>148</v>
      </c>
      <c r="D38" s="29">
        <f>2937672+3148183</f>
        <v>6085855</v>
      </c>
      <c r="E38" s="29">
        <f>$C38*E$35</f>
        <v>740000</v>
      </c>
      <c r="F38" s="29">
        <f>$C38*F$35</f>
        <v>740000</v>
      </c>
      <c r="G38" s="29">
        <f>D38-(F38+E38)</f>
        <v>4605855</v>
      </c>
      <c r="H38" s="29">
        <f>SUM(E38:G38)</f>
        <v>6085855</v>
      </c>
      <c r="I38" s="2"/>
      <c r="J38" s="2"/>
      <c r="K38" s="2"/>
      <c r="L38" s="2"/>
    </row>
    <row r="39" spans="1:12" x14ac:dyDescent="0.25">
      <c r="A39" s="22"/>
      <c r="B39" s="27"/>
      <c r="C39" s="17">
        <f t="shared" ref="C39:H39" si="1">SUM(C36:C38)</f>
        <v>655</v>
      </c>
      <c r="D39" s="17">
        <f t="shared" si="1"/>
        <v>8279674</v>
      </c>
      <c r="E39" s="17">
        <f t="shared" si="1"/>
        <v>2545330</v>
      </c>
      <c r="F39" s="17">
        <f t="shared" si="1"/>
        <v>1128489</v>
      </c>
      <c r="G39" s="17">
        <f t="shared" si="1"/>
        <v>4605855</v>
      </c>
      <c r="H39" s="17">
        <f t="shared" si="1"/>
        <v>8279674</v>
      </c>
      <c r="I39" s="2"/>
      <c r="J39" s="2"/>
      <c r="K39" s="2"/>
      <c r="L39" s="2"/>
    </row>
    <row r="40" spans="1:12" x14ac:dyDescent="0.25">
      <c r="A40" s="22"/>
      <c r="B40" s="27"/>
      <c r="C40" s="2"/>
      <c r="D40" s="27"/>
      <c r="E40" s="27"/>
      <c r="F40" s="27"/>
      <c r="G40" s="27"/>
      <c r="H40" s="27"/>
      <c r="I40" s="27"/>
      <c r="J40" s="2"/>
      <c r="K40" s="2"/>
      <c r="L40" s="2"/>
    </row>
    <row r="41" spans="1:12" x14ac:dyDescent="0.25">
      <c r="A41" s="30" t="s">
        <v>23</v>
      </c>
      <c r="B41" s="30"/>
      <c r="C41" s="2"/>
      <c r="D41" s="27"/>
      <c r="E41" s="27"/>
      <c r="F41" s="27"/>
      <c r="G41" s="27"/>
      <c r="H41" s="27"/>
      <c r="I41" s="27"/>
      <c r="J41" s="2"/>
      <c r="K41" s="2"/>
      <c r="L41" s="2"/>
    </row>
    <row r="42" spans="1:12" x14ac:dyDescent="0.25">
      <c r="A42" s="22"/>
      <c r="B42" s="8"/>
      <c r="C42" s="26" t="s">
        <v>20</v>
      </c>
      <c r="D42" s="8" t="s">
        <v>21</v>
      </c>
      <c r="E42" s="26" t="s">
        <v>24</v>
      </c>
      <c r="F42" s="26" t="s">
        <v>25</v>
      </c>
      <c r="G42" s="27"/>
      <c r="H42" s="27"/>
      <c r="I42" s="27"/>
      <c r="J42" s="2"/>
      <c r="K42" s="2"/>
      <c r="L42" s="2"/>
    </row>
    <row r="43" spans="1:12" x14ac:dyDescent="0.25">
      <c r="A43" s="22" t="s">
        <v>16</v>
      </c>
      <c r="B43" s="27">
        <f>B36</f>
        <v>5000</v>
      </c>
      <c r="C43" s="10">
        <f>C39</f>
        <v>655</v>
      </c>
      <c r="D43" s="24">
        <f>E39</f>
        <v>2545330</v>
      </c>
      <c r="E43" s="19">
        <v>52.34</v>
      </c>
      <c r="F43" s="12">
        <f>E43*C43</f>
        <v>34282.700000000004</v>
      </c>
      <c r="G43" s="27"/>
      <c r="H43" s="2"/>
      <c r="I43" s="2"/>
      <c r="J43" s="2"/>
      <c r="K43" s="2"/>
      <c r="L43" s="2"/>
    </row>
    <row r="44" spans="1:12" x14ac:dyDescent="0.25">
      <c r="A44" s="22" t="s">
        <v>17</v>
      </c>
      <c r="B44" s="27">
        <f>B37</f>
        <v>5000</v>
      </c>
      <c r="C44" s="2"/>
      <c r="D44" s="24">
        <f>F39</f>
        <v>1128489</v>
      </c>
      <c r="E44" s="31">
        <v>7.87</v>
      </c>
      <c r="F44" s="10">
        <f>E44*(D44/1000)</f>
        <v>8881.2084300000006</v>
      </c>
      <c r="G44" s="27"/>
      <c r="H44" s="2"/>
      <c r="I44" s="2"/>
      <c r="J44" s="2"/>
      <c r="K44" s="2"/>
      <c r="L44" s="2"/>
    </row>
    <row r="45" spans="1:12" x14ac:dyDescent="0.25">
      <c r="A45" s="22" t="s">
        <v>18</v>
      </c>
      <c r="B45" s="28">
        <f>B38</f>
        <v>10000</v>
      </c>
      <c r="C45" s="7"/>
      <c r="D45" s="29">
        <f>G39</f>
        <v>4605855</v>
      </c>
      <c r="E45" s="32">
        <v>5.18</v>
      </c>
      <c r="F45" s="33">
        <f>E45*(D45/1000)</f>
        <v>23858.328899999997</v>
      </c>
      <c r="G45" s="27"/>
      <c r="H45" s="2"/>
      <c r="I45" s="2"/>
      <c r="J45" s="2"/>
      <c r="K45" s="2"/>
      <c r="L45" s="2"/>
    </row>
    <row r="46" spans="1:12" x14ac:dyDescent="0.25">
      <c r="A46" s="22"/>
      <c r="B46" s="27" t="s">
        <v>22</v>
      </c>
      <c r="C46" s="10">
        <f>SUM(C43:C45)</f>
        <v>655</v>
      </c>
      <c r="D46" s="17">
        <f>SUM(D43:D45)</f>
        <v>8279674</v>
      </c>
      <c r="E46" s="2"/>
      <c r="F46" s="12">
        <f>SUM(F43:F45)</f>
        <v>67022.237330000004</v>
      </c>
      <c r="G46" s="27"/>
      <c r="H46" s="27"/>
      <c r="I46" s="27"/>
      <c r="J46" s="2"/>
      <c r="K46" s="2"/>
      <c r="L46" s="2"/>
    </row>
    <row r="47" spans="1:12" x14ac:dyDescent="0.25">
      <c r="A47" s="22"/>
      <c r="B47" s="27"/>
      <c r="C47" s="10"/>
      <c r="D47" s="17"/>
      <c r="E47" s="2"/>
      <c r="F47" s="12"/>
      <c r="G47" s="27"/>
      <c r="H47" s="27"/>
      <c r="I47" s="27"/>
      <c r="J47" s="2"/>
      <c r="K47" s="2"/>
      <c r="L47" s="2"/>
    </row>
    <row r="48" spans="1:12" ht="15.75" x14ac:dyDescent="0.25">
      <c r="A48" s="25" t="s">
        <v>27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9" t="s">
        <v>16</v>
      </c>
      <c r="F49" s="9" t="s">
        <v>18</v>
      </c>
      <c r="G49" s="2"/>
      <c r="H49" s="2"/>
      <c r="I49" s="2"/>
      <c r="J49" s="2"/>
      <c r="K49" s="2"/>
      <c r="L49" s="2"/>
    </row>
    <row r="50" spans="1:12" x14ac:dyDescent="0.25">
      <c r="A50" s="2"/>
      <c r="B50" s="8" t="s">
        <v>19</v>
      </c>
      <c r="C50" s="26" t="s">
        <v>20</v>
      </c>
      <c r="D50" s="26" t="s">
        <v>21</v>
      </c>
      <c r="E50" s="26">
        <f>B51</f>
        <v>20000</v>
      </c>
      <c r="F50" s="26">
        <f>B52</f>
        <v>20000</v>
      </c>
      <c r="G50" s="8" t="s">
        <v>22</v>
      </c>
      <c r="H50" s="2"/>
      <c r="I50" s="2"/>
      <c r="J50" s="2"/>
      <c r="K50" s="2"/>
      <c r="L50" s="2"/>
    </row>
    <row r="51" spans="1:12" x14ac:dyDescent="0.25">
      <c r="A51" s="22" t="s">
        <v>16</v>
      </c>
      <c r="B51" s="27">
        <v>20000</v>
      </c>
      <c r="C51" s="24">
        <f>5+55</f>
        <v>60</v>
      </c>
      <c r="D51" s="24">
        <f>100000+493577</f>
        <v>593577</v>
      </c>
      <c r="E51" s="24">
        <f>D51</f>
        <v>593577</v>
      </c>
      <c r="F51" s="24">
        <v>0</v>
      </c>
      <c r="G51" s="24">
        <f>SUM(E51:F51)</f>
        <v>593577</v>
      </c>
      <c r="H51" s="2"/>
      <c r="I51" s="2"/>
      <c r="J51" s="2"/>
      <c r="K51" s="2"/>
      <c r="L51" s="2"/>
    </row>
    <row r="52" spans="1:12" x14ac:dyDescent="0.25">
      <c r="A52" s="22" t="s">
        <v>18</v>
      </c>
      <c r="B52" s="28">
        <v>20000</v>
      </c>
      <c r="C52" s="29">
        <f>31+147</f>
        <v>178</v>
      </c>
      <c r="D52" s="29">
        <f>8846800+19478151</f>
        <v>28324951</v>
      </c>
      <c r="E52" s="29">
        <f>$C52*E50</f>
        <v>3560000</v>
      </c>
      <c r="F52" s="29">
        <f>D52-E52</f>
        <v>24764951</v>
      </c>
      <c r="G52" s="29">
        <f>SUM(E52:F52)</f>
        <v>28324951</v>
      </c>
      <c r="H52" s="2"/>
      <c r="I52" s="2"/>
      <c r="J52" s="2"/>
      <c r="K52" s="2"/>
      <c r="L52" s="2"/>
    </row>
    <row r="53" spans="1:12" x14ac:dyDescent="0.25">
      <c r="A53" s="22"/>
      <c r="B53" s="27"/>
      <c r="C53" s="17">
        <f>SUM(C51:C52)</f>
        <v>238</v>
      </c>
      <c r="D53" s="17">
        <f>SUM(D51:D52)</f>
        <v>28918528</v>
      </c>
      <c r="E53" s="17">
        <f>SUM(E51:E52)</f>
        <v>4153577</v>
      </c>
      <c r="F53" s="17">
        <f>SUM(F51:F52)</f>
        <v>24764951</v>
      </c>
      <c r="G53" s="17">
        <f>SUM(G51:G52)</f>
        <v>28918528</v>
      </c>
      <c r="H53" s="2"/>
      <c r="I53" s="2"/>
      <c r="J53" s="2"/>
      <c r="K53" s="2"/>
      <c r="L53" s="2"/>
    </row>
    <row r="54" spans="1:12" x14ac:dyDescent="0.25">
      <c r="A54" s="22"/>
      <c r="B54" s="27"/>
      <c r="C54" s="2"/>
      <c r="D54" s="27"/>
      <c r="E54" s="27"/>
      <c r="F54" s="27"/>
      <c r="G54" s="27"/>
      <c r="H54" s="27"/>
      <c r="I54" s="2"/>
      <c r="J54" s="2"/>
      <c r="K54" s="2"/>
      <c r="L54" s="2"/>
    </row>
    <row r="55" spans="1:12" x14ac:dyDescent="0.25">
      <c r="A55" s="30" t="s">
        <v>23</v>
      </c>
      <c r="B55" s="30"/>
      <c r="C55" s="2"/>
      <c r="D55" s="27"/>
      <c r="E55" s="27"/>
      <c r="F55" s="27"/>
      <c r="G55" s="27"/>
      <c r="H55" s="27"/>
      <c r="I55" s="2"/>
      <c r="J55" s="2"/>
      <c r="K55" s="2"/>
      <c r="L55" s="2"/>
    </row>
    <row r="56" spans="1:12" x14ac:dyDescent="0.25">
      <c r="A56" s="22"/>
      <c r="B56" s="8"/>
      <c r="C56" s="26" t="s">
        <v>20</v>
      </c>
      <c r="D56" s="8" t="s">
        <v>21</v>
      </c>
      <c r="E56" s="26" t="s">
        <v>24</v>
      </c>
      <c r="F56" s="26" t="s">
        <v>25</v>
      </c>
      <c r="G56" s="27"/>
      <c r="H56" s="27"/>
      <c r="I56" s="2"/>
      <c r="J56" s="2"/>
      <c r="K56" s="2"/>
      <c r="L56" s="2"/>
    </row>
    <row r="57" spans="1:12" x14ac:dyDescent="0.25">
      <c r="A57" s="22" t="s">
        <v>16</v>
      </c>
      <c r="B57" s="27">
        <f>B51</f>
        <v>20000</v>
      </c>
      <c r="C57" s="10">
        <f>C53</f>
        <v>238</v>
      </c>
      <c r="D57" s="24">
        <f>E53</f>
        <v>4153577</v>
      </c>
      <c r="E57" s="19">
        <v>143.49</v>
      </c>
      <c r="F57" s="12">
        <f>E57*C57</f>
        <v>34150.620000000003</v>
      </c>
      <c r="G57" s="27"/>
      <c r="H57" s="2"/>
      <c r="I57" s="2"/>
      <c r="J57" s="2"/>
      <c r="K57" s="2"/>
      <c r="L57" s="2"/>
    </row>
    <row r="58" spans="1:12" x14ac:dyDescent="0.25">
      <c r="A58" s="22" t="s">
        <v>18</v>
      </c>
      <c r="B58" s="28">
        <f>B52</f>
        <v>20000</v>
      </c>
      <c r="C58" s="7"/>
      <c r="D58" s="29">
        <f>F53</f>
        <v>24764951</v>
      </c>
      <c r="E58" s="32">
        <v>5.18</v>
      </c>
      <c r="F58" s="33">
        <f>E58*(D58/1000)</f>
        <v>128282.44618</v>
      </c>
      <c r="G58" s="27"/>
      <c r="H58" s="2"/>
      <c r="I58" s="2"/>
      <c r="J58" s="2"/>
      <c r="K58" s="2"/>
      <c r="L58" s="2"/>
    </row>
    <row r="59" spans="1:12" x14ac:dyDescent="0.25">
      <c r="A59" s="22"/>
      <c r="B59" s="27" t="s">
        <v>22</v>
      </c>
      <c r="C59" s="10">
        <f>SUM(C57:C58)</f>
        <v>238</v>
      </c>
      <c r="D59" s="17">
        <f>SUM(D57:D58)</f>
        <v>28918528</v>
      </c>
      <c r="E59" s="2"/>
      <c r="F59" s="12">
        <f>SUM(F57:F58)</f>
        <v>162433.06617999999</v>
      </c>
      <c r="G59" s="27"/>
      <c r="H59" s="27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.75" x14ac:dyDescent="0.25">
      <c r="A62" s="25" t="s">
        <v>28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8" t="s">
        <v>21</v>
      </c>
      <c r="E63" s="26" t="s">
        <v>24</v>
      </c>
      <c r="F63" s="26" t="s">
        <v>25</v>
      </c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2" t="s">
        <v>29</v>
      </c>
      <c r="D64" s="10">
        <v>3708000</v>
      </c>
      <c r="E64" s="2">
        <v>3.16</v>
      </c>
      <c r="F64" s="16">
        <f>D64/1000*E64</f>
        <v>11717.28</v>
      </c>
      <c r="G64" s="2"/>
      <c r="H64" s="2"/>
      <c r="I64" s="2"/>
      <c r="J64" s="2"/>
      <c r="K64" s="2"/>
      <c r="L64" s="16">
        <f>D65+D64+F9</f>
        <v>293020545</v>
      </c>
    </row>
    <row r="65" spans="1:12" ht="17.25" x14ac:dyDescent="0.4">
      <c r="A65" s="2"/>
      <c r="B65" s="2"/>
      <c r="C65" s="22" t="s">
        <v>30</v>
      </c>
      <c r="D65" s="10">
        <v>6203000</v>
      </c>
      <c r="E65" s="2">
        <v>2.77</v>
      </c>
      <c r="F65" s="34">
        <f>D65/1000*E65</f>
        <v>17182.310000000001</v>
      </c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10"/>
      <c r="E66" s="2" t="s">
        <v>22</v>
      </c>
      <c r="F66" s="12">
        <f>F64+F65</f>
        <v>28899.590000000004</v>
      </c>
      <c r="G66" s="2"/>
      <c r="H66" s="2"/>
      <c r="I66" s="2"/>
      <c r="J66" s="2"/>
      <c r="K66" s="2"/>
      <c r="L66" s="2"/>
    </row>
  </sheetData>
  <mergeCells count="2">
    <mergeCell ref="A1:I1"/>
    <mergeCell ref="A2:I2"/>
  </mergeCells>
  <pageMargins left="0.7" right="0.7" top="0.75" bottom="0.75" header="0.3" footer="0.3"/>
  <ignoredErrors>
    <ignoredError sqref="G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Vilines</dc:creator>
  <cp:lastModifiedBy>Alan Vilines</cp:lastModifiedBy>
  <dcterms:created xsi:type="dcterms:W3CDTF">2022-09-19T12:58:25Z</dcterms:created>
  <dcterms:modified xsi:type="dcterms:W3CDTF">2022-09-19T16:50:03Z</dcterms:modified>
</cp:coreProperties>
</file>