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Rider PMM Application/Discovery/STAFF's 1st Set Data Request/"/>
    </mc:Choice>
  </mc:AlternateContent>
  <xr:revisionPtr revIDLastSave="0" documentId="13_ncr:1_{8282C214-F743-4CA3-8B64-3D0B3174AF8D}" xr6:coauthVersionLast="47" xr6:coauthVersionMax="47" xr10:uidLastSave="{00000000-0000-0000-0000-000000000000}"/>
  <bookViews>
    <workbookView xWindow="-108" yWindow="-108" windowWidth="23256" windowHeight="12576" tabRatio="870" activeTab="1" xr2:uid="{00000000-000D-0000-FFFF-FFFF00000000}"/>
  </bookViews>
  <sheets>
    <sheet name=" Summary" sheetId="2" r:id="rId1"/>
    <sheet name="Sch 1.0" sheetId="3" r:id="rId2"/>
    <sheet name="Sch 1.1" sheetId="4" r:id="rId3"/>
    <sheet name="Sch 1.2" sheetId="5" r:id="rId4"/>
    <sheet name="Sch 2.0" sheetId="7" r:id="rId5"/>
    <sheet name="Sch 2.1" sheetId="8" r:id="rId6"/>
    <sheet name="Sch 2.2" sheetId="9" r:id="rId7"/>
    <sheet name="Sch 3.0" sheetId="10" r:id="rId8"/>
    <sheet name="Sch 4.1" sheetId="14" state="hidden" r:id="rId9"/>
    <sheet name="Sch 4.2" sheetId="15" state="hidden" r:id="rId10"/>
    <sheet name="Sch 4.3" sheetId="16" state="hidden" r:id="rId11"/>
    <sheet name="Sch 4.4" sheetId="17" state="hidden" r:id="rId12"/>
    <sheet name="Sch 4.5" sheetId="18" state="hidden" r:id="rId13"/>
  </sheets>
  <definedNames>
    <definedName name="_xlnm.Print_Area" localSheetId="0">' Summary'!$A$1:$J$18</definedName>
    <definedName name="_xlnm.Print_Area" localSheetId="1">'Sch 1.0'!$A$1:$J$23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4" l="1"/>
  <c r="P19" i="8"/>
  <c r="C22" i="8" l="1"/>
  <c r="E22" i="8"/>
  <c r="E21" i="8"/>
  <c r="E20" i="8"/>
  <c r="E19" i="8"/>
  <c r="D22" i="8"/>
  <c r="D21" i="8"/>
  <c r="D20" i="8"/>
  <c r="D19" i="8"/>
  <c r="I19" i="8" s="1"/>
  <c r="C21" i="8"/>
  <c r="C20" i="8"/>
  <c r="C19" i="8"/>
  <c r="G40" i="7"/>
  <c r="H40" i="7" s="1"/>
  <c r="I40" i="7" s="1"/>
  <c r="J40" i="7" s="1"/>
  <c r="K40" i="7" s="1"/>
  <c r="L40" i="7" s="1"/>
  <c r="M40" i="7" s="1"/>
  <c r="N40" i="7" s="1"/>
  <c r="O40" i="7" s="1"/>
  <c r="P40" i="7" s="1"/>
  <c r="Q40" i="7" s="1"/>
  <c r="F40" i="7"/>
  <c r="F22" i="4"/>
  <c r="E40" i="7"/>
  <c r="A2" i="8"/>
  <c r="A1" i="8"/>
  <c r="L18" i="8"/>
  <c r="L17" i="8"/>
  <c r="L16" i="8"/>
  <c r="L15" i="8"/>
  <c r="L14" i="8"/>
  <c r="L13" i="8"/>
  <c r="L12" i="8"/>
  <c r="N11" i="8"/>
  <c r="O11" i="8" s="1"/>
  <c r="L11" i="8"/>
  <c r="Q10" i="8"/>
  <c r="H25" i="9"/>
  <c r="H17" i="9"/>
  <c r="G36" i="7"/>
  <c r="H36" i="7"/>
  <c r="I36" i="7"/>
  <c r="J36" i="7"/>
  <c r="K36" i="7"/>
  <c r="L36" i="7"/>
  <c r="M36" i="7"/>
  <c r="N36" i="7"/>
  <c r="O36" i="7"/>
  <c r="P36" i="7"/>
  <c r="Q36" i="7"/>
  <c r="F36" i="7"/>
  <c r="G37" i="7"/>
  <c r="H37" i="7"/>
  <c r="I37" i="7"/>
  <c r="J37" i="7"/>
  <c r="K37" i="7"/>
  <c r="L37" i="7"/>
  <c r="M37" i="7"/>
  <c r="N37" i="7"/>
  <c r="O37" i="7"/>
  <c r="P37" i="7"/>
  <c r="Q37" i="7"/>
  <c r="F37" i="7"/>
  <c r="P35" i="7"/>
  <c r="E38" i="7"/>
  <c r="P15" i="7"/>
  <c r="Q15" i="7"/>
  <c r="F27" i="7"/>
  <c r="H15" i="9" s="1"/>
  <c r="G27" i="7"/>
  <c r="H16" i="9" s="1"/>
  <c r="H27" i="7"/>
  <c r="I27" i="7"/>
  <c r="H18" i="9" s="1"/>
  <c r="J27" i="7"/>
  <c r="H19" i="9" s="1"/>
  <c r="K27" i="7"/>
  <c r="H20" i="9" s="1"/>
  <c r="L27" i="7"/>
  <c r="H21" i="9" s="1"/>
  <c r="M27" i="7"/>
  <c r="H22" i="9" s="1"/>
  <c r="N27" i="7"/>
  <c r="H23" i="9" s="1"/>
  <c r="O27" i="7"/>
  <c r="H24" i="9" s="1"/>
  <c r="P27" i="7"/>
  <c r="Q27" i="7"/>
  <c r="H26" i="9" s="1"/>
  <c r="E27" i="7"/>
  <c r="N15" i="7"/>
  <c r="D23" i="9" s="1"/>
  <c r="O15" i="7"/>
  <c r="Q21" i="7"/>
  <c r="R20" i="7"/>
  <c r="F19" i="8" l="1"/>
  <c r="H19" i="8"/>
  <c r="F20" i="8"/>
  <c r="I22" i="8"/>
  <c r="I20" i="8"/>
  <c r="I21" i="8"/>
  <c r="I23" i="8" s="1"/>
  <c r="H21" i="8"/>
  <c r="J21" i="8" s="1"/>
  <c r="J19" i="8"/>
  <c r="L19" i="8" s="1"/>
  <c r="H20" i="8"/>
  <c r="H22" i="8"/>
  <c r="F21" i="8"/>
  <c r="F22" i="8"/>
  <c r="D23" i="8"/>
  <c r="E23" i="8"/>
  <c r="C23" i="8"/>
  <c r="F26" i="9"/>
  <c r="D24" i="9"/>
  <c r="D25" i="9"/>
  <c r="D26" i="9"/>
  <c r="O17" i="8"/>
  <c r="O13" i="8"/>
  <c r="O19" i="8"/>
  <c r="O20" i="8"/>
  <c r="O21" i="8"/>
  <c r="O15" i="8"/>
  <c r="O12" i="8"/>
  <c r="O14" i="8"/>
  <c r="O16" i="8"/>
  <c r="O18" i="8"/>
  <c r="O22" i="8"/>
  <c r="N23" i="8"/>
  <c r="P11" i="8" s="1"/>
  <c r="P38" i="7"/>
  <c r="K21" i="8" s="1"/>
  <c r="R19" i="7"/>
  <c r="R13" i="7"/>
  <c r="R14" i="7"/>
  <c r="C16" i="9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15" i="9"/>
  <c r="J22" i="8" l="1"/>
  <c r="L21" i="8"/>
  <c r="J20" i="8"/>
  <c r="P21" i="8"/>
  <c r="P12" i="8"/>
  <c r="P15" i="8"/>
  <c r="P16" i="8"/>
  <c r="H23" i="8"/>
  <c r="P14" i="8"/>
  <c r="F23" i="8"/>
  <c r="P18" i="8"/>
  <c r="P13" i="8"/>
  <c r="P17" i="8"/>
  <c r="Q11" i="8"/>
  <c r="Q12" i="8" l="1"/>
  <c r="Q13" i="8" s="1"/>
  <c r="Q14" i="8" s="1"/>
  <c r="Q15" i="8" s="1"/>
  <c r="Q16" i="8" s="1"/>
  <c r="Q17" i="8" s="1"/>
  <c r="Q18" i="8" s="1"/>
  <c r="J23" i="8"/>
  <c r="M19" i="8"/>
  <c r="O16" i="10"/>
  <c r="O15" i="10"/>
  <c r="O14" i="10"/>
  <c r="O13" i="10"/>
  <c r="Q19" i="8" l="1"/>
  <c r="A1" i="7"/>
  <c r="E27" i="16" l="1"/>
  <c r="A37" i="14" l="1"/>
  <c r="E12" i="15" l="1"/>
  <c r="F12" i="15" s="1"/>
  <c r="E11" i="15"/>
  <c r="E10" i="15"/>
  <c r="E33" i="7"/>
  <c r="E12" i="5"/>
  <c r="F12" i="5" s="1"/>
  <c r="E11" i="5"/>
  <c r="E10" i="5"/>
  <c r="A7" i="2" l="1"/>
  <c r="A6" i="2" l="1"/>
  <c r="A15" i="9"/>
  <c r="D14" i="17"/>
  <c r="A15" i="18"/>
  <c r="F22" i="17" l="1"/>
  <c r="F11" i="17"/>
  <c r="F15" i="17" s="1"/>
  <c r="F19" i="17" s="1"/>
  <c r="F20" i="17" s="1"/>
  <c r="F24" i="17" s="1"/>
  <c r="F27" i="17" s="1"/>
  <c r="F14" i="17" l="1"/>
  <c r="F29" i="17" l="1"/>
  <c r="F30" i="17"/>
  <c r="F31" i="17" l="1"/>
  <c r="E15" i="7" l="1"/>
  <c r="F35" i="7" l="1"/>
  <c r="F38" i="7" s="1"/>
  <c r="I14" i="18" l="1"/>
  <c r="E14" i="18"/>
  <c r="Q20" i="16" l="1"/>
  <c r="P20" i="16"/>
  <c r="O20" i="16"/>
  <c r="N20" i="16"/>
  <c r="M20" i="16"/>
  <c r="L20" i="16"/>
  <c r="K20" i="16"/>
  <c r="J20" i="16"/>
  <c r="I20" i="16"/>
  <c r="H20" i="16"/>
  <c r="G20" i="16"/>
  <c r="F20" i="16"/>
  <c r="I15" i="18" l="1"/>
  <c r="I16" i="18" s="1"/>
  <c r="I17" i="18" s="1"/>
  <c r="I18" i="18" s="1"/>
  <c r="I19" i="18" s="1"/>
  <c r="I20" i="18" s="1"/>
  <c r="I21" i="18" s="1"/>
  <c r="I22" i="18" s="1"/>
  <c r="I23" i="18" s="1"/>
  <c r="I24" i="18" s="1"/>
  <c r="I25" i="18" s="1"/>
  <c r="I26" i="18" s="1"/>
  <c r="I15" i="9"/>
  <c r="I27" i="18" l="1"/>
  <c r="I29" i="18" s="1"/>
  <c r="A2" i="17"/>
  <c r="A2" i="15"/>
  <c r="A3" i="18"/>
  <c r="A2" i="18"/>
  <c r="A3" i="17"/>
  <c r="A2" i="16"/>
  <c r="A3" i="15"/>
  <c r="A3" i="14"/>
  <c r="A2" i="14"/>
  <c r="F14" i="14" l="1"/>
  <c r="G26" i="17"/>
  <c r="H26" i="17" s="1"/>
  <c r="C16" i="18"/>
  <c r="C17" i="18" s="1"/>
  <c r="C18" i="18" s="1"/>
  <c r="C19" i="18" s="1"/>
  <c r="C20" i="18" s="1"/>
  <c r="C21" i="18" s="1"/>
  <c r="C22" i="18" s="1"/>
  <c r="C23" i="18" s="1"/>
  <c r="C24" i="18" s="1"/>
  <c r="C25" i="18" s="1"/>
  <c r="C26" i="18" s="1"/>
  <c r="G15" i="18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E15" i="18"/>
  <c r="E16" i="18" s="1"/>
  <c r="A16" i="18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8" i="18" s="1"/>
  <c r="A29" i="18" s="1"/>
  <c r="A19" i="17"/>
  <c r="A20" i="17" s="1"/>
  <c r="A15" i="17"/>
  <c r="E34" i="16"/>
  <c r="E30" i="16"/>
  <c r="A29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0" i="16"/>
  <c r="E21" i="16" s="1"/>
  <c r="Q16" i="16"/>
  <c r="Q17" i="16" s="1"/>
  <c r="P16" i="16"/>
  <c r="P17" i="16" s="1"/>
  <c r="O16" i="16"/>
  <c r="O17" i="16" s="1"/>
  <c r="N16" i="16"/>
  <c r="N17" i="16" s="1"/>
  <c r="M16" i="16"/>
  <c r="M17" i="16" s="1"/>
  <c r="L16" i="16"/>
  <c r="L17" i="16" s="1"/>
  <c r="K16" i="16"/>
  <c r="K17" i="16" s="1"/>
  <c r="J16" i="16"/>
  <c r="J17" i="16" s="1"/>
  <c r="I16" i="16"/>
  <c r="I17" i="16" s="1"/>
  <c r="H16" i="16"/>
  <c r="H17" i="16" s="1"/>
  <c r="G16" i="16"/>
  <c r="F16" i="16"/>
  <c r="F17" i="16" s="1"/>
  <c r="E16" i="16"/>
  <c r="Q12" i="16"/>
  <c r="Q13" i="16" s="1"/>
  <c r="P12" i="16"/>
  <c r="P13" i="16" s="1"/>
  <c r="O12" i="16"/>
  <c r="O13" i="16" s="1"/>
  <c r="N12" i="16"/>
  <c r="N13" i="16" s="1"/>
  <c r="M12" i="16"/>
  <c r="M13" i="16" s="1"/>
  <c r="L12" i="16"/>
  <c r="L13" i="16" s="1"/>
  <c r="K12" i="16"/>
  <c r="K13" i="16" s="1"/>
  <c r="J12" i="16"/>
  <c r="J13" i="16" s="1"/>
  <c r="I12" i="16"/>
  <c r="I13" i="16" s="1"/>
  <c r="H12" i="16"/>
  <c r="H13" i="16" s="1"/>
  <c r="G12" i="16"/>
  <c r="G13" i="16" s="1"/>
  <c r="F12" i="16"/>
  <c r="E12" i="16"/>
  <c r="E13" i="16" s="1"/>
  <c r="C13" i="15"/>
  <c r="F11" i="15"/>
  <c r="A11" i="15"/>
  <c r="A12" i="15" s="1"/>
  <c r="A13" i="15" s="1"/>
  <c r="A14" i="14"/>
  <c r="A15" i="14" s="1"/>
  <c r="A16" i="14" s="1"/>
  <c r="A17" i="14" s="1"/>
  <c r="A18" i="14" s="1"/>
  <c r="A19" i="14" s="1"/>
  <c r="A20" i="14" s="1"/>
  <c r="A23" i="14" s="1"/>
  <c r="A24" i="14" s="1"/>
  <c r="A25" i="14" l="1"/>
  <c r="A26" i="14" s="1"/>
  <c r="A28" i="14" s="1"/>
  <c r="E36" i="16"/>
  <c r="A22" i="17"/>
  <c r="A24" i="17" s="1"/>
  <c r="A26" i="17" s="1"/>
  <c r="A27" i="17" s="1"/>
  <c r="A29" i="17" s="1"/>
  <c r="R21" i="16"/>
  <c r="R16" i="16"/>
  <c r="R17" i="16" s="1"/>
  <c r="R12" i="16"/>
  <c r="R13" i="16" s="1"/>
  <c r="O33" i="16"/>
  <c r="O34" i="16" s="1"/>
  <c r="N29" i="16"/>
  <c r="N30" i="16" s="1"/>
  <c r="O29" i="16"/>
  <c r="O30" i="16" s="1"/>
  <c r="R20" i="16"/>
  <c r="G29" i="16"/>
  <c r="G30" i="16" s="1"/>
  <c r="H33" i="16"/>
  <c r="H34" i="16" s="1"/>
  <c r="L33" i="16"/>
  <c r="L34" i="16" s="1"/>
  <c r="E13" i="15"/>
  <c r="F10" i="15"/>
  <c r="F13" i="15" s="1"/>
  <c r="F19" i="14" s="1"/>
  <c r="M33" i="16"/>
  <c r="M34" i="16" s="1"/>
  <c r="Q33" i="16"/>
  <c r="Q34" i="16" s="1"/>
  <c r="I33" i="16"/>
  <c r="I34" i="16" s="1"/>
  <c r="G17" i="16"/>
  <c r="P33" i="16"/>
  <c r="P34" i="16" s="1"/>
  <c r="E17" i="18"/>
  <c r="E18" i="18" s="1"/>
  <c r="E19" i="18" s="1"/>
  <c r="E20" i="18" s="1"/>
  <c r="E21" i="18" s="1"/>
  <c r="E22" i="18" s="1"/>
  <c r="E23" i="18" s="1"/>
  <c r="E24" i="18" s="1"/>
  <c r="E25" i="18" s="1"/>
  <c r="E26" i="18" s="1"/>
  <c r="P29" i="16"/>
  <c r="P30" i="16" s="1"/>
  <c r="H29" i="16"/>
  <c r="H30" i="16" s="1"/>
  <c r="F13" i="16"/>
  <c r="L29" i="16"/>
  <c r="L30" i="16" s="1"/>
  <c r="K29" i="16"/>
  <c r="K30" i="16" s="1"/>
  <c r="G27" i="18"/>
  <c r="G29" i="18" s="1"/>
  <c r="I29" i="16"/>
  <c r="I30" i="16" s="1"/>
  <c r="M29" i="16"/>
  <c r="M30" i="16" s="1"/>
  <c r="Q29" i="16"/>
  <c r="Q30" i="16" s="1"/>
  <c r="F33" i="16"/>
  <c r="F34" i="16" s="1"/>
  <c r="J33" i="16"/>
  <c r="J34" i="16" s="1"/>
  <c r="N33" i="16"/>
  <c r="N34" i="16" s="1"/>
  <c r="E17" i="16"/>
  <c r="F29" i="16"/>
  <c r="F30" i="16" s="1"/>
  <c r="J29" i="16"/>
  <c r="J30" i="16" s="1"/>
  <c r="G33" i="16"/>
  <c r="G34" i="16" s="1"/>
  <c r="K33" i="16"/>
  <c r="K34" i="16" s="1"/>
  <c r="E27" i="18" l="1"/>
  <c r="E29" i="18" s="1"/>
  <c r="F23" i="14"/>
  <c r="F36" i="16"/>
  <c r="F12" i="14" l="1"/>
  <c r="G11" i="17"/>
  <c r="G14" i="17" s="1"/>
  <c r="D15" i="17"/>
  <c r="D19" i="17" s="1"/>
  <c r="G36" i="16"/>
  <c r="I16" i="9"/>
  <c r="G15" i="17" l="1"/>
  <c r="H11" i="17"/>
  <c r="D18" i="17"/>
  <c r="D20" i="17" s="1"/>
  <c r="D24" i="17" s="1"/>
  <c r="D27" i="17" s="1"/>
  <c r="I17" i="9"/>
  <c r="H36" i="16"/>
  <c r="G18" i="17" l="1"/>
  <c r="H14" i="17"/>
  <c r="G19" i="17"/>
  <c r="H19" i="17" s="1"/>
  <c r="H15" i="17"/>
  <c r="I18" i="9"/>
  <c r="I36" i="16"/>
  <c r="J36" i="16" s="1"/>
  <c r="K36" i="16" s="1"/>
  <c r="L36" i="16" s="1"/>
  <c r="M36" i="16" s="1"/>
  <c r="N36" i="16" s="1"/>
  <c r="O36" i="16" s="1"/>
  <c r="P36" i="16" s="1"/>
  <c r="Q36" i="16" s="1"/>
  <c r="R36" i="16" s="1"/>
  <c r="A5" i="2"/>
  <c r="G20" i="17" l="1"/>
  <c r="F15" i="14"/>
  <c r="F16" i="14" s="1"/>
  <c r="F24" i="14" s="1"/>
  <c r="G22" i="17"/>
  <c r="H22" i="17" s="1"/>
  <c r="H18" i="17"/>
  <c r="I19" i="9"/>
  <c r="A3" i="10"/>
  <c r="A2" i="10"/>
  <c r="A3" i="9"/>
  <c r="A2" i="9"/>
  <c r="A2" i="7"/>
  <c r="A3" i="5"/>
  <c r="A2" i="5"/>
  <c r="A3" i="4"/>
  <c r="A2" i="4"/>
  <c r="G24" i="17" l="1"/>
  <c r="G27" i="17" s="1"/>
  <c r="H20" i="17"/>
  <c r="I20" i="9"/>
  <c r="P21" i="7"/>
  <c r="F25" i="9" s="1"/>
  <c r="O21" i="7"/>
  <c r="F24" i="9" s="1"/>
  <c r="N21" i="7"/>
  <c r="F23" i="9" s="1"/>
  <c r="M21" i="7"/>
  <c r="F22" i="9" s="1"/>
  <c r="L21" i="7"/>
  <c r="F21" i="9" s="1"/>
  <c r="K21" i="7"/>
  <c r="F20" i="9" s="1"/>
  <c r="J21" i="7"/>
  <c r="F19" i="9" s="1"/>
  <c r="I21" i="7"/>
  <c r="F18" i="9" s="1"/>
  <c r="H21" i="7"/>
  <c r="F17" i="9" s="1"/>
  <c r="G21" i="7"/>
  <c r="F16" i="9" s="1"/>
  <c r="F21" i="7"/>
  <c r="F15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M15" i="7"/>
  <c r="D22" i="9" s="1"/>
  <c r="L15" i="7"/>
  <c r="D21" i="9" s="1"/>
  <c r="K15" i="7"/>
  <c r="D20" i="9" s="1"/>
  <c r="J15" i="7"/>
  <c r="D19" i="9" s="1"/>
  <c r="I15" i="7"/>
  <c r="D18" i="9" s="1"/>
  <c r="H15" i="7"/>
  <c r="D17" i="9" s="1"/>
  <c r="G15" i="7"/>
  <c r="D16" i="9" s="1"/>
  <c r="F15" i="7"/>
  <c r="D15" i="9" s="1"/>
  <c r="E21" i="7" l="1"/>
  <c r="R21" i="7"/>
  <c r="M35" i="7"/>
  <c r="M38" i="7" s="1"/>
  <c r="I35" i="7"/>
  <c r="I38" i="7" s="1"/>
  <c r="L35" i="7"/>
  <c r="L38" i="7" s="1"/>
  <c r="N35" i="7"/>
  <c r="N38" i="7" s="1"/>
  <c r="O35" i="7"/>
  <c r="O38" i="7" s="1"/>
  <c r="K20" i="8" s="1"/>
  <c r="L20" i="8" s="1"/>
  <c r="Q35" i="7"/>
  <c r="Q38" i="7" s="1"/>
  <c r="K22" i="8" s="1"/>
  <c r="K35" i="7"/>
  <c r="K38" i="7" s="1"/>
  <c r="H35" i="7"/>
  <c r="H38" i="7" s="1"/>
  <c r="J35" i="7"/>
  <c r="J38" i="7" s="1"/>
  <c r="G35" i="7"/>
  <c r="G38" i="7" s="1"/>
  <c r="H24" i="17"/>
  <c r="D30" i="17"/>
  <c r="D29" i="17"/>
  <c r="I21" i="9"/>
  <c r="L22" i="8" l="1"/>
  <c r="P22" i="8" s="1"/>
  <c r="K23" i="8"/>
  <c r="G30" i="17"/>
  <c r="H30" i="17" s="1"/>
  <c r="H35" i="17" s="1"/>
  <c r="G29" i="17"/>
  <c r="H27" i="17"/>
  <c r="D31" i="17"/>
  <c r="I22" i="9"/>
  <c r="P20" i="8" l="1"/>
  <c r="L23" i="8"/>
  <c r="M20" i="8"/>
  <c r="M21" i="8" s="1"/>
  <c r="M22" i="8" s="1"/>
  <c r="G31" i="17"/>
  <c r="H29" i="17"/>
  <c r="I23" i="9"/>
  <c r="P23" i="8" l="1"/>
  <c r="Q20" i="8"/>
  <c r="Q21" i="8" s="1"/>
  <c r="Q22" i="8" s="1"/>
  <c r="Q27" i="8" s="1"/>
  <c r="F16" i="4" s="1"/>
  <c r="H31" i="17"/>
  <c r="H33" i="17"/>
  <c r="F17" i="14" s="1"/>
  <c r="F18" i="14" s="1"/>
  <c r="F20" i="14" s="1"/>
  <c r="I24" i="9"/>
  <c r="R18" i="7"/>
  <c r="R12" i="7"/>
  <c r="R15" i="7" s="1"/>
  <c r="F25" i="14" l="1"/>
  <c r="F26" i="14" s="1"/>
  <c r="F28" i="14" s="1"/>
  <c r="F31" i="14" s="1"/>
  <c r="F34" i="14" s="1"/>
  <c r="F16" i="3" s="1"/>
  <c r="I25" i="9"/>
  <c r="F14" i="3" l="1"/>
  <c r="F12" i="3"/>
  <c r="F15" i="3"/>
  <c r="F13" i="3"/>
  <c r="I26" i="9"/>
  <c r="I27" i="9"/>
  <c r="R27" i="7" l="1"/>
  <c r="R40" i="7" l="1"/>
  <c r="F14" i="4" l="1"/>
  <c r="E15" i="9"/>
  <c r="E16" i="9" l="1"/>
  <c r="E17" i="9" l="1"/>
  <c r="E18" i="9" l="1"/>
  <c r="E19" i="9" l="1"/>
  <c r="E20" i="9" l="1"/>
  <c r="E21" i="9" l="1"/>
  <c r="E22" i="9" l="1"/>
  <c r="E23" i="9" l="1"/>
  <c r="E24" i="9" l="1"/>
  <c r="E25" i="9" l="1"/>
  <c r="G27" i="9" l="1"/>
  <c r="G29" i="9" s="1"/>
  <c r="E26" i="9"/>
  <c r="E27" i="9" s="1"/>
  <c r="E29" i="9" s="1"/>
  <c r="F12" i="4" l="1"/>
  <c r="A13" i="4"/>
  <c r="H13" i="3" l="1"/>
  <c r="H14" i="3"/>
  <c r="H15" i="3"/>
  <c r="H12" i="3"/>
  <c r="A14" i="10" l="1"/>
  <c r="A15" i="10" s="1"/>
  <c r="A16" i="10" s="1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8" i="9" s="1"/>
  <c r="A29" i="9" s="1"/>
  <c r="I29" i="9" l="1"/>
  <c r="F11" i="5"/>
  <c r="F10" i="5"/>
  <c r="E13" i="5"/>
  <c r="C13" i="5"/>
  <c r="A11" i="5"/>
  <c r="A12" i="5" s="1"/>
  <c r="A13" i="5" s="1"/>
  <c r="A14" i="4"/>
  <c r="A15" i="4" s="1"/>
  <c r="A16" i="4" s="1"/>
  <c r="A17" i="4" s="1"/>
  <c r="A18" i="4" s="1"/>
  <c r="A19" i="4" s="1"/>
  <c r="A22" i="4" s="1"/>
  <c r="A23" i="4" s="1"/>
  <c r="A24" i="4" s="1"/>
  <c r="A25" i="4" s="1"/>
  <c r="D16" i="3"/>
  <c r="A13" i="3"/>
  <c r="A14" i="3" s="1"/>
  <c r="A15" i="3" s="1"/>
  <c r="A16" i="3" s="1"/>
  <c r="A27" i="4" l="1"/>
  <c r="F13" i="4"/>
  <c r="F13" i="5"/>
  <c r="F18" i="4" s="1"/>
  <c r="F15" i="4" l="1"/>
  <c r="F23" i="4" s="1"/>
  <c r="F17" i="4" l="1"/>
  <c r="F19" i="4" s="1"/>
  <c r="F24" i="4" s="1"/>
  <c r="F25" i="4" l="1"/>
  <c r="F27" i="4" s="1"/>
  <c r="E16" i="3" s="1"/>
  <c r="E14" i="3" l="1"/>
  <c r="G14" i="3" s="1"/>
  <c r="I14" i="3" s="1"/>
  <c r="E12" i="3"/>
  <c r="G12" i="3" s="1"/>
  <c r="I12" i="3" s="1"/>
  <c r="E15" i="3"/>
  <c r="G15" i="3" s="1"/>
  <c r="I15" i="3" s="1"/>
  <c r="G16" i="3"/>
  <c r="E13" i="3"/>
  <c r="G13" i="3" s="1"/>
  <c r="I13" i="3" s="1"/>
</calcChain>
</file>

<file path=xl/sharedStrings.xml><?xml version="1.0" encoding="utf-8"?>
<sst xmlns="http://schemas.openxmlformats.org/spreadsheetml/2006/main" count="506" uniqueCount="228">
  <si>
    <t>Duke Energy Kentucky</t>
  </si>
  <si>
    <t>Table of Contents</t>
  </si>
  <si>
    <t>1.0</t>
  </si>
  <si>
    <t>1.1</t>
  </si>
  <si>
    <t>1.2</t>
  </si>
  <si>
    <t>2.0</t>
  </si>
  <si>
    <t>2.1</t>
  </si>
  <si>
    <t>2.2</t>
  </si>
  <si>
    <t>3.0</t>
  </si>
  <si>
    <t>Description</t>
  </si>
  <si>
    <t>Revenue Requirement</t>
  </si>
  <si>
    <t>Cost of Capital</t>
  </si>
  <si>
    <t>Plant Additions and Depreciation</t>
  </si>
  <si>
    <t>Tax Depreciation</t>
  </si>
  <si>
    <t>Billing Determinants</t>
  </si>
  <si>
    <t>Rate Schedule</t>
  </si>
  <si>
    <t>Revenue</t>
  </si>
  <si>
    <t>Requirement</t>
  </si>
  <si>
    <t>Billing</t>
  </si>
  <si>
    <t>Determinants</t>
  </si>
  <si>
    <t>Monthly</t>
  </si>
  <si>
    <t>Total</t>
  </si>
  <si>
    <t>Reference</t>
  </si>
  <si>
    <t>Return on Investment</t>
  </si>
  <si>
    <t>Rate Base</t>
  </si>
  <si>
    <t>Cost of Removal</t>
  </si>
  <si>
    <t>Accumulated Reserve for Depreciation</t>
  </si>
  <si>
    <t>Net PP&amp;E</t>
  </si>
  <si>
    <t>Deferred Taxes on Liberalized Depreciation</t>
  </si>
  <si>
    <t>Net Rate Base</t>
  </si>
  <si>
    <t>Authorized Rate of Return, Adjusted for Income Taxes</t>
  </si>
  <si>
    <t>Operating Expenses</t>
  </si>
  <si>
    <t>Depreciation</t>
  </si>
  <si>
    <t>Property Tax</t>
  </si>
  <si>
    <t>PSC Assessment</t>
  </si>
  <si>
    <t>Total Operating Expenses</t>
  </si>
  <si>
    <t>Total Annual Revenue Requirement</t>
  </si>
  <si>
    <t>Line 4 + Line 5</t>
  </si>
  <si>
    <t>Line 6 * Line 7</t>
  </si>
  <si>
    <t>Sum Lines 9 thru 11</t>
  </si>
  <si>
    <t>Line 8 + Line 12</t>
  </si>
  <si>
    <t>Notes:</t>
  </si>
  <si>
    <t>Capital Structure</t>
  </si>
  <si>
    <t>Ratio</t>
  </si>
  <si>
    <t>Cost</t>
  </si>
  <si>
    <t xml:space="preserve">Weighted </t>
  </si>
  <si>
    <t>Pre-Tax @ Effect.</t>
  </si>
  <si>
    <t>Short term Debt</t>
  </si>
  <si>
    <t>Long term Debt</t>
  </si>
  <si>
    <t>Equity</t>
  </si>
  <si>
    <t>Acct</t>
  </si>
  <si>
    <t>Number</t>
  </si>
  <si>
    <t>Additions</t>
  </si>
  <si>
    <t>Total Additions</t>
  </si>
  <si>
    <t>Retirements</t>
  </si>
  <si>
    <t>Total Retirements</t>
  </si>
  <si>
    <t>Total Cost of removal</t>
  </si>
  <si>
    <t>Month</t>
  </si>
  <si>
    <t xml:space="preserve">Number of </t>
  </si>
  <si>
    <t>Months</t>
  </si>
  <si>
    <t>RS- Residential</t>
  </si>
  <si>
    <t>IT - Interruptible Transportation</t>
  </si>
  <si>
    <t>GS - General Service</t>
  </si>
  <si>
    <t>(A)</t>
  </si>
  <si>
    <t>(B)</t>
  </si>
  <si>
    <t>Thirteen Month Average Additions and Retirements</t>
  </si>
  <si>
    <t>(C)</t>
  </si>
  <si>
    <t>FT - Firm Transportation (Includes DGS)</t>
  </si>
  <si>
    <t>Tax Base In-service subject to :</t>
  </si>
  <si>
    <t>MACRS on Balance</t>
  </si>
  <si>
    <t>Vintage</t>
  </si>
  <si>
    <t xml:space="preserve">Total Tax Depreciation </t>
  </si>
  <si>
    <t>Book Depreciation</t>
  </si>
  <si>
    <t>Tax Depreciation in Excess of Book Depreciation</t>
  </si>
  <si>
    <t>Deferred Taxes @</t>
  </si>
  <si>
    <t>Total Difference</t>
  </si>
  <si>
    <t>Schedule</t>
  </si>
  <si>
    <t xml:space="preserve">MACRS </t>
  </si>
  <si>
    <t>GS - General Service (Number of Customers)</t>
  </si>
  <si>
    <t>FT - Firm Transportation (CCF)</t>
  </si>
  <si>
    <t>IT - Interruptible Transportation (CCF)</t>
  </si>
  <si>
    <t>Per CCF</t>
  </si>
  <si>
    <t>Per Customer</t>
  </si>
  <si>
    <t>Line 4 *</t>
  </si>
  <si>
    <t>TOTAL</t>
  </si>
  <si>
    <t>By Month</t>
  </si>
  <si>
    <t>(D)</t>
  </si>
  <si>
    <t>( F)</t>
  </si>
  <si>
    <t>( G)</t>
  </si>
  <si>
    <t>Cumulative</t>
  </si>
  <si>
    <t>Number of months</t>
  </si>
  <si>
    <t>13 Month Average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</si>
  <si>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</si>
  <si>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</si>
  <si>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</si>
  <si>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</si>
  <si>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</si>
  <si>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</si>
  <si>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</si>
  <si>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</si>
  <si>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</si>
  <si>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</si>
  <si>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</si>
  <si>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</si>
  <si>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EOY</t>
  </si>
  <si>
    <t xml:space="preserve"> </t>
  </si>
  <si>
    <t>Rate</t>
  </si>
  <si>
    <t>Annual</t>
  </si>
  <si>
    <t>13 month</t>
  </si>
  <si>
    <t>Average</t>
  </si>
  <si>
    <t>Total Accumulated Depreciation Reserve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</si>
  <si>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</si>
  <si>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</si>
  <si>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</si>
  <si>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</si>
  <si>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</si>
  <si>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</si>
  <si>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</si>
  <si>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</si>
  <si>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</si>
  <si>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</si>
  <si>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</si>
  <si>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</si>
  <si>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Accumulated Depreciation Reserve</t>
  </si>
  <si>
    <t>(Q)</t>
  </si>
  <si>
    <t># of Bills / CCF</t>
  </si>
  <si>
    <t>Accumulated Deferred Taxes on Liberalized Depreciation</t>
  </si>
  <si>
    <r>
      <t xml:space="preserve">Gas Plant Investments </t>
    </r>
    <r>
      <rPr>
        <b/>
        <u/>
        <vertAlign val="superscript"/>
        <sz val="11"/>
        <color theme="1"/>
        <rFont val="Calibri"/>
        <family val="2"/>
        <scheme val="minor"/>
      </rPr>
      <t>(1)</t>
    </r>
  </si>
  <si>
    <t>( E)</t>
  </si>
  <si>
    <t>( H)</t>
  </si>
  <si>
    <t>Accumlated Deferred Income Tax</t>
  </si>
  <si>
    <t>Collections/(Refunds) for prior years</t>
  </si>
  <si>
    <t>Adjusted Revenue Requirement</t>
  </si>
  <si>
    <t>Total (Over)/Under Collections</t>
  </si>
  <si>
    <t>Bonus Depreciation- 50%</t>
  </si>
  <si>
    <t>Tax Rate of 24.925%</t>
  </si>
  <si>
    <t>Excess Deferred Income Taxes (EDIT)</t>
  </si>
  <si>
    <t>Pipeline Modernization Mechanism ("Rider PMM")</t>
  </si>
  <si>
    <t>Rider PMM by Rate Schedule</t>
  </si>
  <si>
    <t>Line</t>
  </si>
  <si>
    <t>No.</t>
  </si>
  <si>
    <t>Approved KyPSC</t>
  </si>
  <si>
    <t>Case No. 2021-00190</t>
  </si>
  <si>
    <t>2023 Projected</t>
  </si>
  <si>
    <t>Rider PMM</t>
  </si>
  <si>
    <t>PMM Investment</t>
  </si>
  <si>
    <t>December 31, 2023</t>
  </si>
  <si>
    <t>PMM Rates by Rate Schedule</t>
  </si>
  <si>
    <t>PMM Additions and Retirements</t>
  </si>
  <si>
    <t>(2) PSC Assessment using Fiscal Year 2021 rate of 0.2000%</t>
  </si>
  <si>
    <t>Capital structure approved in Case No. 2021-00190</t>
  </si>
  <si>
    <t>Total PMM Plant Additions</t>
  </si>
  <si>
    <t>PMM Capex</t>
  </si>
  <si>
    <t>(1) See Form 2.2 for detail of 2018 PMM eligible additions.</t>
  </si>
  <si>
    <t>Net PMM Investment  - Property, Plant and Equipment</t>
  </si>
  <si>
    <t>Required Return on PMM Related Investment</t>
  </si>
  <si>
    <t>PMM Rider Billing Determinants by Rate Schedule</t>
  </si>
  <si>
    <t>Sch. 1.1</t>
  </si>
  <si>
    <t>Sch. 4.1</t>
  </si>
  <si>
    <t>Sch. 2.2</t>
  </si>
  <si>
    <t>Sch. 2.0</t>
  </si>
  <si>
    <t>Sch. 2.1</t>
  </si>
  <si>
    <t>Sch. 1.2</t>
  </si>
  <si>
    <t>Sch. 4.5</t>
  </si>
  <si>
    <t>Sch. 4.3</t>
  </si>
  <si>
    <t>Sch. 4.4</t>
  </si>
  <si>
    <t>Sch. 4.2</t>
  </si>
  <si>
    <t>Projected 2023 Additions</t>
  </si>
  <si>
    <t>Projected 2023 Depreciation Expense</t>
  </si>
  <si>
    <t>Tax Year 2023</t>
  </si>
  <si>
    <t>Balance @ 12/31/2022</t>
  </si>
  <si>
    <t>Test Year 12/31/23 PMM Investment Summary</t>
  </si>
  <si>
    <t>for the Twelve Month Ending December, 2023</t>
  </si>
  <si>
    <t>Forecasted PMM Revenue Requirement for 2023</t>
  </si>
  <si>
    <t>(Sum Line 8 thru 12) * (0.20% / (1-0.2%))</t>
  </si>
  <si>
    <t>PMM Revenue Requirement for 2023</t>
  </si>
  <si>
    <t>Actual 2024 Additions</t>
  </si>
  <si>
    <t>Actual 2024 Depreciation Expense</t>
  </si>
  <si>
    <t>Mains - Feeder</t>
  </si>
  <si>
    <t>RS - Residential (Number of Customers)</t>
  </si>
  <si>
    <t>ROE represents rate approved for use in natural gas capital riders.</t>
  </si>
  <si>
    <t>Tax Year 2024</t>
  </si>
  <si>
    <t>2022 Billed Revenues</t>
  </si>
  <si>
    <r>
      <t xml:space="preserve">(1) See Schedule 2.2 for detail of </t>
    </r>
    <r>
      <rPr>
        <sz val="11"/>
        <color rgb="FF0000FF"/>
        <rFont val="Calibri"/>
        <family val="2"/>
        <scheme val="minor"/>
      </rPr>
      <t xml:space="preserve">2023 </t>
    </r>
    <r>
      <rPr>
        <sz val="11"/>
        <color theme="1"/>
        <rFont val="Calibri"/>
        <family val="2"/>
        <scheme val="minor"/>
      </rPr>
      <t>PMM eligible additions.</t>
    </r>
  </si>
  <si>
    <t>Capital structure and cost of debt approved in Case No. 2021-00190</t>
  </si>
  <si>
    <t>Sum Lines 9 thru 12</t>
  </si>
  <si>
    <t>(Sum Line 8 thru 11) * (0.1493% / (1-0.1493%))</t>
  </si>
  <si>
    <t>(2) PSC Assessment using Fiscal Year 2021 rate of 0.1493%</t>
  </si>
  <si>
    <r>
      <rPr>
        <b/>
        <sz val="11"/>
        <color rgb="FF0000FF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True Up</t>
    </r>
  </si>
  <si>
    <t>Sch. 3.0</t>
  </si>
  <si>
    <t>Gross Distribution Plant</t>
  </si>
  <si>
    <t>Land and Land Rights</t>
  </si>
  <si>
    <t>System M&amp;R Station Equipment</t>
  </si>
  <si>
    <t>ADFIT balance when proration is applied</t>
  </si>
  <si>
    <t>2023 Projection Filing</t>
  </si>
  <si>
    <t>A</t>
  </si>
  <si>
    <t>B</t>
  </si>
  <si>
    <t>H</t>
  </si>
  <si>
    <t>projected</t>
  </si>
  <si>
    <t>Tax Rate</t>
  </si>
  <si>
    <t>Forecasted ADIT</t>
  </si>
  <si>
    <t>Book Adds/Retires - 15 YR MACRS</t>
  </si>
  <si>
    <t>Book Adds/Retires - Non-Depreciable Land</t>
  </si>
  <si>
    <t>Total MACRS Depreciation</t>
  </si>
  <si>
    <t>1st Yr 15 Yr MACRS for Tax - 5%</t>
  </si>
  <si>
    <t>Days to Prorate</t>
  </si>
  <si>
    <t>Future Days in Period</t>
  </si>
  <si>
    <t>Total Book Additions/ Retirements</t>
  </si>
  <si>
    <t>1st Yr 20 Yr MACRS for Tax - 3.75%</t>
  </si>
  <si>
    <t>Book Adds/Retires - 20 YR MACRS</t>
  </si>
  <si>
    <t>C</t>
  </si>
  <si>
    <t>A + B + C = D</t>
  </si>
  <si>
    <t>A * 5% = E</t>
  </si>
  <si>
    <t>B * 3.75% = F</t>
  </si>
  <si>
    <t>E + F = G</t>
  </si>
  <si>
    <t>G  -H = I</t>
  </si>
  <si>
    <t>Book/Tax Difference</t>
  </si>
  <si>
    <t>Accumulated Book/Tax Difference</t>
  </si>
  <si>
    <t>J</t>
  </si>
  <si>
    <t>K</t>
  </si>
  <si>
    <t>L</t>
  </si>
  <si>
    <t>Prorated Book/Tax Difference</t>
  </si>
  <si>
    <t>Prorated Accumulated Book/Tax Difference</t>
  </si>
  <si>
    <t>(G * L) / K = M</t>
  </si>
  <si>
    <t>N</t>
  </si>
  <si>
    <t>Return on equity approved in Case No. 2021-00190 for use in natural gas capital riders</t>
  </si>
  <si>
    <t>Natural gas revenue is defined to include base, gas cost and miscellaneous revenue</t>
  </si>
  <si>
    <t>The cap for the annual PMM revenue requirement is no more than 5% increase in natural gas revenue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</si>
</sst>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&quot;$&quot;* #,##0_);_(&quot;$&quot;* \(#,##0\);_(&quot;$&quot;* &quot;-&quot;??_);_(@_)"/>
    <numFmt numFmtId="167" formatCode="[$-409]mmm\-yy;@"/>
    <numFmt numFmtId="168" formatCode="_(&quot;$&quot;* #,##0.00000_);_(&quot;$&quot;* \(#,##0.00000\);_(&quot;$&quot;* &quot;-&quot;?????_);_(@_)"/>
    <numFmt numFmtId="169" formatCode="0.00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color rgb="FF0070C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vertAlign val="superscript"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rgb="FF0000FF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253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44" fontId="0" fillId="0" borderId="0" xfId="2" applyFont="1" applyAlignment="1">
      <alignment horizontal="center"/>
    </xf>
    <xf numFmtId="164" fontId="0" fillId="0" borderId="0" xfId="1" applyNumberFormat="1" applyFont="1" applyAlignment="1">
      <alignment horizontal="center"/>
    </xf>
    <xf numFmtId="165" fontId="0" fillId="0" borderId="0" xfId="3" applyNumberFormat="1" applyFont="1"/>
    <xf numFmtId="165" fontId="0" fillId="0" borderId="2" xfId="3" applyNumberFormat="1" applyFont="1" applyBorder="1"/>
    <xf numFmtId="10" fontId="0" fillId="0" borderId="0" xfId="0" applyNumberFormat="1"/>
    <xf numFmtId="0" fontId="0" fillId="0" borderId="0" xfId="0" quotePrefix="1"/>
    <xf numFmtId="0" fontId="2" fillId="0" borderId="0" xfId="0" quotePrefix="1" applyFont="1" applyAlignment="1">
      <alignment horizontal="center"/>
    </xf>
    <xf numFmtId="165" fontId="0" fillId="0" borderId="0" xfId="3" quotePrefix="1" applyNumberFormat="1" applyFont="1"/>
    <xf numFmtId="164" fontId="0" fillId="0" borderId="0" xfId="1" applyNumberFormat="1" applyFont="1" applyBorder="1"/>
    <xf numFmtId="164" fontId="7" fillId="0" borderId="0" xfId="1" applyNumberFormat="1" applyFont="1" applyBorder="1"/>
    <xf numFmtId="0" fontId="0" fillId="0" borderId="0" xfId="0" applyFont="1"/>
    <xf numFmtId="0" fontId="0" fillId="0" borderId="0" xfId="0" applyBorder="1"/>
    <xf numFmtId="164" fontId="0" fillId="0" borderId="0" xfId="0" applyNumberFormat="1" applyBorder="1"/>
    <xf numFmtId="164" fontId="6" fillId="0" borderId="0" xfId="1" applyNumberFormat="1" applyFont="1"/>
    <xf numFmtId="0" fontId="2" fillId="0" borderId="0" xfId="0" applyFont="1" applyAlignment="1">
      <alignment horizontal="left"/>
    </xf>
    <xf numFmtId="167" fontId="0" fillId="0" borderId="0" xfId="0" applyNumberFormat="1"/>
    <xf numFmtId="10" fontId="4" fillId="0" borderId="0" xfId="3" applyNumberFormat="1" applyFont="1" applyBorder="1"/>
    <xf numFmtId="166" fontId="5" fillId="0" borderId="0" xfId="2" applyNumberFormat="1" applyFont="1"/>
    <xf numFmtId="164" fontId="5" fillId="0" borderId="0" xfId="1" applyNumberFormat="1" applyFont="1"/>
    <xf numFmtId="1" fontId="0" fillId="0" borderId="0" xfId="3" quotePrefix="1" applyNumberFormat="1" applyFont="1"/>
    <xf numFmtId="1" fontId="0" fillId="0" borderId="0" xfId="3" applyNumberFormat="1" applyFont="1" applyBorder="1"/>
    <xf numFmtId="164" fontId="5" fillId="0" borderId="0" xfId="1" applyNumberFormat="1" applyFont="1" applyBorder="1"/>
    <xf numFmtId="0" fontId="8" fillId="0" borderId="0" xfId="0" applyFont="1"/>
    <xf numFmtId="3" fontId="0" fillId="0" borderId="0" xfId="0" applyNumberFormat="1"/>
    <xf numFmtId="3" fontId="0" fillId="0" borderId="0" xfId="0" applyNumberFormat="1" applyBorder="1"/>
    <xf numFmtId="0" fontId="0" fillId="0" borderId="0" xfId="0" applyFill="1"/>
    <xf numFmtId="167" fontId="0" fillId="0" borderId="0" xfId="0" applyNumberFormat="1" applyAlignment="1">
      <alignment wrapText="1"/>
    </xf>
    <xf numFmtId="168" fontId="0" fillId="0" borderId="0" xfId="2" applyNumberFormat="1" applyFont="1" applyAlignment="1">
      <alignment horizontal="center"/>
    </xf>
    <xf numFmtId="165" fontId="0" fillId="0" borderId="0" xfId="0" applyNumberFormat="1"/>
    <xf numFmtId="0" fontId="0" fillId="0" borderId="0" xfId="0" applyFill="1" applyBorder="1"/>
    <xf numFmtId="37" fontId="0" fillId="0" borderId="0" xfId="0" applyNumberFormat="1"/>
    <xf numFmtId="165" fontId="0" fillId="0" borderId="0" xfId="3" quotePrefix="1" applyNumberFormat="1" applyFont="1" applyAlignment="1">
      <alignment horizontal="center"/>
    </xf>
    <xf numFmtId="165" fontId="0" fillId="0" borderId="0" xfId="3" applyNumberFormat="1" applyFont="1" applyBorder="1" applyAlignment="1">
      <alignment horizontal="center"/>
    </xf>
    <xf numFmtId="43" fontId="0" fillId="0" borderId="0" xfId="0" applyNumberFormat="1"/>
    <xf numFmtId="167" fontId="0" fillId="0" borderId="0" xfId="0" applyNumberFormat="1" applyAlignment="1">
      <alignment horizontal="left"/>
    </xf>
    <xf numFmtId="10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Font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Fill="1"/>
    <xf numFmtId="0" fontId="0" fillId="0" borderId="0" xfId="0" applyBorder="1" applyAlignment="1">
      <alignment horizontal="center"/>
    </xf>
    <xf numFmtId="0" fontId="5" fillId="0" borderId="0" xfId="0" applyFont="1" applyFill="1"/>
    <xf numFmtId="164" fontId="1" fillId="0" borderId="0" xfId="1" applyNumberFormat="1" applyFont="1" applyBorder="1"/>
    <xf numFmtId="0" fontId="0" fillId="0" borderId="0" xfId="0" applyAlignment="1">
      <alignment horizontal="center" vertical="center"/>
    </xf>
    <xf numFmtId="42" fontId="0" fillId="0" borderId="0" xfId="1" applyNumberFormat="1" applyFont="1" applyAlignment="1">
      <alignment horizontal="center"/>
    </xf>
    <xf numFmtId="42" fontId="0" fillId="0" borderId="1" xfId="1" applyNumberFormat="1" applyFont="1" applyBorder="1"/>
    <xf numFmtId="42" fontId="0" fillId="0" borderId="2" xfId="1" applyNumberFormat="1" applyFont="1" applyBorder="1"/>
    <xf numFmtId="42" fontId="0" fillId="0" borderId="0" xfId="1" applyNumberFormat="1" applyFont="1"/>
    <xf numFmtId="42" fontId="0" fillId="0" borderId="3" xfId="0" applyNumberFormat="1" applyBorder="1"/>
    <xf numFmtId="0" fontId="2" fillId="0" borderId="0" xfId="0" applyFont="1" applyAlignment="1">
      <alignment horizontal="center"/>
    </xf>
    <xf numFmtId="42" fontId="0" fillId="0" borderId="0" xfId="0" applyNumberFormat="1" applyBorder="1"/>
    <xf numFmtId="42" fontId="0" fillId="0" borderId="0" xfId="1" applyNumberFormat="1" applyFont="1" applyBorder="1"/>
    <xf numFmtId="42" fontId="0" fillId="0" borderId="2" xfId="0" applyNumberFormat="1" applyBorder="1"/>
    <xf numFmtId="42" fontId="0" fillId="0" borderId="0" xfId="1" applyNumberFormat="1" applyFont="1" applyFill="1"/>
    <xf numFmtId="42" fontId="0" fillId="0" borderId="1" xfId="0" applyNumberFormat="1" applyBorder="1"/>
    <xf numFmtId="42" fontId="0" fillId="0" borderId="4" xfId="0" applyNumberFormat="1" applyBorder="1"/>
    <xf numFmtId="42" fontId="0" fillId="0" borderId="0" xfId="0" applyNumberFormat="1"/>
    <xf numFmtId="42" fontId="0" fillId="0" borderId="1" xfId="0" applyNumberFormat="1" applyFill="1" applyBorder="1"/>
    <xf numFmtId="42" fontId="0" fillId="0" borderId="0" xfId="0" applyNumberFormat="1" applyFill="1" applyBorder="1"/>
    <xf numFmtId="0" fontId="0" fillId="0" borderId="0" xfId="0" applyAlignment="1">
      <alignment horizontal="center"/>
    </xf>
    <xf numFmtId="165" fontId="5" fillId="0" borderId="0" xfId="3" applyNumberFormat="1" applyFont="1"/>
    <xf numFmtId="0" fontId="5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64" fontId="6" fillId="0" borderId="0" xfId="1" applyNumberFormat="1" applyFont="1" applyFill="1"/>
    <xf numFmtId="10" fontId="4" fillId="0" borderId="0" xfId="3" applyNumberFormat="1" applyFont="1" applyFill="1" applyBorder="1"/>
    <xf numFmtId="164" fontId="5" fillId="0" borderId="0" xfId="1" applyNumberFormat="1" applyFont="1" applyFill="1" applyBorder="1"/>
    <xf numFmtId="3" fontId="0" fillId="0" borderId="0" xfId="0" applyNumberFormat="1" applyFill="1" applyBorder="1"/>
    <xf numFmtId="42" fontId="0" fillId="0" borderId="4" xfId="0" applyNumberFormat="1" applyFill="1" applyBorder="1"/>
    <xf numFmtId="42" fontId="5" fillId="0" borderId="4" xfId="1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quotePrefix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42" fontId="4" fillId="0" borderId="0" xfId="1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42" fontId="1" fillId="0" borderId="0" xfId="1" applyNumberFormat="1" applyFont="1" applyBorder="1"/>
    <xf numFmtId="42" fontId="0" fillId="0" borderId="0" xfId="1" applyNumberFormat="1" applyFont="1" applyFill="1" applyBorder="1"/>
    <xf numFmtId="42" fontId="0" fillId="0" borderId="5" xfId="1" applyNumberFormat="1" applyFont="1" applyFill="1" applyBorder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42" fontId="5" fillId="0" borderId="0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0" fillId="2" borderId="0" xfId="0" applyFill="1"/>
    <xf numFmtId="0" fontId="0" fillId="3" borderId="0" xfId="0" applyFill="1"/>
    <xf numFmtId="165" fontId="12" fillId="3" borderId="0" xfId="3" applyNumberFormat="1" applyFont="1" applyFill="1"/>
    <xf numFmtId="165" fontId="12" fillId="3" borderId="2" xfId="3" applyNumberFormat="1" applyFont="1" applyFill="1" applyBorder="1"/>
    <xf numFmtId="0" fontId="3" fillId="0" borderId="0" xfId="0" quotePrefix="1" applyFont="1" applyFill="1" applyAlignment="1">
      <alignment horizontal="center"/>
    </xf>
    <xf numFmtId="0" fontId="10" fillId="2" borderId="2" xfId="0" applyFont="1" applyFill="1" applyBorder="1" applyAlignment="1">
      <alignment horizontal="centerContinuous"/>
    </xf>
    <xf numFmtId="0" fontId="3" fillId="0" borderId="0" xfId="0" quotePrefix="1" applyFont="1" applyAlignment="1">
      <alignment horizontal="center"/>
    </xf>
    <xf numFmtId="0" fontId="13" fillId="2" borderId="0" xfId="0" quotePrefix="1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Continuous"/>
    </xf>
    <xf numFmtId="15" fontId="3" fillId="2" borderId="0" xfId="0" quotePrefix="1" applyNumberFormat="1" applyFont="1" applyFill="1" applyAlignment="1">
      <alignment horizontal="center"/>
    </xf>
    <xf numFmtId="0" fontId="0" fillId="0" borderId="0" xfId="0" applyAlignment="1">
      <alignment horizontal="centerContinuous"/>
    </xf>
    <xf numFmtId="0" fontId="2" fillId="0" borderId="0" xfId="0" quotePrefix="1" applyFont="1" applyAlignment="1">
      <alignment horizontal="centerContinuous"/>
    </xf>
    <xf numFmtId="42" fontId="12" fillId="2" borderId="0" xfId="1" applyNumberFormat="1" applyFont="1" applyFill="1" applyBorder="1"/>
    <xf numFmtId="41" fontId="12" fillId="2" borderId="0" xfId="1" applyNumberFormat="1" applyFont="1" applyFill="1" applyBorder="1"/>
    <xf numFmtId="164" fontId="0" fillId="0" borderId="0" xfId="1" applyNumberFormat="1" applyFont="1" applyFill="1" applyBorder="1"/>
    <xf numFmtId="37" fontId="0" fillId="0" borderId="0" xfId="0" applyNumberFormat="1" applyBorder="1"/>
    <xf numFmtId="41" fontId="5" fillId="0" borderId="0" xfId="1" applyNumberFormat="1" applyFont="1" applyFill="1" applyBorder="1"/>
    <xf numFmtId="41" fontId="5" fillId="0" borderId="2" xfId="1" applyNumberFormat="1" applyFont="1" applyFill="1" applyBorder="1"/>
    <xf numFmtId="41" fontId="0" fillId="0" borderId="0" xfId="0" applyNumberFormat="1"/>
    <xf numFmtId="41" fontId="0" fillId="0" borderId="0" xfId="3" applyNumberFormat="1" applyFont="1" applyBorder="1"/>
    <xf numFmtId="41" fontId="0" fillId="0" borderId="2" xfId="0" applyNumberFormat="1" applyBorder="1"/>
    <xf numFmtId="41" fontId="4" fillId="0" borderId="0" xfId="3" applyNumberFormat="1" applyFont="1"/>
    <xf numFmtId="41" fontId="0" fillId="0" borderId="0" xfId="0" applyNumberFormat="1" applyBorder="1"/>
    <xf numFmtId="41" fontId="0" fillId="0" borderId="0" xfId="1" quotePrefix="1" applyNumberFormat="1" applyFont="1"/>
    <xf numFmtId="41" fontId="5" fillId="0" borderId="0" xfId="1" applyNumberFormat="1" applyFont="1" applyBorder="1"/>
    <xf numFmtId="41" fontId="5" fillId="0" borderId="2" xfId="1" applyNumberFormat="1" applyFont="1" applyBorder="1"/>
    <xf numFmtId="41" fontId="12" fillId="0" borderId="0" xfId="0" applyNumberFormat="1" applyFont="1"/>
    <xf numFmtId="41" fontId="12" fillId="0" borderId="0" xfId="0" applyNumberFormat="1" applyFont="1" applyBorder="1"/>
    <xf numFmtId="41" fontId="12" fillId="0" borderId="0" xfId="3" applyNumberFormat="1" applyFont="1" applyFill="1" applyBorder="1"/>
    <xf numFmtId="0" fontId="16" fillId="0" borderId="0" xfId="0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Fill="1"/>
    <xf numFmtId="165" fontId="12" fillId="2" borderId="0" xfId="3" applyNumberFormat="1" applyFont="1" applyFill="1"/>
    <xf numFmtId="0" fontId="3" fillId="3" borderId="0" xfId="0" applyFont="1" applyFill="1" applyAlignment="1">
      <alignment horizontal="center"/>
    </xf>
    <xf numFmtId="165" fontId="0" fillId="0" borderId="2" xfId="0" applyNumberFormat="1" applyFill="1" applyBorder="1"/>
    <xf numFmtId="42" fontId="12" fillId="0" borderId="0" xfId="1" applyNumberFormat="1" applyFont="1" applyBorder="1"/>
    <xf numFmtId="0" fontId="14" fillId="2" borderId="2" xfId="0" applyFont="1" applyFill="1" applyBorder="1" applyAlignment="1">
      <alignment horizontal="centerContinuous"/>
    </xf>
    <xf numFmtId="42" fontId="12" fillId="0" borderId="0" xfId="1" applyNumberFormat="1" applyFont="1" applyAlignment="1">
      <alignment horizontal="center"/>
    </xf>
    <xf numFmtId="165" fontId="0" fillId="0" borderId="0" xfId="0" applyNumberFormat="1" applyFill="1"/>
    <xf numFmtId="0" fontId="3" fillId="0" borderId="0" xfId="0" applyFont="1" applyBorder="1" applyAlignment="1">
      <alignment horizontal="center"/>
    </xf>
    <xf numFmtId="17" fontId="1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Continuous"/>
    </xf>
    <xf numFmtId="42" fontId="5" fillId="0" borderId="2" xfId="1" applyNumberFormat="1" applyFont="1" applyFill="1" applyBorder="1"/>
    <xf numFmtId="42" fontId="0" fillId="0" borderId="2" xfId="1" applyNumberFormat="1" applyFont="1" applyFill="1" applyBorder="1"/>
    <xf numFmtId="0" fontId="0" fillId="0" borderId="0" xfId="3" quotePrefix="1" applyNumberFormat="1" applyFont="1" applyAlignment="1">
      <alignment horizontal="center"/>
    </xf>
    <xf numFmtId="0" fontId="0" fillId="2" borderId="0" xfId="0" quotePrefix="1" applyFill="1"/>
    <xf numFmtId="10" fontId="14" fillId="3" borderId="0" xfId="0" applyNumberFormat="1" applyFont="1" applyFill="1" applyAlignment="1">
      <alignment horizontal="center"/>
    </xf>
    <xf numFmtId="41" fontId="5" fillId="0" borderId="0" xfId="0" applyNumberFormat="1" applyFont="1" applyFill="1" applyBorder="1"/>
    <xf numFmtId="41" fontId="0" fillId="0" borderId="0" xfId="0" applyNumberFormat="1" applyFill="1" applyBorder="1"/>
    <xf numFmtId="42" fontId="5" fillId="0" borderId="0" xfId="1" applyNumberFormat="1" applyFont="1" applyBorder="1"/>
    <xf numFmtId="41" fontId="0" fillId="0" borderId="0" xfId="3" applyNumberFormat="1" applyFont="1" applyFill="1" applyBorder="1"/>
    <xf numFmtId="41" fontId="0" fillId="0" borderId="2" xfId="0" applyNumberFormat="1" applyFill="1" applyBorder="1"/>
    <xf numFmtId="41" fontId="0" fillId="0" borderId="0" xfId="0" applyNumberFormat="1" applyFill="1"/>
    <xf numFmtId="41" fontId="4" fillId="0" borderId="0" xfId="3" applyNumberFormat="1" applyFont="1" applyFill="1"/>
    <xf numFmtId="0" fontId="0" fillId="0" borderId="0" xfId="1" quotePrefix="1" applyNumberFormat="1" applyFont="1" applyAlignment="1">
      <alignment horizontal="center"/>
    </xf>
    <xf numFmtId="41" fontId="0" fillId="0" borderId="0" xfId="1" applyNumberFormat="1" applyFont="1"/>
    <xf numFmtId="41" fontId="0" fillId="0" borderId="2" xfId="1" applyNumberFormat="1" applyFont="1" applyBorder="1"/>
    <xf numFmtId="41" fontId="5" fillId="0" borderId="0" xfId="1" applyNumberFormat="1" applyFont="1"/>
    <xf numFmtId="42" fontId="5" fillId="0" borderId="0" xfId="2" applyNumberFormat="1" applyFont="1"/>
    <xf numFmtId="41" fontId="0" fillId="0" borderId="0" xfId="1" applyNumberFormat="1" applyFont="1" applyAlignment="1">
      <alignment horizontal="center"/>
    </xf>
    <xf numFmtId="41" fontId="0" fillId="0" borderId="2" xfId="1" applyNumberFormat="1" applyFont="1" applyFill="1" applyBorder="1"/>
    <xf numFmtId="41" fontId="12" fillId="0" borderId="2" xfId="1" applyNumberFormat="1" applyFont="1" applyBorder="1"/>
    <xf numFmtId="10" fontId="12" fillId="2" borderId="0" xfId="3" quotePrefix="1" applyNumberFormat="1" applyFont="1" applyFill="1"/>
    <xf numFmtId="0" fontId="12" fillId="0" borderId="0" xfId="0" applyFont="1"/>
    <xf numFmtId="0" fontId="12" fillId="0" borderId="0" xfId="0" applyFont="1" applyBorder="1"/>
    <xf numFmtId="37" fontId="12" fillId="0" borderId="0" xfId="3" applyNumberFormat="1" applyFont="1" applyFill="1" applyBorder="1"/>
    <xf numFmtId="167" fontId="12" fillId="0" borderId="0" xfId="0" applyNumberFormat="1" applyFont="1" applyAlignment="1">
      <alignment horizontal="right"/>
    </xf>
    <xf numFmtId="167" fontId="12" fillId="0" borderId="0" xfId="0" applyNumberFormat="1" applyFont="1"/>
    <xf numFmtId="0" fontId="14" fillId="2" borderId="0" xfId="0" applyFont="1" applyFill="1" applyAlignment="1">
      <alignment horizontal="left"/>
    </xf>
    <xf numFmtId="0" fontId="12" fillId="2" borderId="0" xfId="0" applyFont="1" applyFill="1"/>
    <xf numFmtId="0" fontId="2" fillId="0" borderId="0" xfId="0" applyFont="1" applyFill="1" applyAlignment="1">
      <alignment horizontal="left"/>
    </xf>
    <xf numFmtId="167" fontId="0" fillId="0" borderId="0" xfId="0" applyNumberFormat="1" applyFill="1" applyAlignment="1">
      <alignment horizontal="right"/>
    </xf>
    <xf numFmtId="167" fontId="0" fillId="0" borderId="0" xfId="0" applyNumberFormat="1" applyFill="1"/>
    <xf numFmtId="42" fontId="12" fillId="0" borderId="0" xfId="1" applyNumberFormat="1" applyFont="1" applyFill="1" applyBorder="1"/>
    <xf numFmtId="3" fontId="15" fillId="0" borderId="0" xfId="4" applyNumberFormat="1" applyFont="1" applyFill="1" applyBorder="1"/>
    <xf numFmtId="0" fontId="13" fillId="0" borderId="0" xfId="0" quotePrefix="1" applyFont="1" applyFill="1" applyAlignment="1">
      <alignment horizontal="center"/>
    </xf>
    <xf numFmtId="0" fontId="10" fillId="0" borderId="2" xfId="0" applyFont="1" applyFill="1" applyBorder="1" applyAlignment="1">
      <alignment horizontal="centerContinuous"/>
    </xf>
    <xf numFmtId="0" fontId="0" fillId="0" borderId="0" xfId="0" quotePrefix="1" applyFill="1"/>
    <xf numFmtId="0" fontId="0" fillId="0" borderId="0" xfId="3" quotePrefix="1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42" fontId="12" fillId="0" borderId="2" xfId="1" applyNumberFormat="1" applyFont="1" applyFill="1" applyBorder="1"/>
    <xf numFmtId="10" fontId="12" fillId="0" borderId="0" xfId="0" applyNumberFormat="1" applyFont="1" applyFill="1" applyAlignment="1">
      <alignment horizontal="center"/>
    </xf>
    <xf numFmtId="165" fontId="1" fillId="0" borderId="0" xfId="3" applyNumberFormat="1" applyFont="1" applyBorder="1" applyAlignment="1">
      <alignment horizontal="center"/>
    </xf>
    <xf numFmtId="165" fontId="12" fillId="0" borderId="0" xfId="3" applyNumberFormat="1" applyFont="1" applyFill="1"/>
    <xf numFmtId="165" fontId="12" fillId="0" borderId="2" xfId="3" applyNumberFormat="1" applyFont="1" applyFill="1" applyBorder="1"/>
    <xf numFmtId="165" fontId="12" fillId="0" borderId="2" xfId="0" applyNumberFormat="1" applyFont="1" applyFill="1" applyBorder="1"/>
    <xf numFmtId="0" fontId="0" fillId="0" borderId="0" xfId="0" applyFill="1" applyAlignment="1">
      <alignment horizontal="centerContinuous"/>
    </xf>
    <xf numFmtId="15" fontId="13" fillId="0" borderId="0" xfId="0" quotePrefix="1" applyNumberFormat="1" applyFont="1" applyFill="1" applyAlignment="1">
      <alignment horizontal="center"/>
    </xf>
    <xf numFmtId="42" fontId="0" fillId="0" borderId="0" xfId="1" applyNumberFormat="1" applyFont="1" applyFill="1" applyAlignment="1">
      <alignment horizontal="center"/>
    </xf>
    <xf numFmtId="41" fontId="0" fillId="0" borderId="0" xfId="1" applyNumberFormat="1" applyFont="1" applyFill="1" applyAlignment="1">
      <alignment horizontal="center"/>
    </xf>
    <xf numFmtId="42" fontId="0" fillId="0" borderId="1" xfId="1" applyNumberFormat="1" applyFont="1" applyFill="1" applyBorder="1"/>
    <xf numFmtId="165" fontId="12" fillId="0" borderId="0" xfId="1" applyNumberFormat="1" applyFont="1" applyFill="1"/>
    <xf numFmtId="165" fontId="12" fillId="0" borderId="2" xfId="1" applyNumberFormat="1" applyFont="1" applyFill="1" applyBorder="1"/>
    <xf numFmtId="165" fontId="12" fillId="0" borderId="1" xfId="1" applyNumberFormat="1" applyFont="1" applyFill="1" applyBorder="1"/>
    <xf numFmtId="0" fontId="10" fillId="0" borderId="0" xfId="0" applyFont="1" applyFill="1" applyAlignment="1">
      <alignment horizontal="centerContinuous"/>
    </xf>
    <xf numFmtId="42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42" fontId="5" fillId="0" borderId="0" xfId="1" applyNumberFormat="1" applyFont="1" applyFill="1" applyBorder="1"/>
    <xf numFmtId="0" fontId="0" fillId="0" borderId="0" xfId="3" quotePrefix="1" applyNumberFormat="1" applyFont="1" applyFill="1" applyBorder="1" applyAlignment="1">
      <alignment horizontal="center"/>
    </xf>
    <xf numFmtId="165" fontId="0" fillId="0" borderId="0" xfId="3" quotePrefix="1" applyNumberFormat="1" applyFont="1" applyBorder="1" applyAlignment="1">
      <alignment horizontal="center"/>
    </xf>
    <xf numFmtId="44" fontId="5" fillId="0" borderId="0" xfId="2" applyFont="1" applyFill="1" applyBorder="1"/>
    <xf numFmtId="41" fontId="5" fillId="0" borderId="0" xfId="3" applyNumberFormat="1" applyFont="1" applyFill="1" applyBorder="1"/>
    <xf numFmtId="42" fontId="12" fillId="0" borderId="2" xfId="1" applyNumberFormat="1" applyFont="1" applyBorder="1"/>
    <xf numFmtId="0" fontId="2" fillId="0" borderId="0" xfId="0" applyFont="1" applyAlignment="1">
      <alignment horizontal="center"/>
    </xf>
    <xf numFmtId="0" fontId="17" fillId="0" borderId="0" xfId="0" applyFont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left" indent="1"/>
    </xf>
    <xf numFmtId="167" fontId="0" fillId="0" borderId="0" xfId="0" applyNumberFormat="1" applyAlignment="1">
      <alignment horizontal="left" wrapText="1"/>
    </xf>
    <xf numFmtId="164" fontId="0" fillId="0" borderId="0" xfId="1" applyNumberFormat="1" applyFont="1" applyAlignment="1"/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left" wrapText="1"/>
    </xf>
    <xf numFmtId="164" fontId="0" fillId="0" borderId="2" xfId="1" applyNumberFormat="1" applyFont="1" applyBorder="1" applyAlignment="1">
      <alignment horizontal="left" wrapText="1"/>
    </xf>
    <xf numFmtId="164" fontId="0" fillId="0" borderId="0" xfId="0" applyNumberFormat="1" applyAlignment="1">
      <alignment horizontal="left"/>
    </xf>
    <xf numFmtId="164" fontId="0" fillId="0" borderId="5" xfId="1" applyNumberFormat="1" applyFont="1" applyBorder="1" applyAlignment="1"/>
    <xf numFmtId="164" fontId="0" fillId="0" borderId="0" xfId="1" applyNumberFormat="1" applyFont="1" applyBorder="1" applyAlignment="1"/>
    <xf numFmtId="164" fontId="0" fillId="0" borderId="1" xfId="1" applyNumberFormat="1" applyFont="1" applyBorder="1" applyAlignment="1"/>
    <xf numFmtId="164" fontId="0" fillId="0" borderId="6" xfId="1" applyNumberFormat="1" applyFont="1" applyBorder="1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/>
    <xf numFmtId="0" fontId="10" fillId="4" borderId="0" xfId="0" applyFont="1" applyFill="1" applyBorder="1"/>
    <xf numFmtId="0" fontId="0" fillId="0" borderId="0" xfId="0" applyBorder="1" applyAlignment="1">
      <alignment horizontal="left" indent="1"/>
    </xf>
    <xf numFmtId="167" fontId="0" fillId="0" borderId="0" xfId="0" applyNumberFormat="1" applyBorder="1" applyAlignment="1">
      <alignment horizontal="left" wrapText="1"/>
    </xf>
    <xf numFmtId="164" fontId="0" fillId="0" borderId="0" xfId="1" applyNumberFormat="1" applyFont="1" applyBorder="1" applyAlignment="1">
      <alignment horizontal="left" wrapText="1"/>
    </xf>
    <xf numFmtId="16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Alignment="1">
      <alignment wrapText="1"/>
    </xf>
    <xf numFmtId="0" fontId="16" fillId="0" borderId="0" xfId="0" applyFont="1" applyFill="1" applyAlignment="1">
      <alignment horizontal="left"/>
    </xf>
    <xf numFmtId="43" fontId="0" fillId="0" borderId="0" xfId="0" applyNumberFormat="1" applyAlignment="1">
      <alignment horizontal="center"/>
    </xf>
    <xf numFmtId="0" fontId="0" fillId="4" borderId="0" xfId="0" applyFill="1"/>
    <xf numFmtId="164" fontId="0" fillId="4" borderId="0" xfId="1" applyNumberFormat="1" applyFont="1" applyFill="1" applyAlignment="1"/>
    <xf numFmtId="169" fontId="12" fillId="0" borderId="0" xfId="3" applyNumberFormat="1" applyFont="1" applyFill="1"/>
    <xf numFmtId="0" fontId="2" fillId="0" borderId="2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2" defaultPivotStyle="PivotStyleLight16"/>
  <colors>
    <mruColors>
      <color rgb="FF0000FF"/>
      <color rgb="FF00FF00"/>
      <color rgb="FF0A1CC2"/>
      <color rgb="FF0070C0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L20"/>
  <sheetViews>
    <sheetView view="pageLayout" zoomScaleNormal="100" workbookViewId="0">
      <selection activeCell="J10" sqref="J10"/>
    </sheetView>
  </sheetViews>
  <sheetFormatPr defaultRowHeight="14.4" x14ac:dyDescent="0.3"/>
  <cols>
    <col min="4" max="4" width="2.5546875" customWidth="1"/>
    <col min="5" max="5" width="44.44140625" customWidth="1"/>
    <col min="8" max="8" width="25" customWidth="1"/>
  </cols>
  <sheetData>
    <row r="5" spans="1:12" x14ac:dyDescent="0.3">
      <c r="A5" s="117" t="str">
        <f>'Sch 1.0'!A2:J2</f>
        <v>Duke Energy Kentucky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2" x14ac:dyDescent="0.3">
      <c r="A6" s="117" t="str">
        <f>'Sch 1.0'!A3:J3</f>
        <v>Pipeline Modernization Mechanism ("Rider PMM")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</row>
    <row r="7" spans="1:12" x14ac:dyDescent="0.3">
      <c r="A7" s="206" t="str">
        <f>"Forecasted Period Ending "&amp;'Sch 1.1'!F7</f>
        <v>Forecasted Period Ending December 31, 2023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143"/>
    </row>
    <row r="8" spans="1:12" x14ac:dyDescent="0.3">
      <c r="A8" s="117" t="s">
        <v>1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</row>
    <row r="11" spans="1:12" x14ac:dyDescent="0.3">
      <c r="C11" s="9" t="s">
        <v>76</v>
      </c>
      <c r="D11" s="10"/>
      <c r="E11" s="11" t="s">
        <v>9</v>
      </c>
      <c r="F11" s="10"/>
    </row>
    <row r="12" spans="1:12" x14ac:dyDescent="0.3">
      <c r="C12" s="6" t="s">
        <v>2</v>
      </c>
      <c r="E12" s="7" t="s">
        <v>147</v>
      </c>
    </row>
    <row r="13" spans="1:12" x14ac:dyDescent="0.3">
      <c r="C13" s="6" t="s">
        <v>3</v>
      </c>
      <c r="E13" s="7" t="s">
        <v>10</v>
      </c>
    </row>
    <row r="14" spans="1:12" x14ac:dyDescent="0.3">
      <c r="C14" s="6" t="s">
        <v>4</v>
      </c>
      <c r="E14" s="7" t="s">
        <v>11</v>
      </c>
    </row>
    <row r="15" spans="1:12" x14ac:dyDescent="0.3">
      <c r="C15" s="6" t="s">
        <v>5</v>
      </c>
      <c r="E15" s="7" t="s">
        <v>12</v>
      </c>
    </row>
    <row r="16" spans="1:12" x14ac:dyDescent="0.3">
      <c r="C16" s="6" t="s">
        <v>6</v>
      </c>
      <c r="E16" s="7" t="s">
        <v>28</v>
      </c>
    </row>
    <row r="17" spans="3:9" x14ac:dyDescent="0.3">
      <c r="C17" s="6" t="s">
        <v>7</v>
      </c>
      <c r="E17" s="7" t="s">
        <v>148</v>
      </c>
      <c r="I17" s="140"/>
    </row>
    <row r="18" spans="3:9" x14ac:dyDescent="0.3">
      <c r="C18" s="6" t="s">
        <v>8</v>
      </c>
      <c r="E18" s="7" t="s">
        <v>14</v>
      </c>
      <c r="I18" s="140"/>
    </row>
    <row r="19" spans="3:9" x14ac:dyDescent="0.3">
      <c r="E19" s="140"/>
    </row>
    <row r="20" spans="3:9" x14ac:dyDescent="0.3">
      <c r="E20" s="140"/>
    </row>
  </sheetData>
  <pageMargins left="0.7" right="0.7" top="0.75" bottom="0.75" header="0.3" footer="0.3"/>
  <pageSetup scale="67" orientation="portrait" r:id="rId1"/>
  <headerFooter>
    <oddHeader>&amp;R&amp;"Times New Roman,Bold"&amp;10KyPSC Case No. 2022-00229
STAFF-DR-01-007 Attachment 
Application Exhibit 2
Summary
Page 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K19"/>
  <sheetViews>
    <sheetView zoomScaleNormal="100" workbookViewId="0">
      <selection activeCell="F22" sqref="F22"/>
    </sheetView>
  </sheetViews>
  <sheetFormatPr defaultRowHeight="14.4" x14ac:dyDescent="0.3"/>
  <cols>
    <col min="1" max="1" width="8.33203125" bestFit="1" customWidth="1"/>
    <col min="2" max="2" width="19.6640625" customWidth="1"/>
    <col min="3" max="3" width="13.5546875" customWidth="1"/>
    <col min="4" max="4" width="17.44140625" customWidth="1"/>
    <col min="5" max="5" width="16.6640625" customWidth="1"/>
    <col min="6" max="6" width="17.6640625" customWidth="1"/>
  </cols>
  <sheetData>
    <row r="1" spans="1:11" x14ac:dyDescent="0.3">
      <c r="A1" s="91"/>
      <c r="E1" s="91"/>
      <c r="F1" s="91"/>
      <c r="H1" s="91"/>
    </row>
    <row r="2" spans="1:11" x14ac:dyDescent="0.3">
      <c r="A2" s="117" t="str">
        <f>'Sch 1.0'!A2:J2</f>
        <v>Duke Energy Kentucky</v>
      </c>
      <c r="B2" s="117"/>
      <c r="C2" s="117"/>
      <c r="D2" s="117"/>
      <c r="E2" s="117"/>
      <c r="F2" s="117"/>
      <c r="H2" s="117"/>
      <c r="I2" s="117"/>
    </row>
    <row r="3" spans="1:11" x14ac:dyDescent="0.3">
      <c r="A3" s="117" t="str">
        <f>'Sch 1.0'!A4:J4</f>
        <v>Rider PMM by Rate Schedule</v>
      </c>
      <c r="B3" s="117"/>
      <c r="C3" s="117"/>
      <c r="D3" s="117"/>
      <c r="E3" s="117"/>
      <c r="F3" s="117"/>
      <c r="H3" s="117"/>
      <c r="I3" s="117"/>
    </row>
    <row r="4" spans="1:11" x14ac:dyDescent="0.3">
      <c r="A4" s="117" t="s">
        <v>11</v>
      </c>
      <c r="B4" s="117"/>
      <c r="C4" s="117"/>
      <c r="D4" s="117"/>
      <c r="E4" s="117"/>
      <c r="F4" s="117"/>
      <c r="H4" s="117"/>
      <c r="I4" s="117"/>
    </row>
    <row r="5" spans="1:11" x14ac:dyDescent="0.3">
      <c r="A5" s="105"/>
      <c r="B5" s="105"/>
      <c r="C5" s="105"/>
      <c r="D5" s="105"/>
      <c r="E5" s="105"/>
      <c r="F5" s="105"/>
      <c r="H5" s="105"/>
      <c r="I5" s="105"/>
      <c r="J5" s="105"/>
      <c r="K5" s="105"/>
    </row>
    <row r="6" spans="1:11" x14ac:dyDescent="0.3">
      <c r="A6" s="104" t="s">
        <v>139</v>
      </c>
      <c r="B6" s="90"/>
      <c r="C6" s="90"/>
      <c r="D6" s="90"/>
      <c r="E6" s="90" t="s">
        <v>45</v>
      </c>
      <c r="F6" s="90" t="s">
        <v>46</v>
      </c>
    </row>
    <row r="7" spans="1:11" x14ac:dyDescent="0.3">
      <c r="A7" s="9" t="s">
        <v>140</v>
      </c>
      <c r="B7" s="9" t="s">
        <v>42</v>
      </c>
      <c r="C7" s="9" t="s">
        <v>43</v>
      </c>
      <c r="D7" s="9" t="s">
        <v>44</v>
      </c>
      <c r="E7" s="9" t="s">
        <v>44</v>
      </c>
      <c r="F7" s="145" t="s">
        <v>135</v>
      </c>
    </row>
    <row r="8" spans="1:11" x14ac:dyDescent="0.3">
      <c r="A8" s="9"/>
      <c r="B8" s="92" t="s">
        <v>63</v>
      </c>
      <c r="C8" s="90" t="s">
        <v>64</v>
      </c>
      <c r="D8" s="90" t="s">
        <v>66</v>
      </c>
      <c r="E8" s="90" t="s">
        <v>86</v>
      </c>
      <c r="F8" s="90" t="s">
        <v>111</v>
      </c>
    </row>
    <row r="10" spans="1:11" x14ac:dyDescent="0.3">
      <c r="A10" s="105">
        <v>1</v>
      </c>
      <c r="B10" t="s">
        <v>47</v>
      </c>
      <c r="C10" s="109">
        <v>2.6169999999999999E-2</v>
      </c>
      <c r="D10" s="109">
        <v>1.6670000000000001E-2</v>
      </c>
      <c r="E10" s="14">
        <f>ROUND(C10*D10,5)</f>
        <v>4.4000000000000002E-4</v>
      </c>
      <c r="F10" s="40">
        <f>E10</f>
        <v>4.4000000000000002E-4</v>
      </c>
    </row>
    <row r="11" spans="1:11" x14ac:dyDescent="0.3">
      <c r="A11" s="105">
        <f>A10+1</f>
        <v>2</v>
      </c>
      <c r="B11" t="s">
        <v>48</v>
      </c>
      <c r="C11" s="109">
        <v>0.46039000000000002</v>
      </c>
      <c r="D11" s="109">
        <v>3.6560000000000002E-2</v>
      </c>
      <c r="E11" s="14">
        <f>ROUND(C11*D11,5)</f>
        <v>1.6830000000000001E-2</v>
      </c>
      <c r="F11" s="40">
        <f>E11</f>
        <v>1.6830000000000001E-2</v>
      </c>
    </row>
    <row r="12" spans="1:11" x14ac:dyDescent="0.3">
      <c r="A12" s="105">
        <f t="shared" ref="A12:A13" si="0">A11+1</f>
        <v>3</v>
      </c>
      <c r="B12" t="s">
        <v>49</v>
      </c>
      <c r="C12" s="110">
        <v>0.51344000000000001</v>
      </c>
      <c r="D12" s="109">
        <v>9.2999999999999999E-2</v>
      </c>
      <c r="E12" s="15">
        <f>ROUND(C12*D12,5)</f>
        <v>4.7750000000000001E-2</v>
      </c>
      <c r="F12" s="146">
        <f>ROUND(E12/(1-0.24925),5)</f>
        <v>6.3600000000000004E-2</v>
      </c>
    </row>
    <row r="13" spans="1:11" x14ac:dyDescent="0.3">
      <c r="A13" s="105">
        <f t="shared" si="0"/>
        <v>4</v>
      </c>
      <c r="B13" t="s">
        <v>21</v>
      </c>
      <c r="C13" s="14">
        <f>SUM(C10:C12)</f>
        <v>1</v>
      </c>
      <c r="E13" s="40">
        <f>SUM(E10:E12)</f>
        <v>6.5019999999999994E-2</v>
      </c>
      <c r="F13" s="40">
        <f>SUM(F10:F12)</f>
        <v>8.0869999999999997E-2</v>
      </c>
    </row>
    <row r="18" spans="2:5" x14ac:dyDescent="0.3">
      <c r="B18" s="108" t="s">
        <v>150</v>
      </c>
      <c r="C18" s="108"/>
      <c r="D18" s="108"/>
      <c r="E18" s="108"/>
    </row>
    <row r="19" spans="2:5" x14ac:dyDescent="0.3">
      <c r="B19" s="108" t="s">
        <v>180</v>
      </c>
      <c r="C19" s="108"/>
      <c r="D19" s="108"/>
      <c r="E19" s="108"/>
    </row>
  </sheetData>
  <pageMargins left="0.7" right="0.7" top="0.75" bottom="0.75" header="0.3" footer="0.3"/>
  <pageSetup orientation="landscape" r:id="rId1"/>
  <headerFooter>
    <oddHeader xml:space="preserve">&amp;RExhibit 1
Schedule 4.2
Page &amp;P of &amp;N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S40"/>
  <sheetViews>
    <sheetView topLeftCell="A16" zoomScaleNormal="100" zoomScaleSheetLayoutView="93" workbookViewId="0">
      <selection activeCell="F22" sqref="F22"/>
    </sheetView>
  </sheetViews>
  <sheetFormatPr defaultRowHeight="14.4" x14ac:dyDescent="0.3"/>
  <cols>
    <col min="1" max="1" width="8.33203125" bestFit="1" customWidth="1"/>
    <col min="2" max="2" width="19.6640625" customWidth="1"/>
    <col min="3" max="4" width="13.5546875" customWidth="1"/>
    <col min="5" max="5" width="13.109375" bestFit="1" customWidth="1"/>
    <col min="6" max="12" width="11.6640625" customWidth="1"/>
    <col min="13" max="14" width="12.33203125" bestFit="1" customWidth="1"/>
    <col min="15" max="17" width="11.6640625" customWidth="1"/>
    <col min="18" max="18" width="13" bestFit="1" customWidth="1"/>
    <col min="19" max="19" width="10.5546875" bestFit="1" customWidth="1"/>
  </cols>
  <sheetData>
    <row r="1" spans="1:18" x14ac:dyDescent="0.3">
      <c r="A1" s="252"/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</row>
    <row r="2" spans="1:18" x14ac:dyDescent="0.3">
      <c r="A2" s="117" t="str">
        <f>'Sch 1.0'!A3:J3</f>
        <v>Pipeline Modernization Mechanism ("Rider PMM")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8" x14ac:dyDescent="0.3">
      <c r="A3" s="117" t="s">
        <v>32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</row>
    <row r="4" spans="1:18" x14ac:dyDescent="0.3">
      <c r="A4" s="91"/>
    </row>
    <row r="5" spans="1:18" x14ac:dyDescent="0.3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R5" s="90"/>
    </row>
    <row r="6" spans="1:18" x14ac:dyDescent="0.3">
      <c r="A6" s="104" t="s">
        <v>139</v>
      </c>
      <c r="B6" s="90"/>
      <c r="C6" s="90" t="s">
        <v>50</v>
      </c>
      <c r="D6" s="90"/>
      <c r="E6" s="104" t="s">
        <v>104</v>
      </c>
      <c r="F6" s="148" t="s">
        <v>176</v>
      </c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04" t="s">
        <v>104</v>
      </c>
    </row>
    <row r="7" spans="1:18" x14ac:dyDescent="0.3">
      <c r="A7" s="9" t="s">
        <v>140</v>
      </c>
      <c r="B7" s="9" t="s">
        <v>9</v>
      </c>
      <c r="C7" s="9" t="s">
        <v>51</v>
      </c>
      <c r="D7" s="9"/>
      <c r="E7" s="114">
        <v>2023</v>
      </c>
      <c r="F7" s="9" t="s">
        <v>93</v>
      </c>
      <c r="G7" s="9" t="s">
        <v>94</v>
      </c>
      <c r="H7" s="9" t="s">
        <v>95</v>
      </c>
      <c r="I7" s="9" t="s">
        <v>96</v>
      </c>
      <c r="J7" s="9" t="s">
        <v>97</v>
      </c>
      <c r="K7" s="9" t="s">
        <v>98</v>
      </c>
      <c r="L7" s="9" t="s">
        <v>99</v>
      </c>
      <c r="M7" s="9" t="s">
        <v>100</v>
      </c>
      <c r="N7" s="9" t="s">
        <v>101</v>
      </c>
      <c r="O7" s="9" t="s">
        <v>102</v>
      </c>
      <c r="P7" s="9" t="s">
        <v>103</v>
      </c>
      <c r="Q7" s="9" t="s">
        <v>92</v>
      </c>
      <c r="R7" s="114">
        <v>2024</v>
      </c>
    </row>
    <row r="8" spans="1:18" x14ac:dyDescent="0.3">
      <c r="B8" s="92" t="s">
        <v>63</v>
      </c>
      <c r="C8" s="92" t="s">
        <v>64</v>
      </c>
      <c r="D8" s="92" t="s">
        <v>66</v>
      </c>
      <c r="E8" s="92" t="s">
        <v>86</v>
      </c>
      <c r="F8" s="92" t="s">
        <v>111</v>
      </c>
      <c r="G8" s="92" t="s">
        <v>112</v>
      </c>
      <c r="H8" s="92" t="s">
        <v>113</v>
      </c>
      <c r="I8" s="92" t="s">
        <v>114</v>
      </c>
      <c r="J8" s="92" t="s">
        <v>115</v>
      </c>
      <c r="K8" s="92" t="s">
        <v>116</v>
      </c>
      <c r="L8" s="92" t="s">
        <v>117</v>
      </c>
      <c r="M8" s="92" t="s">
        <v>118</v>
      </c>
      <c r="N8" s="92" t="s">
        <v>119</v>
      </c>
      <c r="O8" s="92" t="s">
        <v>120</v>
      </c>
      <c r="P8" s="92" t="s">
        <v>121</v>
      </c>
      <c r="Q8" s="92" t="s">
        <v>122</v>
      </c>
      <c r="R8" s="92" t="s">
        <v>124</v>
      </c>
    </row>
    <row r="10" spans="1:18" ht="16.2" x14ac:dyDescent="0.3">
      <c r="B10" s="10" t="s">
        <v>127</v>
      </c>
    </row>
    <row r="11" spans="1:18" x14ac:dyDescent="0.3">
      <c r="B11" s="10" t="s">
        <v>52</v>
      </c>
      <c r="R11" s="23"/>
    </row>
    <row r="12" spans="1:18" x14ac:dyDescent="0.3">
      <c r="A12" s="91">
        <v>1</v>
      </c>
      <c r="B12" t="s">
        <v>178</v>
      </c>
      <c r="C12" s="156">
        <v>376</v>
      </c>
      <c r="D12" s="43"/>
      <c r="E12" s="59">
        <f>'Sch 4.5'!E14</f>
        <v>0</v>
      </c>
      <c r="F12" s="59">
        <f>'Sch 4.5'!D15</f>
        <v>0</v>
      </c>
      <c r="G12" s="59">
        <f>'Sch 4.5'!D16</f>
        <v>0</v>
      </c>
      <c r="H12" s="59">
        <f>'Sch 4.5'!D17</f>
        <v>0</v>
      </c>
      <c r="I12" s="59">
        <f>'Sch 4.5'!D18</f>
        <v>0</v>
      </c>
      <c r="J12" s="59">
        <f>'Sch 4.5'!D19</f>
        <v>0</v>
      </c>
      <c r="K12" s="59">
        <f>'Sch 4.5'!D20</f>
        <v>0</v>
      </c>
      <c r="L12" s="59">
        <f>'Sch 4.5'!D21</f>
        <v>0</v>
      </c>
      <c r="M12" s="59">
        <f>'Sch 4.5'!D22</f>
        <v>0</v>
      </c>
      <c r="N12" s="59">
        <f>'Sch 4.5'!D23</f>
        <v>0</v>
      </c>
      <c r="O12" s="59">
        <f>'Sch 4.5'!D24</f>
        <v>0</v>
      </c>
      <c r="P12" s="59">
        <f>'Sch 4.5'!D25</f>
        <v>0</v>
      </c>
      <c r="Q12" s="59">
        <f>'Sch 4.5'!D26</f>
        <v>0</v>
      </c>
      <c r="R12" s="65">
        <f>SUM(E12:Q12)</f>
        <v>0</v>
      </c>
    </row>
    <row r="13" spans="1:18" x14ac:dyDescent="0.3">
      <c r="A13" s="91">
        <v>2</v>
      </c>
      <c r="B13" t="s">
        <v>53</v>
      </c>
      <c r="C13" s="44"/>
      <c r="D13" s="44"/>
      <c r="E13" s="60">
        <f t="shared" ref="E13:R13" si="0">SUM(E12:E12)</f>
        <v>0</v>
      </c>
      <c r="F13" s="60">
        <f t="shared" si="0"/>
        <v>0</v>
      </c>
      <c r="G13" s="60">
        <f t="shared" si="0"/>
        <v>0</v>
      </c>
      <c r="H13" s="60">
        <f t="shared" si="0"/>
        <v>0</v>
      </c>
      <c r="I13" s="60">
        <f t="shared" si="0"/>
        <v>0</v>
      </c>
      <c r="J13" s="60">
        <f t="shared" si="0"/>
        <v>0</v>
      </c>
      <c r="K13" s="60">
        <f t="shared" si="0"/>
        <v>0</v>
      </c>
      <c r="L13" s="60">
        <f t="shared" si="0"/>
        <v>0</v>
      </c>
      <c r="M13" s="60">
        <f t="shared" si="0"/>
        <v>0</v>
      </c>
      <c r="N13" s="60">
        <f t="shared" si="0"/>
        <v>0</v>
      </c>
      <c r="O13" s="60">
        <f t="shared" si="0"/>
        <v>0</v>
      </c>
      <c r="P13" s="60">
        <f t="shared" si="0"/>
        <v>0</v>
      </c>
      <c r="Q13" s="60">
        <f t="shared" si="0"/>
        <v>0</v>
      </c>
      <c r="R13" s="64">
        <f t="shared" si="0"/>
        <v>0</v>
      </c>
    </row>
    <row r="14" spans="1:18" x14ac:dyDescent="0.3">
      <c r="A14" s="91"/>
      <c r="C14" s="44"/>
      <c r="D14" s="4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20"/>
    </row>
    <row r="15" spans="1:18" x14ac:dyDescent="0.3">
      <c r="B15" s="10" t="s">
        <v>54</v>
      </c>
      <c r="C15" s="91"/>
      <c r="D15" s="91"/>
      <c r="E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53"/>
    </row>
    <row r="16" spans="1:18" x14ac:dyDescent="0.3">
      <c r="A16" s="91">
        <v>3</v>
      </c>
      <c r="B16" t="s">
        <v>178</v>
      </c>
      <c r="C16" s="156">
        <v>376</v>
      </c>
      <c r="D16" s="43"/>
      <c r="E16" s="59">
        <f>'Sch 4.5'!G14</f>
        <v>0</v>
      </c>
      <c r="F16" s="59">
        <f>'Sch 4.5'!F15</f>
        <v>0</v>
      </c>
      <c r="G16" s="59">
        <f>'Sch 4.5'!F16</f>
        <v>0</v>
      </c>
      <c r="H16" s="59">
        <f>'Sch 4.5'!F17</f>
        <v>0</v>
      </c>
      <c r="I16" s="59">
        <f>'Sch 4.5'!F18</f>
        <v>0</v>
      </c>
      <c r="J16" s="59">
        <f>'Sch 4.5'!F19</f>
        <v>0</v>
      </c>
      <c r="K16" s="59">
        <f>'Sch 4.5'!F20</f>
        <v>0</v>
      </c>
      <c r="L16" s="59">
        <f>'Sch 4.5'!F21</f>
        <v>0</v>
      </c>
      <c r="M16" s="59">
        <f>'Sch 4.5'!F22</f>
        <v>0</v>
      </c>
      <c r="N16" s="59">
        <f>'Sch 4.5'!F23</f>
        <v>0</v>
      </c>
      <c r="O16" s="59">
        <f>'Sch 4.5'!F24</f>
        <v>0</v>
      </c>
      <c r="P16" s="59">
        <f>'Sch 4.5'!F25</f>
        <v>0</v>
      </c>
      <c r="Q16" s="59">
        <f>'Sch 4.5'!F26</f>
        <v>0</v>
      </c>
      <c r="R16" s="65">
        <f>SUM(E16:Q16)</f>
        <v>0</v>
      </c>
    </row>
    <row r="17" spans="1:19" x14ac:dyDescent="0.3">
      <c r="A17" s="91">
        <v>4</v>
      </c>
      <c r="B17" t="s">
        <v>55</v>
      </c>
      <c r="C17" s="91"/>
      <c r="D17" s="91"/>
      <c r="E17" s="60">
        <f t="shared" ref="E17:R17" si="1">SUM(E16:E16)</f>
        <v>0</v>
      </c>
      <c r="F17" s="60">
        <f t="shared" si="1"/>
        <v>0</v>
      </c>
      <c r="G17" s="60">
        <f t="shared" si="1"/>
        <v>0</v>
      </c>
      <c r="H17" s="60">
        <f t="shared" si="1"/>
        <v>0</v>
      </c>
      <c r="I17" s="60">
        <f t="shared" si="1"/>
        <v>0</v>
      </c>
      <c r="J17" s="60">
        <f t="shared" si="1"/>
        <v>0</v>
      </c>
      <c r="K17" s="60">
        <f t="shared" si="1"/>
        <v>0</v>
      </c>
      <c r="L17" s="60">
        <f t="shared" si="1"/>
        <v>0</v>
      </c>
      <c r="M17" s="60">
        <f t="shared" si="1"/>
        <v>0</v>
      </c>
      <c r="N17" s="60">
        <f t="shared" si="1"/>
        <v>0</v>
      </c>
      <c r="O17" s="60">
        <f t="shared" si="1"/>
        <v>0</v>
      </c>
      <c r="P17" s="60">
        <f t="shared" si="1"/>
        <v>0</v>
      </c>
      <c r="Q17" s="60">
        <f t="shared" si="1"/>
        <v>0</v>
      </c>
      <c r="R17" s="64">
        <f t="shared" si="1"/>
        <v>0</v>
      </c>
    </row>
    <row r="18" spans="1:19" x14ac:dyDescent="0.3">
      <c r="C18" s="91"/>
      <c r="D18" s="91"/>
      <c r="E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spans="1:19" x14ac:dyDescent="0.3">
      <c r="B19" s="10" t="s">
        <v>25</v>
      </c>
      <c r="C19" s="91"/>
      <c r="D19" s="91"/>
      <c r="E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53"/>
      <c r="S19" s="23"/>
    </row>
    <row r="20" spans="1:19" x14ac:dyDescent="0.3">
      <c r="A20" s="91">
        <v>5</v>
      </c>
      <c r="B20" t="s">
        <v>178</v>
      </c>
      <c r="C20" s="156">
        <v>376</v>
      </c>
      <c r="D20" s="43"/>
      <c r="E20" s="59">
        <f>'Sch 4.5'!I14</f>
        <v>0</v>
      </c>
      <c r="F20" s="59">
        <f>'Sch 4.5'!H15</f>
        <v>0</v>
      </c>
      <c r="G20" s="59">
        <f>'Sch 4.5'!H16</f>
        <v>0</v>
      </c>
      <c r="H20" s="59">
        <f>'Sch 4.5'!H17</f>
        <v>0</v>
      </c>
      <c r="I20" s="59">
        <f>'Sch 4.5'!H18</f>
        <v>0</v>
      </c>
      <c r="J20" s="59">
        <f>'Sch 4.5'!H19</f>
        <v>0</v>
      </c>
      <c r="K20" s="59">
        <f>'Sch 4.5'!H20</f>
        <v>0</v>
      </c>
      <c r="L20" s="59">
        <f>'Sch 4.5'!H21</f>
        <v>0</v>
      </c>
      <c r="M20" s="59">
        <f>'Sch 4.5'!H22</f>
        <v>0</v>
      </c>
      <c r="N20" s="59">
        <f>'Sch 4.5'!H23</f>
        <v>0</v>
      </c>
      <c r="O20" s="59">
        <f>'Sch 4.5'!H24</f>
        <v>0</v>
      </c>
      <c r="P20" s="59">
        <f>'Sch 4.5'!H25</f>
        <v>0</v>
      </c>
      <c r="Q20" s="59">
        <f>'Sch 4.5'!H26</f>
        <v>0</v>
      </c>
      <c r="R20" s="65">
        <f>SUM(E20:Q20)</f>
        <v>0</v>
      </c>
      <c r="S20" s="23"/>
    </row>
    <row r="21" spans="1:19" x14ac:dyDescent="0.3">
      <c r="A21" s="91">
        <v>6</v>
      </c>
      <c r="B21" s="22" t="s">
        <v>56</v>
      </c>
      <c r="E21" s="60">
        <f>SUM(E19:E20)</f>
        <v>0</v>
      </c>
      <c r="F21" s="60">
        <f t="shared" ref="F21:Q21" si="2">SUM(F19:F20)</f>
        <v>0</v>
      </c>
      <c r="G21" s="60">
        <f t="shared" si="2"/>
        <v>0</v>
      </c>
      <c r="H21" s="60">
        <f t="shared" si="2"/>
        <v>0</v>
      </c>
      <c r="I21" s="60">
        <f>SUM(I19:I20)</f>
        <v>0</v>
      </c>
      <c r="J21" s="60">
        <f t="shared" si="2"/>
        <v>0</v>
      </c>
      <c r="K21" s="60">
        <f t="shared" si="2"/>
        <v>0</v>
      </c>
      <c r="L21" s="60">
        <f t="shared" si="2"/>
        <v>0</v>
      </c>
      <c r="M21" s="60">
        <f t="shared" si="2"/>
        <v>0</v>
      </c>
      <c r="N21" s="60">
        <f t="shared" si="2"/>
        <v>0</v>
      </c>
      <c r="O21" s="60">
        <f t="shared" si="2"/>
        <v>0</v>
      </c>
      <c r="P21" s="60">
        <f t="shared" si="2"/>
        <v>0</v>
      </c>
      <c r="Q21" s="60">
        <f t="shared" si="2"/>
        <v>0</v>
      </c>
      <c r="R21" s="63">
        <f>SUM(E21:Q21)</f>
        <v>0</v>
      </c>
      <c r="S21" s="23"/>
    </row>
    <row r="22" spans="1:19" x14ac:dyDescent="0.3">
      <c r="R22" s="23"/>
      <c r="S22" s="23"/>
    </row>
    <row r="23" spans="1:19" x14ac:dyDescent="0.3">
      <c r="B23" s="10"/>
      <c r="C23" s="47"/>
      <c r="D23" s="47"/>
      <c r="E23" s="9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0"/>
      <c r="S23" s="23"/>
    </row>
    <row r="24" spans="1:19" x14ac:dyDescent="0.3">
      <c r="A24" s="91"/>
      <c r="B24" s="46"/>
      <c r="C24" s="47"/>
      <c r="D24" s="47" t="s">
        <v>107</v>
      </c>
      <c r="E24" s="95"/>
      <c r="H24" s="49"/>
      <c r="I24" s="92"/>
      <c r="J24" s="92"/>
      <c r="K24" s="92"/>
      <c r="L24" s="92"/>
      <c r="M24" s="92"/>
      <c r="N24" s="92"/>
      <c r="O24" s="92"/>
      <c r="P24" s="92"/>
      <c r="Q24" s="92"/>
      <c r="R24" s="1"/>
    </row>
    <row r="25" spans="1:19" x14ac:dyDescent="0.3">
      <c r="A25" s="91"/>
      <c r="B25" s="46"/>
      <c r="D25" s="90" t="s">
        <v>32</v>
      </c>
      <c r="E25" s="90" t="s">
        <v>105</v>
      </c>
      <c r="R25" s="90" t="s">
        <v>108</v>
      </c>
    </row>
    <row r="26" spans="1:19" x14ac:dyDescent="0.3">
      <c r="A26" s="91"/>
      <c r="D26" s="90" t="s">
        <v>106</v>
      </c>
      <c r="E26" s="104" t="s">
        <v>104</v>
      </c>
      <c r="F26" s="148" t="s">
        <v>177</v>
      </c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93" t="s">
        <v>109</v>
      </c>
    </row>
    <row r="27" spans="1:19" x14ac:dyDescent="0.3">
      <c r="A27" s="91"/>
      <c r="B27" s="10" t="s">
        <v>123</v>
      </c>
      <c r="D27" s="90"/>
      <c r="E27" s="113">
        <f>E7</f>
        <v>2023</v>
      </c>
      <c r="F27" s="9" t="s">
        <v>93</v>
      </c>
      <c r="G27" s="9" t="s">
        <v>94</v>
      </c>
      <c r="H27" s="9" t="s">
        <v>95</v>
      </c>
      <c r="I27" s="9" t="s">
        <v>96</v>
      </c>
      <c r="J27" s="9" t="s">
        <v>97</v>
      </c>
      <c r="K27" s="9" t="s">
        <v>98</v>
      </c>
      <c r="L27" s="9" t="s">
        <v>99</v>
      </c>
      <c r="M27" s="9" t="s">
        <v>100</v>
      </c>
      <c r="N27" s="9" t="s">
        <v>101</v>
      </c>
      <c r="O27" s="9" t="s">
        <v>102</v>
      </c>
      <c r="P27" s="9" t="s">
        <v>103</v>
      </c>
      <c r="Q27" s="9" t="s">
        <v>92</v>
      </c>
    </row>
    <row r="28" spans="1:19" x14ac:dyDescent="0.3">
      <c r="A28" s="91"/>
      <c r="B28" s="10" t="s">
        <v>52</v>
      </c>
      <c r="D28" s="90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9" x14ac:dyDescent="0.3">
      <c r="A29" s="91">
        <f>A21+1</f>
        <v>7</v>
      </c>
      <c r="B29" t="s">
        <v>178</v>
      </c>
      <c r="C29" s="156">
        <v>376</v>
      </c>
      <c r="D29" s="158">
        <v>1.49E-2</v>
      </c>
      <c r="E29" s="155">
        <v>0</v>
      </c>
      <c r="F29" s="155">
        <f>ROUND(SUM($E$12:E12)*0.028/12,0)</f>
        <v>0</v>
      </c>
      <c r="G29" s="155">
        <f>ROUND(SUM($E$12:F12)*0.028/12,0)</f>
        <v>0</v>
      </c>
      <c r="H29" s="155">
        <f>ROUND(SUM($E$12:G12)*0.028/12,0)</f>
        <v>0</v>
      </c>
      <c r="I29" s="155">
        <f>ROUND(SUM($E$12:H12)*0.028/12,0)</f>
        <v>0</v>
      </c>
      <c r="J29" s="155">
        <f>ROUND(SUM($E$12:I12)*0.028/12,0)</f>
        <v>0</v>
      </c>
      <c r="K29" s="155">
        <f>ROUND(SUM($E$12:J12)*0.028/12,0)</f>
        <v>0</v>
      </c>
      <c r="L29" s="155">
        <f>ROUND(SUM($E$12:K12)*0.028/12,0)</f>
        <v>0</v>
      </c>
      <c r="M29" s="155">
        <f>ROUND(SUM($E$12:L12)*0.028/12,0)</f>
        <v>0</v>
      </c>
      <c r="N29" s="155">
        <f>ROUND(SUM($E$12:M12)*0.028/12,0)</f>
        <v>0</v>
      </c>
      <c r="O29" s="155">
        <f>ROUND(SUM($E$12:N12)*0.028/12,0)</f>
        <v>0</v>
      </c>
      <c r="P29" s="155">
        <f>ROUND(SUM($E$12:O12)*0.028/12,0)</f>
        <v>0</v>
      </c>
      <c r="Q29" s="155">
        <f>ROUND(SUM($E$12:P12)*0.028/12,0)</f>
        <v>0</v>
      </c>
      <c r="R29" s="20"/>
    </row>
    <row r="30" spans="1:19" x14ac:dyDescent="0.3">
      <c r="A30" s="91">
        <v>8</v>
      </c>
      <c r="B30" t="s">
        <v>53</v>
      </c>
      <c r="C30" s="44"/>
      <c r="D30" s="44"/>
      <c r="E30" s="66">
        <f t="shared" ref="E30:Q30" si="3">SUM(E29:E29)</f>
        <v>0</v>
      </c>
      <c r="F30" s="66">
        <f t="shared" si="3"/>
        <v>0</v>
      </c>
      <c r="G30" s="60">
        <f t="shared" si="3"/>
        <v>0</v>
      </c>
      <c r="H30" s="60">
        <f t="shared" si="3"/>
        <v>0</v>
      </c>
      <c r="I30" s="60">
        <f t="shared" si="3"/>
        <v>0</v>
      </c>
      <c r="J30" s="60">
        <f t="shared" si="3"/>
        <v>0</v>
      </c>
      <c r="K30" s="60">
        <f t="shared" si="3"/>
        <v>0</v>
      </c>
      <c r="L30" s="60">
        <f t="shared" si="3"/>
        <v>0</v>
      </c>
      <c r="M30" s="60">
        <f t="shared" si="3"/>
        <v>0</v>
      </c>
      <c r="N30" s="60">
        <f t="shared" si="3"/>
        <v>0</v>
      </c>
      <c r="O30" s="60">
        <f t="shared" si="3"/>
        <v>0</v>
      </c>
      <c r="P30" s="60">
        <f t="shared" si="3"/>
        <v>0</v>
      </c>
      <c r="Q30" s="60">
        <f t="shared" si="3"/>
        <v>0</v>
      </c>
      <c r="R30" s="20"/>
    </row>
    <row r="31" spans="1:19" x14ac:dyDescent="0.3">
      <c r="A31" s="91"/>
      <c r="C31" s="44"/>
      <c r="D31" s="44"/>
      <c r="F31" s="1"/>
      <c r="R31" s="23"/>
    </row>
    <row r="32" spans="1:19" x14ac:dyDescent="0.3">
      <c r="A32" s="91"/>
      <c r="B32" s="10" t="s">
        <v>54</v>
      </c>
      <c r="C32" s="44"/>
      <c r="D32" s="44"/>
      <c r="F32" s="1"/>
      <c r="R32" s="23"/>
    </row>
    <row r="33" spans="1:18" x14ac:dyDescent="0.3">
      <c r="A33" s="91">
        <v>9</v>
      </c>
      <c r="B33" t="s">
        <v>178</v>
      </c>
      <c r="C33" s="156">
        <v>376</v>
      </c>
      <c r="D33" s="158">
        <v>1.49E-2</v>
      </c>
      <c r="E33" s="155">
        <v>0</v>
      </c>
      <c r="F33" s="155">
        <f>ROUND(SUM($E$16:E16)*0.028/12,0)</f>
        <v>0</v>
      </c>
      <c r="G33" s="59">
        <f>ROUND(SUM($E$16:F16)*0.028/12,0)</f>
        <v>0</v>
      </c>
      <c r="H33" s="59">
        <f>ROUND(SUM($E$16:G16)*0.028/12,0)</f>
        <v>0</v>
      </c>
      <c r="I33" s="59">
        <f>ROUND(SUM($E$16:H16)*0.028/12,0)</f>
        <v>0</v>
      </c>
      <c r="J33" s="59">
        <f>ROUND(SUM($E$16:I16)*0.028/12,0)</f>
        <v>0</v>
      </c>
      <c r="K33" s="59">
        <f>ROUND(SUM($E$16:J16)*0.028/12,0)</f>
        <v>0</v>
      </c>
      <c r="L33" s="59">
        <f>ROUND(SUM($E$16:K16)*0.028/12,0)</f>
        <v>0</v>
      </c>
      <c r="M33" s="59">
        <f>ROUND(SUM($E$16:L16)*0.028/12,0)</f>
        <v>0</v>
      </c>
      <c r="N33" s="59">
        <f>ROUND(SUM($E$16:M16)*0.028/12,0)</f>
        <v>0</v>
      </c>
      <c r="O33" s="59">
        <f>ROUND(SUM($E$16:N16)*0.028/12,0)</f>
        <v>0</v>
      </c>
      <c r="P33" s="59">
        <f>ROUND(SUM($E$16:O16)*0.028/12,0)</f>
        <v>0</v>
      </c>
      <c r="Q33" s="59">
        <f>ROUND(SUM($E$16:P16)*0.028/12,0)</f>
        <v>0</v>
      </c>
      <c r="R33" s="20"/>
    </row>
    <row r="34" spans="1:18" x14ac:dyDescent="0.3">
      <c r="A34" s="91">
        <v>10</v>
      </c>
      <c r="B34" t="s">
        <v>55</v>
      </c>
      <c r="C34" s="91"/>
      <c r="D34" s="91"/>
      <c r="E34" s="66">
        <f t="shared" ref="E34:Q34" si="4">SUM(E33:E33)</f>
        <v>0</v>
      </c>
      <c r="F34" s="66">
        <f t="shared" si="4"/>
        <v>0</v>
      </c>
      <c r="G34" s="60">
        <f t="shared" si="4"/>
        <v>0</v>
      </c>
      <c r="H34" s="60">
        <f t="shared" si="4"/>
        <v>0</v>
      </c>
      <c r="I34" s="60">
        <f t="shared" si="4"/>
        <v>0</v>
      </c>
      <c r="J34" s="60">
        <f t="shared" si="4"/>
        <v>0</v>
      </c>
      <c r="K34" s="60">
        <f t="shared" si="4"/>
        <v>0</v>
      </c>
      <c r="L34" s="60">
        <f t="shared" si="4"/>
        <v>0</v>
      </c>
      <c r="M34" s="60">
        <f t="shared" si="4"/>
        <v>0</v>
      </c>
      <c r="N34" s="60">
        <f t="shared" si="4"/>
        <v>0</v>
      </c>
      <c r="O34" s="60">
        <f t="shared" si="4"/>
        <v>0</v>
      </c>
      <c r="P34" s="60">
        <f t="shared" si="4"/>
        <v>0</v>
      </c>
      <c r="Q34" s="60">
        <f t="shared" si="4"/>
        <v>0</v>
      </c>
      <c r="R34" s="20"/>
    </row>
    <row r="35" spans="1:18" x14ac:dyDescent="0.3">
      <c r="A35" s="91" t="s">
        <v>105</v>
      </c>
      <c r="C35" s="91"/>
      <c r="D35" s="91"/>
      <c r="E35" s="52"/>
      <c r="F35" s="5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 thickBot="1" x14ac:dyDescent="0.35">
      <c r="A36" s="91">
        <v>11</v>
      </c>
      <c r="B36" s="10" t="s">
        <v>110</v>
      </c>
      <c r="C36" s="91"/>
      <c r="D36" s="91"/>
      <c r="E36" s="67">
        <f>E30+E34</f>
        <v>0</v>
      </c>
      <c r="F36" s="58">
        <f t="shared" ref="F36:Q36" si="5">E36+F30+F34</f>
        <v>0</v>
      </c>
      <c r="G36" s="58">
        <f t="shared" si="5"/>
        <v>0</v>
      </c>
      <c r="H36" s="58">
        <f t="shared" si="5"/>
        <v>0</v>
      </c>
      <c r="I36" s="58">
        <f t="shared" si="5"/>
        <v>0</v>
      </c>
      <c r="J36" s="58">
        <f t="shared" si="5"/>
        <v>0</v>
      </c>
      <c r="K36" s="58">
        <f t="shared" si="5"/>
        <v>0</v>
      </c>
      <c r="L36" s="58">
        <f t="shared" si="5"/>
        <v>0</v>
      </c>
      <c r="M36" s="58">
        <f t="shared" si="5"/>
        <v>0</v>
      </c>
      <c r="N36" s="58">
        <f t="shared" si="5"/>
        <v>0</v>
      </c>
      <c r="O36" s="58">
        <f t="shared" si="5"/>
        <v>0</v>
      </c>
      <c r="P36" s="58">
        <f t="shared" si="5"/>
        <v>0</v>
      </c>
      <c r="Q36" s="58">
        <f t="shared" si="5"/>
        <v>0</v>
      </c>
      <c r="R36" s="67">
        <f>AVERAGE(E36:Q36)</f>
        <v>0</v>
      </c>
    </row>
    <row r="37" spans="1:18" ht="15" thickTop="1" x14ac:dyDescent="0.3">
      <c r="A37" s="91"/>
      <c r="C37" s="91"/>
      <c r="D37" s="91"/>
      <c r="E37" s="52"/>
      <c r="F37" s="5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9" spans="1:18" x14ac:dyDescent="0.3">
      <c r="A39" t="s">
        <v>41</v>
      </c>
    </row>
    <row r="40" spans="1:18" x14ac:dyDescent="0.3">
      <c r="A40" s="157" t="s">
        <v>153</v>
      </c>
      <c r="B40" s="107"/>
      <c r="C40" s="107"/>
      <c r="D40" s="107"/>
    </row>
  </sheetData>
  <mergeCells count="1">
    <mergeCell ref="A1:R1"/>
  </mergeCells>
  <pageMargins left="0.7" right="0.7" top="0.75" bottom="0.75" header="0.3" footer="0.3"/>
  <pageSetup scale="54" orientation="landscape" r:id="rId1"/>
  <headerFooter>
    <oddHeader xml:space="preserve">&amp;RExhibit 1
Schedule 4.3
Page &amp;P of &amp;N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H36"/>
  <sheetViews>
    <sheetView topLeftCell="A4" zoomScaleNormal="100" workbookViewId="0">
      <selection activeCell="F22" sqref="F22"/>
    </sheetView>
  </sheetViews>
  <sheetFormatPr defaultRowHeight="14.4" x14ac:dyDescent="0.3"/>
  <cols>
    <col min="1" max="1" width="8.33203125" bestFit="1" customWidth="1"/>
    <col min="2" max="2" width="35.88671875" customWidth="1"/>
    <col min="3" max="3" width="13.5546875" customWidth="1"/>
    <col min="4" max="4" width="13.109375" customWidth="1"/>
    <col min="5" max="5" width="3.6640625" customWidth="1"/>
    <col min="6" max="8" width="13.109375" customWidth="1"/>
  </cols>
  <sheetData>
    <row r="1" spans="1:8" x14ac:dyDescent="0.3">
      <c r="A1" s="91"/>
      <c r="B1" s="34"/>
      <c r="D1" s="91"/>
    </row>
    <row r="2" spans="1:8" x14ac:dyDescent="0.3">
      <c r="A2" s="117" t="str">
        <f>'Sch 1.0'!A2:J2</f>
        <v>Duke Energy Kentucky</v>
      </c>
      <c r="B2" s="117"/>
      <c r="C2" s="117"/>
      <c r="D2" s="117"/>
      <c r="E2" s="117"/>
      <c r="F2" s="117"/>
      <c r="G2" s="117"/>
      <c r="H2" s="117"/>
    </row>
    <row r="3" spans="1:8" x14ac:dyDescent="0.3">
      <c r="A3" s="117" t="str">
        <f>'Sch 1.0'!A3:J3</f>
        <v>Pipeline Modernization Mechanism ("Rider PMM")</v>
      </c>
      <c r="B3" s="117"/>
      <c r="C3" s="117"/>
      <c r="D3" s="117"/>
      <c r="E3" s="117"/>
      <c r="F3" s="117"/>
      <c r="G3" s="117"/>
      <c r="H3" s="117"/>
    </row>
    <row r="4" spans="1:8" x14ac:dyDescent="0.3">
      <c r="A4" s="117" t="s">
        <v>28</v>
      </c>
      <c r="B4" s="117"/>
      <c r="C4" s="117"/>
      <c r="D4" s="117"/>
      <c r="E4" s="117"/>
      <c r="F4" s="117"/>
      <c r="G4" s="117"/>
      <c r="H4" s="117"/>
    </row>
    <row r="5" spans="1:8" x14ac:dyDescent="0.3">
      <c r="A5" s="121"/>
      <c r="B5" s="121"/>
      <c r="C5" s="121"/>
      <c r="D5" s="121"/>
      <c r="E5" s="121"/>
      <c r="F5" s="121"/>
      <c r="G5" s="121"/>
      <c r="H5" s="121"/>
    </row>
    <row r="6" spans="1:8" ht="15" customHeight="1" x14ac:dyDescent="0.3">
      <c r="A6" s="91"/>
      <c r="D6" s="115" t="s">
        <v>169</v>
      </c>
      <c r="F6" s="116" t="s">
        <v>181</v>
      </c>
      <c r="G6" s="116"/>
      <c r="H6" s="116"/>
    </row>
    <row r="7" spans="1:8" x14ac:dyDescent="0.3">
      <c r="A7" s="104" t="s">
        <v>139</v>
      </c>
      <c r="B7" s="90"/>
      <c r="C7" s="90"/>
      <c r="D7" s="90" t="s">
        <v>70</v>
      </c>
      <c r="F7" s="102"/>
      <c r="G7" s="102" t="s">
        <v>70</v>
      </c>
      <c r="H7" s="37"/>
    </row>
    <row r="8" spans="1:8" x14ac:dyDescent="0.3">
      <c r="A8" s="9" t="s">
        <v>140</v>
      </c>
      <c r="B8" s="9"/>
      <c r="C8" s="9"/>
      <c r="D8" s="118">
        <v>2023</v>
      </c>
      <c r="F8" s="118">
        <v>2023</v>
      </c>
      <c r="G8" s="118">
        <v>2024</v>
      </c>
      <c r="H8" s="76" t="s">
        <v>84</v>
      </c>
    </row>
    <row r="9" spans="1:8" x14ac:dyDescent="0.3">
      <c r="B9" s="92" t="s">
        <v>63</v>
      </c>
      <c r="C9" s="92" t="s">
        <v>64</v>
      </c>
      <c r="D9" s="92" t="s">
        <v>66</v>
      </c>
      <c r="F9" s="77" t="s">
        <v>86</v>
      </c>
      <c r="G9" s="77" t="s">
        <v>111</v>
      </c>
      <c r="H9" s="77" t="s">
        <v>112</v>
      </c>
    </row>
    <row r="10" spans="1:8" x14ac:dyDescent="0.3">
      <c r="A10" s="91"/>
      <c r="F10" s="37"/>
      <c r="G10" s="37"/>
      <c r="H10" s="37"/>
    </row>
    <row r="11" spans="1:8" x14ac:dyDescent="0.3">
      <c r="A11" s="91">
        <v>1</v>
      </c>
      <c r="B11" t="s">
        <v>151</v>
      </c>
      <c r="C11" s="19"/>
      <c r="D11" s="161">
        <v>0</v>
      </c>
      <c r="E11" s="69"/>
      <c r="F11" s="103">
        <f>D11</f>
        <v>0</v>
      </c>
      <c r="G11" s="161">
        <f>'Sch 4.5'!$E$29</f>
        <v>0</v>
      </c>
      <c r="H11" s="71">
        <f>SUM(F11:G11)</f>
        <v>0</v>
      </c>
    </row>
    <row r="12" spans="1:8" ht="16.2" x14ac:dyDescent="0.45">
      <c r="A12" s="91"/>
      <c r="C12" s="19"/>
      <c r="D12" s="25"/>
      <c r="F12" s="78"/>
      <c r="G12" s="25"/>
      <c r="H12" s="78"/>
    </row>
    <row r="13" spans="1:8" x14ac:dyDescent="0.3">
      <c r="A13" s="91"/>
      <c r="B13" t="s">
        <v>68</v>
      </c>
      <c r="C13" s="31"/>
      <c r="D13" s="28"/>
      <c r="F13" s="79"/>
      <c r="G13" s="28"/>
      <c r="H13" s="79"/>
    </row>
    <row r="14" spans="1:8" x14ac:dyDescent="0.3">
      <c r="A14" s="91">
        <v>2</v>
      </c>
      <c r="B14" t="s">
        <v>134</v>
      </c>
      <c r="C14" s="32"/>
      <c r="D14" s="130">
        <f>D11</f>
        <v>0</v>
      </c>
      <c r="E14" s="129"/>
      <c r="F14" s="162">
        <f>F11</f>
        <v>0</v>
      </c>
      <c r="G14" s="130">
        <f>G11</f>
        <v>0</v>
      </c>
      <c r="H14" s="127">
        <f>SUM(F14:G14)</f>
        <v>0</v>
      </c>
    </row>
    <row r="15" spans="1:8" x14ac:dyDescent="0.3">
      <c r="A15" s="91">
        <f t="shared" ref="A15:A20" si="0">A14+1</f>
        <v>3</v>
      </c>
      <c r="B15" t="s">
        <v>77</v>
      </c>
      <c r="C15" s="32"/>
      <c r="D15" s="131">
        <f>ROUND(D11/2,0)</f>
        <v>0</v>
      </c>
      <c r="E15" s="129"/>
      <c r="F15" s="131">
        <f>ROUND(F11/2,0)</f>
        <v>0</v>
      </c>
      <c r="G15" s="131">
        <f>ROUND(G11/2,0)</f>
        <v>0</v>
      </c>
      <c r="H15" s="163">
        <f>SUM(F15:G15)</f>
        <v>0</v>
      </c>
    </row>
    <row r="16" spans="1:8" x14ac:dyDescent="0.3">
      <c r="A16" s="91"/>
      <c r="B16" s="10"/>
      <c r="C16" s="32"/>
      <c r="D16" s="129"/>
      <c r="E16" s="129"/>
      <c r="F16" s="164"/>
      <c r="G16" s="129"/>
      <c r="H16" s="164"/>
    </row>
    <row r="17" spans="1:8" x14ac:dyDescent="0.3">
      <c r="A17" s="91"/>
      <c r="B17" s="22" t="s">
        <v>13</v>
      </c>
      <c r="C17" s="19"/>
      <c r="D17" s="132"/>
      <c r="E17" s="129"/>
      <c r="F17" s="165"/>
      <c r="G17" s="132"/>
      <c r="H17" s="165"/>
    </row>
    <row r="18" spans="1:8" x14ac:dyDescent="0.3">
      <c r="A18" s="91">
        <v>4</v>
      </c>
      <c r="B18" t="s">
        <v>134</v>
      </c>
      <c r="C18" s="32"/>
      <c r="D18" s="130">
        <f>ROUND(D14*0.5,0)</f>
        <v>0</v>
      </c>
      <c r="E18" s="129"/>
      <c r="F18" s="130">
        <v>0</v>
      </c>
      <c r="G18" s="130">
        <f>ROUND(G14*0.5,0)</f>
        <v>0</v>
      </c>
      <c r="H18" s="127">
        <f>SUM(F18:G18)</f>
        <v>0</v>
      </c>
    </row>
    <row r="19" spans="1:8" x14ac:dyDescent="0.3">
      <c r="A19" s="91">
        <f t="shared" si="0"/>
        <v>5</v>
      </c>
      <c r="B19" t="s">
        <v>69</v>
      </c>
      <c r="C19" s="32"/>
      <c r="D19" s="131">
        <f>ROUND(D15*0.0375,0)</f>
        <v>0</v>
      </c>
      <c r="E19" s="129"/>
      <c r="F19" s="131">
        <f>ROUND(F15*0.07219,0)</f>
        <v>0</v>
      </c>
      <c r="G19" s="131">
        <f>ROUND(G15*0.0375,0)</f>
        <v>0</v>
      </c>
      <c r="H19" s="127">
        <f>SUM(F19:G19)</f>
        <v>0</v>
      </c>
    </row>
    <row r="20" spans="1:8" x14ac:dyDescent="0.3">
      <c r="A20" s="91">
        <f t="shared" si="0"/>
        <v>6</v>
      </c>
      <c r="B20" s="22" t="s">
        <v>71</v>
      </c>
      <c r="C20" s="32"/>
      <c r="D20" s="68">
        <f>D18+D19</f>
        <v>0</v>
      </c>
      <c r="E20" s="129"/>
      <c r="F20" s="82">
        <f>F18+F19</f>
        <v>0</v>
      </c>
      <c r="G20" s="68">
        <f>G18+G19</f>
        <v>0</v>
      </c>
      <c r="H20" s="82">
        <f>SUM(F20:G20)</f>
        <v>0</v>
      </c>
    </row>
    <row r="21" spans="1:8" x14ac:dyDescent="0.3">
      <c r="A21" s="91"/>
      <c r="B21" s="22"/>
      <c r="C21" s="32"/>
      <c r="D21" s="129"/>
      <c r="E21" s="129"/>
      <c r="F21" s="164"/>
      <c r="G21" s="129"/>
      <c r="H21" s="164"/>
    </row>
    <row r="22" spans="1:8" x14ac:dyDescent="0.3">
      <c r="A22" s="91">
        <f>A20+1</f>
        <v>7</v>
      </c>
      <c r="B22" s="22" t="s">
        <v>72</v>
      </c>
      <c r="D22" s="133">
        <v>0</v>
      </c>
      <c r="E22" s="129"/>
      <c r="F22" s="159">
        <f>D22</f>
        <v>0</v>
      </c>
      <c r="G22" s="133">
        <f>'Sch 4.3'!$R$36</f>
        <v>0</v>
      </c>
      <c r="H22" s="160">
        <f>SUM(F22:G22)</f>
        <v>0</v>
      </c>
    </row>
    <row r="23" spans="1:8" x14ac:dyDescent="0.3">
      <c r="A23" s="91"/>
      <c r="B23" s="22"/>
      <c r="D23" s="133"/>
      <c r="E23" s="129"/>
      <c r="F23" s="160"/>
      <c r="G23" s="133"/>
      <c r="H23" s="160"/>
    </row>
    <row r="24" spans="1:8" x14ac:dyDescent="0.3">
      <c r="A24" s="91">
        <f>A22+1</f>
        <v>8</v>
      </c>
      <c r="B24" s="22" t="s">
        <v>73</v>
      </c>
      <c r="D24" s="133">
        <f>D20-D22</f>
        <v>0</v>
      </c>
      <c r="E24" s="129"/>
      <c r="F24" s="160">
        <f>F20-F22</f>
        <v>0</v>
      </c>
      <c r="G24" s="133">
        <f>G20-G22</f>
        <v>0</v>
      </c>
      <c r="H24" s="127">
        <f>SUM(F24:G24)</f>
        <v>0</v>
      </c>
    </row>
    <row r="25" spans="1:8" x14ac:dyDescent="0.3">
      <c r="A25" s="91"/>
      <c r="B25" s="22"/>
      <c r="D25" s="133"/>
      <c r="E25" s="129"/>
      <c r="F25" s="160"/>
      <c r="G25" s="133"/>
      <c r="H25" s="160"/>
    </row>
    <row r="26" spans="1:8" x14ac:dyDescent="0.3">
      <c r="A26" s="91">
        <f>A24+1</f>
        <v>9</v>
      </c>
      <c r="B26" s="22" t="s">
        <v>25</v>
      </c>
      <c r="D26" s="133">
        <v>0</v>
      </c>
      <c r="E26" s="129"/>
      <c r="F26" s="160">
        <v>0</v>
      </c>
      <c r="G26" s="133">
        <f>'Sch 4.5'!$I$29</f>
        <v>0</v>
      </c>
      <c r="H26" s="160">
        <f>SUM(F26:G26)</f>
        <v>0</v>
      </c>
    </row>
    <row r="27" spans="1:8" x14ac:dyDescent="0.3">
      <c r="A27" s="91">
        <f>A26+1</f>
        <v>10</v>
      </c>
      <c r="B27" s="22" t="s">
        <v>75</v>
      </c>
      <c r="D27" s="68">
        <f>D24+D26</f>
        <v>0</v>
      </c>
      <c r="E27" s="69"/>
      <c r="F27" s="82">
        <f>F24+F26</f>
        <v>0</v>
      </c>
      <c r="G27" s="68">
        <f>G24+G26</f>
        <v>0</v>
      </c>
      <c r="H27" s="83">
        <f>SUM(F27:G27)</f>
        <v>0</v>
      </c>
    </row>
    <row r="28" spans="1:8" x14ac:dyDescent="0.3">
      <c r="A28" s="91"/>
      <c r="B28" s="22"/>
      <c r="D28" s="36"/>
      <c r="F28" s="81"/>
      <c r="G28" s="36"/>
      <c r="H28" s="81"/>
    </row>
    <row r="29" spans="1:8" x14ac:dyDescent="0.3">
      <c r="A29" s="101">
        <f>A27+1</f>
        <v>11</v>
      </c>
      <c r="B29" t="s">
        <v>74</v>
      </c>
      <c r="C29" s="174">
        <v>0.24925115</v>
      </c>
      <c r="D29" s="129">
        <f>ROUND(D27*$C$29,0)</f>
        <v>0</v>
      </c>
      <c r="E29" s="129"/>
      <c r="F29" s="164">
        <f>ROUND(F27*$C$29,0)</f>
        <v>0</v>
      </c>
      <c r="G29" s="129">
        <f>ROUND(G27*$C$29,0)</f>
        <v>0</v>
      </c>
      <c r="H29" s="127">
        <f>SUM(F29:G29)</f>
        <v>0</v>
      </c>
    </row>
    <row r="30" spans="1:8" x14ac:dyDescent="0.3">
      <c r="A30" s="101">
        <v>12</v>
      </c>
      <c r="B30" t="s">
        <v>136</v>
      </c>
      <c r="C30" s="174">
        <v>0.13549266299999999</v>
      </c>
      <c r="D30" s="129">
        <f>ROUND(D27*$C$30,0)</f>
        <v>0</v>
      </c>
      <c r="E30" s="129"/>
      <c r="F30" s="129">
        <f>ROUND(F27*$C$30,0)</f>
        <v>0</v>
      </c>
      <c r="G30" s="129">
        <f>ROUND(G27*$C$30,0)</f>
        <v>0</v>
      </c>
      <c r="H30" s="127">
        <f>SUM(F30:G30)</f>
        <v>0</v>
      </c>
    </row>
    <row r="31" spans="1:8" x14ac:dyDescent="0.3">
      <c r="A31" s="101"/>
      <c r="D31" s="68">
        <f>SUM(D29:D30)</f>
        <v>0</v>
      </c>
      <c r="E31" s="129"/>
      <c r="F31" s="68">
        <f t="shared" ref="F31:H31" si="1">SUM(F29:F30)</f>
        <v>0</v>
      </c>
      <c r="G31" s="68">
        <f>SUM(G29:G30)</f>
        <v>0</v>
      </c>
      <c r="H31" s="68">
        <f t="shared" si="1"/>
        <v>0</v>
      </c>
    </row>
    <row r="32" spans="1:8" x14ac:dyDescent="0.3">
      <c r="A32" s="101"/>
    </row>
    <row r="33" spans="1:8" ht="15" thickBot="1" x14ac:dyDescent="0.35">
      <c r="A33" s="101">
        <v>13</v>
      </c>
      <c r="B33" t="s">
        <v>130</v>
      </c>
      <c r="H33" s="70">
        <f>D29+H29</f>
        <v>0</v>
      </c>
    </row>
    <row r="34" spans="1:8" ht="15.6" thickTop="1" thickBot="1" x14ac:dyDescent="0.35">
      <c r="A34" s="101"/>
      <c r="H34" s="70"/>
    </row>
    <row r="35" spans="1:8" ht="15.6" thickTop="1" thickBot="1" x14ac:dyDescent="0.35">
      <c r="A35" s="6">
        <v>14</v>
      </c>
      <c r="B35" t="s">
        <v>136</v>
      </c>
      <c r="H35" s="70">
        <f>D30+H30</f>
        <v>0</v>
      </c>
    </row>
    <row r="36" spans="1:8" ht="15" thickTop="1" x14ac:dyDescent="0.3"/>
  </sheetData>
  <pageMargins left="0.7" right="0.7" top="0.75" bottom="0.75" header="0.3" footer="0.3"/>
  <pageSetup scale="97" orientation="landscape" r:id="rId1"/>
  <headerFooter>
    <oddHeader xml:space="preserve">&amp;RExhibit 1
Schedule 4.4
Page &amp;P of &amp;N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L32"/>
  <sheetViews>
    <sheetView zoomScaleNormal="100" workbookViewId="0">
      <selection activeCell="F22" sqref="F22"/>
    </sheetView>
  </sheetViews>
  <sheetFormatPr defaultRowHeight="14.4" x14ac:dyDescent="0.3"/>
  <cols>
    <col min="1" max="1" width="8.33203125" bestFit="1" customWidth="1"/>
    <col min="2" max="2" width="22.109375" customWidth="1"/>
    <col min="3" max="3" width="10.6640625" customWidth="1"/>
    <col min="4" max="4" width="13.5546875" customWidth="1"/>
    <col min="5" max="6" width="17.44140625" customWidth="1"/>
    <col min="7" max="8" width="16.6640625" customWidth="1"/>
    <col min="9" max="9" width="17.6640625" customWidth="1"/>
    <col min="10" max="10" width="4.33203125" customWidth="1"/>
  </cols>
  <sheetData>
    <row r="1" spans="1:12" x14ac:dyDescent="0.3">
      <c r="A1" s="91"/>
      <c r="G1" s="91"/>
      <c r="H1" s="96"/>
      <c r="I1" s="91"/>
    </row>
    <row r="2" spans="1:12" x14ac:dyDescent="0.3">
      <c r="A2" s="117" t="str">
        <f>'Sch 1.0'!A2:J2</f>
        <v>Duke Energy Kentucky</v>
      </c>
      <c r="B2" s="117"/>
      <c r="C2" s="117"/>
      <c r="D2" s="117"/>
      <c r="E2" s="117"/>
      <c r="F2" s="117"/>
      <c r="G2" s="117"/>
      <c r="H2" s="117"/>
      <c r="I2" s="117"/>
      <c r="K2" s="117"/>
      <c r="L2" s="117"/>
    </row>
    <row r="3" spans="1:12" x14ac:dyDescent="0.3">
      <c r="A3" s="117" t="str">
        <f>'Sch 1.0'!A3:J3</f>
        <v>Pipeline Modernization Mechanism ("Rider PMM")</v>
      </c>
      <c r="B3" s="117"/>
      <c r="C3" s="117"/>
      <c r="D3" s="117"/>
      <c r="E3" s="117"/>
      <c r="F3" s="117"/>
      <c r="G3" s="117"/>
      <c r="H3" s="117"/>
      <c r="I3" s="117"/>
      <c r="K3" s="117"/>
      <c r="L3" s="117"/>
    </row>
    <row r="4" spans="1:12" x14ac:dyDescent="0.3">
      <c r="A4" s="117" t="s">
        <v>65</v>
      </c>
      <c r="B4" s="117"/>
      <c r="C4" s="117"/>
      <c r="D4" s="117"/>
      <c r="E4" s="117"/>
      <c r="F4" s="117"/>
      <c r="G4" s="117"/>
      <c r="H4" s="117"/>
      <c r="I4" s="117"/>
      <c r="K4" s="117"/>
      <c r="L4" s="117"/>
    </row>
    <row r="5" spans="1:12" x14ac:dyDescent="0.3">
      <c r="A5" s="105"/>
      <c r="B5" s="105"/>
      <c r="C5" s="105"/>
      <c r="D5" s="105"/>
      <c r="E5" s="105"/>
      <c r="F5" s="105"/>
      <c r="G5" s="105"/>
      <c r="H5" s="105"/>
      <c r="I5" s="105"/>
      <c r="K5" s="105"/>
      <c r="L5" s="105"/>
    </row>
    <row r="6" spans="1:12" x14ac:dyDescent="0.3">
      <c r="A6" s="91"/>
      <c r="G6" s="91"/>
      <c r="H6" s="96"/>
      <c r="I6" s="91"/>
    </row>
    <row r="7" spans="1:12" x14ac:dyDescent="0.3">
      <c r="A7" s="180" t="s">
        <v>171</v>
      </c>
      <c r="B7" s="181"/>
      <c r="C7" s="181"/>
      <c r="G7" s="91"/>
      <c r="H7" s="96"/>
      <c r="I7" s="91"/>
    </row>
    <row r="8" spans="1:12" x14ac:dyDescent="0.3">
      <c r="A8" s="91"/>
      <c r="G8" s="91"/>
      <c r="H8" s="96"/>
      <c r="I8" s="91"/>
    </row>
    <row r="9" spans="1:12" x14ac:dyDescent="0.3">
      <c r="A9" s="104" t="s">
        <v>139</v>
      </c>
      <c r="B9" s="90"/>
      <c r="C9" s="90" t="s">
        <v>58</v>
      </c>
      <c r="D9" s="250" t="s">
        <v>152</v>
      </c>
      <c r="E9" s="250"/>
      <c r="F9" s="250" t="s">
        <v>54</v>
      </c>
      <c r="G9" s="250"/>
      <c r="H9" s="250" t="s">
        <v>25</v>
      </c>
      <c r="I9" s="250"/>
    </row>
    <row r="10" spans="1:12" x14ac:dyDescent="0.3">
      <c r="A10" s="9" t="s">
        <v>140</v>
      </c>
      <c r="B10" s="9" t="s">
        <v>57</v>
      </c>
      <c r="C10" s="9" t="s">
        <v>59</v>
      </c>
      <c r="D10" s="9" t="s">
        <v>85</v>
      </c>
      <c r="E10" s="9" t="s">
        <v>89</v>
      </c>
      <c r="F10" s="9" t="s">
        <v>85</v>
      </c>
      <c r="G10" s="9" t="s">
        <v>89</v>
      </c>
      <c r="H10" s="9" t="s">
        <v>85</v>
      </c>
      <c r="I10" s="9" t="s">
        <v>89</v>
      </c>
    </row>
    <row r="11" spans="1:12" x14ac:dyDescent="0.3">
      <c r="B11" s="92" t="s">
        <v>63</v>
      </c>
      <c r="C11" s="92" t="s">
        <v>64</v>
      </c>
      <c r="D11" s="92" t="s">
        <v>66</v>
      </c>
      <c r="E11" s="92" t="s">
        <v>86</v>
      </c>
      <c r="F11" s="97" t="s">
        <v>111</v>
      </c>
      <c r="G11" s="97" t="s">
        <v>112</v>
      </c>
      <c r="H11" s="97" t="s">
        <v>113</v>
      </c>
      <c r="I11" s="97" t="s">
        <v>114</v>
      </c>
    </row>
    <row r="12" spans="1:12" x14ac:dyDescent="0.3">
      <c r="G12" s="42"/>
      <c r="H12" s="42"/>
    </row>
    <row r="13" spans="1:12" x14ac:dyDescent="0.3">
      <c r="F13" s="37"/>
      <c r="G13" s="42"/>
      <c r="H13" s="42"/>
    </row>
    <row r="14" spans="1:12" x14ac:dyDescent="0.3">
      <c r="A14" s="91">
        <v>1</v>
      </c>
      <c r="B14" s="178" t="s">
        <v>170</v>
      </c>
      <c r="C14" s="166">
        <v>13</v>
      </c>
      <c r="D14" s="123">
        <v>0</v>
      </c>
      <c r="E14" s="98">
        <f>D14</f>
        <v>0</v>
      </c>
      <c r="F14" s="123">
        <v>0</v>
      </c>
      <c r="G14" s="147">
        <v>0</v>
      </c>
      <c r="H14" s="123">
        <v>0</v>
      </c>
      <c r="I14" s="98">
        <f>H14</f>
        <v>0</v>
      </c>
    </row>
    <row r="15" spans="1:12" x14ac:dyDescent="0.3">
      <c r="A15" s="91">
        <f>A14+1</f>
        <v>2</v>
      </c>
      <c r="B15" s="179">
        <v>44927</v>
      </c>
      <c r="C15" s="166">
        <v>12</v>
      </c>
      <c r="D15" s="124">
        <v>0</v>
      </c>
      <c r="E15" s="135">
        <f>E14+D15</f>
        <v>0</v>
      </c>
      <c r="F15" s="124">
        <v>0</v>
      </c>
      <c r="G15" s="135">
        <f>G14+F15</f>
        <v>0</v>
      </c>
      <c r="H15" s="124">
        <v>0</v>
      </c>
      <c r="I15" s="135">
        <f>I14+H15</f>
        <v>0</v>
      </c>
      <c r="J15" s="20"/>
    </row>
    <row r="16" spans="1:12" ht="16.2" x14ac:dyDescent="0.45">
      <c r="A16" s="91">
        <f>A15+1</f>
        <v>3</v>
      </c>
      <c r="B16" s="179">
        <v>44958</v>
      </c>
      <c r="C16" s="166">
        <f>C15-1</f>
        <v>11</v>
      </c>
      <c r="D16" s="124">
        <v>0</v>
      </c>
      <c r="E16" s="135">
        <f t="shared" ref="E16:E26" si="0">E15+D16</f>
        <v>0</v>
      </c>
      <c r="F16" s="124">
        <v>0</v>
      </c>
      <c r="G16" s="135">
        <f t="shared" ref="G16:G26" si="1">G15+F16</f>
        <v>0</v>
      </c>
      <c r="H16" s="124">
        <v>0</v>
      </c>
      <c r="I16" s="135">
        <f t="shared" ref="I16:I26" si="2">I15+H16</f>
        <v>0</v>
      </c>
      <c r="J16" s="21"/>
    </row>
    <row r="17" spans="1:10" x14ac:dyDescent="0.3">
      <c r="A17" s="91">
        <f t="shared" ref="A17:A26" si="3">A16+1</f>
        <v>4</v>
      </c>
      <c r="B17" s="179">
        <v>44986</v>
      </c>
      <c r="C17" s="166">
        <f t="shared" ref="C17:C26" si="4">C16-1</f>
        <v>10</v>
      </c>
      <c r="D17" s="124">
        <v>0</v>
      </c>
      <c r="E17" s="135">
        <f t="shared" si="0"/>
        <v>0</v>
      </c>
      <c r="F17" s="124">
        <v>0</v>
      </c>
      <c r="G17" s="135">
        <f t="shared" si="1"/>
        <v>0</v>
      </c>
      <c r="H17" s="124">
        <v>0</v>
      </c>
      <c r="I17" s="135">
        <f t="shared" si="2"/>
        <v>0</v>
      </c>
      <c r="J17" s="20"/>
    </row>
    <row r="18" spans="1:10" x14ac:dyDescent="0.3">
      <c r="A18" s="91">
        <f t="shared" si="3"/>
        <v>5</v>
      </c>
      <c r="B18" s="179">
        <v>45017</v>
      </c>
      <c r="C18" s="166">
        <f t="shared" si="4"/>
        <v>9</v>
      </c>
      <c r="D18" s="124">
        <v>0</v>
      </c>
      <c r="E18" s="135">
        <f t="shared" si="0"/>
        <v>0</v>
      </c>
      <c r="F18" s="124">
        <v>0</v>
      </c>
      <c r="G18" s="135">
        <f t="shared" si="1"/>
        <v>0</v>
      </c>
      <c r="H18" s="124">
        <v>0</v>
      </c>
      <c r="I18" s="135">
        <f t="shared" si="2"/>
        <v>0</v>
      </c>
      <c r="J18" s="16"/>
    </row>
    <row r="19" spans="1:10" x14ac:dyDescent="0.3">
      <c r="A19" s="91">
        <f t="shared" si="3"/>
        <v>6</v>
      </c>
      <c r="B19" s="179">
        <v>45047</v>
      </c>
      <c r="C19" s="166">
        <f t="shared" si="4"/>
        <v>8</v>
      </c>
      <c r="D19" s="124">
        <v>0</v>
      </c>
      <c r="E19" s="135">
        <f t="shared" si="0"/>
        <v>0</v>
      </c>
      <c r="F19" s="124">
        <v>0</v>
      </c>
      <c r="G19" s="135">
        <f t="shared" si="1"/>
        <v>0</v>
      </c>
      <c r="H19" s="124">
        <v>0</v>
      </c>
      <c r="I19" s="135">
        <f t="shared" si="2"/>
        <v>0</v>
      </c>
    </row>
    <row r="20" spans="1:10" x14ac:dyDescent="0.3">
      <c r="A20" s="91">
        <f t="shared" si="3"/>
        <v>7</v>
      </c>
      <c r="B20" s="179">
        <v>45078</v>
      </c>
      <c r="C20" s="166">
        <f t="shared" si="4"/>
        <v>7</v>
      </c>
      <c r="D20" s="124">
        <v>0</v>
      </c>
      <c r="E20" s="135">
        <f t="shared" si="0"/>
        <v>0</v>
      </c>
      <c r="F20" s="124">
        <v>0</v>
      </c>
      <c r="G20" s="135">
        <f t="shared" si="1"/>
        <v>0</v>
      </c>
      <c r="H20" s="124">
        <v>0</v>
      </c>
      <c r="I20" s="135">
        <f t="shared" si="2"/>
        <v>0</v>
      </c>
      <c r="J20" s="1"/>
    </row>
    <row r="21" spans="1:10" ht="16.2" x14ac:dyDescent="0.45">
      <c r="A21" s="91">
        <f t="shared" si="3"/>
        <v>8</v>
      </c>
      <c r="B21" s="179">
        <v>45108</v>
      </c>
      <c r="C21" s="166">
        <f t="shared" si="4"/>
        <v>6</v>
      </c>
      <c r="D21" s="124">
        <v>0</v>
      </c>
      <c r="E21" s="135">
        <f t="shared" si="0"/>
        <v>0</v>
      </c>
      <c r="F21" s="124">
        <v>0</v>
      </c>
      <c r="G21" s="135">
        <f t="shared" si="1"/>
        <v>0</v>
      </c>
      <c r="H21" s="124">
        <v>0</v>
      </c>
      <c r="I21" s="135">
        <f t="shared" si="2"/>
        <v>0</v>
      </c>
      <c r="J21" s="21"/>
    </row>
    <row r="22" spans="1:10" x14ac:dyDescent="0.3">
      <c r="A22" s="91">
        <f t="shared" si="3"/>
        <v>9</v>
      </c>
      <c r="B22" s="179">
        <v>45139</v>
      </c>
      <c r="C22" s="166">
        <f t="shared" si="4"/>
        <v>5</v>
      </c>
      <c r="D22" s="124">
        <v>0</v>
      </c>
      <c r="E22" s="135">
        <f t="shared" si="0"/>
        <v>0</v>
      </c>
      <c r="F22" s="124">
        <v>0</v>
      </c>
      <c r="G22" s="135">
        <f t="shared" si="1"/>
        <v>0</v>
      </c>
      <c r="H22" s="124">
        <v>0</v>
      </c>
      <c r="I22" s="135">
        <f t="shared" si="2"/>
        <v>0</v>
      </c>
      <c r="J22" s="20"/>
    </row>
    <row r="23" spans="1:10" x14ac:dyDescent="0.3">
      <c r="A23" s="91">
        <f t="shared" si="3"/>
        <v>10</v>
      </c>
      <c r="B23" s="179">
        <v>45170</v>
      </c>
      <c r="C23" s="166">
        <f t="shared" si="4"/>
        <v>4</v>
      </c>
      <c r="D23" s="124">
        <v>0</v>
      </c>
      <c r="E23" s="135">
        <f t="shared" si="0"/>
        <v>0</v>
      </c>
      <c r="F23" s="124">
        <v>0</v>
      </c>
      <c r="G23" s="135">
        <f t="shared" si="1"/>
        <v>0</v>
      </c>
      <c r="H23" s="124">
        <v>0</v>
      </c>
      <c r="I23" s="135">
        <f t="shared" si="2"/>
        <v>0</v>
      </c>
      <c r="J23" s="23"/>
    </row>
    <row r="24" spans="1:10" x14ac:dyDescent="0.3">
      <c r="A24" s="91">
        <f t="shared" si="3"/>
        <v>11</v>
      </c>
      <c r="B24" s="179">
        <v>45200</v>
      </c>
      <c r="C24" s="166">
        <f t="shared" si="4"/>
        <v>3</v>
      </c>
      <c r="D24" s="124">
        <v>0</v>
      </c>
      <c r="E24" s="135">
        <f t="shared" si="0"/>
        <v>0</v>
      </c>
      <c r="F24" s="124">
        <v>0</v>
      </c>
      <c r="G24" s="135">
        <f t="shared" si="1"/>
        <v>0</v>
      </c>
      <c r="H24" s="124">
        <v>0</v>
      </c>
      <c r="I24" s="135">
        <f t="shared" si="2"/>
        <v>0</v>
      </c>
      <c r="J24" s="24"/>
    </row>
    <row r="25" spans="1:10" x14ac:dyDescent="0.3">
      <c r="A25" s="91">
        <f t="shared" si="3"/>
        <v>12</v>
      </c>
      <c r="B25" s="179">
        <v>45231</v>
      </c>
      <c r="C25" s="166">
        <f t="shared" si="4"/>
        <v>2</v>
      </c>
      <c r="D25" s="124">
        <v>0</v>
      </c>
      <c r="E25" s="135">
        <f t="shared" si="0"/>
        <v>0</v>
      </c>
      <c r="F25" s="124">
        <v>0</v>
      </c>
      <c r="G25" s="135">
        <f t="shared" si="1"/>
        <v>0</v>
      </c>
      <c r="H25" s="124">
        <v>0</v>
      </c>
      <c r="I25" s="135">
        <f t="shared" si="2"/>
        <v>0</v>
      </c>
      <c r="J25" s="23"/>
    </row>
    <row r="26" spans="1:10" x14ac:dyDescent="0.3">
      <c r="A26" s="91">
        <f t="shared" si="3"/>
        <v>13</v>
      </c>
      <c r="B26" s="179">
        <v>45261</v>
      </c>
      <c r="C26" s="166">
        <f t="shared" si="4"/>
        <v>1</v>
      </c>
      <c r="D26" s="124">
        <v>0</v>
      </c>
      <c r="E26" s="136">
        <f t="shared" si="0"/>
        <v>0</v>
      </c>
      <c r="F26" s="124">
        <v>0</v>
      </c>
      <c r="G26" s="136">
        <f t="shared" si="1"/>
        <v>0</v>
      </c>
      <c r="H26" s="124">
        <v>0</v>
      </c>
      <c r="I26" s="136">
        <f t="shared" si="2"/>
        <v>0</v>
      </c>
      <c r="J26" s="23"/>
    </row>
    <row r="27" spans="1:10" x14ac:dyDescent="0.3">
      <c r="A27" s="91"/>
      <c r="E27" s="129">
        <f>SUM(E14:E26)</f>
        <v>0</v>
      </c>
      <c r="G27" s="129">
        <f>SUM(G14:G26)</f>
        <v>0</v>
      </c>
      <c r="H27" s="2"/>
      <c r="I27" s="129">
        <f>SUM(I14:I26)</f>
        <v>0</v>
      </c>
      <c r="J27" s="2"/>
    </row>
    <row r="28" spans="1:10" x14ac:dyDescent="0.3">
      <c r="A28" s="91">
        <f>A26+1</f>
        <v>14</v>
      </c>
      <c r="B28" t="s">
        <v>90</v>
      </c>
      <c r="E28" s="175">
        <v>13</v>
      </c>
      <c r="F28" s="175"/>
      <c r="G28" s="175">
        <v>13</v>
      </c>
      <c r="H28" s="176"/>
      <c r="I28" s="177">
        <v>13</v>
      </c>
    </row>
    <row r="29" spans="1:10" ht="15" thickBot="1" x14ac:dyDescent="0.35">
      <c r="A29" s="91">
        <f>A28+1</f>
        <v>15</v>
      </c>
      <c r="B29" t="s">
        <v>91</v>
      </c>
      <c r="E29" s="70">
        <f>ROUND(E27/E28,0)</f>
        <v>0</v>
      </c>
      <c r="F29" s="71"/>
      <c r="G29" s="70">
        <f>ROUND(G27/G28,0)</f>
        <v>0</v>
      </c>
      <c r="H29" s="71"/>
      <c r="I29" s="70">
        <f>ROUND(I27/I28,0)</f>
        <v>0</v>
      </c>
    </row>
    <row r="30" spans="1:10" ht="15" thickTop="1" x14ac:dyDescent="0.3">
      <c r="H30" s="23"/>
    </row>
    <row r="31" spans="1:10" x14ac:dyDescent="0.3">
      <c r="A31" s="91"/>
      <c r="E31" s="42"/>
      <c r="G31" s="42"/>
      <c r="H31" s="42"/>
      <c r="I31" s="42"/>
    </row>
    <row r="32" spans="1:10" x14ac:dyDescent="0.3">
      <c r="F32" s="45"/>
    </row>
  </sheetData>
  <mergeCells count="3">
    <mergeCell ref="D9:E9"/>
    <mergeCell ref="F9:G9"/>
    <mergeCell ref="H9:I9"/>
  </mergeCells>
  <pageMargins left="0.7" right="0.7" top="0.75" bottom="0.75" header="0.3" footer="0.3"/>
  <pageSetup scale="74" orientation="landscape" r:id="rId1"/>
  <headerFooter>
    <oddHeader xml:space="preserve">&amp;RExhibit 1
Scheudle 4.5
Page 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6"/>
  <sheetViews>
    <sheetView tabSelected="1" view="pageLayout" zoomScaleNormal="100" workbookViewId="0">
      <selection activeCell="N6" sqref="N6"/>
    </sheetView>
  </sheetViews>
  <sheetFormatPr defaultRowHeight="14.4" x14ac:dyDescent="0.3"/>
  <cols>
    <col min="1" max="1" width="6.6640625" style="5" customWidth="1"/>
    <col min="2" max="2" width="35.44140625" customWidth="1"/>
    <col min="3" max="3" width="3.44140625" customWidth="1"/>
    <col min="4" max="4" width="20.88671875" customWidth="1"/>
    <col min="5" max="5" width="16.88671875" style="5" bestFit="1" customWidth="1"/>
    <col min="6" max="7" width="16.88671875" style="91" customWidth="1"/>
    <col min="8" max="8" width="15.44140625" style="5" customWidth="1"/>
    <col min="9" max="9" width="12.6640625" style="5" customWidth="1"/>
    <col min="10" max="10" width="15.33203125" customWidth="1"/>
  </cols>
  <sheetData>
    <row r="2" spans="1:10" x14ac:dyDescent="0.3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x14ac:dyDescent="0.3">
      <c r="A3" s="117" t="s">
        <v>137</v>
      </c>
      <c r="B3" s="117"/>
      <c r="C3" s="117"/>
      <c r="D3" s="117"/>
      <c r="E3" s="117"/>
      <c r="F3" s="117"/>
      <c r="G3" s="117"/>
      <c r="H3" s="117"/>
      <c r="I3" s="117"/>
      <c r="J3" s="117"/>
    </row>
    <row r="4" spans="1:10" x14ac:dyDescent="0.3">
      <c r="A4" s="117" t="s">
        <v>138</v>
      </c>
      <c r="B4" s="117"/>
      <c r="C4" s="117"/>
      <c r="D4" s="117"/>
      <c r="E4" s="117"/>
      <c r="F4" s="117"/>
      <c r="G4" s="117"/>
      <c r="H4" s="117"/>
      <c r="I4" s="117"/>
      <c r="J4" s="117"/>
    </row>
    <row r="5" spans="1:10" x14ac:dyDescent="0.3">
      <c r="A5" s="105"/>
      <c r="B5" s="105"/>
      <c r="C5" s="105"/>
      <c r="D5" s="105"/>
      <c r="E5" s="105"/>
      <c r="F5" s="105"/>
      <c r="G5" s="105"/>
      <c r="H5" s="105"/>
      <c r="I5" s="105"/>
      <c r="J5" s="105"/>
    </row>
    <row r="6" spans="1:10" x14ac:dyDescent="0.3">
      <c r="D6" s="106" t="s">
        <v>45</v>
      </c>
    </row>
    <row r="7" spans="1:10" x14ac:dyDescent="0.3">
      <c r="A7" s="3"/>
      <c r="B7" s="8"/>
      <c r="C7" s="8"/>
      <c r="D7" s="106" t="s">
        <v>190</v>
      </c>
      <c r="E7" s="3" t="s">
        <v>143</v>
      </c>
      <c r="F7" s="106" t="s">
        <v>188</v>
      </c>
      <c r="G7" s="90"/>
      <c r="H7" s="3" t="s">
        <v>18</v>
      </c>
    </row>
    <row r="8" spans="1:10" x14ac:dyDescent="0.3">
      <c r="A8" s="3" t="s">
        <v>139</v>
      </c>
      <c r="B8" s="8"/>
      <c r="C8" s="8"/>
      <c r="D8" s="3" t="s">
        <v>141</v>
      </c>
      <c r="E8" s="3" t="s">
        <v>16</v>
      </c>
      <c r="F8" s="106" t="s">
        <v>16</v>
      </c>
      <c r="G8" s="90"/>
      <c r="H8" s="3" t="s">
        <v>19</v>
      </c>
      <c r="I8" s="3" t="s">
        <v>20</v>
      </c>
    </row>
    <row r="9" spans="1:10" x14ac:dyDescent="0.3">
      <c r="A9" s="9" t="s">
        <v>140</v>
      </c>
      <c r="B9" s="10" t="s">
        <v>15</v>
      </c>
      <c r="C9" s="10"/>
      <c r="D9" s="9" t="s">
        <v>142</v>
      </c>
      <c r="E9" s="9" t="s">
        <v>17</v>
      </c>
      <c r="F9" s="76" t="s">
        <v>17</v>
      </c>
      <c r="G9" s="9" t="s">
        <v>21</v>
      </c>
      <c r="H9" s="9" t="s">
        <v>125</v>
      </c>
      <c r="I9" s="9" t="s">
        <v>144</v>
      </c>
    </row>
    <row r="10" spans="1:10" x14ac:dyDescent="0.3">
      <c r="B10" s="18" t="s">
        <v>63</v>
      </c>
      <c r="C10" s="62"/>
      <c r="D10" s="62" t="s">
        <v>64</v>
      </c>
      <c r="E10" s="62" t="s">
        <v>66</v>
      </c>
      <c r="F10" s="106" t="s">
        <v>86</v>
      </c>
      <c r="G10" s="90" t="s">
        <v>111</v>
      </c>
      <c r="H10" s="62" t="s">
        <v>112</v>
      </c>
      <c r="I10" s="62" t="s">
        <v>113</v>
      </c>
    </row>
    <row r="11" spans="1:10" x14ac:dyDescent="0.3">
      <c r="A11" s="72"/>
      <c r="B11" s="18"/>
      <c r="E11" s="72"/>
      <c r="F11" s="84"/>
      <c r="H11" s="72"/>
      <c r="I11" s="72"/>
    </row>
    <row r="12" spans="1:10" x14ac:dyDescent="0.3">
      <c r="A12" s="5">
        <v>1</v>
      </c>
      <c r="B12" s="27" t="s">
        <v>60</v>
      </c>
      <c r="D12" s="203">
        <v>0.86931999999999998</v>
      </c>
      <c r="E12" s="57">
        <f>ROUND($E$16*D12,0)</f>
        <v>773284</v>
      </c>
      <c r="F12" s="200">
        <f>ROUND($F$16*D12,0)</f>
        <v>0</v>
      </c>
      <c r="G12" s="57">
        <f>E12+F12</f>
        <v>773284</v>
      </c>
      <c r="H12" s="13">
        <f>'Sch 3.0'!O13</f>
        <v>1156418.1600000001</v>
      </c>
      <c r="I12" s="12">
        <f>G12/H12</f>
        <v>0.66868891093858285</v>
      </c>
      <c r="J12" t="s">
        <v>82</v>
      </c>
    </row>
    <row r="13" spans="1:10" x14ac:dyDescent="0.3">
      <c r="A13" s="5">
        <f>A12+1</f>
        <v>2</v>
      </c>
      <c r="B13" s="27" t="s">
        <v>62</v>
      </c>
      <c r="D13" s="203">
        <v>0.12506</v>
      </c>
      <c r="E13" s="171">
        <f>ROUND($E$16*D13,0)</f>
        <v>111244</v>
      </c>
      <c r="F13" s="201">
        <f>ROUND($F$16*D13,0)</f>
        <v>0</v>
      </c>
      <c r="G13" s="171">
        <f t="shared" ref="G13:G16" si="0">E13+F13</f>
        <v>111244</v>
      </c>
      <c r="H13" s="13">
        <f>'Sch 3.0'!O14</f>
        <v>92746.170516059952</v>
      </c>
      <c r="I13" s="12">
        <f>G13/H13</f>
        <v>1.1994457494149255</v>
      </c>
      <c r="J13" t="s">
        <v>82</v>
      </c>
    </row>
    <row r="14" spans="1:10" x14ac:dyDescent="0.3">
      <c r="A14" s="5">
        <f t="shared" ref="A14:A16" si="1">A13+1</f>
        <v>3</v>
      </c>
      <c r="B14" s="27" t="s">
        <v>67</v>
      </c>
      <c r="D14" s="203">
        <v>3.4099999999999998E-3</v>
      </c>
      <c r="E14" s="171">
        <f>ROUND($E$16*D14,0)</f>
        <v>3033</v>
      </c>
      <c r="F14" s="201">
        <f t="shared" ref="F14" si="2">ROUND($F$16*D14,0)</f>
        <v>0</v>
      </c>
      <c r="G14" s="171">
        <f t="shared" si="0"/>
        <v>3033</v>
      </c>
      <c r="H14" s="13">
        <f>'Sch 3.0'!O15</f>
        <v>27065157</v>
      </c>
      <c r="I14" s="39">
        <f>G14/H14</f>
        <v>1.1206290065119518E-4</v>
      </c>
      <c r="J14" t="s">
        <v>81</v>
      </c>
    </row>
    <row r="15" spans="1:10" x14ac:dyDescent="0.3">
      <c r="A15" s="5">
        <f t="shared" si="1"/>
        <v>4</v>
      </c>
      <c r="B15" s="27" t="s">
        <v>61</v>
      </c>
      <c r="D15" s="204">
        <v>2.2100000000000002E-3</v>
      </c>
      <c r="E15" s="171">
        <f>ROUND($E$16*D15,0)</f>
        <v>1966</v>
      </c>
      <c r="F15" s="201">
        <f>ROUND($F$16*D15,0)</f>
        <v>0</v>
      </c>
      <c r="G15" s="171">
        <f t="shared" si="0"/>
        <v>1966</v>
      </c>
      <c r="H15" s="13">
        <f>'Sch 3.0'!O16</f>
        <v>16655397</v>
      </c>
      <c r="I15" s="39">
        <f>G15/H15</f>
        <v>1.1803981616289302E-4</v>
      </c>
      <c r="J15" t="s">
        <v>81</v>
      </c>
    </row>
    <row r="16" spans="1:10" ht="15" thickBot="1" x14ac:dyDescent="0.35">
      <c r="A16" s="5">
        <f t="shared" si="1"/>
        <v>5</v>
      </c>
      <c r="B16" t="s">
        <v>21</v>
      </c>
      <c r="D16" s="205">
        <f>SUM(D10:D15)</f>
        <v>1</v>
      </c>
      <c r="E16" s="58">
        <f>'Sch 1.1'!F27</f>
        <v>889527</v>
      </c>
      <c r="F16" s="202">
        <f>'Sch 4.1'!F34</f>
        <v>0</v>
      </c>
      <c r="G16" s="58">
        <f t="shared" si="0"/>
        <v>889527</v>
      </c>
      <c r="H16" s="20"/>
    </row>
    <row r="17" spans="2:9" ht="15" thickTop="1" x14ac:dyDescent="0.3">
      <c r="E17" s="84" t="s">
        <v>157</v>
      </c>
      <c r="F17" s="84" t="s">
        <v>158</v>
      </c>
      <c r="G17" s="84"/>
      <c r="H17" s="84" t="s">
        <v>189</v>
      </c>
    </row>
    <row r="20" spans="2:9" x14ac:dyDescent="0.3">
      <c r="B20" s="37" t="s">
        <v>227</v>
      </c>
      <c r="C20" s="37"/>
      <c r="D20" s="37"/>
      <c r="E20" s="84"/>
      <c r="F20" s="84"/>
      <c r="G20" s="84"/>
    </row>
    <row r="21" spans="2:9" x14ac:dyDescent="0.3">
      <c r="B21" s="37" t="s">
        <v>226</v>
      </c>
      <c r="C21" s="37"/>
      <c r="D21" s="37"/>
      <c r="E21" s="84"/>
    </row>
    <row r="22" spans="2:9" x14ac:dyDescent="0.3">
      <c r="F22" s="142"/>
      <c r="G22" s="207"/>
    </row>
    <row r="23" spans="2:9" x14ac:dyDescent="0.3">
      <c r="D23" s="140"/>
    </row>
    <row r="24" spans="2:9" x14ac:dyDescent="0.3">
      <c r="E24" s="207"/>
      <c r="F24" s="207"/>
      <c r="G24" s="207"/>
    </row>
    <row r="25" spans="2:9" x14ac:dyDescent="0.3">
      <c r="E25" s="207"/>
      <c r="F25" s="207"/>
      <c r="H25" s="209"/>
      <c r="I25" s="208"/>
    </row>
    <row r="26" spans="2:9" x14ac:dyDescent="0.3">
      <c r="E26" s="207"/>
      <c r="G26" s="207"/>
    </row>
    <row r="27" spans="2:9" x14ac:dyDescent="0.3">
      <c r="E27" s="207"/>
      <c r="G27" s="207"/>
    </row>
    <row r="28" spans="2:9" x14ac:dyDescent="0.3">
      <c r="E28" s="207"/>
      <c r="G28" s="207"/>
    </row>
    <row r="29" spans="2:9" x14ac:dyDescent="0.3">
      <c r="E29" s="207"/>
    </row>
    <row r="32" spans="2:9" x14ac:dyDescent="0.3">
      <c r="F32" s="208"/>
      <c r="G32" s="208"/>
      <c r="H32" s="208"/>
    </row>
    <row r="33" spans="4:8" x14ac:dyDescent="0.3">
      <c r="F33" s="208"/>
      <c r="G33" s="208"/>
    </row>
    <row r="34" spans="4:8" x14ac:dyDescent="0.3">
      <c r="F34" s="208"/>
      <c r="G34" s="208"/>
    </row>
    <row r="35" spans="4:8" x14ac:dyDescent="0.3">
      <c r="F35" s="208"/>
      <c r="G35" s="208"/>
      <c r="H35" s="208"/>
    </row>
    <row r="36" spans="4:8" x14ac:dyDescent="0.3">
      <c r="F36" s="208"/>
      <c r="G36" s="208"/>
    </row>
    <row r="37" spans="4:8" x14ac:dyDescent="0.3">
      <c r="F37" s="208"/>
      <c r="G37" s="208"/>
    </row>
    <row r="38" spans="4:8" x14ac:dyDescent="0.3">
      <c r="F38" s="208"/>
      <c r="G38" s="208"/>
    </row>
    <row r="39" spans="4:8" x14ac:dyDescent="0.3">
      <c r="F39" s="208"/>
      <c r="G39" s="208"/>
      <c r="H39" s="208"/>
    </row>
    <row r="40" spans="4:8" x14ac:dyDescent="0.3">
      <c r="F40" s="208"/>
      <c r="G40" s="208"/>
    </row>
    <row r="41" spans="4:8" x14ac:dyDescent="0.3">
      <c r="F41" s="208"/>
      <c r="G41" s="208"/>
    </row>
    <row r="42" spans="4:8" x14ac:dyDescent="0.3">
      <c r="D42" s="34"/>
      <c r="F42" s="208"/>
      <c r="G42" s="208"/>
    </row>
    <row r="43" spans="4:8" x14ac:dyDescent="0.3">
      <c r="D43" s="149"/>
      <c r="E43" s="207"/>
      <c r="F43" s="208"/>
      <c r="G43" s="208"/>
    </row>
    <row r="44" spans="4:8" x14ac:dyDescent="0.3">
      <c r="D44" s="1"/>
      <c r="E44" s="210"/>
      <c r="F44" s="208"/>
      <c r="G44" s="208"/>
    </row>
    <row r="45" spans="4:8" x14ac:dyDescent="0.3">
      <c r="D45" s="57"/>
      <c r="E45" s="57"/>
    </row>
    <row r="46" spans="4:8" x14ac:dyDescent="0.3">
      <c r="D46" s="2"/>
    </row>
  </sheetData>
  <pageMargins left="0.7" right="0.7" top="0.75" bottom="0.75" header="0.3" footer="0.3"/>
  <pageSetup scale="62" orientation="landscape" r:id="rId1"/>
  <headerFooter>
    <oddHeader>&amp;R&amp;"Times New Roman,Bold"&amp;10KyPSC Case No. 2022-00229
STAFF-DR-01-007 Attachment 
Application Exhibit 2
Schedule 1.0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view="pageLayout" topLeftCell="B1" zoomScale="115" zoomScaleNormal="100" zoomScalePageLayoutView="115" workbookViewId="0">
      <selection activeCell="K8" sqref="K8"/>
    </sheetView>
  </sheetViews>
  <sheetFormatPr defaultRowHeight="14.4" x14ac:dyDescent="0.3"/>
  <cols>
    <col min="1" max="1" width="6.6640625" customWidth="1"/>
    <col min="2" max="2" width="4.5546875" customWidth="1"/>
    <col min="3" max="3" width="6.5546875" customWidth="1"/>
    <col min="4" max="4" width="43" customWidth="1"/>
    <col min="5" max="5" width="2.33203125" customWidth="1"/>
    <col min="6" max="6" width="20.6640625" customWidth="1"/>
    <col min="7" max="7" width="2.44140625" customWidth="1"/>
    <col min="8" max="8" width="9.5546875" customWidth="1"/>
  </cols>
  <sheetData>
    <row r="1" spans="1:12" x14ac:dyDescent="0.3">
      <c r="A1" s="5"/>
      <c r="E1" s="5"/>
      <c r="F1" s="5"/>
      <c r="G1" s="105"/>
      <c r="H1" s="5"/>
      <c r="I1" s="5"/>
    </row>
    <row r="2" spans="1:12" x14ac:dyDescent="0.3">
      <c r="A2" s="117" t="str">
        <f>'Sch 1.0'!A2</f>
        <v>Duke Energy Kentucky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21"/>
    </row>
    <row r="3" spans="1:12" x14ac:dyDescent="0.3">
      <c r="A3" s="117" t="str">
        <f>'Sch 1.0'!A3</f>
        <v>Pipeline Modernization Mechanism ("Rider PMM")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21"/>
    </row>
    <row r="4" spans="1:12" x14ac:dyDescent="0.3">
      <c r="A4" s="153" t="s">
        <v>173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98"/>
    </row>
    <row r="5" spans="1:12" x14ac:dyDescent="0.3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1:12" x14ac:dyDescent="0.3">
      <c r="A6" s="104" t="s">
        <v>139</v>
      </c>
      <c r="B6" s="8"/>
      <c r="C6" s="8"/>
      <c r="F6" s="3" t="s">
        <v>145</v>
      </c>
      <c r="G6" s="104"/>
      <c r="H6" s="3"/>
      <c r="I6" s="5"/>
    </row>
    <row r="7" spans="1:12" x14ac:dyDescent="0.3">
      <c r="A7" s="9" t="s">
        <v>140</v>
      </c>
      <c r="B7" s="10"/>
      <c r="C7" s="10"/>
      <c r="F7" s="199" t="s">
        <v>146</v>
      </c>
      <c r="G7" s="199"/>
      <c r="H7" s="9" t="s">
        <v>22</v>
      </c>
    </row>
    <row r="8" spans="1:12" x14ac:dyDescent="0.3">
      <c r="A8" s="10"/>
      <c r="B8" s="122" t="s">
        <v>63</v>
      </c>
      <c r="C8" s="122"/>
      <c r="D8" s="122"/>
      <c r="F8" s="62" t="s">
        <v>64</v>
      </c>
      <c r="G8" s="104"/>
      <c r="H8" s="62" t="s">
        <v>66</v>
      </c>
    </row>
    <row r="10" spans="1:12" x14ac:dyDescent="0.3">
      <c r="B10" s="8" t="s">
        <v>23</v>
      </c>
    </row>
    <row r="11" spans="1:12" x14ac:dyDescent="0.3">
      <c r="B11" s="10" t="s">
        <v>24</v>
      </c>
    </row>
    <row r="12" spans="1:12" x14ac:dyDescent="0.3">
      <c r="A12" s="5">
        <v>1</v>
      </c>
      <c r="C12" t="s">
        <v>154</v>
      </c>
      <c r="F12" s="170">
        <f>'Sch 2.2'!E29-'Sch 2.2'!G29</f>
        <v>8364433</v>
      </c>
      <c r="G12" s="29"/>
      <c r="H12" t="s">
        <v>159</v>
      </c>
    </row>
    <row r="13" spans="1:12" x14ac:dyDescent="0.3">
      <c r="A13" s="5">
        <f>A12+1</f>
        <v>2</v>
      </c>
      <c r="C13" t="s">
        <v>25</v>
      </c>
      <c r="F13" s="169">
        <f>'Sch 2.2'!I29</f>
        <v>0</v>
      </c>
      <c r="G13" s="30"/>
      <c r="H13" t="s">
        <v>159</v>
      </c>
    </row>
    <row r="14" spans="1:12" x14ac:dyDescent="0.3">
      <c r="A14" s="5">
        <f t="shared" ref="A14:A15" si="0">A13+1</f>
        <v>3</v>
      </c>
      <c r="C14" t="s">
        <v>26</v>
      </c>
      <c r="F14" s="128">
        <f>-'Sch 2.0'!R40</f>
        <v>-15872.846153846154</v>
      </c>
      <c r="G14" s="80"/>
      <c r="H14" s="54" t="s">
        <v>160</v>
      </c>
    </row>
    <row r="15" spans="1:12" x14ac:dyDescent="0.3">
      <c r="A15" s="5">
        <f t="shared" si="0"/>
        <v>4</v>
      </c>
      <c r="D15" t="s">
        <v>27</v>
      </c>
      <c r="F15" s="167">
        <f>SUM(F12:F14)</f>
        <v>8348560.153846154</v>
      </c>
      <c r="G15" s="1"/>
    </row>
    <row r="16" spans="1:12" x14ac:dyDescent="0.3">
      <c r="A16" s="5">
        <f>A15+1</f>
        <v>5</v>
      </c>
      <c r="C16" t="s">
        <v>126</v>
      </c>
      <c r="F16" s="136">
        <f>-'Sch 2.1'!Q27</f>
        <v>-35162.020536969037</v>
      </c>
      <c r="G16" s="33"/>
      <c r="H16" t="s">
        <v>161</v>
      </c>
      <c r="J16" s="140"/>
    </row>
    <row r="17" spans="1:14" x14ac:dyDescent="0.3">
      <c r="A17" s="5">
        <f>A16+1</f>
        <v>6</v>
      </c>
      <c r="D17" t="s">
        <v>29</v>
      </c>
      <c r="F17" s="167">
        <f>SUM(F15:F16)</f>
        <v>8313398.1333091846</v>
      </c>
      <c r="G17" s="1"/>
      <c r="H17" t="s">
        <v>37</v>
      </c>
    </row>
    <row r="18" spans="1:14" x14ac:dyDescent="0.3">
      <c r="A18" s="5">
        <f>A17+1</f>
        <v>7</v>
      </c>
      <c r="C18" t="s">
        <v>30</v>
      </c>
      <c r="F18" s="73">
        <f>'Sch 1.2'!F13</f>
        <v>8.0869999999999997E-2</v>
      </c>
      <c r="G18" s="73"/>
      <c r="H18" s="74" t="s">
        <v>162</v>
      </c>
    </row>
    <row r="19" spans="1:14" x14ac:dyDescent="0.3">
      <c r="A19" s="5">
        <f>A18+1</f>
        <v>8</v>
      </c>
      <c r="C19" t="s">
        <v>155</v>
      </c>
      <c r="F19" s="59">
        <f>ROUND(F17*F18,0)</f>
        <v>672305</v>
      </c>
      <c r="G19" s="64"/>
      <c r="H19" t="s">
        <v>38</v>
      </c>
    </row>
    <row r="21" spans="1:14" x14ac:dyDescent="0.3">
      <c r="B21" s="10" t="s">
        <v>31</v>
      </c>
    </row>
    <row r="22" spans="1:14" x14ac:dyDescent="0.3">
      <c r="A22" s="5">
        <f>A19+1</f>
        <v>9</v>
      </c>
      <c r="C22" t="s">
        <v>32</v>
      </c>
      <c r="F22" s="60">
        <f>SUM('Sch 2.0'!F38:Q38)</f>
        <v>105327</v>
      </c>
      <c r="G22" s="60"/>
      <c r="H22" t="s">
        <v>160</v>
      </c>
    </row>
    <row r="23" spans="1:14" x14ac:dyDescent="0.3">
      <c r="A23" s="51">
        <f>A22+1</f>
        <v>10</v>
      </c>
      <c r="C23" t="s">
        <v>33</v>
      </c>
      <c r="F23" s="167">
        <f>ROUND(F15*I23,0)</f>
        <v>110567</v>
      </c>
      <c r="G23" s="1"/>
      <c r="H23" t="s">
        <v>83</v>
      </c>
      <c r="I23" s="249">
        <v>1.32438E-2</v>
      </c>
    </row>
    <row r="24" spans="1:14" x14ac:dyDescent="0.3">
      <c r="A24" s="141">
        <f t="shared" ref="A24:A25" si="1">A23+1</f>
        <v>11</v>
      </c>
      <c r="C24" t="s">
        <v>34</v>
      </c>
      <c r="F24" s="168">
        <f>ROUND(SUM(F19:F23)*(0.001493/(1-0.001493)),0)</f>
        <v>1328</v>
      </c>
      <c r="G24" s="20"/>
      <c r="H24" s="37" t="s">
        <v>186</v>
      </c>
      <c r="M24" s="140"/>
      <c r="N24" s="37"/>
    </row>
    <row r="25" spans="1:14" x14ac:dyDescent="0.3">
      <c r="A25" s="141">
        <f t="shared" si="1"/>
        <v>12</v>
      </c>
      <c r="C25" t="s">
        <v>35</v>
      </c>
      <c r="F25" s="129">
        <f>SUM(F22:F24)</f>
        <v>217222</v>
      </c>
      <c r="G25" s="2"/>
      <c r="H25" s="37" t="s">
        <v>185</v>
      </c>
      <c r="J25" s="140"/>
    </row>
    <row r="26" spans="1:14" x14ac:dyDescent="0.3">
      <c r="H26" s="37"/>
    </row>
    <row r="27" spans="1:14" ht="15" thickBot="1" x14ac:dyDescent="0.35">
      <c r="A27" s="5">
        <f>A25+1</f>
        <v>13</v>
      </c>
      <c r="B27" s="10" t="s">
        <v>36</v>
      </c>
      <c r="F27" s="61">
        <f>F19+F25</f>
        <v>889527</v>
      </c>
      <c r="G27" s="63"/>
      <c r="H27" s="37" t="s">
        <v>40</v>
      </c>
      <c r="J27" s="140"/>
    </row>
    <row r="30" spans="1:14" x14ac:dyDescent="0.3">
      <c r="A30" s="5" t="s">
        <v>41</v>
      </c>
    </row>
    <row r="31" spans="1:14" x14ac:dyDescent="0.3">
      <c r="A31" s="37" t="str">
        <f>"(1) Property taxes estimated using an effective rate of "&amp;TEXT(I23,"0.00000%")</f>
        <v>(1) Property taxes estimated using an effective rate of 1.32438%</v>
      </c>
      <c r="B31" s="37"/>
      <c r="C31" s="37"/>
      <c r="D31" s="37"/>
    </row>
    <row r="32" spans="1:14" x14ac:dyDescent="0.3">
      <c r="A32" s="37" t="s">
        <v>187</v>
      </c>
      <c r="B32" s="37"/>
      <c r="C32" s="37"/>
      <c r="D32" s="37"/>
      <c r="J32" s="140"/>
    </row>
  </sheetData>
  <pageMargins left="0.7" right="0.7" top="0.75" bottom="0.75" header="0.3" footer="0.3"/>
  <pageSetup scale="62" orientation="landscape" r:id="rId1"/>
  <headerFooter>
    <oddHeader>&amp;R&amp;"Times New Roman,Bold"&amp;10KyPSC Case No. 2022-00229
STAFF-DR-01-007 Attachment 
Application Exhibit 2
Schedule 1.1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"/>
  <sheetViews>
    <sheetView view="pageLayout" zoomScaleNormal="100" workbookViewId="0">
      <selection activeCell="L6" sqref="L6"/>
    </sheetView>
  </sheetViews>
  <sheetFormatPr defaultRowHeight="14.4" x14ac:dyDescent="0.3"/>
  <cols>
    <col min="1" max="1" width="6.6640625" customWidth="1"/>
    <col min="2" max="2" width="19.6640625" customWidth="1"/>
    <col min="3" max="3" width="13.5546875" customWidth="1"/>
    <col min="4" max="4" width="12.109375" customWidth="1"/>
    <col min="5" max="5" width="13.5546875" customWidth="1"/>
    <col min="6" max="6" width="17.6640625" customWidth="1"/>
  </cols>
  <sheetData>
    <row r="1" spans="1:11" x14ac:dyDescent="0.3">
      <c r="A1" s="5"/>
      <c r="E1" s="5"/>
      <c r="F1" s="5"/>
      <c r="H1" s="5"/>
    </row>
    <row r="2" spans="1:11" x14ac:dyDescent="0.3">
      <c r="A2" s="117" t="str">
        <f>'Sch 1.0'!A2</f>
        <v>Duke Energy Kentucky</v>
      </c>
      <c r="B2" s="117"/>
      <c r="C2" s="117"/>
      <c r="D2" s="117"/>
      <c r="E2" s="117"/>
      <c r="F2" s="117"/>
      <c r="H2" s="117"/>
      <c r="I2" s="117"/>
    </row>
    <row r="3" spans="1:11" x14ac:dyDescent="0.3">
      <c r="A3" s="117" t="str">
        <f>'Sch 1.0'!A3</f>
        <v>Pipeline Modernization Mechanism ("Rider PMM")</v>
      </c>
      <c r="B3" s="117"/>
      <c r="C3" s="117"/>
      <c r="D3" s="117"/>
      <c r="E3" s="117"/>
      <c r="F3" s="117"/>
      <c r="H3" s="117"/>
      <c r="I3" s="117"/>
    </row>
    <row r="4" spans="1:11" x14ac:dyDescent="0.3">
      <c r="A4" s="117" t="s">
        <v>11</v>
      </c>
      <c r="B4" s="117"/>
      <c r="C4" s="117"/>
      <c r="D4" s="117"/>
      <c r="E4" s="117"/>
      <c r="F4" s="117"/>
      <c r="H4" s="117"/>
      <c r="I4" s="117"/>
    </row>
    <row r="5" spans="1:11" x14ac:dyDescent="0.3">
      <c r="A5" s="105"/>
      <c r="B5" s="105"/>
      <c r="C5" s="105"/>
      <c r="D5" s="105"/>
      <c r="E5" s="105"/>
      <c r="F5" s="105"/>
      <c r="H5" s="105"/>
      <c r="I5" s="105"/>
      <c r="J5" s="105"/>
      <c r="K5" s="105"/>
    </row>
    <row r="6" spans="1:11" x14ac:dyDescent="0.3">
      <c r="A6" s="104" t="s">
        <v>139</v>
      </c>
      <c r="B6" s="3"/>
      <c r="C6" s="3"/>
      <c r="D6" s="3"/>
      <c r="E6" s="3" t="s">
        <v>45</v>
      </c>
      <c r="F6" s="3" t="s">
        <v>46</v>
      </c>
    </row>
    <row r="7" spans="1:11" x14ac:dyDescent="0.3">
      <c r="A7" s="9" t="s">
        <v>140</v>
      </c>
      <c r="B7" s="9" t="s">
        <v>42</v>
      </c>
      <c r="C7" s="9" t="s">
        <v>43</v>
      </c>
      <c r="D7" s="9" t="s">
        <v>44</v>
      </c>
      <c r="E7" s="9" t="s">
        <v>44</v>
      </c>
      <c r="F7" s="76" t="s">
        <v>135</v>
      </c>
    </row>
    <row r="8" spans="1:11" x14ac:dyDescent="0.3">
      <c r="A8" s="9"/>
      <c r="B8" s="18" t="s">
        <v>63</v>
      </c>
      <c r="C8" s="62" t="s">
        <v>64</v>
      </c>
      <c r="D8" s="62" t="s">
        <v>66</v>
      </c>
      <c r="E8" s="62" t="s">
        <v>86</v>
      </c>
      <c r="F8" s="62" t="s">
        <v>111</v>
      </c>
    </row>
    <row r="10" spans="1:11" x14ac:dyDescent="0.3">
      <c r="A10" s="105">
        <v>1</v>
      </c>
      <c r="B10" t="s">
        <v>47</v>
      </c>
      <c r="C10" s="195">
        <v>2.6169999999999999E-2</v>
      </c>
      <c r="D10" s="195">
        <v>1.6670000000000001E-2</v>
      </c>
      <c r="E10" s="14">
        <f>ROUND(C10*D10,5)</f>
        <v>4.4000000000000002E-4</v>
      </c>
      <c r="F10" s="150">
        <f>E10</f>
        <v>4.4000000000000002E-4</v>
      </c>
    </row>
    <row r="11" spans="1:11" x14ac:dyDescent="0.3">
      <c r="A11" s="105">
        <f>A10+1</f>
        <v>2</v>
      </c>
      <c r="B11" t="s">
        <v>48</v>
      </c>
      <c r="C11" s="195">
        <v>0.46039000000000002</v>
      </c>
      <c r="D11" s="195">
        <v>3.6560000000000002E-2</v>
      </c>
      <c r="E11" s="14">
        <f>ROUND(C11*D11,5)</f>
        <v>1.6830000000000001E-2</v>
      </c>
      <c r="F11" s="150">
        <f>E11</f>
        <v>1.6830000000000001E-2</v>
      </c>
    </row>
    <row r="12" spans="1:11" x14ac:dyDescent="0.3">
      <c r="A12" s="105">
        <f t="shared" ref="A12:A13" si="0">A11+1</f>
        <v>3</v>
      </c>
      <c r="B12" t="s">
        <v>49</v>
      </c>
      <c r="C12" s="196">
        <v>0.51344000000000001</v>
      </c>
      <c r="D12" s="195">
        <v>9.2999999999999999E-2</v>
      </c>
      <c r="E12" s="15">
        <f>ROUND(C12*D12,5)</f>
        <v>4.7750000000000001E-2</v>
      </c>
      <c r="F12" s="197">
        <f>ROUND(E12/(1-0.24925),5)</f>
        <v>6.3600000000000004E-2</v>
      </c>
    </row>
    <row r="13" spans="1:11" x14ac:dyDescent="0.3">
      <c r="A13" s="105">
        <f t="shared" si="0"/>
        <v>4</v>
      </c>
      <c r="B13" t="s">
        <v>21</v>
      </c>
      <c r="C13" s="14">
        <f>SUM(C10:C12)</f>
        <v>1</v>
      </c>
      <c r="E13" s="40">
        <f>SUM(E10:E12)</f>
        <v>6.5019999999999994E-2</v>
      </c>
      <c r="F13" s="40">
        <f>SUM(F10:F12)</f>
        <v>8.0869999999999997E-2</v>
      </c>
    </row>
    <row r="18" spans="2:5" x14ac:dyDescent="0.3">
      <c r="B18" s="37" t="s">
        <v>184</v>
      </c>
      <c r="C18" s="37"/>
      <c r="D18" s="37"/>
      <c r="E18" s="37"/>
    </row>
    <row r="19" spans="2:5" x14ac:dyDescent="0.3">
      <c r="B19" s="37" t="s">
        <v>225</v>
      </c>
      <c r="C19" s="37"/>
      <c r="D19" s="37"/>
      <c r="E19" s="37"/>
    </row>
  </sheetData>
  <pageMargins left="0.7" right="0.7" top="0.75" bottom="0.75" header="0.3" footer="0.3"/>
  <pageSetup scale="62" orientation="portrait" r:id="rId1"/>
  <headerFooter>
    <oddHeader>&amp;R&amp;"Times New Roman,Bold"&amp;10KyPSC Case No. 2022-00229
STAFF-DR-01-007 Attachment 
Application Exhibit 2
Schedule 1.2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44"/>
  <sheetViews>
    <sheetView view="pageLayout" zoomScaleNormal="85" zoomScaleSheetLayoutView="93" workbookViewId="0">
      <selection activeCell="K8" sqref="K8"/>
    </sheetView>
  </sheetViews>
  <sheetFormatPr defaultRowHeight="14.4" x14ac:dyDescent="0.3"/>
  <cols>
    <col min="1" max="1" width="8.33203125" bestFit="1" customWidth="1"/>
    <col min="2" max="2" width="31.44140625" customWidth="1"/>
    <col min="3" max="4" width="13.5546875" customWidth="1"/>
    <col min="5" max="5" width="13.109375" customWidth="1"/>
    <col min="6" max="12" width="11.6640625" customWidth="1"/>
    <col min="13" max="13" width="12.44140625" bestFit="1" customWidth="1"/>
    <col min="14" max="14" width="12.5546875" bestFit="1" customWidth="1"/>
    <col min="15" max="15" width="11.6640625" customWidth="1"/>
    <col min="16" max="17" width="13.33203125" customWidth="1"/>
    <col min="18" max="18" width="12.88671875" customWidth="1"/>
    <col min="19" max="19" width="12.5546875" bestFit="1" customWidth="1"/>
  </cols>
  <sheetData>
    <row r="1" spans="1:19" x14ac:dyDescent="0.3">
      <c r="A1" s="117" t="str">
        <f>'Sch 1.0'!A2</f>
        <v>Duke Energy Kentucky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x14ac:dyDescent="0.3">
      <c r="A2" s="117" t="str">
        <f>'Sch 1.0'!A3</f>
        <v>Pipeline Modernization Mechanism ("Rider PMM")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9" x14ac:dyDescent="0.3">
      <c r="A3" s="117" t="s">
        <v>32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</row>
    <row r="4" spans="1:19" x14ac:dyDescent="0.3">
      <c r="A4" s="5"/>
    </row>
    <row r="5" spans="1:19" x14ac:dyDescent="0.3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R5" s="4"/>
    </row>
    <row r="6" spans="1:19" x14ac:dyDescent="0.3">
      <c r="A6" s="104" t="s">
        <v>139</v>
      </c>
      <c r="B6" s="3"/>
      <c r="C6" s="3" t="s">
        <v>50</v>
      </c>
      <c r="D6" s="4"/>
      <c r="E6" s="106" t="s">
        <v>104</v>
      </c>
      <c r="F6" s="188" t="s">
        <v>167</v>
      </c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04" t="s">
        <v>104</v>
      </c>
    </row>
    <row r="7" spans="1:19" x14ac:dyDescent="0.3">
      <c r="A7" s="9" t="s">
        <v>140</v>
      </c>
      <c r="B7" s="9" t="s">
        <v>9</v>
      </c>
      <c r="C7" s="9" t="s">
        <v>51</v>
      </c>
      <c r="D7" s="9"/>
      <c r="E7" s="187">
        <v>2022</v>
      </c>
      <c r="F7" s="9" t="s">
        <v>93</v>
      </c>
      <c r="G7" s="9" t="s">
        <v>94</v>
      </c>
      <c r="H7" s="9" t="s">
        <v>95</v>
      </c>
      <c r="I7" s="9" t="s">
        <v>96</v>
      </c>
      <c r="J7" s="9" t="s">
        <v>97</v>
      </c>
      <c r="K7" s="9" t="s">
        <v>98</v>
      </c>
      <c r="L7" s="9" t="s">
        <v>99</v>
      </c>
      <c r="M7" s="9" t="s">
        <v>100</v>
      </c>
      <c r="N7" s="9" t="s">
        <v>101</v>
      </c>
      <c r="O7" s="9" t="s">
        <v>102</v>
      </c>
      <c r="P7" s="9" t="s">
        <v>103</v>
      </c>
      <c r="Q7" s="9" t="s">
        <v>92</v>
      </c>
      <c r="R7" s="187">
        <v>2023</v>
      </c>
    </row>
    <row r="8" spans="1:19" x14ac:dyDescent="0.3">
      <c r="B8" s="18" t="s">
        <v>63</v>
      </c>
      <c r="C8" s="18" t="s">
        <v>64</v>
      </c>
      <c r="D8" s="18" t="s">
        <v>66</v>
      </c>
      <c r="E8" s="77" t="s">
        <v>86</v>
      </c>
      <c r="F8" s="18" t="s">
        <v>111</v>
      </c>
      <c r="G8" s="18" t="s">
        <v>112</v>
      </c>
      <c r="H8" s="18" t="s">
        <v>113</v>
      </c>
      <c r="I8" s="18" t="s">
        <v>114</v>
      </c>
      <c r="J8" s="18" t="s">
        <v>115</v>
      </c>
      <c r="K8" s="18" t="s">
        <v>116</v>
      </c>
      <c r="L8" s="18" t="s">
        <v>117</v>
      </c>
      <c r="M8" s="18" t="s">
        <v>118</v>
      </c>
      <c r="N8" s="18" t="s">
        <v>119</v>
      </c>
      <c r="O8" s="18" t="s">
        <v>120</v>
      </c>
      <c r="P8" s="18" t="s">
        <v>121</v>
      </c>
      <c r="Q8" s="18" t="s">
        <v>122</v>
      </c>
      <c r="R8" s="18" t="s">
        <v>124</v>
      </c>
    </row>
    <row r="9" spans="1:19" x14ac:dyDescent="0.3">
      <c r="E9" s="37"/>
    </row>
    <row r="10" spans="1:19" ht="16.2" x14ac:dyDescent="0.3">
      <c r="B10" s="10" t="s">
        <v>127</v>
      </c>
      <c r="E10" s="37"/>
    </row>
    <row r="11" spans="1:19" x14ac:dyDescent="0.3">
      <c r="B11" s="10" t="s">
        <v>52</v>
      </c>
      <c r="E11" s="37"/>
      <c r="R11" s="23"/>
    </row>
    <row r="12" spans="1:19" x14ac:dyDescent="0.3">
      <c r="A12" s="48">
        <v>1</v>
      </c>
      <c r="B12" s="37" t="s">
        <v>178</v>
      </c>
      <c r="C12" s="190">
        <v>376</v>
      </c>
      <c r="D12" s="43"/>
      <c r="E12" s="211">
        <v>0</v>
      </c>
      <c r="F12" s="185">
        <v>0</v>
      </c>
      <c r="G12" s="185">
        <v>0</v>
      </c>
      <c r="H12" s="185">
        <v>0</v>
      </c>
      <c r="I12" s="185">
        <v>0</v>
      </c>
      <c r="J12" s="185">
        <v>0</v>
      </c>
      <c r="K12" s="185">
        <v>0</v>
      </c>
      <c r="L12" s="185">
        <v>0</v>
      </c>
      <c r="M12" s="185">
        <v>0</v>
      </c>
      <c r="N12" s="147">
        <v>16014245.393765016</v>
      </c>
      <c r="O12" s="147">
        <v>1143874.6709832156</v>
      </c>
      <c r="P12" s="147">
        <v>953228.89248601301</v>
      </c>
      <c r="Q12" s="147">
        <v>953228.89248601301</v>
      </c>
      <c r="R12" s="63">
        <f>SUM(E12:Q12)</f>
        <v>19064577.849720258</v>
      </c>
    </row>
    <row r="13" spans="1:19" x14ac:dyDescent="0.3">
      <c r="A13" s="141">
        <v>2</v>
      </c>
      <c r="B13" s="37" t="s">
        <v>192</v>
      </c>
      <c r="C13" s="190">
        <v>378</v>
      </c>
      <c r="D13" s="43"/>
      <c r="E13" s="211">
        <v>0</v>
      </c>
      <c r="F13" s="185">
        <v>0</v>
      </c>
      <c r="G13" s="185">
        <v>0</v>
      </c>
      <c r="H13" s="185">
        <v>0</v>
      </c>
      <c r="I13" s="185">
        <v>0</v>
      </c>
      <c r="J13" s="185">
        <v>0</v>
      </c>
      <c r="K13" s="185">
        <v>0</v>
      </c>
      <c r="L13" s="185">
        <v>0</v>
      </c>
      <c r="M13" s="185">
        <v>0</v>
      </c>
      <c r="N13" s="147">
        <v>7650506.8682211535</v>
      </c>
      <c r="O13" s="147">
        <v>546464.77630151098</v>
      </c>
      <c r="P13" s="147">
        <v>455387.31358459248</v>
      </c>
      <c r="Q13" s="147">
        <v>455387.31358459248</v>
      </c>
      <c r="R13" s="63">
        <f t="shared" ref="R13:R14" si="0">SUM(E13:Q13)</f>
        <v>9107746.2716918495</v>
      </c>
    </row>
    <row r="14" spans="1:19" x14ac:dyDescent="0.3">
      <c r="A14" s="141">
        <v>3</v>
      </c>
      <c r="B14" s="37" t="s">
        <v>191</v>
      </c>
      <c r="C14" s="190">
        <v>374</v>
      </c>
      <c r="D14" s="43"/>
      <c r="E14" s="154">
        <v>0</v>
      </c>
      <c r="F14" s="192">
        <v>0</v>
      </c>
      <c r="G14" s="192">
        <v>0</v>
      </c>
      <c r="H14" s="192">
        <v>0</v>
      </c>
      <c r="I14" s="192">
        <v>0</v>
      </c>
      <c r="J14" s="192">
        <v>0</v>
      </c>
      <c r="K14" s="192">
        <v>0</v>
      </c>
      <c r="L14" s="192">
        <v>0</v>
      </c>
      <c r="M14" s="192">
        <v>0</v>
      </c>
      <c r="N14" s="216">
        <v>1158642.7588373148</v>
      </c>
      <c r="O14" s="216">
        <v>82760.197059808197</v>
      </c>
      <c r="P14" s="216">
        <v>68966.830883173505</v>
      </c>
      <c r="Q14" s="216">
        <v>68966.830883173505</v>
      </c>
      <c r="R14" s="65">
        <f t="shared" si="0"/>
        <v>1379336.6176634701</v>
      </c>
    </row>
    <row r="15" spans="1:19" x14ac:dyDescent="0.3">
      <c r="A15" s="51">
        <v>4</v>
      </c>
      <c r="B15" t="s">
        <v>53</v>
      </c>
      <c r="C15" s="44"/>
      <c r="D15" s="44"/>
      <c r="E15" s="66">
        <f>SUM(E12:E14)</f>
        <v>0</v>
      </c>
      <c r="F15" s="66">
        <f t="shared" ref="F15:R15" si="1">SUM(F12:F14)</f>
        <v>0</v>
      </c>
      <c r="G15" s="66">
        <f t="shared" si="1"/>
        <v>0</v>
      </c>
      <c r="H15" s="66">
        <f t="shared" si="1"/>
        <v>0</v>
      </c>
      <c r="I15" s="66">
        <f t="shared" si="1"/>
        <v>0</v>
      </c>
      <c r="J15" s="66">
        <f t="shared" si="1"/>
        <v>0</v>
      </c>
      <c r="K15" s="66">
        <f t="shared" si="1"/>
        <v>0</v>
      </c>
      <c r="L15" s="66">
        <f t="shared" si="1"/>
        <v>0</v>
      </c>
      <c r="M15" s="66">
        <f t="shared" si="1"/>
        <v>0</v>
      </c>
      <c r="N15" s="66">
        <f t="shared" si="1"/>
        <v>24823395.020823486</v>
      </c>
      <c r="O15" s="66">
        <f t="shared" si="1"/>
        <v>1773099.6443445347</v>
      </c>
      <c r="P15" s="66">
        <f t="shared" si="1"/>
        <v>1477583.0369537789</v>
      </c>
      <c r="Q15" s="66">
        <f t="shared" si="1"/>
        <v>1477583.0369537789</v>
      </c>
      <c r="R15" s="66">
        <f t="shared" si="1"/>
        <v>29551660.739075575</v>
      </c>
      <c r="S15" s="69"/>
    </row>
    <row r="16" spans="1:19" x14ac:dyDescent="0.3">
      <c r="A16" s="51"/>
      <c r="C16" s="44"/>
      <c r="D16" s="44"/>
      <c r="E16" s="5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0"/>
    </row>
    <row r="17" spans="1:19" x14ac:dyDescent="0.3">
      <c r="B17" s="10" t="s">
        <v>54</v>
      </c>
      <c r="C17" s="5"/>
      <c r="D17" s="51"/>
      <c r="E17" s="84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53"/>
    </row>
    <row r="18" spans="1:19" x14ac:dyDescent="0.3">
      <c r="A18" s="48">
        <v>5</v>
      </c>
      <c r="B18" s="37" t="s">
        <v>178</v>
      </c>
      <c r="C18" s="190">
        <v>376</v>
      </c>
      <c r="D18" s="43"/>
      <c r="E18" s="211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308000.01</v>
      </c>
      <c r="R18" s="63">
        <f>SUM(E18:Q18)</f>
        <v>308000.01</v>
      </c>
    </row>
    <row r="19" spans="1:19" s="23" customFormat="1" x14ac:dyDescent="0.3">
      <c r="A19" s="53">
        <v>6</v>
      </c>
      <c r="B19" s="37" t="s">
        <v>192</v>
      </c>
      <c r="C19" s="212">
        <v>378</v>
      </c>
      <c r="D19" s="213"/>
      <c r="E19" s="211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63">
        <f t="shared" ref="R19:R21" si="2">SUM(E19:Q19)</f>
        <v>0</v>
      </c>
    </row>
    <row r="20" spans="1:19" s="23" customFormat="1" x14ac:dyDescent="0.3">
      <c r="A20" s="53">
        <v>7</v>
      </c>
      <c r="B20" s="41" t="s">
        <v>191</v>
      </c>
      <c r="C20" s="212">
        <v>374</v>
      </c>
      <c r="D20" s="213"/>
      <c r="E20" s="154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216">
        <v>0</v>
      </c>
      <c r="O20" s="216">
        <v>0</v>
      </c>
      <c r="P20" s="216">
        <v>0</v>
      </c>
      <c r="Q20" s="216">
        <v>0</v>
      </c>
      <c r="R20" s="65">
        <f t="shared" si="2"/>
        <v>0</v>
      </c>
    </row>
    <row r="21" spans="1:19" x14ac:dyDescent="0.3">
      <c r="A21" s="51">
        <v>8</v>
      </c>
      <c r="B21" t="s">
        <v>55</v>
      </c>
      <c r="C21" s="5"/>
      <c r="D21" s="51"/>
      <c r="E21" s="66">
        <f>SUM(E18:E20)</f>
        <v>0</v>
      </c>
      <c r="F21" s="66">
        <f t="shared" ref="F21:Q21" si="3">SUM(F18:F20)</f>
        <v>0</v>
      </c>
      <c r="G21" s="66">
        <f t="shared" si="3"/>
        <v>0</v>
      </c>
      <c r="H21" s="66">
        <f t="shared" si="3"/>
        <v>0</v>
      </c>
      <c r="I21" s="66">
        <f t="shared" si="3"/>
        <v>0</v>
      </c>
      <c r="J21" s="66">
        <f t="shared" si="3"/>
        <v>0</v>
      </c>
      <c r="K21" s="66">
        <f t="shared" si="3"/>
        <v>0</v>
      </c>
      <c r="L21" s="66">
        <f t="shared" si="3"/>
        <v>0</v>
      </c>
      <c r="M21" s="66">
        <f t="shared" si="3"/>
        <v>0</v>
      </c>
      <c r="N21" s="66">
        <f t="shared" si="3"/>
        <v>0</v>
      </c>
      <c r="O21" s="66">
        <f t="shared" si="3"/>
        <v>0</v>
      </c>
      <c r="P21" s="66">
        <f t="shared" si="3"/>
        <v>0</v>
      </c>
      <c r="Q21" s="66">
        <f t="shared" si="3"/>
        <v>308000.01</v>
      </c>
      <c r="R21" s="63">
        <f t="shared" si="2"/>
        <v>308000.01</v>
      </c>
      <c r="S21" s="69"/>
    </row>
    <row r="22" spans="1:19" x14ac:dyDescent="0.3">
      <c r="C22" s="5"/>
      <c r="D22" s="51"/>
      <c r="E22" s="84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</row>
    <row r="23" spans="1:19" x14ac:dyDescent="0.3">
      <c r="B23" s="10" t="s">
        <v>25</v>
      </c>
      <c r="C23" s="5"/>
      <c r="D23" s="51"/>
      <c r="E23" s="84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53"/>
      <c r="S23" s="23"/>
    </row>
    <row r="24" spans="1:19" x14ac:dyDescent="0.3">
      <c r="A24" s="48">
        <v>9</v>
      </c>
      <c r="B24" s="37" t="s">
        <v>178</v>
      </c>
      <c r="C24" s="190">
        <v>376</v>
      </c>
      <c r="D24" s="43"/>
      <c r="E24" s="211">
        <v>0</v>
      </c>
      <c r="F24" s="185">
        <v>0</v>
      </c>
      <c r="G24" s="185">
        <v>0</v>
      </c>
      <c r="H24" s="185">
        <v>0</v>
      </c>
      <c r="I24" s="185">
        <v>0</v>
      </c>
      <c r="J24" s="185">
        <v>0</v>
      </c>
      <c r="K24" s="185">
        <v>0</v>
      </c>
      <c r="L24" s="185">
        <v>0</v>
      </c>
      <c r="M24" s="185">
        <v>0</v>
      </c>
      <c r="N24" s="185">
        <v>0</v>
      </c>
      <c r="O24" s="185">
        <v>0</v>
      </c>
      <c r="P24" s="185">
        <v>0</v>
      </c>
      <c r="Q24" s="185">
        <v>0</v>
      </c>
      <c r="R24" s="211">
        <v>0</v>
      </c>
      <c r="S24" s="23"/>
    </row>
    <row r="25" spans="1:19" s="23" customFormat="1" x14ac:dyDescent="0.3">
      <c r="A25" s="53">
        <v>10</v>
      </c>
      <c r="B25" s="37" t="s">
        <v>192</v>
      </c>
      <c r="C25" s="212">
        <v>378</v>
      </c>
      <c r="D25" s="213"/>
      <c r="E25" s="211">
        <v>0</v>
      </c>
      <c r="F25" s="185">
        <v>0</v>
      </c>
      <c r="G25" s="185">
        <v>0</v>
      </c>
      <c r="H25" s="185">
        <v>0</v>
      </c>
      <c r="I25" s="185">
        <v>0</v>
      </c>
      <c r="J25" s="185">
        <v>0</v>
      </c>
      <c r="K25" s="185">
        <v>0</v>
      </c>
      <c r="L25" s="185">
        <v>0</v>
      </c>
      <c r="M25" s="185">
        <v>0</v>
      </c>
      <c r="N25" s="185">
        <v>0</v>
      </c>
      <c r="O25" s="185">
        <v>0</v>
      </c>
      <c r="P25" s="185">
        <v>0</v>
      </c>
      <c r="Q25" s="185">
        <v>0</v>
      </c>
      <c r="R25" s="211">
        <v>0</v>
      </c>
    </row>
    <row r="26" spans="1:19" s="23" customFormat="1" x14ac:dyDescent="0.3">
      <c r="A26" s="53">
        <v>11</v>
      </c>
      <c r="B26" s="41" t="s">
        <v>191</v>
      </c>
      <c r="C26" s="212">
        <v>374</v>
      </c>
      <c r="D26" s="213"/>
      <c r="E26" s="154">
        <v>0</v>
      </c>
      <c r="F26" s="192">
        <v>0</v>
      </c>
      <c r="G26" s="192">
        <v>0</v>
      </c>
      <c r="H26" s="192">
        <v>0</v>
      </c>
      <c r="I26" s="192">
        <v>0</v>
      </c>
      <c r="J26" s="192">
        <v>0</v>
      </c>
      <c r="K26" s="192">
        <v>0</v>
      </c>
      <c r="L26" s="192">
        <v>0</v>
      </c>
      <c r="M26" s="192">
        <v>0</v>
      </c>
      <c r="N26" s="192">
        <v>0</v>
      </c>
      <c r="O26" s="192">
        <v>0</v>
      </c>
      <c r="P26" s="192">
        <v>0</v>
      </c>
      <c r="Q26" s="192">
        <v>0</v>
      </c>
      <c r="R26" s="154">
        <v>0</v>
      </c>
    </row>
    <row r="27" spans="1:19" x14ac:dyDescent="0.3">
      <c r="A27" s="48">
        <v>12</v>
      </c>
      <c r="B27" s="22" t="s">
        <v>56</v>
      </c>
      <c r="E27" s="100">
        <f>SUM(E24:E26)</f>
        <v>0</v>
      </c>
      <c r="F27" s="100">
        <f t="shared" ref="F27:R27" si="4">SUM(F24:F26)</f>
        <v>0</v>
      </c>
      <c r="G27" s="100">
        <f t="shared" si="4"/>
        <v>0</v>
      </c>
      <c r="H27" s="100">
        <f t="shared" si="4"/>
        <v>0</v>
      </c>
      <c r="I27" s="100">
        <f t="shared" si="4"/>
        <v>0</v>
      </c>
      <c r="J27" s="100">
        <f t="shared" si="4"/>
        <v>0</v>
      </c>
      <c r="K27" s="100">
        <f t="shared" si="4"/>
        <v>0</v>
      </c>
      <c r="L27" s="100">
        <f t="shared" si="4"/>
        <v>0</v>
      </c>
      <c r="M27" s="100">
        <f t="shared" si="4"/>
        <v>0</v>
      </c>
      <c r="N27" s="100">
        <f t="shared" si="4"/>
        <v>0</v>
      </c>
      <c r="O27" s="100">
        <f t="shared" si="4"/>
        <v>0</v>
      </c>
      <c r="P27" s="100">
        <f t="shared" si="4"/>
        <v>0</v>
      </c>
      <c r="Q27" s="100">
        <f t="shared" si="4"/>
        <v>0</v>
      </c>
      <c r="R27" s="100">
        <f t="shared" si="4"/>
        <v>0</v>
      </c>
      <c r="S27" s="23"/>
    </row>
    <row r="28" spans="1:19" x14ac:dyDescent="0.3">
      <c r="E28" s="37"/>
      <c r="R28" s="23"/>
      <c r="S28" s="23"/>
    </row>
    <row r="29" spans="1:19" x14ac:dyDescent="0.3">
      <c r="B29" s="10"/>
      <c r="C29" s="47"/>
      <c r="D29" s="47"/>
      <c r="E29" s="8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0"/>
      <c r="S29" s="23"/>
    </row>
    <row r="30" spans="1:19" x14ac:dyDescent="0.3">
      <c r="A30" s="51"/>
      <c r="B30" s="46"/>
      <c r="C30" s="47"/>
      <c r="E30" s="86"/>
      <c r="H30" s="49"/>
      <c r="I30" s="18"/>
      <c r="J30" s="18"/>
      <c r="K30" s="18"/>
      <c r="L30" s="18"/>
      <c r="M30" s="18"/>
      <c r="N30" s="18"/>
      <c r="O30" s="18"/>
      <c r="P30" s="18"/>
      <c r="Q30" s="18"/>
      <c r="R30" s="1"/>
    </row>
    <row r="31" spans="1:19" x14ac:dyDescent="0.3">
      <c r="A31" s="48"/>
      <c r="B31" s="46"/>
      <c r="D31" s="47" t="s">
        <v>107</v>
      </c>
      <c r="E31" s="75" t="s">
        <v>105</v>
      </c>
      <c r="G31" s="69"/>
      <c r="R31" s="4" t="s">
        <v>108</v>
      </c>
    </row>
    <row r="32" spans="1:19" x14ac:dyDescent="0.3">
      <c r="A32" s="48"/>
      <c r="D32" s="4" t="s">
        <v>32</v>
      </c>
      <c r="E32" s="106" t="s">
        <v>104</v>
      </c>
      <c r="F32" s="191" t="s">
        <v>168</v>
      </c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50" t="s">
        <v>109</v>
      </c>
    </row>
    <row r="33" spans="1:18" x14ac:dyDescent="0.3">
      <c r="A33" s="51"/>
      <c r="B33" s="10" t="s">
        <v>123</v>
      </c>
      <c r="D33" s="151" t="s">
        <v>106</v>
      </c>
      <c r="E33" s="111">
        <f>E7</f>
        <v>2022</v>
      </c>
      <c r="F33" s="9" t="s">
        <v>93</v>
      </c>
      <c r="G33" s="9" t="s">
        <v>94</v>
      </c>
      <c r="H33" s="9" t="s">
        <v>95</v>
      </c>
      <c r="I33" s="9" t="s">
        <v>96</v>
      </c>
      <c r="J33" s="9" t="s">
        <v>97</v>
      </c>
      <c r="K33" s="9" t="s">
        <v>98</v>
      </c>
      <c r="L33" s="9" t="s">
        <v>99</v>
      </c>
      <c r="M33" s="9" t="s">
        <v>100</v>
      </c>
      <c r="N33" s="9" t="s">
        <v>101</v>
      </c>
      <c r="O33" s="9" t="s">
        <v>102</v>
      </c>
      <c r="P33" s="9" t="s">
        <v>103</v>
      </c>
      <c r="Q33" s="9" t="s">
        <v>92</v>
      </c>
    </row>
    <row r="34" spans="1:18" x14ac:dyDescent="0.3">
      <c r="A34" s="51"/>
      <c r="B34" s="10" t="s">
        <v>52</v>
      </c>
      <c r="D34" s="4"/>
      <c r="E34" s="76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8" x14ac:dyDescent="0.3">
      <c r="A35" s="48">
        <v>13</v>
      </c>
      <c r="B35" s="37" t="s">
        <v>178</v>
      </c>
      <c r="C35" s="190">
        <v>376</v>
      </c>
      <c r="D35" s="193">
        <v>1.49E-2</v>
      </c>
      <c r="E35" s="185">
        <v>0</v>
      </c>
      <c r="F35" s="99">
        <f>ROUND(SUM($E$12:E12)*$D$35/12,0)</f>
        <v>0</v>
      </c>
      <c r="G35" s="99">
        <f>ROUND(SUM($E$12:F12)*$D$35/12,0)</f>
        <v>0</v>
      </c>
      <c r="H35" s="99">
        <f>ROUND(SUM($E$12:G12)*$D$35/12,0)</f>
        <v>0</v>
      </c>
      <c r="I35" s="99">
        <f>ROUND(SUM($E$12:H12)*$D$35/12,0)</f>
        <v>0</v>
      </c>
      <c r="J35" s="99">
        <f>ROUND(SUM($E$12:I12)*$D$35/12,0)</f>
        <v>0</v>
      </c>
      <c r="K35" s="99">
        <f>ROUND(SUM($E$12:J12)*$D$35/12,0)</f>
        <v>0</v>
      </c>
      <c r="L35" s="99">
        <f>ROUND(SUM($E$12:K12)*$D$35/12,0)</f>
        <v>0</v>
      </c>
      <c r="M35" s="99">
        <f>ROUND(SUM($E$12:L12)*$D$35/12,0)</f>
        <v>0</v>
      </c>
      <c r="N35" s="99">
        <f>ROUND(SUM($E$12:M12)*$D$35/12,0)</f>
        <v>0</v>
      </c>
      <c r="O35" s="99">
        <f>ROUND(SUM($E$12:N12)*$D$35/12,0)</f>
        <v>19884</v>
      </c>
      <c r="P35" s="99">
        <f>ROUND(SUM($E$12:O12)*$D$35/12,0)</f>
        <v>21305</v>
      </c>
      <c r="Q35" s="99">
        <f>ROUND(SUM($E$12:P12)*$D$35/12,0)</f>
        <v>22488</v>
      </c>
      <c r="R35" s="20"/>
    </row>
    <row r="36" spans="1:18" x14ac:dyDescent="0.3">
      <c r="A36" s="141">
        <v>14</v>
      </c>
      <c r="B36" s="37" t="s">
        <v>192</v>
      </c>
      <c r="C36" s="190">
        <v>378</v>
      </c>
      <c r="D36" s="193">
        <v>2.0400000000000001E-2</v>
      </c>
      <c r="E36" s="185">
        <v>0</v>
      </c>
      <c r="F36" s="99">
        <f>ROUND(SUM($E$13:E13)*$D$36/12,0)</f>
        <v>0</v>
      </c>
      <c r="G36" s="99">
        <f>ROUND(SUM($E$13:F13)*$D$36/12,0)</f>
        <v>0</v>
      </c>
      <c r="H36" s="99">
        <f>ROUND(SUM($E$13:G13)*$D$36/12,0)</f>
        <v>0</v>
      </c>
      <c r="I36" s="99">
        <f>ROUND(SUM($E$13:H13)*$D$36/12,0)</f>
        <v>0</v>
      </c>
      <c r="J36" s="99">
        <f>ROUND(SUM($E$13:I13)*$D$36/12,0)</f>
        <v>0</v>
      </c>
      <c r="K36" s="99">
        <f>ROUND(SUM($E$13:J13)*$D$36/12,0)</f>
        <v>0</v>
      </c>
      <c r="L36" s="99">
        <f>ROUND(SUM($E$13:K13)*$D$36/12,0)</f>
        <v>0</v>
      </c>
      <c r="M36" s="99">
        <f>ROUND(SUM($E$13:L13)*$D$36/12,0)</f>
        <v>0</v>
      </c>
      <c r="N36" s="99">
        <f>ROUND(SUM($E$13:M13)*$D$36/12,0)</f>
        <v>0</v>
      </c>
      <c r="O36" s="99">
        <f>ROUND(SUM($E$13:N13)*$D$36/12,0)</f>
        <v>13006</v>
      </c>
      <c r="P36" s="99">
        <f>ROUND(SUM($E$13:O13)*$D$36/12,0)</f>
        <v>13935</v>
      </c>
      <c r="Q36" s="99">
        <f>ROUND(SUM($E$13:P13)*$D$36/12,0)</f>
        <v>14709</v>
      </c>
      <c r="R36" s="20"/>
    </row>
    <row r="37" spans="1:18" x14ac:dyDescent="0.3">
      <c r="A37" s="141">
        <v>15</v>
      </c>
      <c r="B37" s="37" t="s">
        <v>191</v>
      </c>
      <c r="C37" s="190">
        <v>374</v>
      </c>
      <c r="D37" s="193">
        <v>0</v>
      </c>
      <c r="E37" s="192">
        <v>0</v>
      </c>
      <c r="F37" s="155">
        <f>ROUND(SUM($E$14:E14)*$D$37/12,0)</f>
        <v>0</v>
      </c>
      <c r="G37" s="155">
        <f>ROUND(SUM($E$14:F14)*$D$37/12,0)</f>
        <v>0</v>
      </c>
      <c r="H37" s="155">
        <f>ROUND(SUM($E$14:G14)*$D$37/12,0)</f>
        <v>0</v>
      </c>
      <c r="I37" s="155">
        <f>ROUND(SUM($E$14:H14)*$D$37/12,0)</f>
        <v>0</v>
      </c>
      <c r="J37" s="155">
        <f>ROUND(SUM($E$14:I14)*$D$37/12,0)</f>
        <v>0</v>
      </c>
      <c r="K37" s="155">
        <f>ROUND(SUM($E$14:J14)*$D$37/12,0)</f>
        <v>0</v>
      </c>
      <c r="L37" s="155">
        <f>ROUND(SUM($E$14:K14)*$D$37/12,0)</f>
        <v>0</v>
      </c>
      <c r="M37" s="155">
        <f>ROUND(SUM($E$14:L14)*$D$37/12,0)</f>
        <v>0</v>
      </c>
      <c r="N37" s="155">
        <f>ROUND(SUM($E$14:M14)*$D$37/12,0)</f>
        <v>0</v>
      </c>
      <c r="O37" s="155">
        <f>ROUND(SUM($E$14:N14)*$D$37/12,0)</f>
        <v>0</v>
      </c>
      <c r="P37" s="155">
        <f>ROUND(SUM($E$14:O14)*$D$37/12,0)</f>
        <v>0</v>
      </c>
      <c r="Q37" s="155">
        <f>ROUND(SUM($E$14:P14)*$D$37/12,0)</f>
        <v>0</v>
      </c>
      <c r="R37" s="20"/>
    </row>
    <row r="38" spans="1:18" x14ac:dyDescent="0.3">
      <c r="A38" s="51">
        <v>16</v>
      </c>
      <c r="B38" t="s">
        <v>53</v>
      </c>
      <c r="C38" s="44"/>
      <c r="D38" s="194"/>
      <c r="E38" s="66">
        <f>SUM(E35:E37)</f>
        <v>0</v>
      </c>
      <c r="F38" s="66">
        <f t="shared" ref="F38:Q38" si="5">SUM(F35:F37)</f>
        <v>0</v>
      </c>
      <c r="G38" s="66">
        <f t="shared" si="5"/>
        <v>0</v>
      </c>
      <c r="H38" s="66">
        <f t="shared" si="5"/>
        <v>0</v>
      </c>
      <c r="I38" s="66">
        <f t="shared" si="5"/>
        <v>0</v>
      </c>
      <c r="J38" s="66">
        <f t="shared" si="5"/>
        <v>0</v>
      </c>
      <c r="K38" s="66">
        <f t="shared" si="5"/>
        <v>0</v>
      </c>
      <c r="L38" s="66">
        <f t="shared" si="5"/>
        <v>0</v>
      </c>
      <c r="M38" s="66">
        <f t="shared" si="5"/>
        <v>0</v>
      </c>
      <c r="N38" s="66">
        <f t="shared" si="5"/>
        <v>0</v>
      </c>
      <c r="O38" s="66">
        <f t="shared" si="5"/>
        <v>32890</v>
      </c>
      <c r="P38" s="66">
        <f t="shared" si="5"/>
        <v>35240</v>
      </c>
      <c r="Q38" s="66">
        <f t="shared" si="5"/>
        <v>37197</v>
      </c>
      <c r="R38" s="20"/>
    </row>
    <row r="39" spans="1:18" x14ac:dyDescent="0.3">
      <c r="A39" s="48"/>
      <c r="C39" s="44"/>
      <c r="D39" s="194"/>
      <c r="E39" s="37"/>
      <c r="F39" s="1"/>
      <c r="R39" s="23"/>
    </row>
    <row r="40" spans="1:18" ht="15" thickBot="1" x14ac:dyDescent="0.35">
      <c r="A40" s="51">
        <v>21</v>
      </c>
      <c r="B40" s="10" t="s">
        <v>110</v>
      </c>
      <c r="C40" s="51"/>
      <c r="D40" s="51"/>
      <c r="E40" s="70">
        <f>E38</f>
        <v>0</v>
      </c>
      <c r="F40" s="70">
        <f>E40+F38</f>
        <v>0</v>
      </c>
      <c r="G40" s="70">
        <f t="shared" ref="G40:Q40" si="6">F40+G38</f>
        <v>0</v>
      </c>
      <c r="H40" s="70">
        <f t="shared" si="6"/>
        <v>0</v>
      </c>
      <c r="I40" s="70">
        <f t="shared" si="6"/>
        <v>0</v>
      </c>
      <c r="J40" s="70">
        <f t="shared" si="6"/>
        <v>0</v>
      </c>
      <c r="K40" s="70">
        <f t="shared" si="6"/>
        <v>0</v>
      </c>
      <c r="L40" s="70">
        <f t="shared" si="6"/>
        <v>0</v>
      </c>
      <c r="M40" s="70">
        <f t="shared" si="6"/>
        <v>0</v>
      </c>
      <c r="N40" s="70">
        <f t="shared" si="6"/>
        <v>0</v>
      </c>
      <c r="O40" s="70">
        <f t="shared" si="6"/>
        <v>32890</v>
      </c>
      <c r="P40" s="70">
        <f t="shared" si="6"/>
        <v>68130</v>
      </c>
      <c r="Q40" s="70">
        <f t="shared" si="6"/>
        <v>105327</v>
      </c>
      <c r="R40" s="67">
        <f>AVERAGE(E40:Q40)</f>
        <v>15872.846153846154</v>
      </c>
    </row>
    <row r="41" spans="1:18" ht="15" thickTop="1" x14ac:dyDescent="0.3">
      <c r="A41" s="51"/>
      <c r="C41" s="51"/>
      <c r="D41" s="51"/>
      <c r="E41" s="52"/>
      <c r="F41" s="5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3" spans="1:18" x14ac:dyDescent="0.3">
      <c r="A43" t="s">
        <v>41</v>
      </c>
    </row>
    <row r="44" spans="1:18" x14ac:dyDescent="0.3">
      <c r="A44" s="189" t="s">
        <v>183</v>
      </c>
      <c r="B44" s="37"/>
      <c r="C44" s="37"/>
      <c r="D44" s="37"/>
      <c r="E44" s="37"/>
    </row>
  </sheetData>
  <pageMargins left="0.7" right="0.7" top="0.75" bottom="0.75" header="0.3" footer="0.3"/>
  <pageSetup scale="51" orientation="landscape" r:id="rId1"/>
  <headerFooter>
    <oddHeader>&amp;R&amp;"Times New Roman,Bold"&amp;10KyPSC Case No. 2022-00229
STAFF-DR-01-007 Attachment 
Application Exhibit 2
Schedule 2.0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36"/>
  <sheetViews>
    <sheetView view="pageLayout" topLeftCell="H1" zoomScale="175" zoomScaleNormal="100" zoomScalePageLayoutView="175" workbookViewId="0">
      <selection activeCell="K8" sqref="K8"/>
    </sheetView>
  </sheetViews>
  <sheetFormatPr defaultRowHeight="14.4" x14ac:dyDescent="0.3"/>
  <cols>
    <col min="1" max="1" width="10.33203125" customWidth="1"/>
    <col min="2" max="2" width="11.88671875" customWidth="1"/>
    <col min="3" max="3" width="18.44140625" customWidth="1"/>
    <col min="4" max="4" width="19.44140625" customWidth="1"/>
    <col min="5" max="5" width="18.33203125" customWidth="1"/>
    <col min="6" max="6" width="11.44140625" bestFit="1" customWidth="1"/>
    <col min="7" max="7" width="3.6640625" style="23" customWidth="1"/>
    <col min="8" max="8" width="14" customWidth="1"/>
    <col min="9" max="9" width="16.109375" customWidth="1"/>
    <col min="10" max="10" width="13.44140625" customWidth="1"/>
    <col min="11" max="11" width="18.88671875" bestFit="1" customWidth="1"/>
    <col min="12" max="12" width="15.44140625" customWidth="1"/>
    <col min="13" max="13" width="15.33203125" customWidth="1"/>
    <col min="14" max="14" width="12.44140625" customWidth="1"/>
    <col min="15" max="16" width="14.88671875" customWidth="1"/>
    <col min="17" max="17" width="13.33203125" customWidth="1"/>
    <col min="18" max="18" width="3.5546875" customWidth="1"/>
  </cols>
  <sheetData>
    <row r="1" spans="1:18" x14ac:dyDescent="0.3">
      <c r="A1" s="117" t="str">
        <f>'Sch 1.0'!A2</f>
        <v>Duke Energy Kentucky</v>
      </c>
      <c r="B1" s="117"/>
      <c r="C1" s="117"/>
      <c r="D1" s="117"/>
      <c r="E1" s="117"/>
      <c r="F1" s="117"/>
      <c r="G1" s="235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x14ac:dyDescent="0.3">
      <c r="A2" s="117" t="str">
        <f>'Sch 1.0'!A3</f>
        <v>Pipeline Modernization Mechanism ("Rider PMM")</v>
      </c>
      <c r="B2" s="117"/>
      <c r="C2" s="117"/>
      <c r="D2" s="117"/>
      <c r="E2" s="117"/>
      <c r="F2" s="117"/>
      <c r="G2" s="235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8" x14ac:dyDescent="0.3">
      <c r="A3" s="117" t="s">
        <v>28</v>
      </c>
      <c r="B3" s="117"/>
      <c r="C3" s="117"/>
      <c r="D3" s="117"/>
      <c r="E3" s="117"/>
      <c r="F3" s="117"/>
      <c r="G3" s="235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</row>
    <row r="4" spans="1:18" x14ac:dyDescent="0.3">
      <c r="A4" s="117"/>
      <c r="B4" s="117"/>
      <c r="C4" s="117"/>
      <c r="D4" s="117"/>
      <c r="E4" s="117"/>
      <c r="F4" s="117"/>
      <c r="G4" s="235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</row>
    <row r="5" spans="1:18" ht="15.6" x14ac:dyDescent="0.3">
      <c r="A5" s="218" t="s">
        <v>193</v>
      </c>
      <c r="B5" s="8"/>
      <c r="C5" s="8"/>
      <c r="D5" s="8"/>
      <c r="E5" s="8"/>
      <c r="F5" s="8"/>
      <c r="G5" s="236"/>
      <c r="H5" s="8"/>
      <c r="I5" s="8"/>
      <c r="J5" s="8"/>
      <c r="K5" s="8"/>
    </row>
    <row r="7" spans="1:18" x14ac:dyDescent="0.3">
      <c r="A7" s="219" t="s">
        <v>194</v>
      </c>
      <c r="B7" s="247"/>
      <c r="C7" s="220" t="s">
        <v>195</v>
      </c>
      <c r="D7" s="220" t="s">
        <v>196</v>
      </c>
      <c r="E7" s="220" t="s">
        <v>210</v>
      </c>
      <c r="F7" s="220" t="s">
        <v>211</v>
      </c>
      <c r="G7" s="237"/>
      <c r="H7" s="220" t="s">
        <v>212</v>
      </c>
      <c r="I7" s="220" t="s">
        <v>213</v>
      </c>
      <c r="J7" s="220" t="s">
        <v>214</v>
      </c>
      <c r="K7" s="220" t="s">
        <v>197</v>
      </c>
      <c r="L7" s="221" t="s">
        <v>215</v>
      </c>
      <c r="M7" s="221" t="s">
        <v>218</v>
      </c>
      <c r="N7" s="221" t="s">
        <v>219</v>
      </c>
      <c r="O7" s="221" t="s">
        <v>220</v>
      </c>
      <c r="P7" s="221" t="s">
        <v>223</v>
      </c>
      <c r="Q7" s="221" t="s">
        <v>224</v>
      </c>
    </row>
    <row r="8" spans="1:18" ht="15" customHeight="1" x14ac:dyDescent="0.3">
      <c r="H8" s="141"/>
      <c r="I8" s="141"/>
      <c r="J8" s="141"/>
      <c r="L8" s="141"/>
      <c r="M8" s="244"/>
      <c r="N8" s="141"/>
      <c r="O8" s="141"/>
      <c r="P8" s="141"/>
      <c r="Q8" s="141"/>
    </row>
    <row r="9" spans="1:18" ht="57.6" x14ac:dyDescent="0.3">
      <c r="B9" s="222" t="s">
        <v>57</v>
      </c>
      <c r="C9" s="233" t="s">
        <v>201</v>
      </c>
      <c r="D9" s="233" t="s">
        <v>209</v>
      </c>
      <c r="E9" s="233" t="s">
        <v>202</v>
      </c>
      <c r="F9" s="233" t="s">
        <v>207</v>
      </c>
      <c r="G9" s="238"/>
      <c r="H9" s="233" t="s">
        <v>204</v>
      </c>
      <c r="I9" s="233" t="s">
        <v>208</v>
      </c>
      <c r="J9" s="233" t="s">
        <v>203</v>
      </c>
      <c r="K9" s="222" t="s">
        <v>72</v>
      </c>
      <c r="L9" s="233" t="s">
        <v>216</v>
      </c>
      <c r="M9" s="233" t="s">
        <v>217</v>
      </c>
      <c r="N9" s="233" t="s">
        <v>205</v>
      </c>
      <c r="O9" s="233" t="s">
        <v>206</v>
      </c>
      <c r="P9" s="233" t="s">
        <v>221</v>
      </c>
      <c r="Q9" s="233" t="s">
        <v>222</v>
      </c>
    </row>
    <row r="10" spans="1:18" x14ac:dyDescent="0.3">
      <c r="B10" s="223">
        <v>44896</v>
      </c>
      <c r="C10" s="223"/>
      <c r="D10" s="223"/>
      <c r="E10" s="223"/>
      <c r="F10" s="223"/>
      <c r="G10" s="239"/>
      <c r="H10" s="223"/>
      <c r="I10" s="223"/>
      <c r="J10" s="223"/>
      <c r="K10" s="223"/>
      <c r="L10" s="224"/>
      <c r="M10" s="225">
        <v>0</v>
      </c>
      <c r="N10" s="224"/>
      <c r="O10" s="224"/>
      <c r="P10" s="224"/>
      <c r="Q10" s="224">
        <f>+M10</f>
        <v>0</v>
      </c>
    </row>
    <row r="11" spans="1:18" x14ac:dyDescent="0.3">
      <c r="A11" t="s">
        <v>198</v>
      </c>
      <c r="B11" s="223">
        <v>44927</v>
      </c>
      <c r="C11" s="223"/>
      <c r="D11" s="223"/>
      <c r="E11" s="223"/>
      <c r="F11" s="223"/>
      <c r="G11" s="239"/>
      <c r="H11" s="223"/>
      <c r="I11" s="223"/>
      <c r="J11" s="223"/>
      <c r="K11" s="223"/>
      <c r="L11" s="224">
        <f>+M11-M10</f>
        <v>0</v>
      </c>
      <c r="M11" s="225">
        <v>0</v>
      </c>
      <c r="N11" s="224">
        <f>+B11-B10</f>
        <v>31</v>
      </c>
      <c r="O11" s="224">
        <f>365-SUM(N$11:N11)+1</f>
        <v>335</v>
      </c>
      <c r="P11" s="224">
        <f t="shared" ref="P11:P22" si="0">+L11*O11/N$23</f>
        <v>0</v>
      </c>
      <c r="Q11" s="224">
        <f>+Q10+P11</f>
        <v>0</v>
      </c>
    </row>
    <row r="12" spans="1:18" x14ac:dyDescent="0.3">
      <c r="A12" t="s">
        <v>198</v>
      </c>
      <c r="B12" s="223">
        <v>44958</v>
      </c>
      <c r="C12" s="223"/>
      <c r="D12" s="223"/>
      <c r="E12" s="223"/>
      <c r="F12" s="223"/>
      <c r="G12" s="239"/>
      <c r="H12" s="223"/>
      <c r="I12" s="223"/>
      <c r="J12" s="223"/>
      <c r="K12" s="223"/>
      <c r="L12" s="224">
        <f>+M12-M11</f>
        <v>0</v>
      </c>
      <c r="M12" s="225">
        <v>0</v>
      </c>
      <c r="N12" s="224">
        <v>28</v>
      </c>
      <c r="O12" s="224">
        <f>365-SUM(N$11:N12)+1</f>
        <v>307</v>
      </c>
      <c r="P12" s="224">
        <f t="shared" si="0"/>
        <v>0</v>
      </c>
      <c r="Q12" s="224">
        <f t="shared" ref="Q12:Q22" si="1">+Q11+P12</f>
        <v>0</v>
      </c>
    </row>
    <row r="13" spans="1:18" x14ac:dyDescent="0.3">
      <c r="A13" t="s">
        <v>198</v>
      </c>
      <c r="B13" s="223">
        <v>44986</v>
      </c>
      <c r="C13" s="223"/>
      <c r="D13" s="223"/>
      <c r="E13" s="223"/>
      <c r="F13" s="223"/>
      <c r="G13" s="239"/>
      <c r="H13" s="223"/>
      <c r="I13" s="223"/>
      <c r="J13" s="223"/>
      <c r="K13" s="223"/>
      <c r="L13" s="224">
        <f t="shared" ref="L13:L18" si="2">+M13-M12</f>
        <v>0</v>
      </c>
      <c r="M13" s="225">
        <v>0</v>
      </c>
      <c r="N13" s="224">
        <v>31</v>
      </c>
      <c r="O13" s="224">
        <f>365-SUM(N$11:N13)+1</f>
        <v>276</v>
      </c>
      <c r="P13" s="224">
        <f t="shared" si="0"/>
        <v>0</v>
      </c>
      <c r="Q13" s="224">
        <f t="shared" si="1"/>
        <v>0</v>
      </c>
    </row>
    <row r="14" spans="1:18" x14ac:dyDescent="0.3">
      <c r="A14" t="s">
        <v>198</v>
      </c>
      <c r="B14" s="223">
        <v>45017</v>
      </c>
      <c r="C14" s="223"/>
      <c r="D14" s="223"/>
      <c r="E14" s="223"/>
      <c r="F14" s="223"/>
      <c r="G14" s="239"/>
      <c r="H14" s="223"/>
      <c r="I14" s="223"/>
      <c r="J14" s="223"/>
      <c r="K14" s="223"/>
      <c r="L14" s="224">
        <f t="shared" si="2"/>
        <v>0</v>
      </c>
      <c r="M14" s="225">
        <v>0</v>
      </c>
      <c r="N14" s="224">
        <v>30</v>
      </c>
      <c r="O14" s="224">
        <f>365-SUM(N$11:N14)+1</f>
        <v>246</v>
      </c>
      <c r="P14" s="224">
        <f t="shared" si="0"/>
        <v>0</v>
      </c>
      <c r="Q14" s="224">
        <f t="shared" si="1"/>
        <v>0</v>
      </c>
    </row>
    <row r="15" spans="1:18" x14ac:dyDescent="0.3">
      <c r="A15" t="s">
        <v>198</v>
      </c>
      <c r="B15" s="223">
        <v>45047</v>
      </c>
      <c r="C15" s="223"/>
      <c r="D15" s="223"/>
      <c r="E15" s="223"/>
      <c r="F15" s="223"/>
      <c r="G15" s="239"/>
      <c r="H15" s="223"/>
      <c r="I15" s="223"/>
      <c r="J15" s="223"/>
      <c r="K15" s="223"/>
      <c r="L15" s="224">
        <f t="shared" si="2"/>
        <v>0</v>
      </c>
      <c r="M15" s="225">
        <v>0</v>
      </c>
      <c r="N15" s="224">
        <v>31</v>
      </c>
      <c r="O15" s="224">
        <f>365-SUM(N$11:N15)+1</f>
        <v>215</v>
      </c>
      <c r="P15" s="224">
        <f t="shared" si="0"/>
        <v>0</v>
      </c>
      <c r="Q15" s="224">
        <f t="shared" si="1"/>
        <v>0</v>
      </c>
    </row>
    <row r="16" spans="1:18" x14ac:dyDescent="0.3">
      <c r="A16" t="s">
        <v>198</v>
      </c>
      <c r="B16" s="223">
        <v>45078</v>
      </c>
      <c r="C16" s="223"/>
      <c r="D16" s="223"/>
      <c r="E16" s="223"/>
      <c r="F16" s="223"/>
      <c r="G16" s="239"/>
      <c r="H16" s="223"/>
      <c r="I16" s="223"/>
      <c r="J16" s="223"/>
      <c r="K16" s="223"/>
      <c r="L16" s="224">
        <f t="shared" si="2"/>
        <v>0</v>
      </c>
      <c r="M16" s="225">
        <v>0</v>
      </c>
      <c r="N16" s="224">
        <v>30</v>
      </c>
      <c r="O16" s="224">
        <f>365-SUM(N$11:N16)+1</f>
        <v>185</v>
      </c>
      <c r="P16" s="224">
        <f t="shared" si="0"/>
        <v>0</v>
      </c>
      <c r="Q16" s="224">
        <f t="shared" si="1"/>
        <v>0</v>
      </c>
    </row>
    <row r="17" spans="1:17" x14ac:dyDescent="0.3">
      <c r="A17" t="s">
        <v>198</v>
      </c>
      <c r="B17" s="223">
        <v>45108</v>
      </c>
      <c r="C17" s="223"/>
      <c r="D17" s="223"/>
      <c r="E17" s="223"/>
      <c r="F17" s="223"/>
      <c r="G17" s="239"/>
      <c r="H17" s="223"/>
      <c r="I17" s="223"/>
      <c r="J17" s="223"/>
      <c r="K17" s="223"/>
      <c r="L17" s="224">
        <f t="shared" si="2"/>
        <v>0</v>
      </c>
      <c r="M17" s="225">
        <v>0</v>
      </c>
      <c r="N17" s="224">
        <v>31</v>
      </c>
      <c r="O17" s="224">
        <f>365-SUM(N$11:N17)+1</f>
        <v>154</v>
      </c>
      <c r="P17" s="224">
        <f t="shared" si="0"/>
        <v>0</v>
      </c>
      <c r="Q17" s="224">
        <f t="shared" si="1"/>
        <v>0</v>
      </c>
    </row>
    <row r="18" spans="1:17" x14ac:dyDescent="0.3">
      <c r="A18" t="s">
        <v>198</v>
      </c>
      <c r="B18" s="223">
        <v>45139</v>
      </c>
      <c r="C18" s="223"/>
      <c r="D18" s="223"/>
      <c r="E18" s="223"/>
      <c r="F18" s="223"/>
      <c r="G18" s="239"/>
      <c r="H18" s="223"/>
      <c r="I18" s="223"/>
      <c r="J18" s="223"/>
      <c r="K18" s="223"/>
      <c r="L18" s="224">
        <f t="shared" si="2"/>
        <v>0</v>
      </c>
      <c r="M18" s="225">
        <v>0</v>
      </c>
      <c r="N18" s="224">
        <v>31</v>
      </c>
      <c r="O18" s="224">
        <f>365-SUM(N$11:N18)+1</f>
        <v>123</v>
      </c>
      <c r="P18" s="224">
        <f t="shared" si="0"/>
        <v>0</v>
      </c>
      <c r="Q18" s="224">
        <f t="shared" si="1"/>
        <v>0</v>
      </c>
    </row>
    <row r="19" spans="1:17" x14ac:dyDescent="0.3">
      <c r="A19" t="s">
        <v>198</v>
      </c>
      <c r="B19" s="223">
        <v>45170</v>
      </c>
      <c r="C19" s="226">
        <f>'Sch 2.0'!N12</f>
        <v>16014245.393765016</v>
      </c>
      <c r="D19" s="226">
        <f>'Sch 2.0'!N13</f>
        <v>7650506.8682211535</v>
      </c>
      <c r="E19" s="226">
        <f>'Sch 2.0'!N14</f>
        <v>1158642.7588373148</v>
      </c>
      <c r="F19" s="226">
        <f>SUM(C19:E19)</f>
        <v>24823395.020823486</v>
      </c>
      <c r="G19" s="240"/>
      <c r="H19" s="226">
        <f>((C$19)*5%)/4</f>
        <v>200178.06742206271</v>
      </c>
      <c r="I19" s="226">
        <f>((D$19)*3.75%)/4</f>
        <v>71723.501889573308</v>
      </c>
      <c r="J19" s="226">
        <f>H19+I19</f>
        <v>271901.56931163603</v>
      </c>
      <c r="K19" s="226"/>
      <c r="L19" s="224">
        <f>J19-K19</f>
        <v>271901.56931163603</v>
      </c>
      <c r="M19" s="225">
        <f>M18+L19</f>
        <v>271901.56931163603</v>
      </c>
      <c r="N19" s="224">
        <v>30</v>
      </c>
      <c r="O19" s="224">
        <f>365-SUM(N$11:N19)+1</f>
        <v>93</v>
      </c>
      <c r="P19" s="224">
        <f>+L19*O19/N$23</f>
        <v>69279.029988992188</v>
      </c>
      <c r="Q19" s="224">
        <f t="shared" si="1"/>
        <v>69279.029988992188</v>
      </c>
    </row>
    <row r="20" spans="1:17" x14ac:dyDescent="0.3">
      <c r="A20" t="s">
        <v>198</v>
      </c>
      <c r="B20" s="223">
        <v>45200</v>
      </c>
      <c r="C20" s="226">
        <f>'Sch 2.0'!O12</f>
        <v>1143874.6709832156</v>
      </c>
      <c r="D20" s="226">
        <f>'Sch 2.0'!O13</f>
        <v>546464.77630151098</v>
      </c>
      <c r="E20" s="226">
        <f>'Sch 2.0'!O14</f>
        <v>82760.197059808197</v>
      </c>
      <c r="F20" s="226">
        <f>SUM(C20:E20)</f>
        <v>1773099.6443445347</v>
      </c>
      <c r="G20" s="240"/>
      <c r="H20" s="226">
        <f>((C$19)*5%)/4+(C$20*5%)/3</f>
        <v>219242.64527178297</v>
      </c>
      <c r="I20" s="226">
        <f>((D$19)*3.75%)/4+(D$20*3.75%)/3</f>
        <v>78554.311593342194</v>
      </c>
      <c r="J20" s="226">
        <f>H20+I20</f>
        <v>297796.95686512516</v>
      </c>
      <c r="K20" s="226">
        <f>+'Sch 2.0'!O38</f>
        <v>32890</v>
      </c>
      <c r="L20" s="224">
        <f t="shared" ref="L20:L22" si="3">J20-K20</f>
        <v>264906.95686512516</v>
      </c>
      <c r="M20" s="225">
        <f t="shared" ref="M20:M22" si="4">M19+L20</f>
        <v>536808.52617676114</v>
      </c>
      <c r="N20" s="224">
        <v>31</v>
      </c>
      <c r="O20" s="224">
        <f>365-SUM(N$11:N20)+1</f>
        <v>62</v>
      </c>
      <c r="P20" s="224">
        <f t="shared" si="0"/>
        <v>44997.894042843174</v>
      </c>
      <c r="Q20" s="224">
        <f t="shared" si="1"/>
        <v>114276.92403183537</v>
      </c>
    </row>
    <row r="21" spans="1:17" x14ac:dyDescent="0.3">
      <c r="A21" t="s">
        <v>198</v>
      </c>
      <c r="B21" s="223">
        <v>45231</v>
      </c>
      <c r="C21" s="226">
        <f>'Sch 2.0'!P12</f>
        <v>953228.89248601301</v>
      </c>
      <c r="D21" s="226">
        <f>'Sch 2.0'!P13</f>
        <v>455387.31358459248</v>
      </c>
      <c r="E21" s="226">
        <f>'Sch 2.0'!P14</f>
        <v>68966.830883173505</v>
      </c>
      <c r="F21" s="226">
        <f>SUM(C21:E21)</f>
        <v>1477583.0369537789</v>
      </c>
      <c r="G21" s="240"/>
      <c r="H21" s="226">
        <f>((C$19)*5%)/4+(C$20*5%)/3+(C$21*5%)/2</f>
        <v>243073.36758393329</v>
      </c>
      <c r="I21" s="226">
        <f>((D$19)*3.75%)/4+(D$20*3.75%)/3+(D$21*3.75%)/2</f>
        <v>87092.823723053298</v>
      </c>
      <c r="J21" s="226">
        <f>H21+I21</f>
        <v>330166.19130698661</v>
      </c>
      <c r="K21" s="226">
        <f>+'Sch 2.0'!P38</f>
        <v>35240</v>
      </c>
      <c r="L21" s="224">
        <f t="shared" si="3"/>
        <v>294926.19130698661</v>
      </c>
      <c r="M21" s="225">
        <f t="shared" si="4"/>
        <v>831734.71748374775</v>
      </c>
      <c r="N21" s="224">
        <v>30</v>
      </c>
      <c r="O21" s="224">
        <f>365-SUM(N$11:N21)+1</f>
        <v>32</v>
      </c>
      <c r="P21" s="224">
        <f t="shared" si="0"/>
        <v>25856.542799516636</v>
      </c>
      <c r="Q21" s="224">
        <f t="shared" si="1"/>
        <v>140133.46683135201</v>
      </c>
    </row>
    <row r="22" spans="1:17" x14ac:dyDescent="0.3">
      <c r="A22" t="s">
        <v>198</v>
      </c>
      <c r="B22" s="223">
        <v>45261</v>
      </c>
      <c r="C22" s="227">
        <f>'Sch 2.0'!Q12-'Sch 2.0'!Q18</f>
        <v>645228.882486013</v>
      </c>
      <c r="D22" s="227">
        <f>'Sch 2.0'!Q13</f>
        <v>455387.31358459248</v>
      </c>
      <c r="E22" s="227">
        <f>'Sch 2.0'!Q14</f>
        <v>68966.830883173505</v>
      </c>
      <c r="F22" s="227">
        <f>SUM(C22:E22)</f>
        <v>1169583.0269537789</v>
      </c>
      <c r="G22" s="240"/>
      <c r="H22" s="227">
        <f>((C$19)*5%)/4+(C$20*5%)/3+(C$21*5%)/2+((C22)*5%)</f>
        <v>275334.81170823396</v>
      </c>
      <c r="I22" s="227">
        <f>((D$19)*3.75%)/4+(D$20*3.75%)/3+(D$21*3.75%)/2+((D22)*3.75%)</f>
        <v>104169.84798247552</v>
      </c>
      <c r="J22" s="227">
        <f>H22+I22</f>
        <v>379504.65969070949</v>
      </c>
      <c r="K22" s="227">
        <f>+'Sch 2.0'!Q38</f>
        <v>37197</v>
      </c>
      <c r="L22" s="224">
        <f t="shared" si="3"/>
        <v>342307.65969070949</v>
      </c>
      <c r="M22" s="225">
        <f t="shared" si="4"/>
        <v>1174042.3771744573</v>
      </c>
      <c r="N22" s="224">
        <v>31</v>
      </c>
      <c r="O22" s="224">
        <f>365-SUM(N$11:N22)+1</f>
        <v>1</v>
      </c>
      <c r="P22" s="224">
        <f t="shared" si="0"/>
        <v>937.82920463208086</v>
      </c>
      <c r="Q22" s="248">
        <f t="shared" si="1"/>
        <v>141071.29603598409</v>
      </c>
    </row>
    <row r="23" spans="1:17" ht="15" thickBot="1" x14ac:dyDescent="0.35">
      <c r="B23" s="7" t="s">
        <v>21</v>
      </c>
      <c r="C23" s="228">
        <f>SUM(C19:C22)</f>
        <v>18756577.839720257</v>
      </c>
      <c r="D23" s="228">
        <f>SUM(D19:D22)</f>
        <v>9107746.2716918495</v>
      </c>
      <c r="E23" s="228">
        <f>SUM(E19:E22)</f>
        <v>1379336.6176634701</v>
      </c>
      <c r="F23" s="228">
        <f>SUM(F19:F22)</f>
        <v>29243660.729075581</v>
      </c>
      <c r="G23" s="241"/>
      <c r="H23" s="228">
        <f>SUM(H19:H22)</f>
        <v>937828.89198601292</v>
      </c>
      <c r="I23" s="228">
        <f>SUM(I19:I22)</f>
        <v>341540.48518844432</v>
      </c>
      <c r="J23" s="228">
        <f>SUM(J19:J22)</f>
        <v>1279369.3771744573</v>
      </c>
      <c r="K23" s="228">
        <f>SUM(K19:K22)</f>
        <v>105327</v>
      </c>
      <c r="L23" s="229">
        <f>SUM(L11:L22)</f>
        <v>1174042.3771744573</v>
      </c>
      <c r="M23" s="230"/>
      <c r="N23" s="231">
        <f>SUM(N11:N22)</f>
        <v>365</v>
      </c>
      <c r="O23" s="224"/>
      <c r="P23" s="229">
        <f>SUM(P11:P22)</f>
        <v>141071.29603598409</v>
      </c>
      <c r="Q23" s="217"/>
    </row>
    <row r="24" spans="1:17" ht="15" thickTop="1" x14ac:dyDescent="0.3">
      <c r="B24" s="7"/>
      <c r="C24" s="7"/>
      <c r="D24" s="7"/>
      <c r="E24" s="7"/>
      <c r="F24" s="7"/>
      <c r="G24" s="242"/>
      <c r="H24" s="7"/>
      <c r="I24" s="7"/>
      <c r="J24" s="7"/>
      <c r="K24" s="7"/>
      <c r="L24" s="230"/>
      <c r="M24" s="230"/>
      <c r="N24" s="230"/>
      <c r="O24" s="224"/>
      <c r="P24" s="230"/>
      <c r="Q24" s="217"/>
    </row>
    <row r="25" spans="1:17" x14ac:dyDescent="0.3">
      <c r="C25" s="246" t="s">
        <v>160</v>
      </c>
      <c r="D25" s="246" t="s">
        <v>160</v>
      </c>
      <c r="E25" s="246" t="s">
        <v>160</v>
      </c>
      <c r="F25" s="246" t="s">
        <v>160</v>
      </c>
      <c r="K25" s="246" t="s">
        <v>160</v>
      </c>
      <c r="P25" t="s">
        <v>199</v>
      </c>
      <c r="Q25" s="14">
        <v>0.24925</v>
      </c>
    </row>
    <row r="26" spans="1:17" ht="15" thickBot="1" x14ac:dyDescent="0.35"/>
    <row r="27" spans="1:17" ht="15" thickBot="1" x14ac:dyDescent="0.35">
      <c r="P27" s="8" t="s">
        <v>200</v>
      </c>
      <c r="Q27" s="232">
        <f>Q22*Q25</f>
        <v>35162.020536969037</v>
      </c>
    </row>
    <row r="28" spans="1:17" x14ac:dyDescent="0.3">
      <c r="F28" s="234"/>
      <c r="G28" s="243"/>
      <c r="Q28" s="141"/>
    </row>
    <row r="34" ht="14.4" customHeight="1" x14ac:dyDescent="0.3"/>
    <row r="36" ht="14.4" customHeight="1" x14ac:dyDescent="0.3"/>
  </sheetData>
  <pageMargins left="0.7" right="0.7" top="0.75" bottom="0.75" header="0.3" footer="0.3"/>
  <pageSetup scale="49" orientation="landscape" r:id="rId1"/>
  <headerFooter>
    <oddHeader>&amp;R&amp;"Times New Roman,Bold"&amp;10KyPSC Case No. 2022-00229
STAFF-DR-01-007 Attachment 
Application Exhibit 2
Schedule 2.1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2"/>
  <sheetViews>
    <sheetView view="pageLayout" zoomScaleNormal="100" workbookViewId="0">
      <selection activeCell="K8" sqref="K8"/>
    </sheetView>
  </sheetViews>
  <sheetFormatPr defaultRowHeight="14.4" x14ac:dyDescent="0.3"/>
  <cols>
    <col min="1" max="1" width="8.33203125" bestFit="1" customWidth="1"/>
    <col min="2" max="2" width="22.109375" customWidth="1"/>
    <col min="3" max="3" width="10.33203125" customWidth="1"/>
    <col min="4" max="4" width="13.5546875" customWidth="1"/>
    <col min="5" max="6" width="17.44140625" customWidth="1"/>
    <col min="7" max="8" width="16.6640625" customWidth="1"/>
    <col min="9" max="9" width="17.6640625" customWidth="1"/>
    <col min="10" max="10" width="4.33203125" customWidth="1"/>
    <col min="11" max="11" width="10.109375" bestFit="1" customWidth="1"/>
  </cols>
  <sheetData>
    <row r="1" spans="1:12" x14ac:dyDescent="0.3">
      <c r="A1" s="5"/>
      <c r="G1" s="5"/>
      <c r="H1" s="87"/>
      <c r="I1" s="5"/>
      <c r="J1" s="105"/>
    </row>
    <row r="2" spans="1:12" x14ac:dyDescent="0.3">
      <c r="A2" s="117" t="str">
        <f>'Sch 1.0'!A2</f>
        <v>Duke Energy Kentucky</v>
      </c>
      <c r="B2" s="117"/>
      <c r="C2" s="117"/>
      <c r="D2" s="117"/>
      <c r="E2" s="117"/>
      <c r="F2" s="117"/>
      <c r="G2" s="117"/>
      <c r="H2" s="117"/>
      <c r="I2" s="117"/>
      <c r="J2" s="105"/>
      <c r="K2" s="117"/>
      <c r="L2" s="117"/>
    </row>
    <row r="3" spans="1:12" x14ac:dyDescent="0.3">
      <c r="A3" s="117" t="str">
        <f>'Sch 1.0'!A3</f>
        <v>Pipeline Modernization Mechanism ("Rider PMM")</v>
      </c>
      <c r="B3" s="117"/>
      <c r="C3" s="117"/>
      <c r="D3" s="117"/>
      <c r="E3" s="117"/>
      <c r="F3" s="117"/>
      <c r="G3" s="117"/>
      <c r="H3" s="117"/>
      <c r="I3" s="117"/>
      <c r="J3" s="105"/>
      <c r="K3" s="153"/>
      <c r="L3" s="245"/>
    </row>
    <row r="4" spans="1:12" x14ac:dyDescent="0.3">
      <c r="A4" s="117" t="s">
        <v>65</v>
      </c>
      <c r="B4" s="117"/>
      <c r="C4" s="117"/>
      <c r="D4" s="117"/>
      <c r="E4" s="117"/>
      <c r="F4" s="117"/>
      <c r="G4" s="117"/>
      <c r="H4" s="117"/>
      <c r="I4" s="117"/>
      <c r="J4" s="105"/>
      <c r="K4" s="117"/>
      <c r="L4" s="117"/>
    </row>
    <row r="5" spans="1:12" x14ac:dyDescent="0.3">
      <c r="A5" s="121"/>
      <c r="B5" s="121"/>
      <c r="C5" s="121"/>
      <c r="D5" s="121"/>
      <c r="E5" s="121"/>
      <c r="F5" s="121"/>
      <c r="G5" s="121"/>
      <c r="H5" s="121"/>
      <c r="I5" s="121"/>
      <c r="J5" s="105"/>
      <c r="K5" s="121"/>
      <c r="L5" s="121"/>
    </row>
    <row r="6" spans="1:12" x14ac:dyDescent="0.3">
      <c r="A6" s="5"/>
      <c r="G6" s="5"/>
      <c r="H6" s="87"/>
      <c r="I6" s="5"/>
      <c r="J6" s="105"/>
    </row>
    <row r="7" spans="1:12" x14ac:dyDescent="0.3">
      <c r="A7" s="182" t="s">
        <v>171</v>
      </c>
      <c r="B7" s="37"/>
      <c r="C7" s="37"/>
      <c r="G7" s="5"/>
      <c r="H7" s="87"/>
      <c r="I7" s="5"/>
      <c r="J7" s="51"/>
    </row>
    <row r="8" spans="1:12" x14ac:dyDescent="0.3">
      <c r="A8" s="5"/>
      <c r="G8" s="5"/>
      <c r="H8" s="87"/>
      <c r="I8" s="5"/>
      <c r="J8" s="5"/>
    </row>
    <row r="9" spans="1:12" x14ac:dyDescent="0.3">
      <c r="A9" s="104" t="s">
        <v>139</v>
      </c>
      <c r="B9" s="4"/>
      <c r="C9" s="4" t="s">
        <v>58</v>
      </c>
      <c r="D9" s="250" t="s">
        <v>152</v>
      </c>
      <c r="E9" s="250"/>
      <c r="F9" s="250" t="s">
        <v>54</v>
      </c>
      <c r="G9" s="250"/>
      <c r="H9" s="250" t="s">
        <v>25</v>
      </c>
      <c r="I9" s="250"/>
      <c r="J9" s="4"/>
    </row>
    <row r="10" spans="1:12" x14ac:dyDescent="0.3">
      <c r="A10" s="9" t="s">
        <v>140</v>
      </c>
      <c r="B10" s="9" t="s">
        <v>57</v>
      </c>
      <c r="C10" s="9" t="s">
        <v>59</v>
      </c>
      <c r="D10" s="9" t="s">
        <v>85</v>
      </c>
      <c r="E10" s="9" t="s">
        <v>89</v>
      </c>
      <c r="F10" s="9" t="s">
        <v>85</v>
      </c>
      <c r="G10" s="9" t="s">
        <v>89</v>
      </c>
      <c r="H10" s="9" t="s">
        <v>85</v>
      </c>
      <c r="I10" s="9" t="s">
        <v>89</v>
      </c>
      <c r="J10" s="9"/>
    </row>
    <row r="11" spans="1:12" x14ac:dyDescent="0.3">
      <c r="B11" s="18" t="s">
        <v>63</v>
      </c>
      <c r="C11" s="18" t="s">
        <v>64</v>
      </c>
      <c r="D11" s="18" t="s">
        <v>66</v>
      </c>
      <c r="E11" s="18" t="s">
        <v>86</v>
      </c>
      <c r="F11" s="18" t="s">
        <v>128</v>
      </c>
      <c r="G11" s="18" t="s">
        <v>87</v>
      </c>
      <c r="H11" s="18" t="s">
        <v>88</v>
      </c>
      <c r="I11" s="88" t="s">
        <v>129</v>
      </c>
      <c r="J11" s="18"/>
    </row>
    <row r="12" spans="1:12" x14ac:dyDescent="0.3">
      <c r="G12" s="42"/>
      <c r="H12" s="42"/>
    </row>
    <row r="13" spans="1:12" x14ac:dyDescent="0.3">
      <c r="G13" s="42"/>
      <c r="H13" s="42"/>
    </row>
    <row r="14" spans="1:12" x14ac:dyDescent="0.3">
      <c r="A14" s="48">
        <v>1</v>
      </c>
      <c r="B14" s="183" t="s">
        <v>170</v>
      </c>
      <c r="C14" s="84">
        <v>13</v>
      </c>
      <c r="D14" s="134"/>
      <c r="E14" s="185">
        <v>0</v>
      </c>
      <c r="F14" s="89"/>
      <c r="G14" s="185">
        <v>0</v>
      </c>
      <c r="H14" s="89"/>
      <c r="I14" s="185">
        <v>0</v>
      </c>
      <c r="K14" s="140"/>
    </row>
    <row r="15" spans="1:12" x14ac:dyDescent="0.3">
      <c r="A15" s="48">
        <f>A14+1</f>
        <v>2</v>
      </c>
      <c r="B15" s="184">
        <v>44927</v>
      </c>
      <c r="C15" s="84">
        <f>C14-1</f>
        <v>12</v>
      </c>
      <c r="D15" s="214">
        <f>+'Sch 2.0'!F$15</f>
        <v>0</v>
      </c>
      <c r="E15" s="135">
        <f>E14+D15</f>
        <v>0</v>
      </c>
      <c r="F15" s="211">
        <f>+'Sch 2.0'!F21</f>
        <v>0</v>
      </c>
      <c r="G15" s="127">
        <f>G14+F15</f>
        <v>0</v>
      </c>
      <c r="H15" s="211">
        <f>+'Sch 2.0'!F27</f>
        <v>0</v>
      </c>
      <c r="I15" s="127">
        <f>I14+H15</f>
        <v>0</v>
      </c>
      <c r="J15" s="20"/>
      <c r="K15" s="69"/>
    </row>
    <row r="16" spans="1:12" ht="16.2" x14ac:dyDescent="0.45">
      <c r="A16" s="48">
        <f>A15+1</f>
        <v>3</v>
      </c>
      <c r="B16" s="184">
        <v>44958</v>
      </c>
      <c r="C16" s="84">
        <f t="shared" ref="C16:C26" si="0">C15-1</f>
        <v>11</v>
      </c>
      <c r="D16" s="127">
        <f>+'Sch 2.0'!G$15</f>
        <v>0</v>
      </c>
      <c r="E16" s="135">
        <f t="shared" ref="E16:E26" si="1">E15+D16</f>
        <v>0</v>
      </c>
      <c r="F16" s="215">
        <f>+'Sch 2.0'!G$21</f>
        <v>0</v>
      </c>
      <c r="G16" s="127">
        <f t="shared" ref="G16:G26" si="2">G15+F16</f>
        <v>0</v>
      </c>
      <c r="H16" s="215">
        <f>+'Sch 2.0'!G$27</f>
        <v>0</v>
      </c>
      <c r="I16" s="127">
        <f t="shared" ref="I16:I26" si="3">I15+H16</f>
        <v>0</v>
      </c>
      <c r="J16" s="21"/>
      <c r="K16" s="69"/>
    </row>
    <row r="17" spans="1:11" x14ac:dyDescent="0.3">
      <c r="A17" s="48">
        <f t="shared" ref="A17:A26" si="4">A16+1</f>
        <v>4</v>
      </c>
      <c r="B17" s="184">
        <v>44986</v>
      </c>
      <c r="C17" s="84">
        <f t="shared" si="0"/>
        <v>10</v>
      </c>
      <c r="D17" s="127">
        <f>+'Sch 2.0'!H$15</f>
        <v>0</v>
      </c>
      <c r="E17" s="135">
        <f t="shared" si="1"/>
        <v>0</v>
      </c>
      <c r="F17" s="215">
        <f>+'Sch 2.0'!H$21</f>
        <v>0</v>
      </c>
      <c r="G17" s="127">
        <f t="shared" si="2"/>
        <v>0</v>
      </c>
      <c r="H17" s="215">
        <f>+'Sch 2.0'!H$27</f>
        <v>0</v>
      </c>
      <c r="I17" s="127">
        <f t="shared" si="3"/>
        <v>0</v>
      </c>
      <c r="J17" s="20"/>
      <c r="K17" s="69"/>
    </row>
    <row r="18" spans="1:11" x14ac:dyDescent="0.3">
      <c r="A18" s="48">
        <f t="shared" si="4"/>
        <v>5</v>
      </c>
      <c r="B18" s="184">
        <v>45017</v>
      </c>
      <c r="C18" s="84">
        <f t="shared" si="0"/>
        <v>9</v>
      </c>
      <c r="D18" s="127">
        <f>+'Sch 2.0'!I$15</f>
        <v>0</v>
      </c>
      <c r="E18" s="135">
        <f t="shared" si="1"/>
        <v>0</v>
      </c>
      <c r="F18" s="215">
        <f>+'Sch 2.0'!I$21</f>
        <v>0</v>
      </c>
      <c r="G18" s="127">
        <f t="shared" si="2"/>
        <v>0</v>
      </c>
      <c r="H18" s="215">
        <f>+'Sch 2.0'!I$27</f>
        <v>0</v>
      </c>
      <c r="I18" s="127">
        <f>I17+H18</f>
        <v>0</v>
      </c>
      <c r="J18" s="16"/>
      <c r="K18" s="69"/>
    </row>
    <row r="19" spans="1:11" x14ac:dyDescent="0.3">
      <c r="A19" s="48">
        <f t="shared" si="4"/>
        <v>6</v>
      </c>
      <c r="B19" s="184">
        <v>45047</v>
      </c>
      <c r="C19" s="84">
        <f t="shared" si="0"/>
        <v>8</v>
      </c>
      <c r="D19" s="127">
        <f>+'Sch 2.0'!J$15</f>
        <v>0</v>
      </c>
      <c r="E19" s="135">
        <f t="shared" si="1"/>
        <v>0</v>
      </c>
      <c r="F19" s="215">
        <f>+'Sch 2.0'!J$21</f>
        <v>0</v>
      </c>
      <c r="G19" s="127">
        <f t="shared" si="2"/>
        <v>0</v>
      </c>
      <c r="H19" s="215">
        <f>+'Sch 2.0'!J$27</f>
        <v>0</v>
      </c>
      <c r="I19" s="127">
        <f t="shared" si="3"/>
        <v>0</v>
      </c>
      <c r="K19" s="69"/>
    </row>
    <row r="20" spans="1:11" x14ac:dyDescent="0.3">
      <c r="A20" s="48">
        <f t="shared" si="4"/>
        <v>7</v>
      </c>
      <c r="B20" s="184">
        <v>45078</v>
      </c>
      <c r="C20" s="84">
        <f t="shared" si="0"/>
        <v>7</v>
      </c>
      <c r="D20" s="127">
        <f>+'Sch 2.0'!K$15</f>
        <v>0</v>
      </c>
      <c r="E20" s="135">
        <f t="shared" si="1"/>
        <v>0</v>
      </c>
      <c r="F20" s="215">
        <f>+'Sch 2.0'!K$21</f>
        <v>0</v>
      </c>
      <c r="G20" s="127">
        <f t="shared" si="2"/>
        <v>0</v>
      </c>
      <c r="H20" s="215">
        <f>+'Sch 2.0'!K$27</f>
        <v>0</v>
      </c>
      <c r="I20" s="127">
        <f t="shared" si="3"/>
        <v>0</v>
      </c>
      <c r="J20" s="1"/>
      <c r="K20" s="69"/>
    </row>
    <row r="21" spans="1:11" ht="16.2" x14ac:dyDescent="0.45">
      <c r="A21" s="48">
        <f t="shared" si="4"/>
        <v>8</v>
      </c>
      <c r="B21" s="184">
        <v>45108</v>
      </c>
      <c r="C21" s="84">
        <f t="shared" si="0"/>
        <v>6</v>
      </c>
      <c r="D21" s="127">
        <f>+'Sch 2.0'!L$15</f>
        <v>0</v>
      </c>
      <c r="E21" s="135">
        <f t="shared" si="1"/>
        <v>0</v>
      </c>
      <c r="F21" s="215">
        <f>+'Sch 2.0'!L$21</f>
        <v>0</v>
      </c>
      <c r="G21" s="127">
        <f t="shared" si="2"/>
        <v>0</v>
      </c>
      <c r="H21" s="215">
        <f>+'Sch 2.0'!L$27</f>
        <v>0</v>
      </c>
      <c r="I21" s="127">
        <f t="shared" si="3"/>
        <v>0</v>
      </c>
      <c r="J21" s="21"/>
      <c r="K21" s="69"/>
    </row>
    <row r="22" spans="1:11" x14ac:dyDescent="0.3">
      <c r="A22" s="48">
        <f t="shared" si="4"/>
        <v>9</v>
      </c>
      <c r="B22" s="184">
        <v>45139</v>
      </c>
      <c r="C22" s="84">
        <f t="shared" si="0"/>
        <v>5</v>
      </c>
      <c r="D22" s="127">
        <f>+'Sch 2.0'!M$15</f>
        <v>0</v>
      </c>
      <c r="E22" s="135">
        <f t="shared" si="1"/>
        <v>0</v>
      </c>
      <c r="F22" s="215">
        <f>+'Sch 2.0'!M$21</f>
        <v>0</v>
      </c>
      <c r="G22" s="127">
        <f t="shared" si="2"/>
        <v>0</v>
      </c>
      <c r="H22" s="215">
        <f>+'Sch 2.0'!M$27</f>
        <v>0</v>
      </c>
      <c r="I22" s="127">
        <f t="shared" si="3"/>
        <v>0</v>
      </c>
      <c r="J22" s="20"/>
      <c r="K22" s="69"/>
    </row>
    <row r="23" spans="1:11" x14ac:dyDescent="0.3">
      <c r="A23" s="48">
        <f t="shared" si="4"/>
        <v>10</v>
      </c>
      <c r="B23" s="184">
        <v>45170</v>
      </c>
      <c r="C23" s="84">
        <f t="shared" si="0"/>
        <v>4</v>
      </c>
      <c r="D23" s="127">
        <f>+'Sch 2.0'!N$15</f>
        <v>24823395.020823486</v>
      </c>
      <c r="E23" s="135">
        <f t="shared" si="1"/>
        <v>24823395.020823486</v>
      </c>
      <c r="F23" s="215">
        <f>+'Sch 2.0'!N$21</f>
        <v>0</v>
      </c>
      <c r="G23" s="127">
        <f t="shared" si="2"/>
        <v>0</v>
      </c>
      <c r="H23" s="215">
        <f>+'Sch 2.0'!N$27</f>
        <v>0</v>
      </c>
      <c r="I23" s="127">
        <f t="shared" si="3"/>
        <v>0</v>
      </c>
      <c r="J23" s="23"/>
      <c r="K23" s="69"/>
    </row>
    <row r="24" spans="1:11" x14ac:dyDescent="0.3">
      <c r="A24" s="48">
        <f t="shared" si="4"/>
        <v>11</v>
      </c>
      <c r="B24" s="184">
        <v>45200</v>
      </c>
      <c r="C24" s="84">
        <f t="shared" si="0"/>
        <v>3</v>
      </c>
      <c r="D24" s="127">
        <f>+'Sch 2.0'!O$15</f>
        <v>1773099.6443445347</v>
      </c>
      <c r="E24" s="135">
        <f t="shared" si="1"/>
        <v>26596494.665168021</v>
      </c>
      <c r="F24" s="215">
        <f>+'Sch 2.0'!O$21</f>
        <v>0</v>
      </c>
      <c r="G24" s="127">
        <f t="shared" si="2"/>
        <v>0</v>
      </c>
      <c r="H24" s="215">
        <f>+'Sch 2.0'!O$27</f>
        <v>0</v>
      </c>
      <c r="I24" s="127">
        <f t="shared" si="3"/>
        <v>0</v>
      </c>
      <c r="J24" s="24"/>
      <c r="K24" s="69"/>
    </row>
    <row r="25" spans="1:11" x14ac:dyDescent="0.3">
      <c r="A25" s="48">
        <f t="shared" si="4"/>
        <v>12</v>
      </c>
      <c r="B25" s="184">
        <v>45231</v>
      </c>
      <c r="C25" s="84">
        <f t="shared" si="0"/>
        <v>2</v>
      </c>
      <c r="D25" s="127">
        <f>+'Sch 2.0'!P$15</f>
        <v>1477583.0369537789</v>
      </c>
      <c r="E25" s="135">
        <f t="shared" si="1"/>
        <v>28074077.702121802</v>
      </c>
      <c r="F25" s="215">
        <f>+'Sch 2.0'!P$21</f>
        <v>0</v>
      </c>
      <c r="G25" s="127">
        <f t="shared" si="2"/>
        <v>0</v>
      </c>
      <c r="H25" s="215">
        <f>+'Sch 2.0'!P$27</f>
        <v>0</v>
      </c>
      <c r="I25" s="127">
        <f t="shared" si="3"/>
        <v>0</v>
      </c>
      <c r="J25" s="23"/>
      <c r="K25" s="69"/>
    </row>
    <row r="26" spans="1:11" x14ac:dyDescent="0.3">
      <c r="A26" s="48">
        <f t="shared" si="4"/>
        <v>13</v>
      </c>
      <c r="B26" s="184">
        <v>45261</v>
      </c>
      <c r="C26" s="84">
        <f t="shared" si="0"/>
        <v>1</v>
      </c>
      <c r="D26" s="127">
        <f>+'Sch 2.0'!Q$15</f>
        <v>1477583.0369537789</v>
      </c>
      <c r="E26" s="136">
        <f t="shared" si="1"/>
        <v>29551660.739075579</v>
      </c>
      <c r="F26" s="215">
        <f>+'Sch 2.0'!Q$21</f>
        <v>308000.01</v>
      </c>
      <c r="G26" s="128">
        <f t="shared" si="2"/>
        <v>308000.01</v>
      </c>
      <c r="H26" s="215">
        <f>+'Sch 2.0'!Q$27</f>
        <v>0</v>
      </c>
      <c r="I26" s="128">
        <f t="shared" si="3"/>
        <v>0</v>
      </c>
      <c r="J26" s="23"/>
      <c r="K26" s="69"/>
    </row>
    <row r="27" spans="1:11" x14ac:dyDescent="0.3">
      <c r="A27" s="48"/>
      <c r="D27" s="129"/>
      <c r="E27" s="69">
        <f>SUM(E14:E26)</f>
        <v>109045628.12718889</v>
      </c>
      <c r="F27" s="129"/>
      <c r="G27" s="69">
        <f>SUM(G14:G26)</f>
        <v>308000.01</v>
      </c>
      <c r="H27" s="133"/>
      <c r="I27" s="69">
        <f>SUM(I14:I26)</f>
        <v>0</v>
      </c>
      <c r="J27" s="2"/>
    </row>
    <row r="28" spans="1:11" x14ac:dyDescent="0.3">
      <c r="A28" s="48">
        <f>A26+1</f>
        <v>14</v>
      </c>
      <c r="B28" t="s">
        <v>90</v>
      </c>
      <c r="D28" s="129"/>
      <c r="E28" s="137">
        <v>13</v>
      </c>
      <c r="F28" s="137"/>
      <c r="G28" s="137">
        <v>13</v>
      </c>
      <c r="H28" s="138"/>
      <c r="I28" s="139">
        <v>13</v>
      </c>
    </row>
    <row r="29" spans="1:11" ht="15" thickBot="1" x14ac:dyDescent="0.35">
      <c r="A29" s="48">
        <f>A28+1</f>
        <v>15</v>
      </c>
      <c r="B29" t="s">
        <v>91</v>
      </c>
      <c r="E29" s="70">
        <f>ROUND(E27/E28,0)</f>
        <v>8388125</v>
      </c>
      <c r="F29" s="71"/>
      <c r="G29" s="70">
        <f>ROUND(G27/G28,0)</f>
        <v>23692</v>
      </c>
      <c r="H29" s="71"/>
      <c r="I29" s="70">
        <f>ROUND(I27/I28,0)</f>
        <v>0</v>
      </c>
    </row>
    <row r="30" spans="1:11" ht="15" thickTop="1" x14ac:dyDescent="0.3">
      <c r="H30" s="23"/>
    </row>
    <row r="31" spans="1:11" x14ac:dyDescent="0.3">
      <c r="A31" s="48"/>
      <c r="E31" s="42"/>
      <c r="G31" s="42"/>
      <c r="H31" s="42"/>
      <c r="I31" s="42"/>
    </row>
    <row r="32" spans="1:11" x14ac:dyDescent="0.3">
      <c r="F32" s="45"/>
    </row>
  </sheetData>
  <mergeCells count="3">
    <mergeCell ref="D9:E9"/>
    <mergeCell ref="F9:G9"/>
    <mergeCell ref="H9:I9"/>
  </mergeCells>
  <pageMargins left="0.7" right="0.7" top="0.75" bottom="0.75" header="0.3" footer="0.3"/>
  <pageSetup scale="62" orientation="landscape" r:id="rId1"/>
  <headerFooter>
    <oddHeader>&amp;R&amp;"Times New Roman,Bold"&amp;10KyPSC Case No. 2022-00229
STAFF-DR-01-007 Attachment 
Application Exhibit 2
Schedule 2.2
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22"/>
  <sheetViews>
    <sheetView view="pageLayout" zoomScaleNormal="92" workbookViewId="0">
      <selection activeCell="K8" sqref="K8"/>
    </sheetView>
  </sheetViews>
  <sheetFormatPr defaultRowHeight="14.4" x14ac:dyDescent="0.3"/>
  <cols>
    <col min="1" max="1" width="6.5546875" customWidth="1"/>
    <col min="2" max="2" width="38.88671875" customWidth="1"/>
    <col min="3" max="15" width="12.6640625" customWidth="1"/>
    <col min="16" max="19" width="15.5546875" customWidth="1"/>
    <col min="20" max="20" width="14" customWidth="1"/>
  </cols>
  <sheetData>
    <row r="1" spans="1:16" x14ac:dyDescent="0.3">
      <c r="A1" s="5"/>
      <c r="E1" s="5"/>
      <c r="F1" s="5"/>
      <c r="G1" s="5"/>
    </row>
    <row r="2" spans="1:16" x14ac:dyDescent="0.3">
      <c r="A2" s="117" t="str">
        <f>'Sch 1.0'!A2</f>
        <v>Duke Energy Kentucky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6" x14ac:dyDescent="0.3">
      <c r="A3" s="117" t="str">
        <f>'Sch 1.0'!A3</f>
        <v>Pipeline Modernization Mechanism ("Rider PMM")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6" x14ac:dyDescent="0.3">
      <c r="A4" s="117" t="s">
        <v>156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6" x14ac:dyDescent="0.3">
      <c r="A5" s="153" t="s">
        <v>172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1:16" x14ac:dyDescent="0.3">
      <c r="A6" s="5"/>
      <c r="E6" s="5"/>
      <c r="F6" s="5"/>
      <c r="G6" s="5"/>
    </row>
    <row r="7" spans="1:16" x14ac:dyDescent="0.3">
      <c r="A7" s="26"/>
      <c r="E7" s="5"/>
      <c r="F7" s="5"/>
      <c r="G7" s="5"/>
    </row>
    <row r="8" spans="1:16" x14ac:dyDescent="0.3">
      <c r="A8" s="5"/>
      <c r="E8" s="5"/>
      <c r="F8" s="5"/>
      <c r="G8" s="5"/>
    </row>
    <row r="9" spans="1:16" x14ac:dyDescent="0.3">
      <c r="A9" s="104" t="s">
        <v>139</v>
      </c>
      <c r="B9" s="4"/>
      <c r="C9" s="4"/>
      <c r="D9" s="4"/>
      <c r="E9" s="4"/>
      <c r="F9" s="4"/>
      <c r="G9" s="4"/>
    </row>
    <row r="10" spans="1:16" x14ac:dyDescent="0.3">
      <c r="A10" s="9" t="s">
        <v>140</v>
      </c>
      <c r="B10" s="9" t="s">
        <v>15</v>
      </c>
      <c r="C10" s="152">
        <v>44927</v>
      </c>
      <c r="D10" s="152">
        <v>44958</v>
      </c>
      <c r="E10" s="152">
        <v>44986</v>
      </c>
      <c r="F10" s="152">
        <v>45017</v>
      </c>
      <c r="G10" s="152">
        <v>45047</v>
      </c>
      <c r="H10" s="152">
        <v>45078</v>
      </c>
      <c r="I10" s="152">
        <v>45108</v>
      </c>
      <c r="J10" s="152">
        <v>45139</v>
      </c>
      <c r="K10" s="152">
        <v>45170</v>
      </c>
      <c r="L10" s="152">
        <v>45200</v>
      </c>
      <c r="M10" s="152">
        <v>45231</v>
      </c>
      <c r="N10" s="152">
        <v>45261</v>
      </c>
      <c r="O10" s="9" t="s">
        <v>21</v>
      </c>
    </row>
    <row r="11" spans="1:16" x14ac:dyDescent="0.3">
      <c r="B11" s="18" t="s">
        <v>63</v>
      </c>
      <c r="C11" s="18" t="s">
        <v>64</v>
      </c>
      <c r="D11" s="18" t="s">
        <v>66</v>
      </c>
      <c r="E11" s="18" t="s">
        <v>86</v>
      </c>
      <c r="F11" s="18" t="s">
        <v>111</v>
      </c>
      <c r="G11" s="18" t="s">
        <v>112</v>
      </c>
      <c r="H11" s="18" t="s">
        <v>113</v>
      </c>
      <c r="I11" s="18" t="s">
        <v>114</v>
      </c>
      <c r="J11" s="18" t="s">
        <v>115</v>
      </c>
      <c r="K11" s="18" t="s">
        <v>116</v>
      </c>
      <c r="L11" s="18" t="s">
        <v>117</v>
      </c>
      <c r="M11" s="18" t="s">
        <v>118</v>
      </c>
      <c r="N11" s="18" t="s">
        <v>119</v>
      </c>
      <c r="O11" s="18" t="s">
        <v>120</v>
      </c>
      <c r="P11" s="18"/>
    </row>
    <row r="12" spans="1:16" x14ac:dyDescent="0.3"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pans="1:16" ht="15" customHeight="1" x14ac:dyDescent="0.3">
      <c r="A13" s="56">
        <v>1</v>
      </c>
      <c r="B13" s="38" t="s">
        <v>179</v>
      </c>
      <c r="C13" s="186">
        <v>96662.24</v>
      </c>
      <c r="D13" s="186">
        <v>96519.24</v>
      </c>
      <c r="E13" s="186">
        <v>96677.93</v>
      </c>
      <c r="F13" s="186">
        <v>96477.13</v>
      </c>
      <c r="G13" s="186">
        <v>96382.87</v>
      </c>
      <c r="H13" s="186">
        <v>96096.12</v>
      </c>
      <c r="I13" s="186">
        <v>95891.9</v>
      </c>
      <c r="J13" s="186">
        <v>95818.19</v>
      </c>
      <c r="K13" s="186">
        <v>95844.32</v>
      </c>
      <c r="L13" s="186">
        <v>96100.75</v>
      </c>
      <c r="M13" s="186">
        <v>96711.99</v>
      </c>
      <c r="N13" s="186">
        <v>97235.48</v>
      </c>
      <c r="O13" s="2">
        <f>SUM(C13:N13)</f>
        <v>1156418.1600000001</v>
      </c>
    </row>
    <row r="14" spans="1:16" ht="15" customHeight="1" x14ac:dyDescent="0.3">
      <c r="A14" s="56">
        <f>A13+1</f>
        <v>2</v>
      </c>
      <c r="B14" s="38" t="s">
        <v>78</v>
      </c>
      <c r="C14" s="186">
        <v>7943.8062939999991</v>
      </c>
      <c r="D14" s="186">
        <v>7943.6837842399891</v>
      </c>
      <c r="E14" s="186">
        <v>7935.0681583399992</v>
      </c>
      <c r="F14" s="186">
        <v>7815.9942946599995</v>
      </c>
      <c r="G14" s="186">
        <v>7693.0651747499996</v>
      </c>
      <c r="H14" s="186">
        <v>7598.5697117199988</v>
      </c>
      <c r="I14" s="186">
        <v>7531.5496086799903</v>
      </c>
      <c r="J14" s="186">
        <v>7513.8946406200002</v>
      </c>
      <c r="K14" s="186">
        <v>7522.3382335999995</v>
      </c>
      <c r="L14" s="186">
        <v>7580.8342557799997</v>
      </c>
      <c r="M14" s="186">
        <v>7775.15068659999</v>
      </c>
      <c r="N14" s="186">
        <v>7892.2156730699999</v>
      </c>
      <c r="O14" s="2">
        <f>SUM(C14:N14)</f>
        <v>92746.170516059952</v>
      </c>
    </row>
    <row r="15" spans="1:16" ht="15" customHeight="1" x14ac:dyDescent="0.3">
      <c r="A15" s="56">
        <f t="shared" ref="A15:A16" si="0">A14+1</f>
        <v>3</v>
      </c>
      <c r="B15" s="27" t="s">
        <v>79</v>
      </c>
      <c r="C15" s="186">
        <v>3606770</v>
      </c>
      <c r="D15" s="186">
        <v>2914649</v>
      </c>
      <c r="E15" s="186">
        <v>2936959</v>
      </c>
      <c r="F15" s="186">
        <v>1971667</v>
      </c>
      <c r="G15" s="186">
        <v>1850915</v>
      </c>
      <c r="H15" s="186">
        <v>1616123</v>
      </c>
      <c r="I15" s="186">
        <v>1552284</v>
      </c>
      <c r="J15" s="186">
        <v>1614994</v>
      </c>
      <c r="K15" s="186">
        <v>1581597</v>
      </c>
      <c r="L15" s="186">
        <v>1935595</v>
      </c>
      <c r="M15" s="186">
        <v>2415104</v>
      </c>
      <c r="N15" s="186">
        <v>3068500</v>
      </c>
      <c r="O15" s="2">
        <f>SUM(C15:N15)</f>
        <v>27065157</v>
      </c>
    </row>
    <row r="16" spans="1:16" ht="15" customHeight="1" x14ac:dyDescent="0.3">
      <c r="A16" s="56">
        <f t="shared" si="0"/>
        <v>4</v>
      </c>
      <c r="B16" s="27" t="s">
        <v>80</v>
      </c>
      <c r="C16" s="186">
        <v>1515504</v>
      </c>
      <c r="D16" s="186">
        <v>1365505</v>
      </c>
      <c r="E16" s="186">
        <v>1385967</v>
      </c>
      <c r="F16" s="186">
        <v>1309634</v>
      </c>
      <c r="G16" s="186">
        <v>1327458</v>
      </c>
      <c r="H16" s="186">
        <v>1314060</v>
      </c>
      <c r="I16" s="186">
        <v>1314190</v>
      </c>
      <c r="J16" s="186">
        <v>1393968</v>
      </c>
      <c r="K16" s="186">
        <v>1319910</v>
      </c>
      <c r="L16" s="186">
        <v>1492703</v>
      </c>
      <c r="M16" s="186">
        <v>1500891</v>
      </c>
      <c r="N16" s="186">
        <v>1415607</v>
      </c>
      <c r="O16" s="2">
        <f>SUM(C16:N16)</f>
        <v>16655397</v>
      </c>
    </row>
    <row r="17" spans="1:20" x14ac:dyDescent="0.3">
      <c r="C17" s="37"/>
      <c r="D17" s="37"/>
      <c r="E17" s="37"/>
      <c r="F17" s="37"/>
      <c r="G17" s="37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</row>
    <row r="18" spans="1:20" x14ac:dyDescent="0.3">
      <c r="A18" s="17"/>
    </row>
    <row r="19" spans="1:20" x14ac:dyDescent="0.3"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T19" s="35"/>
    </row>
    <row r="20" spans="1:20" x14ac:dyDescent="0.3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T20" s="35"/>
    </row>
    <row r="21" spans="1:20" x14ac:dyDescent="0.3"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T21" s="35"/>
    </row>
    <row r="22" spans="1:20" x14ac:dyDescent="0.3"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T22" s="35"/>
    </row>
  </sheetData>
  <pageMargins left="0.7" right="0.7" top="0.75" bottom="0.75" header="0.3" footer="0.3"/>
  <pageSetup scale="58" orientation="landscape" r:id="rId1"/>
  <headerFooter>
    <oddHeader>&amp;R&amp;"Times New Roman,Bold"&amp;10KyPSC Case No. 2022-00229
STAFF-DR-01-007 Attachment 
Application Exhibit 2
Schedule 3.0
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L38"/>
  <sheetViews>
    <sheetView zoomScaleNormal="100" workbookViewId="0">
      <selection activeCell="F22" sqref="F22"/>
    </sheetView>
  </sheetViews>
  <sheetFormatPr defaultRowHeight="14.4" x14ac:dyDescent="0.3"/>
  <cols>
    <col min="1" max="1" width="8.33203125" bestFit="1" customWidth="1"/>
    <col min="2" max="2" width="4.5546875" customWidth="1"/>
    <col min="3" max="3" width="6.5546875" customWidth="1"/>
    <col min="4" max="4" width="43" customWidth="1"/>
    <col min="5" max="5" width="7.5546875" customWidth="1"/>
    <col min="6" max="6" width="24.109375" customWidth="1"/>
    <col min="7" max="7" width="1.33203125" customWidth="1"/>
    <col min="8" max="8" width="10.6640625" customWidth="1"/>
  </cols>
  <sheetData>
    <row r="1" spans="1:12" x14ac:dyDescent="0.3">
      <c r="A1" s="91"/>
      <c r="E1" s="91"/>
      <c r="F1" s="91"/>
      <c r="G1" s="105"/>
      <c r="H1" s="91"/>
      <c r="I1" s="91"/>
    </row>
    <row r="2" spans="1:12" x14ac:dyDescent="0.3">
      <c r="A2" s="117" t="str">
        <f>'Sch 1.0'!A2:J2</f>
        <v>Duke Energy Kentucky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2" x14ac:dyDescent="0.3">
      <c r="A3" s="117" t="str">
        <f>'Sch 1.0'!A3:J3</f>
        <v>Pipeline Modernization Mechanism ("Rider PMM")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2" x14ac:dyDescent="0.3">
      <c r="A4" s="119" t="s">
        <v>175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2" x14ac:dyDescent="0.3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1:12" x14ac:dyDescent="0.3">
      <c r="A6" s="104" t="s">
        <v>139</v>
      </c>
      <c r="B6" s="8"/>
      <c r="C6" s="8"/>
      <c r="F6" s="90" t="s">
        <v>145</v>
      </c>
      <c r="G6" s="104"/>
      <c r="H6" s="90"/>
      <c r="I6" s="91"/>
    </row>
    <row r="7" spans="1:12" x14ac:dyDescent="0.3">
      <c r="A7" s="9" t="s">
        <v>140</v>
      </c>
      <c r="B7" s="10"/>
      <c r="C7" s="10"/>
      <c r="F7" s="120" t="s">
        <v>146</v>
      </c>
      <c r="G7" s="120"/>
      <c r="H7" s="9" t="s">
        <v>22</v>
      </c>
    </row>
    <row r="8" spans="1:12" x14ac:dyDescent="0.3">
      <c r="A8" s="10"/>
      <c r="B8" s="251" t="s">
        <v>63</v>
      </c>
      <c r="C8" s="251"/>
      <c r="D8" s="251"/>
      <c r="F8" s="90" t="s">
        <v>64</v>
      </c>
      <c r="G8" s="104"/>
      <c r="H8" s="90" t="s">
        <v>66</v>
      </c>
    </row>
    <row r="10" spans="1:12" x14ac:dyDescent="0.3">
      <c r="B10" s="8" t="s">
        <v>23</v>
      </c>
    </row>
    <row r="11" spans="1:12" x14ac:dyDescent="0.3">
      <c r="B11" s="10" t="s">
        <v>24</v>
      </c>
    </row>
    <row r="12" spans="1:12" x14ac:dyDescent="0.3">
      <c r="A12" s="91">
        <v>1</v>
      </c>
      <c r="C12" t="s">
        <v>154</v>
      </c>
      <c r="F12" s="170">
        <f>'Sch 4.5'!E29+'Sch 4.5'!G29</f>
        <v>0</v>
      </c>
      <c r="G12" s="29"/>
      <c r="H12" t="s">
        <v>163</v>
      </c>
    </row>
    <row r="13" spans="1:12" x14ac:dyDescent="0.3">
      <c r="A13" s="91"/>
      <c r="F13" s="29"/>
      <c r="G13" s="29"/>
    </row>
    <row r="14" spans="1:12" x14ac:dyDescent="0.3">
      <c r="A14" s="91">
        <f>A12+1</f>
        <v>2</v>
      </c>
      <c r="C14" t="s">
        <v>25</v>
      </c>
      <c r="F14" s="169">
        <f>'Sch 4.5'!I29</f>
        <v>0</v>
      </c>
      <c r="G14" s="30"/>
      <c r="H14" t="s">
        <v>163</v>
      </c>
    </row>
    <row r="15" spans="1:12" x14ac:dyDescent="0.3">
      <c r="A15" s="91">
        <f t="shared" ref="A15:A16" si="0">A14+1</f>
        <v>3</v>
      </c>
      <c r="C15" t="s">
        <v>26</v>
      </c>
      <c r="F15" s="128">
        <f>-'Sch 4.3'!R36</f>
        <v>0</v>
      </c>
      <c r="G15" s="80"/>
      <c r="H15" s="54" t="s">
        <v>164</v>
      </c>
    </row>
    <row r="16" spans="1:12" x14ac:dyDescent="0.3">
      <c r="A16" s="91">
        <f t="shared" si="0"/>
        <v>4</v>
      </c>
      <c r="D16" t="s">
        <v>27</v>
      </c>
      <c r="F16" s="167">
        <f>SUM(F12:F15)</f>
        <v>0</v>
      </c>
      <c r="G16" s="1"/>
    </row>
    <row r="17" spans="1:11" x14ac:dyDescent="0.3">
      <c r="A17" s="91">
        <f>A16+1</f>
        <v>5</v>
      </c>
      <c r="C17" t="s">
        <v>126</v>
      </c>
      <c r="F17" s="136">
        <f>-'Sch 4.4'!H33-'Sch 4.4'!H35</f>
        <v>0</v>
      </c>
      <c r="G17" s="33"/>
      <c r="H17" t="s">
        <v>165</v>
      </c>
    </row>
    <row r="18" spans="1:11" x14ac:dyDescent="0.3">
      <c r="A18" s="91">
        <f>A17+1</f>
        <v>6</v>
      </c>
      <c r="D18" t="s">
        <v>29</v>
      </c>
      <c r="F18" s="167">
        <f>SUM(F16:F17)</f>
        <v>0</v>
      </c>
      <c r="G18" s="1"/>
      <c r="H18" t="s">
        <v>37</v>
      </c>
    </row>
    <row r="19" spans="1:11" x14ac:dyDescent="0.3">
      <c r="A19" s="91">
        <f>A18+1</f>
        <v>7</v>
      </c>
      <c r="C19" t="s">
        <v>30</v>
      </c>
      <c r="F19" s="73">
        <f>'Sch 4.2'!F13</f>
        <v>8.0869999999999997E-2</v>
      </c>
      <c r="G19" s="73"/>
      <c r="H19" t="s">
        <v>166</v>
      </c>
    </row>
    <row r="20" spans="1:11" x14ac:dyDescent="0.3">
      <c r="A20" s="91">
        <f>A19+1</f>
        <v>8</v>
      </c>
      <c r="C20" t="s">
        <v>155</v>
      </c>
      <c r="F20" s="59">
        <f>ROUND(F18*F19,0)</f>
        <v>0</v>
      </c>
      <c r="G20" s="64"/>
      <c r="H20" t="s">
        <v>38</v>
      </c>
    </row>
    <row r="22" spans="1:11" x14ac:dyDescent="0.3">
      <c r="B22" s="10" t="s">
        <v>31</v>
      </c>
    </row>
    <row r="23" spans="1:11" x14ac:dyDescent="0.3">
      <c r="A23" s="91">
        <f>A20+1</f>
        <v>9</v>
      </c>
      <c r="C23" t="s">
        <v>32</v>
      </c>
      <c r="F23" s="170">
        <f>SUM('Sch 4.3'!F30:Q30)+SUM('Sch 4.3'!F34:Q34)</f>
        <v>0</v>
      </c>
      <c r="G23" s="60"/>
      <c r="H23" t="s">
        <v>164</v>
      </c>
    </row>
    <row r="24" spans="1:11" x14ac:dyDescent="0.3">
      <c r="A24" s="91">
        <f>A23+1</f>
        <v>10</v>
      </c>
      <c r="C24" t="s">
        <v>33</v>
      </c>
      <c r="F24" s="167">
        <f>ROUND(F16*I24,0)</f>
        <v>0</v>
      </c>
      <c r="G24" s="1"/>
      <c r="H24" t="s">
        <v>83</v>
      </c>
      <c r="I24" s="144">
        <v>1.2200000000000001E-2</v>
      </c>
    </row>
    <row r="25" spans="1:11" x14ac:dyDescent="0.3">
      <c r="A25" s="141">
        <f t="shared" ref="A25:A26" si="1">A24+1</f>
        <v>11</v>
      </c>
      <c r="C25" t="s">
        <v>34</v>
      </c>
      <c r="F25" s="172">
        <f>ROUND(SUM(F20:F24)*(0.001941/(1-0.002)),0)</f>
        <v>0</v>
      </c>
      <c r="G25" s="125"/>
      <c r="H25" s="37" t="s">
        <v>174</v>
      </c>
      <c r="I25" s="37"/>
      <c r="J25" s="37"/>
      <c r="K25" s="37"/>
    </row>
    <row r="26" spans="1:11" x14ac:dyDescent="0.3">
      <c r="A26" s="141">
        <f t="shared" si="1"/>
        <v>12</v>
      </c>
      <c r="C26" t="s">
        <v>35</v>
      </c>
      <c r="F26" s="69">
        <f>SUM(F23:F25)</f>
        <v>0</v>
      </c>
      <c r="G26" s="69"/>
      <c r="H26" t="s">
        <v>39</v>
      </c>
    </row>
    <row r="28" spans="1:11" ht="15" thickBot="1" x14ac:dyDescent="0.35">
      <c r="A28" s="91">
        <f>A26+1</f>
        <v>13</v>
      </c>
      <c r="B28" s="10" t="s">
        <v>36</v>
      </c>
      <c r="F28" s="61">
        <f>F20+F26</f>
        <v>0</v>
      </c>
      <c r="G28" s="63"/>
      <c r="H28" t="s">
        <v>40</v>
      </c>
    </row>
    <row r="30" spans="1:11" x14ac:dyDescent="0.3">
      <c r="D30" t="s">
        <v>131</v>
      </c>
      <c r="F30" s="173">
        <v>0</v>
      </c>
      <c r="G30" s="55"/>
    </row>
    <row r="31" spans="1:11" x14ac:dyDescent="0.3">
      <c r="D31" t="s">
        <v>132</v>
      </c>
      <c r="F31" s="63">
        <f>F28-F30</f>
        <v>0</v>
      </c>
      <c r="G31" s="63"/>
    </row>
    <row r="33" spans="1:7" x14ac:dyDescent="0.3">
      <c r="D33" t="s">
        <v>182</v>
      </c>
      <c r="F33" s="173">
        <v>0</v>
      </c>
      <c r="G33" s="126"/>
    </row>
    <row r="34" spans="1:7" ht="15" thickBot="1" x14ac:dyDescent="0.35">
      <c r="D34" t="s">
        <v>133</v>
      </c>
      <c r="F34" s="67">
        <f>F31-F33</f>
        <v>0</v>
      </c>
      <c r="G34" s="63"/>
    </row>
    <row r="35" spans="1:7" ht="15" thickTop="1" x14ac:dyDescent="0.3"/>
    <row r="36" spans="1:7" x14ac:dyDescent="0.3">
      <c r="A36" s="91" t="s">
        <v>41</v>
      </c>
    </row>
    <row r="37" spans="1:7" x14ac:dyDescent="0.3">
      <c r="A37" s="37" t="str">
        <f>"(1) Property taxes estimated using an effective rate of "&amp;TEXT(I24,"0.000%")</f>
        <v>(1) Property taxes estimated using an effective rate of 1.220%</v>
      </c>
    </row>
    <row r="38" spans="1:7" x14ac:dyDescent="0.3">
      <c r="A38" s="107" t="s">
        <v>149</v>
      </c>
      <c r="B38" s="107"/>
      <c r="C38" s="107"/>
      <c r="D38" s="107"/>
    </row>
  </sheetData>
  <mergeCells count="1">
    <mergeCell ref="B8:D8"/>
  </mergeCells>
  <pageMargins left="0.7" right="0.7" top="0.75" bottom="0.75" header="0.3" footer="0.3"/>
  <pageSetup scale="90" orientation="landscape" r:id="rId1"/>
  <headerFooter>
    <oddHeader xml:space="preserve">&amp;RExhibit 1
Schedule 4.1
Page &amp;P of &amp;N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88BA0F46FC4F4DBD4CB7A51E3A060A" ma:contentTypeVersion="4" ma:contentTypeDescription="Create a new document." ma:contentTypeScope="" ma:versionID="df17af46915cf88fa630d2cfc61b1248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748DDD-DC92-4F63-B872-3AA677AFB883}">
  <ds:schemaRefs>
    <ds:schemaRef ds:uri="http://schemas.microsoft.com/office/infopath/2007/PartnerControls"/>
    <ds:schemaRef ds:uri="3c9d8c27-8a6d-4d9e-a15e-ef5d28c114af"/>
    <ds:schemaRef ds:uri="http://schemas.microsoft.com/office/2006/documentManagement/types"/>
    <ds:schemaRef ds:uri="http://schemas.microsoft.com/office/2006/metadata/properties"/>
    <ds:schemaRef ds:uri="http://purl.org/dc/terms/"/>
    <ds:schemaRef ds:uri="2612a682-5ffb-4b9c-9555-017618935178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03057B4-69D3-4069-B30D-5F17219052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4DE448-29BE-44B2-95DD-163CE6E5A0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 Summary</vt:lpstr>
      <vt:lpstr>Sch 1.0</vt:lpstr>
      <vt:lpstr>Sch 1.1</vt:lpstr>
      <vt:lpstr>Sch 1.2</vt:lpstr>
      <vt:lpstr>Sch 2.0</vt:lpstr>
      <vt:lpstr>Sch 2.1</vt:lpstr>
      <vt:lpstr>Sch 2.2</vt:lpstr>
      <vt:lpstr>Sch 3.0</vt:lpstr>
      <vt:lpstr>Sch 4.1</vt:lpstr>
      <vt:lpstr>Sch 4.2</vt:lpstr>
      <vt:lpstr>Sch 4.3</vt:lpstr>
      <vt:lpstr>Sch 4.4</vt:lpstr>
      <vt:lpstr>Sch 4.5</vt:lpstr>
      <vt:lpstr>' Summary'!Print_Area</vt:lpstr>
      <vt:lpstr>'Sch 1.0'!Print_Area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Application Exhibit 2</dc:subject>
  <dc:creator>Shoemaker, Joe</dc:creator>
  <cp:lastModifiedBy>D'Ascenzo, Rocco</cp:lastModifiedBy>
  <cp:lastPrinted>2022-09-16T17:08:01Z</cp:lastPrinted>
  <dcterms:created xsi:type="dcterms:W3CDTF">2015-04-22T13:48:09Z</dcterms:created>
  <dcterms:modified xsi:type="dcterms:W3CDTF">2022-09-16T17:08:04Z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0x0101003B88BA0F46FC4F4DBD4CB7A51E3A060A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