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Northeast Woodford WD/"/>
    </mc:Choice>
  </mc:AlternateContent>
  <xr:revisionPtr revIDLastSave="0" documentId="8_{FF2AB6EC-4EF5-40F0-AD70-57EB1E9A5B86}" xr6:coauthVersionLast="47" xr6:coauthVersionMax="47" xr10:uidLastSave="{00000000-0000-0000-0000-000000000000}"/>
  <bookViews>
    <workbookView xWindow="-98" yWindow="-98" windowWidth="20715" windowHeight="13155"/>
  </bookViews>
  <sheets>
    <sheet name="GL Recap" sheetId="1" r:id="rId1"/>
    <sheet name="Reserve Cash" sheetId="2" r:id="rId2"/>
  </sheets>
  <definedNames>
    <definedName name="_xlnm.Print_Area" localSheetId="0">'GL Recap'!$A$1:$Y$54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1" l="1"/>
  <c r="E21" i="2"/>
  <c r="E23" i="2"/>
  <c r="C15" i="2"/>
  <c r="C21" i="2"/>
  <c r="H40" i="1"/>
  <c r="B29" i="1"/>
  <c r="B35" i="1"/>
  <c r="C50" i="1"/>
  <c r="H29" i="1"/>
  <c r="H35" i="1"/>
  <c r="Y12" i="1"/>
  <c r="AD12" i="1"/>
  <c r="AA12" i="1"/>
  <c r="AA17" i="1"/>
  <c r="D50" i="1"/>
  <c r="E29" i="1"/>
  <c r="E35" i="1"/>
  <c r="K51" i="1"/>
  <c r="G29" i="1"/>
  <c r="I29" i="1"/>
  <c r="J18" i="1"/>
  <c r="X14" i="1"/>
  <c r="Z14" i="1"/>
  <c r="C12" i="1"/>
  <c r="X12" i="1"/>
  <c r="Z12" i="1"/>
  <c r="C18" i="1"/>
  <c r="X10" i="1"/>
  <c r="Z10" i="1"/>
  <c r="AE5" i="1"/>
  <c r="X5" i="1"/>
  <c r="X18" i="1"/>
  <c r="D46" i="1"/>
  <c r="D51" i="1"/>
  <c r="D53" i="1"/>
  <c r="Z5" i="1"/>
  <c r="Y18" i="1"/>
  <c r="J35" i="1"/>
  <c r="C47" i="1"/>
  <c r="M22" i="1"/>
  <c r="O22" i="1"/>
  <c r="D35" i="1"/>
  <c r="M27" i="1"/>
  <c r="O27" i="1"/>
  <c r="G26" i="1"/>
  <c r="I26" i="1"/>
  <c r="K35" i="1"/>
  <c r="F41" i="1"/>
  <c r="F42" i="1"/>
  <c r="M33" i="1"/>
  <c r="O33" i="1"/>
  <c r="M32" i="1"/>
  <c r="O32" i="1"/>
  <c r="G22" i="1"/>
  <c r="I22" i="1"/>
  <c r="B18" i="1"/>
  <c r="AE15" i="1"/>
  <c r="G25" i="1"/>
  <c r="G35" i="1"/>
  <c r="I35" i="1"/>
  <c r="I25" i="1"/>
  <c r="G27" i="1"/>
  <c r="I27" i="1"/>
  <c r="X16" i="1"/>
  <c r="Z16" i="1"/>
  <c r="N34" i="1"/>
  <c r="M30" i="1"/>
  <c r="O30" i="1"/>
  <c r="G30" i="1"/>
  <c r="I30" i="1"/>
  <c r="M23" i="1"/>
  <c r="M35" i="1"/>
  <c r="O23" i="1"/>
  <c r="G33" i="1"/>
  <c r="I33" i="1"/>
  <c r="G31" i="1"/>
  <c r="I31" i="1"/>
  <c r="G28" i="1"/>
  <c r="I28" i="1"/>
  <c r="M26" i="1"/>
  <c r="O26" i="1"/>
  <c r="M28" i="1"/>
  <c r="O28" i="1"/>
  <c r="M29" i="1"/>
  <c r="O29" i="1"/>
  <c r="M31" i="1"/>
  <c r="O31" i="1"/>
  <c r="M25" i="1"/>
  <c r="O25" i="1"/>
  <c r="AE14" i="1"/>
  <c r="K18" i="1"/>
  <c r="X9" i="1"/>
  <c r="Z9" i="1"/>
  <c r="G18" i="1"/>
  <c r="X8" i="1"/>
  <c r="Z8" i="1"/>
  <c r="AE7" i="1"/>
  <c r="AE6" i="1"/>
  <c r="AE8" i="1"/>
  <c r="AE11" i="1"/>
  <c r="AE13" i="1"/>
  <c r="AE16" i="1"/>
  <c r="AE9" i="1"/>
  <c r="AC17" i="1"/>
  <c r="K52" i="1"/>
  <c r="X6" i="1"/>
  <c r="Z6" i="1"/>
  <c r="I18" i="1"/>
  <c r="C35" i="1"/>
  <c r="T18" i="1"/>
  <c r="X11" i="1"/>
  <c r="Z11" i="1"/>
  <c r="X13" i="1"/>
  <c r="Z13" i="1"/>
  <c r="X15" i="1"/>
  <c r="Z15" i="1"/>
  <c r="D18" i="1"/>
  <c r="E18" i="1"/>
  <c r="L18" i="1"/>
  <c r="M18" i="1"/>
  <c r="O18" i="1"/>
  <c r="P18" i="1"/>
  <c r="Q18" i="1"/>
  <c r="R18" i="1"/>
  <c r="S18" i="1"/>
  <c r="U18" i="1"/>
  <c r="V18" i="1"/>
  <c r="U21" i="1"/>
  <c r="W18" i="1"/>
  <c r="G23" i="1"/>
  <c r="I23" i="1"/>
  <c r="G24" i="1"/>
  <c r="I24" i="1"/>
  <c r="F35" i="1"/>
  <c r="H18" i="1"/>
  <c r="X7" i="1"/>
  <c r="Z7" i="1"/>
  <c r="N18" i="1"/>
  <c r="G32" i="1"/>
  <c r="I32" i="1"/>
  <c r="AB17" i="1"/>
  <c r="F39" i="1"/>
  <c r="D49" i="1"/>
  <c r="AE10" i="1"/>
  <c r="F18" i="1"/>
  <c r="M24" i="1"/>
  <c r="O24" i="1"/>
  <c r="L35" i="1"/>
  <c r="B39" i="1"/>
  <c r="N35" i="1"/>
  <c r="I19" i="1"/>
  <c r="G21" i="2"/>
  <c r="AE12" i="1"/>
  <c r="Z18" i="1"/>
  <c r="H39" i="1"/>
  <c r="K53" i="1"/>
  <c r="C9" i="2"/>
  <c r="C23" i="2"/>
  <c r="C39" i="1"/>
  <c r="C41" i="1"/>
  <c r="B41" i="1"/>
  <c r="C49" i="1"/>
  <c r="H41" i="1"/>
  <c r="C42" i="1"/>
  <c r="C46" i="1"/>
  <c r="C51" i="1"/>
  <c r="C53" i="1"/>
  <c r="B42" i="1"/>
  <c r="D42" i="1"/>
</calcChain>
</file>

<file path=xl/comments1.xml><?xml version="1.0" encoding="utf-8"?>
<comments xmlns="http://schemas.openxmlformats.org/spreadsheetml/2006/main">
  <authors>
    <author>Rachel Short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This amount was supposed to be transferred to the O&amp;M account, but the deposit was mistakenly made back into the Revenue account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This amount was supposed to be transferred to the O&amp;M account, but the deposit was mistakenly made back into the Revenue account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Backed out items that are not revenue (transfers, etc.)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Backed out items that are not expense</t>
        </r>
      </text>
    </comment>
  </commentList>
</comments>
</file>

<file path=xl/comments2.xml><?xml version="1.0" encoding="utf-8"?>
<comments xmlns="http://schemas.openxmlformats.org/spreadsheetml/2006/main">
  <authors>
    <author>Rachel Short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formerly Kentucky Bank; Kentucky Bank was acquired by Stock Yards Bank &amp; Trust in August 2021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Rachel Short:</t>
        </r>
        <r>
          <rPr>
            <sz val="9"/>
            <color indexed="81"/>
            <rFont val="Tahoma"/>
            <family val="2"/>
          </rPr>
          <t xml:space="preserve">
formerly Kentucky Bank; Kentucky Bank was acquired by Stock Yards Bank &amp; Trust in August 2021</t>
        </r>
      </text>
    </comment>
  </commentList>
</comments>
</file>

<file path=xl/sharedStrings.xml><?xml version="1.0" encoding="utf-8"?>
<sst xmlns="http://schemas.openxmlformats.org/spreadsheetml/2006/main" count="123" uniqueCount="90">
  <si>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</si>
  <si>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</si>
  <si>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</si>
  <si>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</si>
  <si>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</si>
  <si>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</si>
  <si>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</si>
  <si>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</si>
  <si>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</si>
  <si>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</si>
  <si>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</si>
  <si>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</si>
  <si>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Water</t>
  </si>
  <si>
    <t>Utility Tax</t>
  </si>
  <si>
    <t>Ins</t>
  </si>
  <si>
    <t>Acc/Legal</t>
  </si>
  <si>
    <t>Comm</t>
  </si>
  <si>
    <t>Salary</t>
  </si>
  <si>
    <t>Misc</t>
  </si>
  <si>
    <t>PSC</t>
  </si>
  <si>
    <t>Refunds</t>
  </si>
  <si>
    <t>Taxes</t>
  </si>
  <si>
    <t>Deposits</t>
  </si>
  <si>
    <t>Interest</t>
  </si>
  <si>
    <t>Total</t>
  </si>
  <si>
    <t>Per Bank</t>
  </si>
  <si>
    <t>Northeast Woodford Water District</t>
  </si>
  <si>
    <t>Transfers to Reserve</t>
  </si>
  <si>
    <t>Transfers to B&amp;I</t>
  </si>
  <si>
    <t>Gatewood</t>
  </si>
  <si>
    <t>Difference</t>
  </si>
  <si>
    <t>Per CD Ledger</t>
  </si>
  <si>
    <t>per bank</t>
  </si>
  <si>
    <t>transfers in Reserve</t>
  </si>
  <si>
    <t>Recap of Ledger to input TB</t>
  </si>
  <si>
    <t>Phone</t>
  </si>
  <si>
    <t>Utilities - KU</t>
  </si>
  <si>
    <t>Biller - Faust</t>
  </si>
  <si>
    <t>Computer</t>
  </si>
  <si>
    <t>Expenses</t>
  </si>
  <si>
    <t>Construction</t>
  </si>
  <si>
    <t xml:space="preserve">Taxes </t>
  </si>
  <si>
    <t>Other</t>
  </si>
  <si>
    <t>Labor</t>
  </si>
  <si>
    <t>Total Const</t>
  </si>
  <si>
    <t>transfers in O &amp;M out of Rev.</t>
  </si>
  <si>
    <t>Transfers to O&amp;M from Rev</t>
  </si>
  <si>
    <t>transfers in B &amp; I from Rev.</t>
  </si>
  <si>
    <t>Beginning Balance</t>
  </si>
  <si>
    <t>Interest Income</t>
  </si>
  <si>
    <t>Depreciation Reserve</t>
  </si>
  <si>
    <t>B&amp;I Reserve</t>
  </si>
  <si>
    <t>Payments</t>
  </si>
  <si>
    <t>Beg Rev</t>
  </si>
  <si>
    <t>Transfer</t>
  </si>
  <si>
    <t>Rev</t>
  </si>
  <si>
    <t>Beg O &amp; M</t>
  </si>
  <si>
    <t>Ending</t>
  </si>
  <si>
    <t>Parts</t>
  </si>
  <si>
    <t>Dale</t>
  </si>
  <si>
    <t>CPA</t>
  </si>
  <si>
    <t>Reimb</t>
  </si>
  <si>
    <t>Sinking transfers in</t>
  </si>
  <si>
    <t>UNADJ. TB</t>
  </si>
  <si>
    <t>UNAD. TB</t>
  </si>
  <si>
    <t>Total Interest Earned</t>
  </si>
  <si>
    <t>Total Misc. Income</t>
  </si>
  <si>
    <t>Checks written</t>
  </si>
  <si>
    <t>Other Revenue/Transfer</t>
  </si>
  <si>
    <t>Other Income</t>
  </si>
  <si>
    <t>Immaterial Diff.</t>
  </si>
  <si>
    <t>O&amp;M</t>
  </si>
  <si>
    <t>Transfer In</t>
  </si>
  <si>
    <t xml:space="preserve">Transfer Out per </t>
  </si>
  <si>
    <t>Bank</t>
  </si>
  <si>
    <t>Other Rev</t>
  </si>
  <si>
    <t>Frankfort Water</t>
  </si>
  <si>
    <t>Versailles Water</t>
  </si>
  <si>
    <t>Total Fees</t>
  </si>
  <si>
    <t>Debt Service</t>
  </si>
  <si>
    <t>Total tap fees</t>
  </si>
  <si>
    <t>B&amp;I Transfer</t>
  </si>
  <si>
    <t>Bank Fee</t>
  </si>
  <si>
    <t>Transfer Out</t>
  </si>
  <si>
    <t>O&amp;M Transfer</t>
  </si>
  <si>
    <t>Fees/Misc</t>
  </si>
  <si>
    <t>KIA Funds</t>
  </si>
  <si>
    <t>Construction transfers out</t>
  </si>
  <si>
    <t>-</t>
  </si>
  <si>
    <t>Stock Yards Bank &amp;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</si>
</sst>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165" fontId="11" fillId="0" borderId="0" xfId="1" applyNumberFormat="1" applyFont="1"/>
    <xf numFmtId="165" fontId="7" fillId="0" borderId="0" xfId="1" applyNumberFormat="1" applyFont="1"/>
    <xf numFmtId="0" fontId="6" fillId="0" borderId="0" xfId="0" applyFont="1" applyAlignment="1">
      <alignment horizontal="center"/>
    </xf>
    <xf numFmtId="165" fontId="0" fillId="0" borderId="0" xfId="0" applyNumberFormat="1"/>
    <xf numFmtId="0" fontId="3" fillId="0" borderId="0" xfId="0" applyFont="1" applyFill="1"/>
    <xf numFmtId="43" fontId="3" fillId="0" borderId="0" xfId="1" applyFont="1" applyFill="1"/>
    <xf numFmtId="43" fontId="0" fillId="0" borderId="0" xfId="0" applyNumberFormat="1" applyFill="1"/>
    <xf numFmtId="43" fontId="2" fillId="0" borderId="0" xfId="0" applyNumberFormat="1" applyFont="1" applyFill="1"/>
    <xf numFmtId="43" fontId="10" fillId="0" borderId="0" xfId="1" applyFont="1" applyFill="1"/>
    <xf numFmtId="43" fontId="11" fillId="0" borderId="0" xfId="1" applyFont="1" applyFill="1"/>
    <xf numFmtId="0" fontId="0" fillId="0" borderId="0" xfId="0" applyFill="1"/>
    <xf numFmtId="43" fontId="4" fillId="0" borderId="0" xfId="1" applyFont="1" applyFill="1"/>
    <xf numFmtId="43" fontId="7" fillId="0" borderId="0" xfId="1" applyFont="1" applyFill="1"/>
    <xf numFmtId="43" fontId="3" fillId="0" borderId="0" xfId="0" applyNumberFormat="1" applyFont="1" applyFill="1"/>
    <xf numFmtId="43" fontId="4" fillId="0" borderId="0" xfId="0" applyNumberFormat="1" applyFont="1" applyFill="1"/>
    <xf numFmtId="0" fontId="2" fillId="0" borderId="0" xfId="0" applyFont="1" applyFill="1"/>
    <xf numFmtId="43" fontId="11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43" fontId="3" fillId="0" borderId="0" xfId="1" applyFont="1" applyFill="1" applyAlignment="1">
      <alignment horizontal="center"/>
    </xf>
    <xf numFmtId="43" fontId="0" fillId="0" borderId="0" xfId="1" applyFont="1" applyFill="1"/>
    <xf numFmtId="43" fontId="5" fillId="0" borderId="0" xfId="1" quotePrefix="1" applyFont="1" applyFill="1" applyAlignment="1">
      <alignment horizontal="center"/>
    </xf>
    <xf numFmtId="165" fontId="0" fillId="0" borderId="0" xfId="1" applyNumberFormat="1" applyFont="1" applyFill="1"/>
    <xf numFmtId="43" fontId="4" fillId="0" borderId="1" xfId="0" applyNumberFormat="1" applyFont="1" applyFill="1" applyBorder="1"/>
    <xf numFmtId="43" fontId="7" fillId="0" borderId="2" xfId="1" applyFont="1" applyFill="1" applyBorder="1"/>
    <xf numFmtId="43" fontId="5" fillId="0" borderId="0" xfId="1" quotePrefix="1" applyFont="1" applyFill="1" applyAlignment="1">
      <alignment horizontal="right"/>
    </xf>
    <xf numFmtId="43" fontId="9" fillId="0" borderId="0" xfId="1" applyFont="1" applyFill="1"/>
    <xf numFmtId="43" fontId="1" fillId="0" borderId="0" xfId="1" applyFill="1" applyAlignment="1">
      <alignment horizontal="center"/>
    </xf>
    <xf numFmtId="43" fontId="10" fillId="0" borderId="0" xfId="1" applyFont="1" applyFill="1" applyAlignment="1">
      <alignment horizontal="center"/>
    </xf>
    <xf numFmtId="0" fontId="0" fillId="0" borderId="0" xfId="0" applyFill="1" applyAlignment="1">
      <alignment horizontal="right"/>
    </xf>
    <xf numFmtId="43" fontId="7" fillId="0" borderId="0" xfId="1" applyFont="1" applyFill="1" applyAlignment="1">
      <alignment horizontal="right"/>
    </xf>
    <xf numFmtId="43" fontId="4" fillId="0" borderId="0" xfId="1" applyFont="1" applyFill="1" applyAlignment="1">
      <alignment horizontal="right"/>
    </xf>
    <xf numFmtId="43" fontId="4" fillId="0" borderId="0" xfId="1" applyNumberFormat="1" applyFont="1" applyFill="1" applyAlignment="1">
      <alignment horizontal="right"/>
    </xf>
    <xf numFmtId="4" fontId="0" fillId="0" borderId="0" xfId="0" applyNumberFormat="1" applyFill="1"/>
    <xf numFmtId="43" fontId="3" fillId="0" borderId="0" xfId="1" applyFont="1" applyFill="1" applyAlignment="1">
      <alignment horizontal="right"/>
    </xf>
    <xf numFmtId="43" fontId="8" fillId="0" borderId="0" xfId="1" applyFont="1" applyFill="1"/>
    <xf numFmtId="165" fontId="9" fillId="0" borderId="0" xfId="1" applyNumberFormat="1" applyFont="1" applyFill="1"/>
    <xf numFmtId="165" fontId="7" fillId="0" borderId="0" xfId="1" applyNumberFormat="1" applyFont="1" applyFill="1"/>
    <xf numFmtId="165" fontId="8" fillId="0" borderId="0" xfId="1" applyNumberFormat="1" applyFont="1" applyFill="1"/>
    <xf numFmtId="43" fontId="10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7"/>
  <sheetViews>
    <sheetView tabSelected="1" zoomScale="80" zoomScaleNormal="80" zoomScaleSheetLayoutView="100" workbookViewId="0">
      <selection activeCell="M43" sqref="M43"/>
    </sheetView>
  </sheetViews>
  <sheetFormatPr defaultRowHeight="12.75" x14ac:dyDescent="0.35"/>
  <cols>
    <col min="1" max="1" width="23.3984375" customWidth="1"/>
    <col min="2" max="2" width="14.3984375" customWidth="1"/>
    <col min="3" max="3" width="16" customWidth="1"/>
    <col min="4" max="4" width="14.59765625" customWidth="1"/>
    <col min="5" max="5" width="15.73046875" customWidth="1"/>
    <col min="6" max="6" width="13.265625" bestFit="1" customWidth="1"/>
    <col min="7" max="7" width="13.265625" customWidth="1"/>
    <col min="8" max="8" width="16.1328125" customWidth="1"/>
    <col min="9" max="9" width="13.73046875" bestFit="1" customWidth="1"/>
    <col min="10" max="10" width="10.86328125" bestFit="1" customWidth="1"/>
    <col min="11" max="11" width="13" bestFit="1" customWidth="1"/>
    <col min="12" max="12" width="14" bestFit="1" customWidth="1"/>
    <col min="13" max="13" width="13.265625" bestFit="1" customWidth="1"/>
    <col min="14" max="15" width="13.265625" customWidth="1"/>
    <col min="16" max="16" width="11.3984375" customWidth="1"/>
    <col min="17" max="18" width="10.265625" customWidth="1"/>
    <col min="19" max="19" width="14.86328125" customWidth="1"/>
    <col min="20" max="22" width="13" customWidth="1"/>
    <col min="23" max="23" width="13.1328125" customWidth="1"/>
    <col min="24" max="24" width="12.265625" customWidth="1"/>
    <col min="25" max="25" width="12.265625" bestFit="1" customWidth="1"/>
    <col min="26" max="26" width="10.86328125" bestFit="1" customWidth="1"/>
    <col min="27" max="27" width="11.265625" bestFit="1" customWidth="1"/>
    <col min="28" max="28" width="12.265625" bestFit="1" customWidth="1"/>
    <col min="29" max="29" width="10.1328125" bestFit="1" customWidth="1"/>
    <col min="30" max="30" width="15.1328125" bestFit="1" customWidth="1"/>
    <col min="31" max="31" width="13" bestFit="1" customWidth="1"/>
    <col min="32" max="32" width="10.86328125" bestFit="1" customWidth="1"/>
    <col min="33" max="33" width="11.265625" bestFit="1" customWidth="1"/>
  </cols>
  <sheetData>
    <row r="1" spans="1:33" x14ac:dyDescent="0.35">
      <c r="A1" t="s">
        <v>26</v>
      </c>
      <c r="L1" s="3"/>
    </row>
    <row r="2" spans="1:33" x14ac:dyDescent="0.35">
      <c r="A2" t="s">
        <v>34</v>
      </c>
    </row>
    <row r="3" spans="1:33" x14ac:dyDescent="0.35">
      <c r="K3" t="s">
        <v>16</v>
      </c>
      <c r="N3" s="3"/>
      <c r="Q3" t="s">
        <v>21</v>
      </c>
      <c r="R3" t="s">
        <v>21</v>
      </c>
      <c r="S3" t="s">
        <v>41</v>
      </c>
      <c r="T3" t="s">
        <v>59</v>
      </c>
      <c r="U3" t="s">
        <v>40</v>
      </c>
      <c r="W3" t="s">
        <v>38</v>
      </c>
      <c r="AA3" s="1" t="s">
        <v>23</v>
      </c>
      <c r="AB3" s="1" t="s">
        <v>72</v>
      </c>
      <c r="AC3" s="2" t="s">
        <v>75</v>
      </c>
    </row>
    <row r="4" spans="1:33" ht="13.15" x14ac:dyDescent="0.4">
      <c r="A4" s="2"/>
      <c r="B4" s="2" t="s">
        <v>35</v>
      </c>
      <c r="C4" s="2" t="s">
        <v>36</v>
      </c>
      <c r="D4" s="2" t="s">
        <v>29</v>
      </c>
      <c r="E4" s="2" t="s">
        <v>37</v>
      </c>
      <c r="F4" s="2" t="s">
        <v>18</v>
      </c>
      <c r="G4" s="2" t="s">
        <v>79</v>
      </c>
      <c r="H4" s="2" t="s">
        <v>77</v>
      </c>
      <c r="I4" s="2" t="s">
        <v>76</v>
      </c>
      <c r="J4" s="2" t="s">
        <v>13</v>
      </c>
      <c r="K4" s="2" t="s">
        <v>17</v>
      </c>
      <c r="L4" s="2" t="s">
        <v>14</v>
      </c>
      <c r="M4" s="2" t="s">
        <v>15</v>
      </c>
      <c r="N4" s="2" t="s">
        <v>21</v>
      </c>
      <c r="O4" s="2" t="s">
        <v>20</v>
      </c>
      <c r="P4" s="2" t="s">
        <v>60</v>
      </c>
      <c r="Q4" s="2" t="s">
        <v>16</v>
      </c>
      <c r="R4" s="2" t="s">
        <v>19</v>
      </c>
      <c r="S4" s="2" t="s">
        <v>42</v>
      </c>
      <c r="T4" s="2" t="s">
        <v>43</v>
      </c>
      <c r="U4" s="2" t="s">
        <v>43</v>
      </c>
      <c r="V4" s="2" t="s">
        <v>58</v>
      </c>
      <c r="W4" s="2" t="s">
        <v>39</v>
      </c>
      <c r="X4" s="23" t="s">
        <v>24</v>
      </c>
      <c r="Y4" s="4" t="s">
        <v>25</v>
      </c>
      <c r="Z4" s="5"/>
      <c r="AA4" s="1" t="s">
        <v>71</v>
      </c>
      <c r="AB4" s="1" t="s">
        <v>71</v>
      </c>
      <c r="AC4" s="1" t="s">
        <v>71</v>
      </c>
      <c r="AD4" s="1" t="s">
        <v>25</v>
      </c>
    </row>
    <row r="5" spans="1:33" s="16" customFormat="1" ht="13.15" x14ac:dyDescent="0.4">
      <c r="A5" s="10" t="s">
        <v>0</v>
      </c>
      <c r="B5" s="11">
        <v>64.290000000000006</v>
      </c>
      <c r="C5" s="11">
        <v>232.99</v>
      </c>
      <c r="D5" s="11">
        <v>4200</v>
      </c>
      <c r="E5" s="11">
        <v>3348</v>
      </c>
      <c r="F5" s="11">
        <v>191.77</v>
      </c>
      <c r="G5" s="11"/>
      <c r="H5" s="11">
        <v>25153.72</v>
      </c>
      <c r="I5" s="11">
        <v>268.39</v>
      </c>
      <c r="J5" s="11">
        <v>1725.27</v>
      </c>
      <c r="K5" s="11"/>
      <c r="L5" s="11"/>
      <c r="M5" s="11"/>
      <c r="N5" s="11">
        <v>1528.8</v>
      </c>
      <c r="O5" s="11"/>
      <c r="P5" s="11"/>
      <c r="Q5" s="11"/>
      <c r="R5" s="11"/>
      <c r="S5" s="11"/>
      <c r="T5" s="11">
        <v>1515</v>
      </c>
      <c r="U5" s="11"/>
      <c r="V5" s="11">
        <v>650</v>
      </c>
      <c r="W5" s="11"/>
      <c r="X5" s="12">
        <f>SUM(B5:W5)</f>
        <v>38878.230000000003</v>
      </c>
      <c r="Y5" s="11">
        <v>38878.230000000003</v>
      </c>
      <c r="Z5" s="13">
        <f>X5-Y5</f>
        <v>0</v>
      </c>
      <c r="AA5" s="14">
        <v>3.02</v>
      </c>
      <c r="AB5" s="14">
        <v>48559.66</v>
      </c>
      <c r="AC5" s="14"/>
      <c r="AD5" s="15">
        <v>48562.68</v>
      </c>
      <c r="AE5" s="15">
        <f>+AD5-AC5-AB5-AA5</f>
        <v>-3.2014391138091014E-12</v>
      </c>
      <c r="AG5" s="12"/>
    </row>
    <row r="6" spans="1:33" s="16" customFormat="1" ht="13.15" x14ac:dyDescent="0.4">
      <c r="A6" s="16" t="s">
        <v>1</v>
      </c>
      <c r="B6" s="11">
        <v>62</v>
      </c>
      <c r="C6" s="11">
        <v>985.49</v>
      </c>
      <c r="D6" s="11">
        <v>4200</v>
      </c>
      <c r="E6" s="11">
        <v>3181.35</v>
      </c>
      <c r="F6" s="11">
        <v>2155</v>
      </c>
      <c r="G6" s="11"/>
      <c r="H6" s="11">
        <v>31887.13</v>
      </c>
      <c r="I6" s="11">
        <v>972.71</v>
      </c>
      <c r="J6" s="11">
        <v>1614.99</v>
      </c>
      <c r="K6" s="11"/>
      <c r="L6" s="11"/>
      <c r="M6" s="11"/>
      <c r="N6" s="11"/>
      <c r="O6" s="11"/>
      <c r="P6" s="11"/>
      <c r="Q6" s="11"/>
      <c r="R6" s="11"/>
      <c r="S6" s="11"/>
      <c r="T6" s="11">
        <v>1615</v>
      </c>
      <c r="U6" s="11"/>
      <c r="V6" s="11"/>
      <c r="W6" s="11"/>
      <c r="X6" s="12">
        <f t="shared" ref="X6:X16" si="0">SUM(B6:W6)</f>
        <v>46673.67</v>
      </c>
      <c r="Y6" s="11">
        <v>46673.67</v>
      </c>
      <c r="Z6" s="13">
        <f t="shared" ref="Z6:Z16" si="1">X6-Y6</f>
        <v>0</v>
      </c>
      <c r="AA6" s="14">
        <v>3.06</v>
      </c>
      <c r="AB6" s="14">
        <v>56935.11</v>
      </c>
      <c r="AC6" s="14"/>
      <c r="AD6" s="15">
        <v>56938.17</v>
      </c>
      <c r="AE6" s="15">
        <f t="shared" ref="AE6:AE16" si="2">+AD6-AC6-AB6-AA6</f>
        <v>-2.3283597272438783E-12</v>
      </c>
      <c r="AG6" s="12"/>
    </row>
    <row r="7" spans="1:33" s="16" customFormat="1" ht="13.15" x14ac:dyDescent="0.4">
      <c r="A7" s="16" t="s">
        <v>2</v>
      </c>
      <c r="B7" s="18">
        <v>75.03</v>
      </c>
      <c r="C7" s="18">
        <v>1518.67</v>
      </c>
      <c r="D7" s="18">
        <v>4200</v>
      </c>
      <c r="E7" s="18">
        <v>3346.8</v>
      </c>
      <c r="F7" s="18">
        <v>320</v>
      </c>
      <c r="G7" s="18"/>
      <c r="H7" s="18">
        <v>33562.74</v>
      </c>
      <c r="I7" s="18">
        <v>3379.6</v>
      </c>
      <c r="J7" s="18">
        <v>1769.99</v>
      </c>
      <c r="K7" s="18"/>
      <c r="L7" s="18"/>
      <c r="M7" s="18"/>
      <c r="N7" s="18"/>
      <c r="O7" s="18"/>
      <c r="P7" s="18"/>
      <c r="Q7" s="18"/>
      <c r="R7" s="18"/>
      <c r="S7" s="18"/>
      <c r="T7" s="18">
        <v>3862.5</v>
      </c>
      <c r="U7" s="18"/>
      <c r="V7" s="18">
        <v>6318.32</v>
      </c>
      <c r="W7" s="18">
        <v>126</v>
      </c>
      <c r="X7" s="12">
        <f t="shared" si="0"/>
        <v>58479.649999999994</v>
      </c>
      <c r="Y7" s="11">
        <v>58479.65</v>
      </c>
      <c r="Z7" s="13">
        <f>X7-Y7</f>
        <v>0</v>
      </c>
      <c r="AA7" s="14">
        <v>3.5</v>
      </c>
      <c r="AB7" s="14">
        <v>43647.3</v>
      </c>
      <c r="AC7" s="14"/>
      <c r="AD7" s="15">
        <v>43650.8</v>
      </c>
      <c r="AE7" s="15">
        <f t="shared" si="2"/>
        <v>0</v>
      </c>
      <c r="AG7" s="12"/>
    </row>
    <row r="8" spans="1:33" s="16" customFormat="1" ht="13.15" x14ac:dyDescent="0.4">
      <c r="A8" s="16" t="s">
        <v>3</v>
      </c>
      <c r="B8" s="18">
        <v>61.56</v>
      </c>
      <c r="C8" s="18">
        <v>840.03</v>
      </c>
      <c r="D8" s="18">
        <v>4200</v>
      </c>
      <c r="E8" s="18">
        <v>3207.42</v>
      </c>
      <c r="F8" s="18">
        <v>851</v>
      </c>
      <c r="G8" s="18"/>
      <c r="H8" s="18">
        <v>20848.060000000001</v>
      </c>
      <c r="I8" s="18">
        <v>1554.45</v>
      </c>
      <c r="J8" s="18"/>
      <c r="K8" s="18"/>
      <c r="L8" s="18">
        <v>137.43</v>
      </c>
      <c r="M8" s="18"/>
      <c r="N8" s="18"/>
      <c r="O8" s="18">
        <v>3744.51</v>
      </c>
      <c r="P8" s="18"/>
      <c r="Q8" s="18"/>
      <c r="R8" s="18"/>
      <c r="S8" s="18"/>
      <c r="T8" s="18">
        <v>2862.5</v>
      </c>
      <c r="U8" s="18"/>
      <c r="V8" s="18">
        <v>1103.6199999999999</v>
      </c>
      <c r="W8" s="18"/>
      <c r="X8" s="12">
        <f t="shared" si="0"/>
        <v>39410.58</v>
      </c>
      <c r="Y8" s="11">
        <v>39410.58</v>
      </c>
      <c r="Z8" s="13">
        <f t="shared" si="1"/>
        <v>0</v>
      </c>
      <c r="AA8" s="14">
        <v>3.12</v>
      </c>
      <c r="AB8" s="14">
        <v>43647.3</v>
      </c>
      <c r="AC8" s="14"/>
      <c r="AD8" s="15">
        <v>43650.42</v>
      </c>
      <c r="AE8" s="15">
        <f t="shared" si="2"/>
        <v>-4.6567194544877566E-12</v>
      </c>
      <c r="AG8" s="12"/>
    </row>
    <row r="9" spans="1:33" s="16" customFormat="1" ht="13.15" x14ac:dyDescent="0.4">
      <c r="A9" s="16" t="s">
        <v>4</v>
      </c>
      <c r="B9" s="18"/>
      <c r="C9" s="18">
        <v>496.89</v>
      </c>
      <c r="D9" s="18">
        <v>4200</v>
      </c>
      <c r="E9" s="18">
        <v>3357.6</v>
      </c>
      <c r="F9" s="18">
        <v>9798.84</v>
      </c>
      <c r="G9" s="18"/>
      <c r="H9" s="18">
        <v>27774.1</v>
      </c>
      <c r="I9" s="18">
        <v>5674.75</v>
      </c>
      <c r="J9" s="18">
        <v>1556.46</v>
      </c>
      <c r="K9" s="18"/>
      <c r="L9" s="18">
        <v>5046.1099999999997</v>
      </c>
      <c r="M9" s="18"/>
      <c r="N9" s="18"/>
      <c r="O9" s="18"/>
      <c r="P9" s="18"/>
      <c r="Q9" s="18"/>
      <c r="R9" s="18"/>
      <c r="S9" s="18"/>
      <c r="T9" s="18">
        <v>2285</v>
      </c>
      <c r="V9" s="14">
        <v>783.6</v>
      </c>
      <c r="W9" s="18"/>
      <c r="X9" s="12">
        <f t="shared" si="0"/>
        <v>60973.35</v>
      </c>
      <c r="Y9" s="11">
        <v>60973.35</v>
      </c>
      <c r="Z9" s="13">
        <f t="shared" si="1"/>
        <v>0</v>
      </c>
      <c r="AA9" s="14">
        <v>3.09</v>
      </c>
      <c r="AB9" s="14">
        <v>64718.46</v>
      </c>
      <c r="AC9" s="14"/>
      <c r="AD9" s="15">
        <v>64721.55</v>
      </c>
      <c r="AE9" s="15">
        <f t="shared" si="2"/>
        <v>3.7836400679225335E-12</v>
      </c>
      <c r="AG9" s="12"/>
    </row>
    <row r="10" spans="1:33" s="16" customFormat="1" ht="13.15" x14ac:dyDescent="0.4">
      <c r="A10" s="16" t="s">
        <v>5</v>
      </c>
      <c r="B10" s="18">
        <v>124.02</v>
      </c>
      <c r="C10" s="18">
        <v>743.39</v>
      </c>
      <c r="D10" s="18"/>
      <c r="E10" s="18">
        <v>3453.86</v>
      </c>
      <c r="F10" s="18">
        <v>60</v>
      </c>
      <c r="G10" s="18"/>
      <c r="H10" s="18">
        <v>27095.53</v>
      </c>
      <c r="I10" s="18">
        <v>1379.81</v>
      </c>
      <c r="J10" s="18">
        <v>1470.09</v>
      </c>
      <c r="K10" s="18">
        <v>8267.39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>
        <v>1136.56</v>
      </c>
      <c r="W10" s="18"/>
      <c r="X10" s="12">
        <f>SUM(B10:W10)</f>
        <v>43730.649999999994</v>
      </c>
      <c r="Y10" s="11">
        <v>43730.65</v>
      </c>
      <c r="Z10" s="13">
        <f t="shared" si="1"/>
        <v>0</v>
      </c>
      <c r="AA10" s="14">
        <v>3.6</v>
      </c>
      <c r="AB10" s="14">
        <v>44425.54</v>
      </c>
      <c r="AC10" s="14"/>
      <c r="AD10" s="15">
        <v>44429.14</v>
      </c>
      <c r="AE10" s="15">
        <f t="shared" si="2"/>
        <v>-1.4552803406786552E-12</v>
      </c>
      <c r="AG10" s="12"/>
    </row>
    <row r="11" spans="1:33" s="16" customFormat="1" ht="13.15" x14ac:dyDescent="0.4">
      <c r="A11" s="16" t="s">
        <v>6</v>
      </c>
      <c r="B11" s="18">
        <v>64.790000000000006</v>
      </c>
      <c r="C11" s="18">
        <v>158.43</v>
      </c>
      <c r="D11" s="18">
        <v>8400</v>
      </c>
      <c r="E11" s="18">
        <v>3197.45</v>
      </c>
      <c r="F11" s="18">
        <v>540</v>
      </c>
      <c r="G11" s="18"/>
      <c r="H11" s="18">
        <v>31613.43</v>
      </c>
      <c r="I11" s="18">
        <v>7260.88</v>
      </c>
      <c r="J11" s="18">
        <v>1581.95</v>
      </c>
      <c r="K11" s="18"/>
      <c r="L11" s="18">
        <v>274.86</v>
      </c>
      <c r="M11" s="18"/>
      <c r="N11" s="18">
        <v>2874.38</v>
      </c>
      <c r="O11" s="18"/>
      <c r="P11" s="18"/>
      <c r="Q11" s="18"/>
      <c r="R11" s="18"/>
      <c r="S11" s="18"/>
      <c r="T11" s="18">
        <v>3662.5</v>
      </c>
      <c r="U11" s="18"/>
      <c r="V11" s="18">
        <v>608.4</v>
      </c>
      <c r="W11" s="18"/>
      <c r="X11" s="12">
        <f t="shared" si="0"/>
        <v>60237.069999999992</v>
      </c>
      <c r="Y11" s="11">
        <v>60237.07</v>
      </c>
      <c r="Z11" s="13">
        <f t="shared" si="1"/>
        <v>0</v>
      </c>
      <c r="AA11" s="14">
        <v>3.17</v>
      </c>
      <c r="AB11" s="14">
        <v>49706.15</v>
      </c>
      <c r="AC11" s="14"/>
      <c r="AD11" s="15">
        <v>49709.32</v>
      </c>
      <c r="AE11" s="15">
        <f t="shared" si="2"/>
        <v>-1.7461587731304462E-12</v>
      </c>
      <c r="AG11" s="12"/>
    </row>
    <row r="12" spans="1:33" s="16" customFormat="1" x14ac:dyDescent="0.35">
      <c r="A12" s="16" t="s">
        <v>7</v>
      </c>
      <c r="B12" s="18">
        <v>61.43</v>
      </c>
      <c r="C12" s="18">
        <f>988.18+435.75</f>
        <v>1423.9299999999998</v>
      </c>
      <c r="D12" s="18">
        <v>4200</v>
      </c>
      <c r="E12" s="18">
        <v>3192.1</v>
      </c>
      <c r="F12" s="18">
        <v>210</v>
      </c>
      <c r="G12" s="18"/>
      <c r="H12" s="18">
        <v>26023.47</v>
      </c>
      <c r="I12" s="18">
        <v>9130.32</v>
      </c>
      <c r="J12" s="18">
        <v>1701.33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>
        <v>1548.42</v>
      </c>
      <c r="W12" s="18">
        <v>718.68</v>
      </c>
      <c r="X12" s="12">
        <f t="shared" si="0"/>
        <v>48209.68</v>
      </c>
      <c r="Y12" s="11">
        <f>47773.93+435.75</f>
        <v>48209.68</v>
      </c>
      <c r="Z12" s="19">
        <f t="shared" si="1"/>
        <v>0</v>
      </c>
      <c r="AA12" s="14">
        <f>1.84+0.21</f>
        <v>2.0500000000000003</v>
      </c>
      <c r="AB12" s="14"/>
      <c r="AC12" s="14"/>
      <c r="AD12" s="15">
        <f>1.84+0.21</f>
        <v>2.0500000000000003</v>
      </c>
      <c r="AE12" s="15">
        <f t="shared" si="2"/>
        <v>0</v>
      </c>
      <c r="AG12" s="12"/>
    </row>
    <row r="13" spans="1:33" s="16" customFormat="1" x14ac:dyDescent="0.35">
      <c r="A13" s="16" t="s">
        <v>8</v>
      </c>
      <c r="B13" s="18">
        <v>61.59</v>
      </c>
      <c r="C13" s="18">
        <v>834.78</v>
      </c>
      <c r="D13" s="18">
        <v>4200</v>
      </c>
      <c r="E13" s="18">
        <v>3176.35</v>
      </c>
      <c r="F13" s="18">
        <v>520</v>
      </c>
      <c r="G13" s="18"/>
      <c r="H13" s="11">
        <v>28350.55</v>
      </c>
      <c r="I13" s="18">
        <v>16695.79</v>
      </c>
      <c r="J13" s="18">
        <v>1909.37</v>
      </c>
      <c r="K13" s="18"/>
      <c r="L13" s="18"/>
      <c r="M13" s="18"/>
      <c r="N13" s="18"/>
      <c r="O13" s="18"/>
      <c r="P13" s="18"/>
      <c r="Q13" s="18"/>
      <c r="R13" s="18"/>
      <c r="S13" s="18"/>
      <c r="T13" s="18">
        <v>725</v>
      </c>
      <c r="U13" s="18"/>
      <c r="V13" s="18">
        <v>331.1</v>
      </c>
      <c r="W13" s="18"/>
      <c r="X13" s="12">
        <f t="shared" si="0"/>
        <v>56804.53</v>
      </c>
      <c r="Y13" s="11">
        <v>56804.53</v>
      </c>
      <c r="Z13" s="19">
        <f t="shared" si="1"/>
        <v>0</v>
      </c>
      <c r="AA13" s="11">
        <v>1.01</v>
      </c>
      <c r="AB13" s="14">
        <v>102870.68</v>
      </c>
      <c r="AC13" s="14"/>
      <c r="AD13" s="15">
        <v>102871.69</v>
      </c>
      <c r="AE13" s="15">
        <f t="shared" si="2"/>
        <v>9.3132168643705882E-12</v>
      </c>
      <c r="AG13" s="12"/>
    </row>
    <row r="14" spans="1:33" s="16" customFormat="1" x14ac:dyDescent="0.35">
      <c r="A14" s="16" t="s">
        <v>9</v>
      </c>
      <c r="B14" s="18">
        <v>61.59</v>
      </c>
      <c r="C14" s="18">
        <v>186.11</v>
      </c>
      <c r="D14" s="18">
        <v>4200</v>
      </c>
      <c r="E14" s="18">
        <v>3133.3</v>
      </c>
      <c r="F14" s="18">
        <v>90</v>
      </c>
      <c r="G14" s="18"/>
      <c r="H14" s="18">
        <v>26620.27</v>
      </c>
      <c r="I14" s="18">
        <v>19765.55</v>
      </c>
      <c r="J14" s="18">
        <v>1900.56</v>
      </c>
      <c r="K14" s="18"/>
      <c r="L14" s="18">
        <v>101.8</v>
      </c>
      <c r="M14" s="18"/>
      <c r="N14" s="18"/>
      <c r="O14" s="18"/>
      <c r="P14" s="18"/>
      <c r="Q14" s="18"/>
      <c r="R14" s="18"/>
      <c r="S14" s="18"/>
      <c r="T14" s="18"/>
      <c r="U14" s="18"/>
      <c r="V14" s="18">
        <v>153.12</v>
      </c>
      <c r="W14" s="18"/>
      <c r="X14" s="12">
        <f>SUM(B14:W14)</f>
        <v>56212.30000000001</v>
      </c>
      <c r="Y14" s="11">
        <v>56212.3</v>
      </c>
      <c r="Z14" s="19">
        <f t="shared" si="1"/>
        <v>0</v>
      </c>
      <c r="AA14" s="14">
        <v>1.01</v>
      </c>
      <c r="AB14" s="14">
        <v>62373.26</v>
      </c>
      <c r="AC14" s="14"/>
      <c r="AD14" s="15">
        <v>62374.27</v>
      </c>
      <c r="AE14" s="15">
        <f t="shared" si="2"/>
        <v>-5.2386983639962637E-12</v>
      </c>
      <c r="AG14" s="12"/>
    </row>
    <row r="15" spans="1:33" s="16" customFormat="1" x14ac:dyDescent="0.35">
      <c r="A15" s="16" t="s">
        <v>10</v>
      </c>
      <c r="B15" s="18">
        <v>60.95</v>
      </c>
      <c r="C15" s="18">
        <v>1943.27</v>
      </c>
      <c r="D15" s="18">
        <v>4200</v>
      </c>
      <c r="E15" s="18">
        <v>3158.55</v>
      </c>
      <c r="F15" s="18">
        <v>100</v>
      </c>
      <c r="G15" s="18"/>
      <c r="H15" s="18">
        <v>25042.16</v>
      </c>
      <c r="I15" s="18">
        <v>15798.64</v>
      </c>
      <c r="J15" s="18">
        <v>2112.06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>
        <v>1825.2</v>
      </c>
      <c r="W15" s="18"/>
      <c r="X15" s="12">
        <f t="shared" si="0"/>
        <v>54240.829999999994</v>
      </c>
      <c r="Y15" s="11">
        <v>54240.83</v>
      </c>
      <c r="Z15" s="19">
        <f>X15-Y15</f>
        <v>0</v>
      </c>
      <c r="AA15" s="14">
        <v>1.24</v>
      </c>
      <c r="AB15" s="14">
        <v>62368.57</v>
      </c>
      <c r="AC15" s="14"/>
      <c r="AD15" s="15">
        <v>62369.81</v>
      </c>
      <c r="AE15" s="15">
        <f t="shared" si="2"/>
        <v>-2.0372592501871623E-12</v>
      </c>
      <c r="AG15" s="12"/>
    </row>
    <row r="16" spans="1:33" s="16" customFormat="1" ht="15" x14ac:dyDescent="0.65">
      <c r="A16" s="16" t="s">
        <v>11</v>
      </c>
      <c r="B16" s="17">
        <v>62.28</v>
      </c>
      <c r="C16" s="17">
        <v>335.46</v>
      </c>
      <c r="D16" s="17">
        <v>4200</v>
      </c>
      <c r="E16" s="17">
        <v>3193.25</v>
      </c>
      <c r="F16" s="17">
        <v>1201.1300000000001</v>
      </c>
      <c r="G16" s="17">
        <v>0</v>
      </c>
      <c r="H16" s="17">
        <v>18261.07</v>
      </c>
      <c r="I16" s="17">
        <v>29376.39</v>
      </c>
      <c r="J16" s="17">
        <v>1654.14</v>
      </c>
      <c r="K16" s="17">
        <v>8267.39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5256.78</v>
      </c>
      <c r="W16" s="17">
        <v>0</v>
      </c>
      <c r="X16" s="20">
        <f t="shared" si="0"/>
        <v>71807.89</v>
      </c>
      <c r="Y16" s="17">
        <v>71807.89</v>
      </c>
      <c r="Z16" s="20">
        <f t="shared" si="1"/>
        <v>0</v>
      </c>
      <c r="AA16" s="17">
        <v>1.24</v>
      </c>
      <c r="AB16" s="17">
        <v>69865.73</v>
      </c>
      <c r="AC16" s="17">
        <v>0</v>
      </c>
      <c r="AD16" s="17">
        <v>69866.97</v>
      </c>
      <c r="AE16" s="17">
        <f t="shared" si="2"/>
        <v>5.2386983639962637E-12</v>
      </c>
      <c r="AG16" s="12"/>
    </row>
    <row r="17" spans="1:33" s="16" customFormat="1" ht="13.15" x14ac:dyDescent="0.4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2"/>
      <c r="V17" s="12"/>
      <c r="W17" s="18"/>
      <c r="Y17" s="21"/>
      <c r="Z17" s="21"/>
      <c r="AA17" s="14">
        <f>SUM(AA5:AA16)</f>
        <v>29.110000000000003</v>
      </c>
      <c r="AB17" s="14">
        <f>SUM(AB5:AB16)</f>
        <v>649117.76</v>
      </c>
      <c r="AC17" s="14">
        <f>SUM(AC5:AC16)</f>
        <v>0</v>
      </c>
      <c r="AD17" s="15"/>
      <c r="AE17" s="15"/>
    </row>
    <row r="18" spans="1:33" s="10" customFormat="1" x14ac:dyDescent="0.35">
      <c r="A18" s="10" t="s">
        <v>31</v>
      </c>
      <c r="B18" s="11">
        <f>SUM(B5:B16)</f>
        <v>759.53000000000009</v>
      </c>
      <c r="C18" s="11">
        <f>SUM(C5:C16)</f>
        <v>9699.4399999999987</v>
      </c>
      <c r="D18" s="11">
        <f t="shared" ref="D18:Z18" si="3">SUM(D5:D16)</f>
        <v>50400</v>
      </c>
      <c r="E18" s="11">
        <f t="shared" si="3"/>
        <v>38946.03</v>
      </c>
      <c r="F18" s="11">
        <f t="shared" si="3"/>
        <v>16037.740000000002</v>
      </c>
      <c r="G18" s="11">
        <f t="shared" si="3"/>
        <v>0</v>
      </c>
      <c r="H18" s="11">
        <f t="shared" si="3"/>
        <v>322232.23</v>
      </c>
      <c r="I18" s="11">
        <f>SUM(I5:I16)</f>
        <v>111257.28</v>
      </c>
      <c r="J18" s="11">
        <f>SUM(J5:J16)</f>
        <v>18996.21</v>
      </c>
      <c r="K18" s="11">
        <f>SUM(K5:K16)</f>
        <v>16534.78</v>
      </c>
      <c r="L18" s="11">
        <f>SUM(L5:L16)</f>
        <v>5560.2</v>
      </c>
      <c r="M18" s="11">
        <f>SUM(M5:M16)</f>
        <v>0</v>
      </c>
      <c r="N18" s="11">
        <f t="shared" si="3"/>
        <v>4403.18</v>
      </c>
      <c r="O18" s="11">
        <f t="shared" si="3"/>
        <v>3744.51</v>
      </c>
      <c r="P18" s="11">
        <f t="shared" si="3"/>
        <v>0</v>
      </c>
      <c r="Q18" s="11">
        <f t="shared" si="3"/>
        <v>0</v>
      </c>
      <c r="R18" s="11">
        <f t="shared" si="3"/>
        <v>0</v>
      </c>
      <c r="S18" s="11">
        <f t="shared" si="3"/>
        <v>0</v>
      </c>
      <c r="T18" s="11">
        <f>SUM(T5:T16)</f>
        <v>16527.5</v>
      </c>
      <c r="U18" s="11">
        <f t="shared" si="3"/>
        <v>0</v>
      </c>
      <c r="V18" s="11">
        <f t="shared" si="3"/>
        <v>19715.12</v>
      </c>
      <c r="W18" s="11">
        <f t="shared" si="3"/>
        <v>844.68</v>
      </c>
      <c r="X18" s="11">
        <f t="shared" si="3"/>
        <v>635658.43000000005</v>
      </c>
      <c r="Y18" s="19">
        <f t="shared" si="3"/>
        <v>635658.43000000005</v>
      </c>
      <c r="Z18" s="19">
        <f t="shared" si="3"/>
        <v>0</v>
      </c>
      <c r="AA18" s="11"/>
      <c r="AB18" s="11"/>
      <c r="AC18" s="11"/>
      <c r="AG18" s="19"/>
    </row>
    <row r="19" spans="1:33" s="10" customFormat="1" x14ac:dyDescent="0.35">
      <c r="B19" s="11"/>
      <c r="C19" s="11"/>
      <c r="D19" s="11"/>
      <c r="E19" s="11"/>
      <c r="F19" s="11"/>
      <c r="G19" s="11"/>
      <c r="H19" s="11"/>
      <c r="I19" s="11">
        <f>+I18+H18</f>
        <v>433489.51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9"/>
      <c r="Z19" s="19"/>
      <c r="AA19" s="11"/>
      <c r="AB19" s="11"/>
      <c r="AC19" s="11"/>
    </row>
    <row r="20" spans="1:33" s="16" customFormat="1" ht="15" x14ac:dyDescent="0.65">
      <c r="A20" s="16" t="s">
        <v>22</v>
      </c>
      <c r="B20" s="22" t="s">
        <v>12</v>
      </c>
      <c r="C20" s="22" t="s">
        <v>13</v>
      </c>
      <c r="D20" s="22" t="s">
        <v>18</v>
      </c>
      <c r="E20" s="22" t="s">
        <v>23</v>
      </c>
      <c r="F20" s="22" t="s">
        <v>61</v>
      </c>
      <c r="G20" s="22" t="s">
        <v>24</v>
      </c>
      <c r="H20" s="22" t="s">
        <v>25</v>
      </c>
      <c r="I20" s="11" t="s">
        <v>30</v>
      </c>
      <c r="J20" s="11" t="s">
        <v>85</v>
      </c>
      <c r="K20" s="22" t="s">
        <v>81</v>
      </c>
      <c r="L20" s="22" t="s">
        <v>84</v>
      </c>
      <c r="M20" s="23" t="s">
        <v>24</v>
      </c>
      <c r="N20" s="24" t="s">
        <v>73</v>
      </c>
      <c r="O20" s="25" t="s">
        <v>30</v>
      </c>
      <c r="P20" s="15"/>
      <c r="Q20" s="15"/>
      <c r="R20" s="15"/>
      <c r="S20" s="15"/>
      <c r="U20" s="26"/>
      <c r="V20" s="15"/>
      <c r="W20" s="17"/>
      <c r="X20" s="18"/>
      <c r="Y20" s="18"/>
      <c r="AC20" s="27"/>
    </row>
    <row r="21" spans="1:33" s="16" customFormat="1" ht="15" x14ac:dyDescent="0.65">
      <c r="B21" s="15"/>
      <c r="C21" s="15"/>
      <c r="D21" s="15"/>
      <c r="E21" s="15"/>
      <c r="F21" s="15"/>
      <c r="G21" s="15"/>
      <c r="H21" s="15"/>
      <c r="I21" s="15"/>
      <c r="J21" s="15"/>
      <c r="N21" s="24" t="s">
        <v>74</v>
      </c>
      <c r="O21" s="15"/>
      <c r="P21" s="15"/>
      <c r="Q21" s="15"/>
      <c r="R21" s="15"/>
      <c r="S21" s="15"/>
      <c r="T21" s="15"/>
      <c r="U21" s="28">
        <f>U18+V18+T18</f>
        <v>36242.619999999995</v>
      </c>
      <c r="V21" s="29" t="s">
        <v>44</v>
      </c>
      <c r="W21" s="18"/>
      <c r="X21" s="18"/>
      <c r="Y21" s="18"/>
      <c r="AC21" s="27"/>
    </row>
    <row r="22" spans="1:33" s="16" customFormat="1" x14ac:dyDescent="0.35">
      <c r="A22" s="16" t="s">
        <v>0</v>
      </c>
      <c r="B22" s="18">
        <v>59834.720000000001</v>
      </c>
      <c r="C22" s="18"/>
      <c r="D22" s="18"/>
      <c r="E22" s="18">
        <v>0.39</v>
      </c>
      <c r="F22" s="18"/>
      <c r="G22" s="18">
        <f t="shared" ref="G22:G33" si="4">SUM(B22:F22)</f>
        <v>59835.11</v>
      </c>
      <c r="H22" s="18">
        <v>59835.11</v>
      </c>
      <c r="I22" s="18">
        <f>G22-H22</f>
        <v>0</v>
      </c>
      <c r="J22" s="11"/>
      <c r="K22" s="38">
        <v>2900</v>
      </c>
      <c r="L22" s="14">
        <v>48559.66</v>
      </c>
      <c r="M22" s="18">
        <f>SUM(J22:L22)</f>
        <v>51459.66</v>
      </c>
      <c r="N22" s="14">
        <v>51459.66</v>
      </c>
      <c r="O22" s="22">
        <f>M22-N22</f>
        <v>0</v>
      </c>
      <c r="P22" s="15"/>
      <c r="R22" s="15"/>
      <c r="S22" s="15"/>
      <c r="T22" s="15"/>
      <c r="U22" s="15"/>
      <c r="V22" s="15"/>
      <c r="W22" s="15"/>
      <c r="X22" s="15"/>
      <c r="Y22" s="15"/>
    </row>
    <row r="23" spans="1:33" s="16" customFormat="1" x14ac:dyDescent="0.35">
      <c r="A23" s="16" t="s">
        <v>1</v>
      </c>
      <c r="B23" s="18">
        <v>46546.64</v>
      </c>
      <c r="C23" s="18"/>
      <c r="D23" s="18"/>
      <c r="E23" s="18">
        <v>0.66</v>
      </c>
      <c r="F23" s="18"/>
      <c r="G23" s="18">
        <f t="shared" si="4"/>
        <v>46547.3</v>
      </c>
      <c r="H23" s="18">
        <v>46547.3</v>
      </c>
      <c r="I23" s="18">
        <f t="shared" ref="I23:I32" si="5">G23-H23</f>
        <v>0</v>
      </c>
      <c r="J23" s="11"/>
      <c r="K23" s="38">
        <v>2900</v>
      </c>
      <c r="L23" s="14">
        <v>56935.11</v>
      </c>
      <c r="M23" s="18">
        <f>SUM(J23:L23)</f>
        <v>59835.11</v>
      </c>
      <c r="N23" s="14">
        <v>59835.11</v>
      </c>
      <c r="O23" s="22">
        <f>M23-N23</f>
        <v>0</v>
      </c>
      <c r="P23" s="15"/>
      <c r="R23" s="15"/>
      <c r="S23" s="15"/>
      <c r="T23" s="15"/>
      <c r="U23" s="15"/>
      <c r="V23" s="15"/>
      <c r="W23" s="18"/>
      <c r="X23" s="18"/>
      <c r="Y23" s="18"/>
    </row>
    <row r="24" spans="1:33" s="16" customFormat="1" x14ac:dyDescent="0.35">
      <c r="A24" s="16" t="s">
        <v>2</v>
      </c>
      <c r="B24" s="18">
        <v>60832.7</v>
      </c>
      <c r="C24" s="18"/>
      <c r="D24" s="18"/>
      <c r="E24" s="18">
        <v>0.52</v>
      </c>
      <c r="F24" s="18"/>
      <c r="G24" s="18">
        <f t="shared" si="4"/>
        <v>60833.219999999994</v>
      </c>
      <c r="H24" s="18">
        <v>60833.22</v>
      </c>
      <c r="I24" s="18">
        <f t="shared" si="5"/>
        <v>0</v>
      </c>
      <c r="J24" s="11"/>
      <c r="K24" s="38">
        <v>2900</v>
      </c>
      <c r="L24" s="14">
        <v>43647.3</v>
      </c>
      <c r="M24" s="18">
        <f>SUM(J24:L24)</f>
        <v>46547.3</v>
      </c>
      <c r="N24" s="11">
        <v>46547.3</v>
      </c>
      <c r="O24" s="22">
        <f>M24-N24</f>
        <v>0</v>
      </c>
      <c r="P24" s="15"/>
      <c r="R24" s="15"/>
      <c r="S24" s="15"/>
      <c r="T24" s="15"/>
      <c r="U24" s="15"/>
      <c r="V24" s="15"/>
      <c r="W24" s="18"/>
      <c r="X24" s="18"/>
      <c r="Y24" s="18"/>
    </row>
    <row r="25" spans="1:33" s="16" customFormat="1" ht="13.15" x14ac:dyDescent="0.4">
      <c r="A25" s="16" t="s">
        <v>3</v>
      </c>
      <c r="B25" s="18">
        <v>53331.839999999997</v>
      </c>
      <c r="C25" s="11"/>
      <c r="D25" s="18"/>
      <c r="E25" s="18">
        <v>0.7</v>
      </c>
      <c r="F25" s="18"/>
      <c r="G25" s="18">
        <f t="shared" si="4"/>
        <v>53332.539999999994</v>
      </c>
      <c r="H25" s="18">
        <v>53332.54</v>
      </c>
      <c r="I25" s="18">
        <f>G25-H25</f>
        <v>0</v>
      </c>
      <c r="J25" s="11"/>
      <c r="K25" s="38">
        <v>2900</v>
      </c>
      <c r="L25" s="14">
        <v>43647.3</v>
      </c>
      <c r="M25" s="18">
        <f>SUM(J25:L25)</f>
        <v>46547.3</v>
      </c>
      <c r="N25" s="14">
        <v>46547.3</v>
      </c>
      <c r="O25" s="22">
        <f>M25-N25</f>
        <v>0</v>
      </c>
      <c r="P25" s="15"/>
      <c r="R25" s="30"/>
      <c r="S25" s="15"/>
      <c r="T25" s="15"/>
      <c r="U25" s="15"/>
      <c r="V25" s="15"/>
      <c r="W25" s="18"/>
      <c r="X25" s="18"/>
      <c r="Y25" s="18"/>
    </row>
    <row r="26" spans="1:33" s="16" customFormat="1" x14ac:dyDescent="0.35">
      <c r="A26" s="16" t="s">
        <v>4</v>
      </c>
      <c r="B26" s="18">
        <v>47325</v>
      </c>
      <c r="C26" s="11"/>
      <c r="D26" s="18"/>
      <c r="E26" s="18">
        <v>0.54</v>
      </c>
      <c r="F26" s="18"/>
      <c r="G26" s="18">
        <f t="shared" si="4"/>
        <v>47325.54</v>
      </c>
      <c r="H26" s="18">
        <v>47325.54</v>
      </c>
      <c r="I26" s="18">
        <f t="shared" si="5"/>
        <v>0</v>
      </c>
      <c r="J26" s="11"/>
      <c r="K26" s="38">
        <v>2900</v>
      </c>
      <c r="L26" s="14">
        <v>64718.46</v>
      </c>
      <c r="M26" s="18">
        <f t="shared" ref="M26:M32" si="6">SUM(J26:L26)</f>
        <v>67618.459999999992</v>
      </c>
      <c r="N26" s="14">
        <v>67618.460000000006</v>
      </c>
      <c r="O26" s="22">
        <f t="shared" ref="O26:O33" si="7">M26-N26</f>
        <v>0</v>
      </c>
      <c r="P26" s="15"/>
      <c r="R26" s="15"/>
      <c r="S26" s="15"/>
      <c r="T26" s="15"/>
      <c r="U26" s="15"/>
      <c r="V26" s="15"/>
      <c r="W26" s="18"/>
      <c r="X26" s="18"/>
      <c r="Y26" s="18"/>
      <c r="AF26" s="12"/>
    </row>
    <row r="27" spans="1:33" s="16" customFormat="1" x14ac:dyDescent="0.35">
      <c r="A27" s="16" t="s">
        <v>5</v>
      </c>
      <c r="B27" s="18">
        <v>52605.599999999999</v>
      </c>
      <c r="C27" s="18"/>
      <c r="D27" s="18"/>
      <c r="E27" s="18">
        <v>0.55000000000000004</v>
      </c>
      <c r="F27" s="18"/>
      <c r="G27" s="18">
        <f t="shared" si="4"/>
        <v>52606.15</v>
      </c>
      <c r="H27" s="18">
        <v>52606.15</v>
      </c>
      <c r="I27" s="18">
        <f t="shared" si="5"/>
        <v>0</v>
      </c>
      <c r="J27" s="11"/>
      <c r="K27" s="38">
        <v>2900</v>
      </c>
      <c r="L27" s="14">
        <v>44425.54</v>
      </c>
      <c r="M27" s="18">
        <f t="shared" si="6"/>
        <v>47325.54</v>
      </c>
      <c r="N27" s="14">
        <v>47325.54</v>
      </c>
      <c r="O27" s="22">
        <f t="shared" si="7"/>
        <v>0</v>
      </c>
      <c r="P27" s="15"/>
      <c r="R27" s="15"/>
      <c r="S27" s="15"/>
      <c r="T27" s="15"/>
      <c r="U27" s="15"/>
      <c r="V27" s="15"/>
      <c r="W27" s="18"/>
      <c r="X27" s="18"/>
      <c r="Y27" s="18"/>
      <c r="AF27" s="12"/>
    </row>
    <row r="28" spans="1:33" s="16" customFormat="1" x14ac:dyDescent="0.35">
      <c r="A28" s="16" t="s">
        <v>6</v>
      </c>
      <c r="B28" s="18">
        <v>50360.08</v>
      </c>
      <c r="C28" s="18"/>
      <c r="D28" s="18"/>
      <c r="E28" s="18">
        <v>0.47</v>
      </c>
      <c r="F28" s="18"/>
      <c r="G28" s="18">
        <f t="shared" si="4"/>
        <v>50360.55</v>
      </c>
      <c r="H28" s="39">
        <v>50360.55</v>
      </c>
      <c r="I28" s="18">
        <f>G28-H28</f>
        <v>0</v>
      </c>
      <c r="J28" s="18"/>
      <c r="K28" s="38">
        <v>2900</v>
      </c>
      <c r="L28" s="14">
        <v>49706.15</v>
      </c>
      <c r="M28" s="18">
        <f t="shared" si="6"/>
        <v>52606.15</v>
      </c>
      <c r="N28" s="14">
        <v>52606.15</v>
      </c>
      <c r="O28" s="22">
        <f t="shared" si="7"/>
        <v>0</v>
      </c>
      <c r="P28" s="15"/>
      <c r="R28" s="15"/>
      <c r="S28" s="15"/>
      <c r="T28" s="15"/>
      <c r="U28" s="15"/>
      <c r="V28" s="15"/>
      <c r="W28" s="18"/>
      <c r="X28" s="18"/>
      <c r="Y28" s="18"/>
      <c r="AF28" s="12"/>
    </row>
    <row r="29" spans="1:33" s="16" customFormat="1" x14ac:dyDescent="0.35">
      <c r="A29" s="16" t="s">
        <v>7</v>
      </c>
      <c r="B29" s="18">
        <f>58309.12</f>
        <v>58309.120000000003</v>
      </c>
      <c r="C29" s="18"/>
      <c r="D29" s="18">
        <v>47460.55</v>
      </c>
      <c r="E29" s="18">
        <f>0.84+0.17</f>
        <v>1.01</v>
      </c>
      <c r="F29" s="18"/>
      <c r="G29" s="18">
        <f t="shared" si="4"/>
        <v>105770.68000000001</v>
      </c>
      <c r="H29" s="18">
        <f>47461.39+58309.29</f>
        <v>105770.68</v>
      </c>
      <c r="I29" s="18">
        <f t="shared" si="5"/>
        <v>0</v>
      </c>
      <c r="J29" s="18">
        <v>47460.55</v>
      </c>
      <c r="K29" s="38">
        <v>2900</v>
      </c>
      <c r="L29" s="14"/>
      <c r="M29" s="18">
        <f t="shared" si="6"/>
        <v>50360.55</v>
      </c>
      <c r="N29" s="14">
        <v>50360.55</v>
      </c>
      <c r="O29" s="22">
        <f t="shared" si="7"/>
        <v>0</v>
      </c>
      <c r="P29" s="15"/>
      <c r="R29" s="15"/>
      <c r="S29" s="15"/>
      <c r="T29" s="15"/>
      <c r="U29" s="15"/>
      <c r="V29" s="15"/>
      <c r="W29" s="18"/>
      <c r="X29" s="18"/>
      <c r="Y29" s="18"/>
    </row>
    <row r="30" spans="1:33" s="16" customFormat="1" x14ac:dyDescent="0.35">
      <c r="A30" s="16" t="s">
        <v>8</v>
      </c>
      <c r="B30" s="18">
        <v>65272.959999999999</v>
      </c>
      <c r="C30" s="18"/>
      <c r="D30" s="18"/>
      <c r="E30" s="18">
        <v>0.3</v>
      </c>
      <c r="F30" s="18"/>
      <c r="G30" s="18">
        <f t="shared" si="4"/>
        <v>65273.26</v>
      </c>
      <c r="H30" s="18">
        <v>65273.26</v>
      </c>
      <c r="I30" s="18">
        <f t="shared" si="5"/>
        <v>0</v>
      </c>
      <c r="J30" s="11"/>
      <c r="K30" s="38">
        <v>2900</v>
      </c>
      <c r="L30" s="14">
        <v>102870.68</v>
      </c>
      <c r="M30" s="18">
        <f t="shared" si="6"/>
        <v>105770.68</v>
      </c>
      <c r="N30" s="14">
        <v>105770.68</v>
      </c>
      <c r="O30" s="22">
        <f t="shared" si="7"/>
        <v>0</v>
      </c>
      <c r="P30" s="15"/>
      <c r="R30" s="15"/>
      <c r="S30" s="15"/>
      <c r="T30" s="15"/>
      <c r="U30" s="15"/>
      <c r="V30" s="15"/>
      <c r="W30" s="18"/>
      <c r="X30" s="18"/>
      <c r="Y30" s="18"/>
    </row>
    <row r="31" spans="1:33" s="16" customFormat="1" x14ac:dyDescent="0.35">
      <c r="A31" s="16" t="s">
        <v>9</v>
      </c>
      <c r="B31" s="18">
        <v>65268.34</v>
      </c>
      <c r="C31" s="18"/>
      <c r="D31" s="18"/>
      <c r="E31" s="18">
        <v>0.23</v>
      </c>
      <c r="F31" s="18"/>
      <c r="G31" s="18">
        <f t="shared" si="4"/>
        <v>65268.57</v>
      </c>
      <c r="H31" s="18">
        <v>65268.57</v>
      </c>
      <c r="I31" s="18">
        <f t="shared" si="5"/>
        <v>0</v>
      </c>
      <c r="J31" s="18"/>
      <c r="K31" s="38">
        <v>2900</v>
      </c>
      <c r="L31" s="14">
        <v>62373.26</v>
      </c>
      <c r="M31" s="18">
        <f t="shared" si="6"/>
        <v>65273.26</v>
      </c>
      <c r="N31" s="14">
        <v>65273.26</v>
      </c>
      <c r="O31" s="22">
        <f t="shared" si="7"/>
        <v>0</v>
      </c>
      <c r="P31" s="15"/>
      <c r="R31" s="15"/>
      <c r="S31" s="15"/>
      <c r="T31" s="15"/>
      <c r="U31" s="15"/>
      <c r="V31" s="15"/>
      <c r="W31" s="18"/>
      <c r="X31" s="18"/>
      <c r="Y31" s="18"/>
    </row>
    <row r="32" spans="1:33" s="16" customFormat="1" x14ac:dyDescent="0.35">
      <c r="A32" s="16" t="s">
        <v>10</v>
      </c>
      <c r="B32" s="11">
        <v>72765.509999999995</v>
      </c>
      <c r="C32" s="18"/>
      <c r="D32" s="11"/>
      <c r="E32" s="11">
        <v>0.22</v>
      </c>
      <c r="F32" s="18"/>
      <c r="G32" s="18">
        <f t="shared" si="4"/>
        <v>72765.73</v>
      </c>
      <c r="H32" s="18">
        <v>72765.73</v>
      </c>
      <c r="I32" s="18">
        <f t="shared" si="5"/>
        <v>0</v>
      </c>
      <c r="J32" s="11"/>
      <c r="K32" s="38">
        <v>2900</v>
      </c>
      <c r="L32" s="14">
        <v>62368.57</v>
      </c>
      <c r="M32" s="18">
        <f t="shared" si="6"/>
        <v>65268.57</v>
      </c>
      <c r="N32" s="14">
        <v>65268.57</v>
      </c>
      <c r="O32" s="22">
        <f t="shared" si="7"/>
        <v>0</v>
      </c>
      <c r="P32" s="15"/>
      <c r="R32" s="15"/>
      <c r="S32" s="15"/>
      <c r="T32" s="15"/>
      <c r="U32" s="15"/>
      <c r="V32" s="15"/>
      <c r="W32" s="18"/>
      <c r="X32" s="18"/>
      <c r="Y32" s="18"/>
    </row>
    <row r="33" spans="1:25" s="16" customFormat="1" ht="15" x14ac:dyDescent="0.65">
      <c r="A33" s="16" t="s">
        <v>11</v>
      </c>
      <c r="B33" s="17">
        <v>57963.97</v>
      </c>
      <c r="C33" s="17">
        <v>0</v>
      </c>
      <c r="D33" s="36" t="s">
        <v>88</v>
      </c>
      <c r="E33" s="17">
        <v>0.21</v>
      </c>
      <c r="F33" s="17">
        <v>0</v>
      </c>
      <c r="G33" s="17">
        <f t="shared" si="4"/>
        <v>57964.18</v>
      </c>
      <c r="H33" s="40">
        <v>57964.18</v>
      </c>
      <c r="I33" s="17">
        <f>G33-H33</f>
        <v>0</v>
      </c>
      <c r="J33" s="37"/>
      <c r="K33" s="40">
        <v>2900</v>
      </c>
      <c r="L33" s="31">
        <v>69865.73</v>
      </c>
      <c r="M33" s="31">
        <f>SUM(J33:L33)</f>
        <v>72765.73</v>
      </c>
      <c r="N33" s="17">
        <v>72765.73</v>
      </c>
      <c r="O33" s="22">
        <f t="shared" si="7"/>
        <v>0</v>
      </c>
      <c r="P33" s="15"/>
      <c r="R33" s="15"/>
      <c r="S33" s="15"/>
      <c r="T33" s="15"/>
      <c r="U33" s="15"/>
      <c r="V33" s="15"/>
      <c r="W33" s="18"/>
      <c r="X33" s="18"/>
      <c r="Y33" s="18"/>
    </row>
    <row r="34" spans="1:25" s="16" customFormat="1" x14ac:dyDescent="0.35">
      <c r="B34" s="18"/>
      <c r="C34" s="18"/>
      <c r="D34" s="18"/>
      <c r="E34" s="18"/>
      <c r="F34" s="18"/>
      <c r="G34" s="18"/>
      <c r="H34" s="18"/>
      <c r="I34" s="18"/>
      <c r="J34" s="18"/>
      <c r="L34" s="18"/>
      <c r="M34" s="18"/>
      <c r="N34" s="14">
        <f>SUM(N22:N33)</f>
        <v>731378.30999999994</v>
      </c>
      <c r="O34" s="15"/>
      <c r="P34" s="15"/>
      <c r="Q34" s="15"/>
      <c r="R34" s="15"/>
      <c r="T34" s="15"/>
      <c r="V34" s="15"/>
      <c r="W34" s="18"/>
      <c r="X34" s="18"/>
      <c r="Y34" s="18"/>
    </row>
    <row r="35" spans="1:25" s="16" customFormat="1" x14ac:dyDescent="0.35">
      <c r="A35" s="16" t="s">
        <v>24</v>
      </c>
      <c r="B35" s="18">
        <f>SUM(B22:B34)</f>
        <v>690416.48</v>
      </c>
      <c r="C35" s="18">
        <f>SUM(C22:C34)</f>
        <v>0</v>
      </c>
      <c r="D35" s="18">
        <f>SUM(D22:D33)</f>
        <v>47460.55</v>
      </c>
      <c r="E35" s="18">
        <f>SUM(E22:E33)</f>
        <v>5.8</v>
      </c>
      <c r="F35" s="18">
        <f>SUM(F22:F33)</f>
        <v>0</v>
      </c>
      <c r="G35" s="18">
        <f>SUM(G22:G33)</f>
        <v>737882.83</v>
      </c>
      <c r="H35" s="18">
        <f>SUM(H22:H34)</f>
        <v>737882.83</v>
      </c>
      <c r="I35" s="18">
        <f>G35-H35</f>
        <v>0</v>
      </c>
      <c r="J35" s="18">
        <f>SUM(J22:J33)</f>
        <v>47460.55</v>
      </c>
      <c r="K35" s="18">
        <f>SUM(K22:K33)</f>
        <v>34800</v>
      </c>
      <c r="L35" s="18">
        <f>SUM(L22:L33)</f>
        <v>649117.76</v>
      </c>
      <c r="M35" s="18">
        <f>SUM(M22:M33)</f>
        <v>731378.30999999994</v>
      </c>
      <c r="N35" s="14">
        <f>+L35-AB17</f>
        <v>0</v>
      </c>
      <c r="O35" s="15"/>
      <c r="P35" s="15"/>
      <c r="Q35" s="15"/>
      <c r="R35" s="15"/>
      <c r="T35" s="15"/>
      <c r="V35" s="15"/>
      <c r="W35" s="18"/>
      <c r="X35" s="18"/>
      <c r="Y35" s="18"/>
    </row>
    <row r="36" spans="1:25" s="16" customFormat="1" x14ac:dyDescent="0.35">
      <c r="B36" s="14"/>
      <c r="C36" s="14"/>
      <c r="D36" s="14"/>
      <c r="E36" s="14"/>
      <c r="F36" s="14"/>
      <c r="G36" s="14"/>
      <c r="H36" s="14"/>
      <c r="I36" s="14"/>
      <c r="J36" s="11"/>
      <c r="K36" s="14"/>
      <c r="L36" s="14"/>
      <c r="M36" s="14"/>
      <c r="N36" s="14"/>
      <c r="O36" s="15"/>
      <c r="P36" s="15"/>
      <c r="Q36" s="15"/>
      <c r="R36" s="15"/>
      <c r="T36" s="15"/>
      <c r="V36" s="15"/>
      <c r="W36" s="18"/>
      <c r="X36" s="18"/>
      <c r="Y36" s="18"/>
    </row>
    <row r="37" spans="1:25" s="16" customFormat="1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T37" s="15"/>
      <c r="V37" s="15"/>
      <c r="W37" s="18"/>
      <c r="X37" s="18"/>
      <c r="Y37" s="18"/>
    </row>
    <row r="38" spans="1:25" s="16" customFormat="1" x14ac:dyDescent="0.35">
      <c r="B38" s="14"/>
      <c r="C38" s="32" t="s">
        <v>32</v>
      </c>
      <c r="E38" s="44"/>
      <c r="F38" s="44"/>
      <c r="G38" s="33"/>
      <c r="H38" s="33" t="s">
        <v>30</v>
      </c>
      <c r="I38" s="14"/>
      <c r="J38" s="14"/>
      <c r="K38" s="14"/>
      <c r="L38" s="14"/>
      <c r="M38" s="14"/>
      <c r="N38" s="14"/>
      <c r="O38" s="15"/>
      <c r="P38" s="15"/>
      <c r="Q38" s="15"/>
      <c r="R38" s="15"/>
      <c r="T38" s="15"/>
      <c r="V38" s="15"/>
      <c r="W38" s="18"/>
      <c r="X38" s="18"/>
      <c r="Y38" s="18"/>
    </row>
    <row r="39" spans="1:25" s="16" customFormat="1" x14ac:dyDescent="0.35">
      <c r="A39" s="16" t="s">
        <v>46</v>
      </c>
      <c r="B39" s="18">
        <f>L35</f>
        <v>649117.76</v>
      </c>
      <c r="C39" s="18">
        <f>+N34-K35-J35</f>
        <v>649117.75999999989</v>
      </c>
      <c r="E39" s="34" t="s">
        <v>45</v>
      </c>
      <c r="F39" s="18">
        <f>AB17</f>
        <v>649117.76</v>
      </c>
      <c r="G39" s="18"/>
      <c r="H39" s="18">
        <f>B39-F39</f>
        <v>0</v>
      </c>
      <c r="I39" s="14"/>
      <c r="J39" s="14"/>
      <c r="K39" s="14"/>
      <c r="L39" s="14"/>
      <c r="M39" s="14"/>
      <c r="N39" s="14"/>
      <c r="O39" s="15"/>
      <c r="P39" s="15"/>
      <c r="Q39" s="15"/>
      <c r="R39" s="15"/>
      <c r="T39" s="15"/>
      <c r="V39" s="15"/>
      <c r="W39" s="18"/>
      <c r="X39" s="18"/>
      <c r="Y39" s="18"/>
    </row>
    <row r="40" spans="1:25" s="16" customFormat="1" x14ac:dyDescent="0.35">
      <c r="A40" s="16" t="s">
        <v>27</v>
      </c>
      <c r="B40" s="18">
        <v>0</v>
      </c>
      <c r="C40" s="18">
        <v>0</v>
      </c>
      <c r="D40" s="18"/>
      <c r="E40" s="35" t="s">
        <v>33</v>
      </c>
      <c r="F40" s="18"/>
      <c r="G40" s="18"/>
      <c r="H40" s="18">
        <f>B40-F40</f>
        <v>0</v>
      </c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8"/>
      <c r="X40" s="18"/>
      <c r="Y40" s="18"/>
    </row>
    <row r="41" spans="1:25" s="16" customFormat="1" x14ac:dyDescent="0.35">
      <c r="A41" s="16" t="s">
        <v>28</v>
      </c>
      <c r="B41" s="18">
        <f>K35</f>
        <v>34800</v>
      </c>
      <c r="C41" s="18">
        <f>K35</f>
        <v>34800</v>
      </c>
      <c r="D41" s="18"/>
      <c r="E41" s="35" t="s">
        <v>47</v>
      </c>
      <c r="F41" s="18">
        <f>K35</f>
        <v>34800</v>
      </c>
      <c r="G41" s="18"/>
      <c r="H41" s="18">
        <f>B41-F41</f>
        <v>0</v>
      </c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8"/>
      <c r="X41" s="18"/>
      <c r="Y41" s="18"/>
    </row>
    <row r="42" spans="1:25" s="16" customFormat="1" x14ac:dyDescent="0.35">
      <c r="B42" s="18">
        <f>SUM(B39:B41)</f>
        <v>683917.76</v>
      </c>
      <c r="C42" s="18">
        <f>SUM(C39:C41)</f>
        <v>683917.75999999989</v>
      </c>
      <c r="D42" s="18">
        <f>B42-C42</f>
        <v>0</v>
      </c>
      <c r="E42" s="18"/>
      <c r="F42" s="18">
        <f>SUM(F39:F41)</f>
        <v>683917.76</v>
      </c>
      <c r="G42" s="18"/>
      <c r="H42" s="18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8"/>
      <c r="X42" s="18"/>
      <c r="Y42" s="18"/>
    </row>
    <row r="43" spans="1:25" s="16" customFormat="1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8"/>
      <c r="X43" s="18"/>
      <c r="Y43" s="18"/>
    </row>
    <row r="44" spans="1:25" s="16" customFormat="1" x14ac:dyDescent="0.35">
      <c r="B44" s="14"/>
      <c r="C44" s="14"/>
      <c r="D44" s="14"/>
      <c r="E44" s="14"/>
      <c r="F44" s="14"/>
      <c r="G44" s="14"/>
      <c r="H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8"/>
      <c r="X44" s="18"/>
      <c r="Y44" s="18"/>
    </row>
    <row r="45" spans="1:25" s="16" customFormat="1" x14ac:dyDescent="0.35">
      <c r="B45" s="14" t="s">
        <v>53</v>
      </c>
      <c r="C45" s="18">
        <v>51459.66</v>
      </c>
      <c r="D45" s="18">
        <v>113638.02</v>
      </c>
      <c r="E45" s="18" t="s">
        <v>56</v>
      </c>
      <c r="F45" s="18"/>
      <c r="G45" s="18"/>
      <c r="H45" s="14"/>
      <c r="I45" s="12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s="16" customFormat="1" ht="15" x14ac:dyDescent="0.65">
      <c r="B46" s="18" t="s">
        <v>54</v>
      </c>
      <c r="C46" s="18">
        <f>-C39</f>
        <v>-649117.75999999989</v>
      </c>
      <c r="D46" s="18">
        <f>-X18</f>
        <v>-635658.43000000005</v>
      </c>
      <c r="E46" s="18" t="s">
        <v>67</v>
      </c>
      <c r="F46" s="18"/>
      <c r="G46" s="18"/>
      <c r="H46" s="14"/>
      <c r="I46" s="12"/>
      <c r="L46" s="14"/>
      <c r="M46" s="14"/>
      <c r="N46" s="17"/>
      <c r="O46" s="15"/>
      <c r="P46" s="15"/>
      <c r="Q46" s="15"/>
      <c r="R46" s="15"/>
      <c r="S46" s="15"/>
      <c r="T46" s="15"/>
      <c r="U46" s="15"/>
      <c r="V46" s="15"/>
      <c r="W46" s="18"/>
      <c r="X46" s="18"/>
      <c r="Y46" s="18"/>
    </row>
    <row r="47" spans="1:25" s="16" customFormat="1" ht="15" x14ac:dyDescent="0.65">
      <c r="B47" s="11" t="s">
        <v>85</v>
      </c>
      <c r="C47" s="18">
        <f>-J35</f>
        <v>-47460.55</v>
      </c>
      <c r="D47" s="18"/>
      <c r="E47" s="18"/>
      <c r="F47" s="18"/>
      <c r="G47" s="18"/>
      <c r="H47" s="14"/>
      <c r="I47" s="12"/>
      <c r="L47" s="14"/>
      <c r="M47" s="14"/>
      <c r="N47" s="17"/>
      <c r="O47" s="15"/>
      <c r="P47" s="15"/>
      <c r="Q47" s="15"/>
      <c r="R47" s="15"/>
      <c r="S47" s="15"/>
      <c r="T47" s="15"/>
      <c r="U47" s="15"/>
      <c r="V47" s="15"/>
      <c r="W47" s="18"/>
      <c r="X47" s="18"/>
      <c r="Y47" s="18"/>
    </row>
    <row r="48" spans="1:25" s="16" customFormat="1" ht="15" x14ac:dyDescent="0.65">
      <c r="B48" s="11"/>
      <c r="C48" s="18"/>
      <c r="D48" s="18">
        <v>0</v>
      </c>
      <c r="E48" s="11" t="s">
        <v>83</v>
      </c>
      <c r="F48" s="18"/>
      <c r="G48" s="18"/>
      <c r="H48" s="14"/>
      <c r="I48" s="12"/>
      <c r="L48" s="14"/>
      <c r="M48" s="14"/>
      <c r="N48" s="17"/>
      <c r="O48" s="15"/>
      <c r="P48" s="15"/>
      <c r="Q48" s="15"/>
      <c r="R48" s="15"/>
      <c r="S48" s="15"/>
      <c r="T48" s="15"/>
      <c r="U48" s="15"/>
      <c r="V48" s="15"/>
      <c r="W48" s="18"/>
      <c r="X48" s="18"/>
      <c r="Y48" s="18"/>
    </row>
    <row r="49" spans="2:25" s="16" customFormat="1" x14ac:dyDescent="0.35">
      <c r="B49" s="18" t="s">
        <v>54</v>
      </c>
      <c r="C49" s="18">
        <f>-B41</f>
        <v>-34800</v>
      </c>
      <c r="D49" s="18">
        <f>+F39</f>
        <v>649117.76</v>
      </c>
      <c r="E49" s="18" t="s">
        <v>54</v>
      </c>
      <c r="F49" s="18"/>
      <c r="G49" s="18"/>
      <c r="H49" s="14"/>
      <c r="N49" s="14"/>
      <c r="O49" s="15"/>
      <c r="P49" s="15"/>
      <c r="Q49" s="15"/>
      <c r="R49" s="15"/>
      <c r="S49" s="15"/>
      <c r="T49" s="15"/>
      <c r="U49" s="15"/>
      <c r="V49" s="15"/>
      <c r="W49" s="18"/>
      <c r="X49" s="18"/>
      <c r="Y49" s="18"/>
    </row>
    <row r="50" spans="2:25" s="16" customFormat="1" ht="15" x14ac:dyDescent="0.65">
      <c r="B50" s="18" t="s">
        <v>55</v>
      </c>
      <c r="C50" s="17">
        <f>+B35+C35+E35+D35+F35</f>
        <v>737882.83000000007</v>
      </c>
      <c r="D50" s="17">
        <f>+AA17+AC17</f>
        <v>29.110000000000003</v>
      </c>
      <c r="E50" s="18" t="s">
        <v>68</v>
      </c>
      <c r="F50" s="18"/>
      <c r="G50" s="18"/>
      <c r="H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8"/>
      <c r="X50" s="18"/>
      <c r="Y50" s="18"/>
    </row>
    <row r="51" spans="2:25" s="16" customFormat="1" x14ac:dyDescent="0.35">
      <c r="B51" s="18" t="s">
        <v>57</v>
      </c>
      <c r="C51" s="18">
        <f>SUM(C45:C50)</f>
        <v>57964.180000000168</v>
      </c>
      <c r="D51" s="18">
        <f>SUM(D45:D50)</f>
        <v>127126.45999999998</v>
      </c>
      <c r="E51" s="18" t="s">
        <v>57</v>
      </c>
      <c r="F51" s="18"/>
      <c r="G51" s="18"/>
      <c r="I51" s="16" t="s">
        <v>65</v>
      </c>
      <c r="K51" s="12">
        <f>+E35+'GL Recap'!AA17+'Reserve Cash'!G21</f>
        <v>59.58</v>
      </c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8"/>
      <c r="X51" s="18"/>
      <c r="Y51" s="18"/>
    </row>
    <row r="52" spans="2:25" s="16" customFormat="1" x14ac:dyDescent="0.35">
      <c r="B52" s="14"/>
      <c r="C52" s="18">
        <v>57964.18</v>
      </c>
      <c r="D52" s="18">
        <v>127126.46</v>
      </c>
      <c r="E52" s="18"/>
      <c r="F52" s="18"/>
      <c r="G52" s="18"/>
      <c r="I52" s="16" t="s">
        <v>66</v>
      </c>
      <c r="K52" s="12">
        <f>+AC17+'GL Recap'!D35-47460.55+'Reserve Cash'!C19</f>
        <v>0</v>
      </c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8"/>
      <c r="X52" s="18"/>
      <c r="Y52" s="18"/>
    </row>
    <row r="53" spans="2:25" s="16" customFormat="1" x14ac:dyDescent="0.35">
      <c r="B53" s="14" t="s">
        <v>70</v>
      </c>
      <c r="C53" s="18">
        <f>+C52-C51</f>
        <v>-1.673470251262188E-10</v>
      </c>
      <c r="D53" s="18">
        <f>+D52-D51</f>
        <v>0</v>
      </c>
      <c r="E53" s="18"/>
      <c r="F53" s="18"/>
      <c r="G53" s="18"/>
      <c r="I53" s="10" t="s">
        <v>78</v>
      </c>
      <c r="J53" s="15"/>
      <c r="K53" s="15">
        <f>-J35+47460.55-'Reserve Cash'!C17</f>
        <v>0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8"/>
      <c r="X53" s="18"/>
      <c r="Y53" s="18"/>
    </row>
    <row r="54" spans="2:25" s="16" customFormat="1" x14ac:dyDescent="0.35">
      <c r="C54" s="12"/>
      <c r="D54" s="15"/>
      <c r="E54" s="18"/>
      <c r="F54" s="18"/>
      <c r="G54" s="18"/>
      <c r="I54" s="10" t="s">
        <v>80</v>
      </c>
      <c r="J54" s="15"/>
      <c r="K54" s="15">
        <f>+AC20</f>
        <v>0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8"/>
      <c r="X54" s="18"/>
      <c r="Y54" s="18"/>
    </row>
    <row r="55" spans="2:25" s="16" customFormat="1" x14ac:dyDescent="0.3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2:25" s="16" customFormat="1" x14ac:dyDescent="0.35"/>
    <row r="57" spans="2:25" s="16" customFormat="1" x14ac:dyDescent="0.35"/>
  </sheetData>
  <mergeCells count="1">
    <mergeCell ref="E38:F38"/>
  </mergeCells>
  <phoneticPr fontId="0" type="noConversion"/>
  <pageMargins left="0.75" right="0.75" top="1" bottom="1" header="0.5" footer="0.5"/>
  <pageSetup scale="3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1"/>
  <sheetViews>
    <sheetView workbookViewId="0">
      <selection activeCell="F5" sqref="F5"/>
    </sheetView>
  </sheetViews>
  <sheetFormatPr defaultRowHeight="12.75" x14ac:dyDescent="0.35"/>
  <cols>
    <col min="2" max="2" width="12.86328125" customWidth="1"/>
    <col min="3" max="3" width="23.1328125" bestFit="1" customWidth="1"/>
    <col min="4" max="4" width="2.59765625" customWidth="1"/>
    <col min="5" max="5" width="23.1328125" bestFit="1" customWidth="1"/>
    <col min="6" max="6" width="9.1328125" customWidth="1"/>
    <col min="7" max="7" width="10.59765625" customWidth="1"/>
    <col min="8" max="8" width="11.86328125" customWidth="1"/>
    <col min="9" max="10" width="9.1328125" customWidth="1"/>
  </cols>
  <sheetData>
    <row r="2" spans="1:8" x14ac:dyDescent="0.35">
      <c r="C2" s="6"/>
    </row>
    <row r="3" spans="1:8" x14ac:dyDescent="0.35">
      <c r="C3" t="s">
        <v>89</v>
      </c>
      <c r="E3" t="s">
        <v>89</v>
      </c>
    </row>
    <row r="4" spans="1:8" x14ac:dyDescent="0.35">
      <c r="C4" s="1" t="s">
        <v>51</v>
      </c>
      <c r="D4" s="1"/>
      <c r="E4" s="1" t="s">
        <v>50</v>
      </c>
    </row>
    <row r="5" spans="1:8" x14ac:dyDescent="0.35">
      <c r="C5" s="1"/>
      <c r="D5" s="1"/>
      <c r="E5" s="1"/>
    </row>
    <row r="7" spans="1:8" x14ac:dyDescent="0.35">
      <c r="A7" t="s">
        <v>48</v>
      </c>
      <c r="C7" s="7">
        <v>20761.330000000002</v>
      </c>
      <c r="E7" s="7">
        <v>73663.92</v>
      </c>
    </row>
    <row r="8" spans="1:8" x14ac:dyDescent="0.35">
      <c r="C8" s="42"/>
      <c r="E8" s="42"/>
    </row>
    <row r="9" spans="1:8" x14ac:dyDescent="0.35">
      <c r="A9" t="s">
        <v>62</v>
      </c>
      <c r="C9" s="42">
        <f>+'GL Recap'!K35+'GL Recap'!G18</f>
        <v>34800</v>
      </c>
      <c r="E9" s="16"/>
    </row>
    <row r="10" spans="1:8" x14ac:dyDescent="0.35">
      <c r="C10" s="42"/>
      <c r="E10" s="16"/>
    </row>
    <row r="11" spans="1:8" x14ac:dyDescent="0.35">
      <c r="A11" t="s">
        <v>86</v>
      </c>
      <c r="C11" s="42"/>
      <c r="E11" s="16"/>
    </row>
    <row r="12" spans="1:8" x14ac:dyDescent="0.35">
      <c r="C12" s="42"/>
      <c r="E12" s="42"/>
    </row>
    <row r="13" spans="1:8" x14ac:dyDescent="0.35">
      <c r="A13" t="s">
        <v>87</v>
      </c>
      <c r="C13" s="16"/>
      <c r="E13" s="42"/>
    </row>
    <row r="14" spans="1:8" x14ac:dyDescent="0.35">
      <c r="C14" s="42"/>
      <c r="E14" s="42"/>
    </row>
    <row r="15" spans="1:8" x14ac:dyDescent="0.35">
      <c r="A15" t="s">
        <v>52</v>
      </c>
      <c r="C15" s="42">
        <f>-26045-2968.85-8342.29-2983.48</f>
        <v>-40339.620000000003</v>
      </c>
      <c r="E15" s="42"/>
    </row>
    <row r="16" spans="1:8" x14ac:dyDescent="0.35">
      <c r="C16" s="42"/>
      <c r="E16" s="42"/>
      <c r="G16" s="3"/>
      <c r="H16" s="3"/>
    </row>
    <row r="17" spans="1:7" x14ac:dyDescent="0.35">
      <c r="A17" t="s">
        <v>82</v>
      </c>
      <c r="C17" s="42"/>
      <c r="E17" s="42"/>
    </row>
    <row r="18" spans="1:7" x14ac:dyDescent="0.35">
      <c r="C18" s="42"/>
      <c r="E18" s="42"/>
    </row>
    <row r="19" spans="1:7" x14ac:dyDescent="0.35">
      <c r="A19" t="s">
        <v>69</v>
      </c>
      <c r="C19" s="42"/>
      <c r="E19" s="42"/>
    </row>
    <row r="20" spans="1:7" x14ac:dyDescent="0.35">
      <c r="C20" s="42"/>
      <c r="E20" s="42"/>
    </row>
    <row r="21" spans="1:7" ht="15" x14ac:dyDescent="0.65">
      <c r="A21" t="s">
        <v>49</v>
      </c>
      <c r="C21" s="41">
        <f>0.78+0.79+0.32+0.18+0.28+0.27+0.1+0.12+0.09+0.34</f>
        <v>3.2700000000000005</v>
      </c>
      <c r="E21" s="43">
        <f>2.5+2.26+2.5+2.42+2.5+2.42+2.5+1.61+0.83+1.86</f>
        <v>21.4</v>
      </c>
      <c r="G21" s="9">
        <f>+E21+C21</f>
        <v>24.669999999999998</v>
      </c>
    </row>
    <row r="22" spans="1:7" x14ac:dyDescent="0.35">
      <c r="C22" s="7"/>
      <c r="E22" s="7"/>
    </row>
    <row r="23" spans="1:7" x14ac:dyDescent="0.35">
      <c r="C23" s="7">
        <f>SUM(C7:C21)</f>
        <v>15224.98</v>
      </c>
      <c r="E23" s="7">
        <f>SUM(E7:E21)</f>
        <v>73685.319999999992</v>
      </c>
    </row>
    <row r="24" spans="1:7" ht="13.15" x14ac:dyDescent="0.4">
      <c r="C24" s="8" t="s">
        <v>63</v>
      </c>
      <c r="D24" s="8"/>
      <c r="E24" s="8" t="s">
        <v>64</v>
      </c>
    </row>
    <row r="29" spans="1:7" x14ac:dyDescent="0.35">
      <c r="C29" s="3"/>
    </row>
    <row r="41" spans="5:5" x14ac:dyDescent="0.35">
      <c r="E41" s="3"/>
    </row>
  </sheetData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 Recap</vt:lpstr>
      <vt:lpstr>Reserve Cash</vt:lpstr>
      <vt:lpstr>'GL Recap'!Print_Area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Bohannon</dc:creator>
  <cp:lastModifiedBy>Robert Miller</cp:lastModifiedBy>
  <cp:lastPrinted>2016-03-24T13:35:51Z</cp:lastPrinted>
  <dcterms:created xsi:type="dcterms:W3CDTF">2002-03-07T14:25:25Z</dcterms:created>
  <dcterms:modified xsi:type="dcterms:W3CDTF">2022-08-29T16:21:49Z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Refresh">
    <vt:bool>true</vt:bool>
  </property>
  <property fmtid="{D5CDD505-2E9C-101B-9397-08002B2CF9AE}" pid="4" name="Refresh97">
    <vt:bool>false</vt:bool>
  </property>
</Properties>
</file>