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Bluegrass Water\2022-00216\Final - For Filing\"/>
    </mc:Choice>
  </mc:AlternateContent>
  <bookViews>
    <workbookView xWindow="0" yWindow="0" windowWidth="12264" windowHeight="5388" activeTab="1"/>
  </bookViews>
  <sheets>
    <sheet name="Sheet1" sheetId="1" r:id="rId1"/>
    <sheet name="Sheet2" sheetId="2" r:id="rId2"/>
  </sheets>
  <definedNames>
    <definedName name="_xlnm.Print_Area" localSheetId="0">Sheet1!$A$1:$F$5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F3" i="1"/>
  <c r="M3" i="1"/>
  <c r="D3" i="1" s="1"/>
  <c r="E3" i="1" s="1"/>
  <c r="H3" i="1"/>
  <c r="C30" i="2"/>
  <c r="C31" i="2"/>
  <c r="C32" i="2"/>
  <c r="G5" i="1"/>
  <c r="J18" i="1" s="1"/>
  <c r="G4" i="1"/>
  <c r="J31" i="1" l="1"/>
  <c r="J25" i="1"/>
  <c r="J29" i="1"/>
  <c r="J17" i="1"/>
  <c r="J40" i="1"/>
  <c r="J24" i="1"/>
  <c r="J39" i="1"/>
  <c r="J23" i="1"/>
  <c r="J33" i="1"/>
  <c r="J37" i="1"/>
  <c r="J21" i="1"/>
  <c r="J32" i="1"/>
  <c r="D7" i="1"/>
  <c r="J38" i="1"/>
  <c r="J30" i="1"/>
  <c r="J22" i="1"/>
  <c r="J36" i="1"/>
  <c r="J28" i="1"/>
  <c r="J20" i="1"/>
  <c r="J35" i="1"/>
  <c r="J27" i="1"/>
  <c r="J19" i="1"/>
  <c r="J34" i="1"/>
  <c r="J26" i="1"/>
  <c r="F7" i="1"/>
  <c r="J41" i="1" l="1"/>
  <c r="E7" i="1"/>
  <c r="H7" i="2"/>
  <c r="F8" i="1" s="1"/>
  <c r="B27" i="2"/>
  <c r="C26" i="2"/>
  <c r="C25" i="2"/>
  <c r="C24" i="2"/>
  <c r="C23" i="2"/>
  <c r="C15" i="2"/>
  <c r="C27" i="2" l="1"/>
  <c r="D8" i="1"/>
  <c r="E8" i="1"/>
  <c r="F4" i="1"/>
  <c r="F5" i="1"/>
  <c r="F41" i="1"/>
  <c r="C5" i="1"/>
  <c r="E5" i="1"/>
  <c r="H26" i="1" s="1"/>
  <c r="D5" i="1"/>
  <c r="G17" i="1" s="1"/>
  <c r="D4" i="1"/>
  <c r="C4" i="1"/>
  <c r="I23" i="1" l="1"/>
  <c r="I17" i="1"/>
  <c r="I36" i="1"/>
  <c r="I26" i="1"/>
  <c r="H36" i="1"/>
  <c r="I28" i="1"/>
  <c r="H18" i="1"/>
  <c r="H21" i="1"/>
  <c r="H28" i="1"/>
  <c r="H23" i="1"/>
  <c r="H39" i="1"/>
  <c r="H37" i="1"/>
  <c r="I34" i="1"/>
  <c r="I20" i="1"/>
  <c r="H31" i="1"/>
  <c r="H20" i="1"/>
  <c r="I18" i="1"/>
  <c r="H29" i="1"/>
  <c r="G34" i="1"/>
  <c r="G18" i="1"/>
  <c r="G26" i="1"/>
  <c r="G36" i="1"/>
  <c r="I30" i="1"/>
  <c r="H25" i="1"/>
  <c r="G20" i="1"/>
  <c r="H38" i="1"/>
  <c r="G33" i="1"/>
  <c r="I27" i="1"/>
  <c r="I40" i="1"/>
  <c r="H35" i="1"/>
  <c r="I32" i="1"/>
  <c r="H27" i="1"/>
  <c r="I24" i="1"/>
  <c r="G22" i="1"/>
  <c r="H19" i="1"/>
  <c r="G39" i="1"/>
  <c r="I33" i="1"/>
  <c r="G31" i="1"/>
  <c r="I25" i="1"/>
  <c r="G23" i="1"/>
  <c r="I38" i="1"/>
  <c r="H33" i="1"/>
  <c r="G28" i="1"/>
  <c r="I22" i="1"/>
  <c r="I35" i="1"/>
  <c r="H30" i="1"/>
  <c r="G25" i="1"/>
  <c r="H22" i="1"/>
  <c r="I19" i="1"/>
  <c r="G38" i="1"/>
  <c r="G30" i="1"/>
  <c r="H17" i="1"/>
  <c r="H40" i="1"/>
  <c r="I37" i="1"/>
  <c r="G35" i="1"/>
  <c r="H32" i="1"/>
  <c r="I29" i="1"/>
  <c r="G27" i="1"/>
  <c r="H24" i="1"/>
  <c r="I21" i="1"/>
  <c r="G19" i="1"/>
  <c r="G40" i="1"/>
  <c r="G32" i="1"/>
  <c r="G24" i="1"/>
  <c r="I39" i="1"/>
  <c r="G37" i="1"/>
  <c r="H34" i="1"/>
  <c r="I31" i="1"/>
  <c r="G29" i="1"/>
  <c r="G21" i="1"/>
  <c r="H41" i="1" l="1"/>
  <c r="G41" i="1"/>
  <c r="I41" i="1"/>
</calcChain>
</file>

<file path=xl/sharedStrings.xml><?xml version="1.0" encoding="utf-8"?>
<sst xmlns="http://schemas.openxmlformats.org/spreadsheetml/2006/main" count="130" uniqueCount="87">
  <si>
    <t>Bluegrass Water / Midwest Operations Projected O&amp;M Expenses</t>
  </si>
  <si>
    <t>Site Visits Per Week</t>
  </si>
  <si>
    <t>7 Days</t>
  </si>
  <si>
    <t>6 Days</t>
  </si>
  <si>
    <t>5 Days</t>
  </si>
  <si>
    <t>4 Days</t>
  </si>
  <si>
    <t>Monthly Consolidated O&amp;M Expense for 24 systems</t>
  </si>
  <si>
    <t>Monthly O&amp;M Expense per System</t>
  </si>
  <si>
    <t>Percentage Decrease from 7 Day Requirement</t>
  </si>
  <si>
    <t>Cost Savings vs 7 days</t>
  </si>
  <si>
    <t>Capital investment equivalent</t>
  </si>
  <si>
    <t>Number of Systems</t>
  </si>
  <si>
    <t>Site</t>
  </si>
  <si>
    <t>Type</t>
  </si>
  <si>
    <t>Permit #s</t>
  </si>
  <si>
    <t xml:space="preserve">Monthly Cost: </t>
  </si>
  <si>
    <t>Airview</t>
  </si>
  <si>
    <t>NPDES</t>
  </si>
  <si>
    <t>KY0045390</t>
  </si>
  <si>
    <t>Arcadia Pines Sewer Association</t>
  </si>
  <si>
    <t>Non-discharge</t>
  </si>
  <si>
    <t>Brocklyn</t>
  </si>
  <si>
    <t>KY0081299</t>
  </si>
  <si>
    <t>Carriage Park Neighborhood Association</t>
  </si>
  <si>
    <t>Center Ridge Water System</t>
  </si>
  <si>
    <t>PWS</t>
  </si>
  <si>
    <t>KY0180549</t>
  </si>
  <si>
    <t>Center Ridge Water District #2</t>
  </si>
  <si>
    <t>KY0180509</t>
  </si>
  <si>
    <t>Center Ridge Water District #3</t>
  </si>
  <si>
    <t>KY0180502</t>
  </si>
  <si>
    <t>Center Ridge Water District #4</t>
  </si>
  <si>
    <t>KY0183106</t>
  </si>
  <si>
    <t>Delaplain Disposal</t>
  </si>
  <si>
    <t>KY0079049</t>
  </si>
  <si>
    <t>Fox Run</t>
  </si>
  <si>
    <t>KY0086967</t>
  </si>
  <si>
    <t>Golden Acres</t>
  </si>
  <si>
    <t>KY0044164</t>
  </si>
  <si>
    <t>Great Oaks</t>
  </si>
  <si>
    <t>KY0080845</t>
  </si>
  <si>
    <t>Herrington Haven</t>
  </si>
  <si>
    <t>KY0053431</t>
  </si>
  <si>
    <t>Kingswood</t>
  </si>
  <si>
    <t>KY0101419</t>
  </si>
  <si>
    <t>Lake Columbia</t>
  </si>
  <si>
    <t>KY0077674</t>
  </si>
  <si>
    <t>Longview Homestead (LH)</t>
  </si>
  <si>
    <t>KY0081591</t>
  </si>
  <si>
    <t>Marshall Ridge Sewer Association</t>
  </si>
  <si>
    <t>Persimmon Ridge</t>
  </si>
  <si>
    <t>KY0090956</t>
  </si>
  <si>
    <t>Randview Septic Corporation</t>
  </si>
  <si>
    <t>River Bluffs</t>
  </si>
  <si>
    <t>KY0043150</t>
  </si>
  <si>
    <t>Springcrest</t>
  </si>
  <si>
    <t>No Permit - irrigation</t>
  </si>
  <si>
    <t>Timberland Subdivision (Joann Est.)</t>
  </si>
  <si>
    <t>KY0083755</t>
  </si>
  <si>
    <t>Darlington Creek HOA</t>
  </si>
  <si>
    <t>KY0105325</t>
  </si>
  <si>
    <t>Woodland Acres</t>
  </si>
  <si>
    <t>KY0096100</t>
  </si>
  <si>
    <t xml:space="preserve">Total: </t>
  </si>
  <si>
    <t>Bluegrass Water UOC</t>
  </si>
  <si>
    <t>Communication Equipment/Mission In-service</t>
  </si>
  <si>
    <t>Communication Equipment</t>
  </si>
  <si>
    <t>In Service</t>
  </si>
  <si>
    <t>Projected Cost</t>
  </si>
  <si>
    <t>Projected Timeline</t>
  </si>
  <si>
    <t>Longview</t>
  </si>
  <si>
    <t>Randview</t>
  </si>
  <si>
    <t>Arcadia Pines? - Non Discharging</t>
  </si>
  <si>
    <t>Carriage Park?  Non Discharging</t>
  </si>
  <si>
    <t>Marshall Ridge? Non Discharging</t>
  </si>
  <si>
    <t>Delaplain</t>
  </si>
  <si>
    <t>Darlington</t>
  </si>
  <si>
    <t>Dep rate</t>
  </si>
  <si>
    <t>ROR</t>
  </si>
  <si>
    <t>Total Capital</t>
  </si>
  <si>
    <t>Annual cost</t>
  </si>
  <si>
    <t>Monthly cost</t>
  </si>
  <si>
    <t>3 Days</t>
  </si>
  <si>
    <t>Assumptions</t>
  </si>
  <si>
    <t>LH Treatment</t>
  </si>
  <si>
    <t>Timberland</t>
  </si>
  <si>
    <t>Center 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</si>
</sst>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b/>
      <i/>
      <sz val="10"/>
      <color indexed="8"/>
      <name val="Lato"/>
      <family val="2"/>
    </font>
    <font>
      <sz val="10"/>
      <color indexed="8"/>
      <name val="Lato"/>
      <family val="2"/>
    </font>
    <font>
      <i/>
      <sz val="10"/>
      <color indexed="8"/>
      <name val="Lato"/>
      <family val="2"/>
    </font>
    <font>
      <b/>
      <u/>
      <sz val="10"/>
      <color indexed="8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164" fontId="0" fillId="0" borderId="0" xfId="2" applyNumberFormat="1" applyFont="1"/>
    <xf numFmtId="4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39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vertical="top"/>
    </xf>
    <xf numFmtId="14" fontId="8" fillId="0" borderId="2" xfId="0" applyNumberFormat="1" applyFont="1" applyBorder="1" applyAlignment="1">
      <alignment vertical="top"/>
    </xf>
    <xf numFmtId="0" fontId="8" fillId="3" borderId="2" xfId="0" applyFont="1" applyFill="1" applyBorder="1" applyAlignment="1">
      <alignment vertical="top"/>
    </xf>
    <xf numFmtId="44" fontId="6" fillId="0" borderId="0" xfId="0" applyNumberFormat="1" applyFont="1"/>
    <xf numFmtId="44" fontId="2" fillId="0" borderId="0" xfId="0" applyNumberFormat="1" applyFont="1"/>
    <xf numFmtId="39" fontId="8" fillId="0" borderId="3" xfId="0" applyNumberFormat="1" applyFont="1" applyBorder="1" applyAlignment="1">
      <alignment horizontal="right" vertical="top" wrapText="1"/>
    </xf>
    <xf numFmtId="0" fontId="8" fillId="3" borderId="3" xfId="0" applyFont="1" applyFill="1" applyBorder="1" applyAlignment="1">
      <alignment vertical="top"/>
    </xf>
    <xf numFmtId="14" fontId="8" fillId="0" borderId="3" xfId="0" applyNumberFormat="1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4" fontId="8" fillId="0" borderId="2" xfId="1" applyFont="1" applyBorder="1" applyAlignment="1">
      <alignment horizontal="right" vertical="top" wrapText="1"/>
    </xf>
    <xf numFmtId="44" fontId="8" fillId="0" borderId="2" xfId="1" applyFont="1" applyBorder="1" applyAlignment="1">
      <alignment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B2:G5" totalsRowShown="0" dataDxfId="5" dataCellStyle="Currency">
  <autoFilter ref="B2:G5"/>
  <tableColumns count="6">
    <tableColumn id="1" name="Site Visits Per Week"/>
    <tableColumn id="2" name="7 Days" dataDxfId="4" dataCellStyle="Currency"/>
    <tableColumn id="3" name="6 Days" dataDxfId="3" dataCellStyle="Currency"/>
    <tableColumn id="4" name="5 Days" dataDxfId="2" dataCellStyle="Currency"/>
    <tableColumn id="5" name="4 Days" dataDxfId="1" dataCellStyle="Currency"/>
    <tableColumn id="6" name="3 Days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topLeftCell="A40" workbookViewId="0">
      <selection activeCell="G5" sqref="G5"/>
    </sheetView>
  </sheetViews>
  <sheetFormatPr defaultRowHeight="14.4"/>
  <cols>
    <col min="2" max="2" width="47.6640625" bestFit="1" customWidth="1"/>
    <col min="3" max="3" width="11.5546875" bestFit="1" customWidth="1"/>
    <col min="4" max="4" width="20" bestFit="1" customWidth="1"/>
    <col min="5" max="6" width="14.5546875" bestFit="1" customWidth="1"/>
    <col min="7" max="7" width="12.5546875" bestFit="1" customWidth="1"/>
    <col min="8" max="8" width="11.5546875" bestFit="1" customWidth="1"/>
    <col min="9" max="9" width="10.5546875" bestFit="1" customWidth="1"/>
    <col min="10" max="10" width="12.88671875" customWidth="1"/>
    <col min="11" max="11" width="10.5546875" bestFit="1" customWidth="1"/>
    <col min="12" max="12" width="12.109375" bestFit="1" customWidth="1"/>
    <col min="13" max="13" width="10.88671875" bestFit="1" customWidth="1"/>
    <col min="15" max="15" width="11.5546875" bestFit="1" customWidth="1"/>
  </cols>
  <sheetData>
    <row r="1" spans="2:13">
      <c r="B1" s="27" t="s">
        <v>0</v>
      </c>
      <c r="C1" s="27"/>
      <c r="D1" s="27"/>
      <c r="E1" s="27"/>
      <c r="F1" s="27"/>
    </row>
    <row r="2" spans="2:1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82</v>
      </c>
    </row>
    <row r="3" spans="2:13">
      <c r="B3" t="s">
        <v>6</v>
      </c>
      <c r="C3" s="1">
        <v>93856.63</v>
      </c>
      <c r="D3" s="1">
        <f>Table1[[#This Row],[7 Days]]-M3</f>
        <v>88142.472500000003</v>
      </c>
      <c r="E3" s="1">
        <f>Table1[[#This Row],[6 Days]]-M3</f>
        <v>82428.315000000002</v>
      </c>
      <c r="F3" s="1">
        <f>Table1[[#This Row],[5 Days]]-M3</f>
        <v>76714.157500000001</v>
      </c>
      <c r="G3" s="1">
        <v>71000</v>
      </c>
      <c r="H3" s="7">
        <f>Table1[[#This Row],[7 Days]]-Table1[[#This Row],[3 Days]]</f>
        <v>22856.630000000005</v>
      </c>
      <c r="M3" s="7">
        <f>(Table1[[#This Row],[7 Days]]-Table1[[#This Row],[3 Days]])/4</f>
        <v>5714.1575000000012</v>
      </c>
    </row>
    <row r="4" spans="2:13">
      <c r="B4" t="s">
        <v>7</v>
      </c>
      <c r="C4" s="1">
        <f>C3/$C$10</f>
        <v>3910.6929166666669</v>
      </c>
      <c r="D4" s="1">
        <f t="shared" ref="D4" si="0">D3/$C$10</f>
        <v>3672.6030208333336</v>
      </c>
      <c r="E4" s="1">
        <f>E3/$C$10</f>
        <v>3434.5131249999999</v>
      </c>
      <c r="F4" s="1">
        <f>F3/$C$10</f>
        <v>3196.4232291666667</v>
      </c>
      <c r="G4" s="1">
        <f>G3/$C$10</f>
        <v>2958.3333333333335</v>
      </c>
    </row>
    <row r="5" spans="2:13">
      <c r="B5" t="s">
        <v>8</v>
      </c>
      <c r="C5" s="6">
        <f>(C3-$C$3)/$C$3</f>
        <v>0</v>
      </c>
      <c r="D5" s="6">
        <f>(D3-$C$3)/$C$3</f>
        <v>-6.0881767223050741E-2</v>
      </c>
      <c r="E5" s="6">
        <f t="shared" ref="E5" si="1">(E3-$C$3)/$C$3</f>
        <v>-0.12176353444610148</v>
      </c>
      <c r="F5" s="6">
        <f>(F3-$C$3)/$C$3</f>
        <v>-0.18264530166915222</v>
      </c>
      <c r="G5" s="6">
        <f>(G3-$C$3)/$C$3</f>
        <v>-0.24352706889220296</v>
      </c>
    </row>
    <row r="7" spans="2:13">
      <c r="B7" s="3" t="s">
        <v>9</v>
      </c>
      <c r="C7" s="3"/>
      <c r="D7" s="20">
        <f>C3-D3</f>
        <v>5714.1575000000012</v>
      </c>
      <c r="E7" s="20">
        <f>C3-E3</f>
        <v>11428.315000000002</v>
      </c>
      <c r="F7" s="20">
        <f>C3-F3</f>
        <v>17142.472500000003</v>
      </c>
    </row>
    <row r="8" spans="2:13">
      <c r="B8" s="3" t="s">
        <v>10</v>
      </c>
      <c r="C8" s="3"/>
      <c r="D8" s="20">
        <f>D7/(Sheet2!$H$7/12)</f>
        <v>382004.95821727032</v>
      </c>
      <c r="E8" s="20">
        <f>E7/(Sheet2!$H$7/12)</f>
        <v>764009.91643454065</v>
      </c>
      <c r="F8" s="20">
        <f>F7/(Sheet2!$H$7/12)</f>
        <v>1146014.8746518109</v>
      </c>
    </row>
    <row r="9" spans="2:13">
      <c r="B9" s="3"/>
      <c r="C9" s="3"/>
      <c r="D9" s="20"/>
      <c r="E9" s="20"/>
      <c r="F9" s="20"/>
    </row>
    <row r="10" spans="2:13">
      <c r="B10" t="s">
        <v>11</v>
      </c>
      <c r="C10">
        <v>24</v>
      </c>
    </row>
    <row r="16" spans="2:13">
      <c r="B16" t="s">
        <v>12</v>
      </c>
      <c r="C16" t="s">
        <v>13</v>
      </c>
      <c r="D16" t="s">
        <v>14</v>
      </c>
      <c r="E16" s="5" t="s">
        <v>15</v>
      </c>
      <c r="F16" t="s">
        <v>2</v>
      </c>
      <c r="G16" t="s">
        <v>3</v>
      </c>
      <c r="H16" t="s">
        <v>4</v>
      </c>
      <c r="I16" t="s">
        <v>5</v>
      </c>
      <c r="J16" t="s">
        <v>82</v>
      </c>
    </row>
    <row r="17" spans="2:15">
      <c r="B17" t="s">
        <v>16</v>
      </c>
      <c r="C17" t="s">
        <v>17</v>
      </c>
      <c r="D17" t="s">
        <v>18</v>
      </c>
      <c r="E17" s="2"/>
      <c r="F17" s="1">
        <v>4691.295000000001</v>
      </c>
      <c r="G17" s="1">
        <f>$F17*(1+D$5)</f>
        <v>4405.6806698353394</v>
      </c>
      <c r="H17" s="1">
        <f t="shared" ref="H17:H40" si="2">$F17*(1+E$5)</f>
        <v>4120.0663396706777</v>
      </c>
      <c r="I17" s="1">
        <f>$F17*(1+F$5)</f>
        <v>3834.4520095060152</v>
      </c>
      <c r="J17" s="1">
        <f>$F17*(1+G$5)</f>
        <v>3548.8376793413531</v>
      </c>
      <c r="K17" s="6"/>
      <c r="L17" s="6"/>
      <c r="M17" s="6"/>
      <c r="O17" s="1"/>
    </row>
    <row r="18" spans="2:15">
      <c r="B18" t="s">
        <v>19</v>
      </c>
      <c r="C18" t="s">
        <v>17</v>
      </c>
      <c r="D18" t="s">
        <v>20</v>
      </c>
      <c r="E18" s="2"/>
      <c r="F18" s="1">
        <v>3042.6650000000009</v>
      </c>
      <c r="G18" s="1">
        <f t="shared" ref="G18:G40" si="3">$F18*(1+D$5)</f>
        <v>2857.4221777322773</v>
      </c>
      <c r="H18" s="1">
        <f t="shared" si="2"/>
        <v>2672.1793554645537</v>
      </c>
      <c r="I18" s="1">
        <f t="shared" ref="I18:I40" si="4">$F18*(1+F$5)</f>
        <v>2486.9365331968297</v>
      </c>
      <c r="J18" s="1">
        <f t="shared" ref="J18:J40" si="5">$F18*(1+G$5)</f>
        <v>2301.6937109291057</v>
      </c>
      <c r="K18" s="6"/>
      <c r="L18" s="6"/>
      <c r="M18" s="6"/>
      <c r="O18" s="1"/>
    </row>
    <row r="19" spans="2:15">
      <c r="B19" t="s">
        <v>21</v>
      </c>
      <c r="C19" t="s">
        <v>17</v>
      </c>
      <c r="D19" t="s">
        <v>22</v>
      </c>
      <c r="E19" s="2"/>
      <c r="F19" s="1">
        <v>4691.295000000001</v>
      </c>
      <c r="G19" s="1">
        <f t="shared" si="3"/>
        <v>4405.6806698353394</v>
      </c>
      <c r="H19" s="1">
        <f t="shared" si="2"/>
        <v>4120.0663396706777</v>
      </c>
      <c r="I19" s="1">
        <f t="shared" si="4"/>
        <v>3834.4520095060152</v>
      </c>
      <c r="J19" s="1">
        <f t="shared" si="5"/>
        <v>3548.8376793413531</v>
      </c>
      <c r="K19" s="6"/>
      <c r="L19" s="6"/>
      <c r="M19" s="6"/>
      <c r="O19" s="1"/>
    </row>
    <row r="20" spans="2:15">
      <c r="B20" t="s">
        <v>23</v>
      </c>
      <c r="C20" t="s">
        <v>17</v>
      </c>
      <c r="D20" t="s">
        <v>20</v>
      </c>
      <c r="E20" s="2"/>
      <c r="F20" s="1">
        <v>3042.6650000000009</v>
      </c>
      <c r="G20" s="1">
        <f t="shared" si="3"/>
        <v>2857.4221777322773</v>
      </c>
      <c r="H20" s="1">
        <f t="shared" si="2"/>
        <v>2672.1793554645537</v>
      </c>
      <c r="I20" s="1">
        <f t="shared" si="4"/>
        <v>2486.9365331968297</v>
      </c>
      <c r="J20" s="1">
        <f t="shared" si="5"/>
        <v>2301.6937109291057</v>
      </c>
      <c r="K20" s="6"/>
      <c r="L20" s="6"/>
      <c r="M20" s="6"/>
      <c r="O20" s="1"/>
    </row>
    <row r="21" spans="2:15">
      <c r="B21" t="s">
        <v>24</v>
      </c>
      <c r="C21" t="s">
        <v>25</v>
      </c>
      <c r="D21" t="s">
        <v>26</v>
      </c>
      <c r="E21" s="2"/>
      <c r="F21" s="1">
        <v>3042.6650000000009</v>
      </c>
      <c r="G21" s="1">
        <f t="shared" si="3"/>
        <v>2857.4221777322773</v>
      </c>
      <c r="H21" s="1">
        <f t="shared" si="2"/>
        <v>2672.1793554645537</v>
      </c>
      <c r="I21" s="1">
        <f t="shared" si="4"/>
        <v>2486.9365331968297</v>
      </c>
      <c r="J21" s="1">
        <f t="shared" si="5"/>
        <v>2301.6937109291057</v>
      </c>
      <c r="K21" s="6"/>
      <c r="L21" s="6"/>
      <c r="M21" s="6"/>
      <c r="O21" s="1"/>
    </row>
    <row r="22" spans="2:15">
      <c r="B22" t="s">
        <v>27</v>
      </c>
      <c r="C22" t="s">
        <v>25</v>
      </c>
      <c r="D22" t="s">
        <v>28</v>
      </c>
      <c r="E22" s="2"/>
      <c r="F22" s="1">
        <v>3042.6650000000009</v>
      </c>
      <c r="G22" s="1">
        <f t="shared" si="3"/>
        <v>2857.4221777322773</v>
      </c>
      <c r="H22" s="1">
        <f t="shared" si="2"/>
        <v>2672.1793554645537</v>
      </c>
      <c r="I22" s="1">
        <f t="shared" si="4"/>
        <v>2486.9365331968297</v>
      </c>
      <c r="J22" s="1">
        <f t="shared" si="5"/>
        <v>2301.6937109291057</v>
      </c>
      <c r="K22" s="6"/>
      <c r="L22" s="6"/>
      <c r="M22" s="6"/>
      <c r="O22" s="1"/>
    </row>
    <row r="23" spans="2:15">
      <c r="B23" t="s">
        <v>29</v>
      </c>
      <c r="C23" t="s">
        <v>25</v>
      </c>
      <c r="D23" t="s">
        <v>30</v>
      </c>
      <c r="E23" s="2"/>
      <c r="F23" s="1">
        <v>3042.6650000000009</v>
      </c>
      <c r="G23" s="1">
        <f t="shared" si="3"/>
        <v>2857.4221777322773</v>
      </c>
      <c r="H23" s="1">
        <f t="shared" si="2"/>
        <v>2672.1793554645537</v>
      </c>
      <c r="I23" s="1">
        <f t="shared" si="4"/>
        <v>2486.9365331968297</v>
      </c>
      <c r="J23" s="1">
        <f t="shared" si="5"/>
        <v>2301.6937109291057</v>
      </c>
      <c r="K23" s="6"/>
      <c r="L23" s="6"/>
      <c r="M23" s="6"/>
      <c r="O23" s="1"/>
    </row>
    <row r="24" spans="2:15">
      <c r="B24" t="s">
        <v>31</v>
      </c>
      <c r="C24" t="s">
        <v>25</v>
      </c>
      <c r="D24" t="s">
        <v>32</v>
      </c>
      <c r="E24" s="2"/>
      <c r="F24" s="1">
        <v>3042.6650000000009</v>
      </c>
      <c r="G24" s="1">
        <f t="shared" si="3"/>
        <v>2857.4221777322773</v>
      </c>
      <c r="H24" s="1">
        <f t="shared" si="2"/>
        <v>2672.1793554645537</v>
      </c>
      <c r="I24" s="1">
        <f t="shared" si="4"/>
        <v>2486.9365331968297</v>
      </c>
      <c r="J24" s="1">
        <f t="shared" si="5"/>
        <v>2301.6937109291057</v>
      </c>
      <c r="K24" s="6"/>
      <c r="L24" s="6"/>
      <c r="M24" s="6"/>
      <c r="O24" s="1"/>
    </row>
    <row r="25" spans="2:15">
      <c r="B25" t="s">
        <v>33</v>
      </c>
      <c r="C25" t="s">
        <v>17</v>
      </c>
      <c r="D25" t="s">
        <v>34</v>
      </c>
      <c r="E25" s="2"/>
      <c r="F25" s="1">
        <v>4241.6650000000009</v>
      </c>
      <c r="G25" s="1">
        <f t="shared" si="3"/>
        <v>3983.4249388318394</v>
      </c>
      <c r="H25" s="1">
        <f t="shared" si="2"/>
        <v>3725.184877663678</v>
      </c>
      <c r="I25" s="1">
        <f t="shared" si="4"/>
        <v>3466.9448164955161</v>
      </c>
      <c r="J25" s="1">
        <f t="shared" si="5"/>
        <v>3208.7047553273546</v>
      </c>
      <c r="K25" s="6"/>
      <c r="L25" s="6"/>
      <c r="M25" s="6"/>
      <c r="O25" s="1"/>
    </row>
    <row r="26" spans="2:15">
      <c r="B26" t="s">
        <v>35</v>
      </c>
      <c r="C26" t="s">
        <v>17</v>
      </c>
      <c r="D26" t="s">
        <v>36</v>
      </c>
      <c r="E26" s="2"/>
      <c r="F26" s="1">
        <v>4691.295000000001</v>
      </c>
      <c r="G26" s="1">
        <f t="shared" si="3"/>
        <v>4405.6806698353394</v>
      </c>
      <c r="H26" s="1">
        <f t="shared" si="2"/>
        <v>4120.0663396706777</v>
      </c>
      <c r="I26" s="1">
        <f t="shared" si="4"/>
        <v>3834.4520095060152</v>
      </c>
      <c r="J26" s="1">
        <f t="shared" si="5"/>
        <v>3548.8376793413531</v>
      </c>
      <c r="K26" s="6"/>
      <c r="L26" s="6"/>
      <c r="M26" s="6"/>
      <c r="O26" s="1"/>
    </row>
    <row r="27" spans="2:15">
      <c r="B27" t="s">
        <v>37</v>
      </c>
      <c r="C27" t="s">
        <v>17</v>
      </c>
      <c r="D27" t="s">
        <v>38</v>
      </c>
      <c r="E27" s="2"/>
      <c r="F27" s="1">
        <v>4691.295000000001</v>
      </c>
      <c r="G27" s="1">
        <f t="shared" si="3"/>
        <v>4405.6806698353394</v>
      </c>
      <c r="H27" s="1">
        <f t="shared" si="2"/>
        <v>4120.0663396706777</v>
      </c>
      <c r="I27" s="1">
        <f t="shared" si="4"/>
        <v>3834.4520095060152</v>
      </c>
      <c r="J27" s="1">
        <f t="shared" si="5"/>
        <v>3548.8376793413531</v>
      </c>
      <c r="K27" s="6"/>
      <c r="L27" s="6"/>
      <c r="M27" s="6"/>
      <c r="O27" s="1"/>
    </row>
    <row r="28" spans="2:15">
      <c r="B28" t="s">
        <v>39</v>
      </c>
      <c r="C28" t="s">
        <v>17</v>
      </c>
      <c r="D28" t="s">
        <v>40</v>
      </c>
      <c r="E28" s="2"/>
      <c r="F28" s="1">
        <v>4691.295000000001</v>
      </c>
      <c r="G28" s="1">
        <f t="shared" si="3"/>
        <v>4405.6806698353394</v>
      </c>
      <c r="H28" s="1">
        <f t="shared" si="2"/>
        <v>4120.0663396706777</v>
      </c>
      <c r="I28" s="1">
        <f t="shared" si="4"/>
        <v>3834.4520095060152</v>
      </c>
      <c r="J28" s="1">
        <f t="shared" si="5"/>
        <v>3548.8376793413531</v>
      </c>
      <c r="K28" s="6"/>
      <c r="L28" s="6"/>
      <c r="M28" s="6"/>
      <c r="O28" s="1"/>
    </row>
    <row r="29" spans="2:15">
      <c r="B29" t="s">
        <v>41</v>
      </c>
      <c r="C29" t="s">
        <v>17</v>
      </c>
      <c r="D29" t="s">
        <v>42</v>
      </c>
      <c r="E29" s="2"/>
      <c r="F29" s="1">
        <v>4241.6650000000009</v>
      </c>
      <c r="G29" s="1">
        <f t="shared" si="3"/>
        <v>3983.4249388318394</v>
      </c>
      <c r="H29" s="1">
        <f t="shared" si="2"/>
        <v>3725.184877663678</v>
      </c>
      <c r="I29" s="1">
        <f t="shared" si="4"/>
        <v>3466.9448164955161</v>
      </c>
      <c r="J29" s="1">
        <f t="shared" si="5"/>
        <v>3208.7047553273546</v>
      </c>
      <c r="K29" s="6"/>
      <c r="L29" s="6"/>
      <c r="M29" s="6"/>
      <c r="O29" s="1"/>
    </row>
    <row r="30" spans="2:15">
      <c r="B30" t="s">
        <v>43</v>
      </c>
      <c r="C30" t="s">
        <v>17</v>
      </c>
      <c r="D30" t="s">
        <v>44</v>
      </c>
      <c r="E30" s="2"/>
      <c r="F30" s="1">
        <v>4691.295000000001</v>
      </c>
      <c r="G30" s="1">
        <f t="shared" si="3"/>
        <v>4405.6806698353394</v>
      </c>
      <c r="H30" s="1">
        <f t="shared" si="2"/>
        <v>4120.0663396706777</v>
      </c>
      <c r="I30" s="1">
        <f t="shared" si="4"/>
        <v>3834.4520095060152</v>
      </c>
      <c r="J30" s="1">
        <f t="shared" si="5"/>
        <v>3548.8376793413531</v>
      </c>
      <c r="K30" s="6"/>
      <c r="L30" s="6"/>
      <c r="M30" s="6"/>
      <c r="O30" s="1"/>
    </row>
    <row r="31" spans="2:15">
      <c r="B31" t="s">
        <v>45</v>
      </c>
      <c r="C31" t="s">
        <v>17</v>
      </c>
      <c r="D31" t="s">
        <v>46</v>
      </c>
      <c r="E31" s="2"/>
      <c r="F31" s="1">
        <v>4691.295000000001</v>
      </c>
      <c r="G31" s="1">
        <f t="shared" si="3"/>
        <v>4405.6806698353394</v>
      </c>
      <c r="H31" s="1">
        <f t="shared" si="2"/>
        <v>4120.0663396706777</v>
      </c>
      <c r="I31" s="1">
        <f t="shared" si="4"/>
        <v>3834.4520095060152</v>
      </c>
      <c r="J31" s="1">
        <f t="shared" si="5"/>
        <v>3548.8376793413531</v>
      </c>
      <c r="K31" s="6"/>
      <c r="L31" s="6"/>
      <c r="M31" s="6"/>
      <c r="O31" s="1"/>
    </row>
    <row r="32" spans="2:15">
      <c r="B32" t="s">
        <v>47</v>
      </c>
      <c r="C32" t="s">
        <v>17</v>
      </c>
      <c r="D32" t="s">
        <v>48</v>
      </c>
      <c r="E32" s="2"/>
      <c r="F32" s="1">
        <v>4691.295000000001</v>
      </c>
      <c r="G32" s="1">
        <f t="shared" si="3"/>
        <v>4405.6806698353394</v>
      </c>
      <c r="H32" s="1">
        <f t="shared" si="2"/>
        <v>4120.0663396706777</v>
      </c>
      <c r="I32" s="1">
        <f t="shared" si="4"/>
        <v>3834.4520095060152</v>
      </c>
      <c r="J32" s="1">
        <f t="shared" si="5"/>
        <v>3548.8376793413531</v>
      </c>
      <c r="K32" s="6"/>
      <c r="L32" s="6"/>
      <c r="M32" s="6"/>
      <c r="O32" s="1"/>
    </row>
    <row r="33" spans="2:15">
      <c r="B33" t="s">
        <v>49</v>
      </c>
      <c r="C33" t="s">
        <v>17</v>
      </c>
      <c r="D33" t="s">
        <v>20</v>
      </c>
      <c r="E33" s="2"/>
      <c r="F33" s="1">
        <v>3042.6650000000009</v>
      </c>
      <c r="G33" s="1">
        <f t="shared" si="3"/>
        <v>2857.4221777322773</v>
      </c>
      <c r="H33" s="1">
        <f t="shared" si="2"/>
        <v>2672.1793554645537</v>
      </c>
      <c r="I33" s="1">
        <f t="shared" si="4"/>
        <v>2486.9365331968297</v>
      </c>
      <c r="J33" s="1">
        <f t="shared" si="5"/>
        <v>2301.6937109291057</v>
      </c>
      <c r="K33" s="6"/>
      <c r="L33" s="6"/>
      <c r="M33" s="6"/>
      <c r="O33" s="1"/>
    </row>
    <row r="34" spans="2:15">
      <c r="B34" t="s">
        <v>50</v>
      </c>
      <c r="C34" t="s">
        <v>17</v>
      </c>
      <c r="D34" t="s">
        <v>51</v>
      </c>
      <c r="E34" s="2"/>
      <c r="F34" s="1">
        <v>4691.295000000001</v>
      </c>
      <c r="G34" s="1">
        <f t="shared" si="3"/>
        <v>4405.6806698353394</v>
      </c>
      <c r="H34" s="1">
        <f t="shared" si="2"/>
        <v>4120.0663396706777</v>
      </c>
      <c r="I34" s="1">
        <f t="shared" si="4"/>
        <v>3834.4520095060152</v>
      </c>
      <c r="J34" s="1">
        <f t="shared" si="5"/>
        <v>3548.8376793413531</v>
      </c>
      <c r="K34" s="6"/>
      <c r="L34" s="6"/>
      <c r="M34" s="6"/>
      <c r="O34" s="1"/>
    </row>
    <row r="35" spans="2:15">
      <c r="B35" t="s">
        <v>52</v>
      </c>
      <c r="C35" t="s">
        <v>17</v>
      </c>
      <c r="D35" t="s">
        <v>20</v>
      </c>
      <c r="E35" s="2"/>
      <c r="F35" s="1">
        <v>3042.6650000000009</v>
      </c>
      <c r="G35" s="1">
        <f t="shared" si="3"/>
        <v>2857.4221777322773</v>
      </c>
      <c r="H35" s="1">
        <f t="shared" si="2"/>
        <v>2672.1793554645537</v>
      </c>
      <c r="I35" s="1">
        <f t="shared" si="4"/>
        <v>2486.9365331968297</v>
      </c>
      <c r="J35" s="1">
        <f t="shared" si="5"/>
        <v>2301.6937109291057</v>
      </c>
      <c r="K35" s="6"/>
      <c r="L35" s="6"/>
      <c r="M35" s="6"/>
      <c r="O35" s="1"/>
    </row>
    <row r="36" spans="2:15">
      <c r="B36" t="s">
        <v>53</v>
      </c>
      <c r="C36" t="s">
        <v>17</v>
      </c>
      <c r="D36" t="s">
        <v>54</v>
      </c>
      <c r="E36" s="2"/>
      <c r="F36" s="1">
        <v>3042.6650000000009</v>
      </c>
      <c r="G36" s="1">
        <f t="shared" si="3"/>
        <v>2857.4221777322773</v>
      </c>
      <c r="H36" s="1">
        <f t="shared" si="2"/>
        <v>2672.1793554645537</v>
      </c>
      <c r="I36" s="1">
        <f t="shared" si="4"/>
        <v>2486.9365331968297</v>
      </c>
      <c r="J36" s="1">
        <f t="shared" si="5"/>
        <v>2301.6937109291057</v>
      </c>
      <c r="K36" s="6"/>
      <c r="L36" s="6"/>
      <c r="M36" s="6"/>
      <c r="O36" s="1"/>
    </row>
    <row r="37" spans="2:15">
      <c r="B37" t="s">
        <v>55</v>
      </c>
      <c r="C37" t="s">
        <v>17</v>
      </c>
      <c r="D37" t="s">
        <v>56</v>
      </c>
      <c r="E37" s="2"/>
      <c r="F37" s="1">
        <v>4241.6650000000009</v>
      </c>
      <c r="G37" s="1">
        <f t="shared" si="3"/>
        <v>3983.4249388318394</v>
      </c>
      <c r="H37" s="1">
        <f t="shared" si="2"/>
        <v>3725.184877663678</v>
      </c>
      <c r="I37" s="1">
        <f t="shared" si="4"/>
        <v>3466.9448164955161</v>
      </c>
      <c r="J37" s="1">
        <f t="shared" si="5"/>
        <v>3208.7047553273546</v>
      </c>
      <c r="K37" s="6"/>
      <c r="L37" s="6"/>
      <c r="M37" s="6"/>
      <c r="O37" s="1"/>
    </row>
    <row r="38" spans="2:15">
      <c r="B38" t="s">
        <v>57</v>
      </c>
      <c r="C38" t="s">
        <v>17</v>
      </c>
      <c r="D38" t="s">
        <v>58</v>
      </c>
      <c r="E38" s="2"/>
      <c r="F38" s="1">
        <v>3042.6650000000009</v>
      </c>
      <c r="G38" s="1">
        <f t="shared" si="3"/>
        <v>2857.4221777322773</v>
      </c>
      <c r="H38" s="1">
        <f t="shared" si="2"/>
        <v>2672.1793554645537</v>
      </c>
      <c r="I38" s="1">
        <f t="shared" si="4"/>
        <v>2486.9365331968297</v>
      </c>
      <c r="J38" s="1">
        <f t="shared" si="5"/>
        <v>2301.6937109291057</v>
      </c>
      <c r="K38" s="6"/>
      <c r="L38" s="6"/>
      <c r="M38" s="6"/>
      <c r="O38" s="1"/>
    </row>
    <row r="39" spans="2:15">
      <c r="B39" t="s">
        <v>59</v>
      </c>
      <c r="C39" t="s">
        <v>17</v>
      </c>
      <c r="D39" t="s">
        <v>60</v>
      </c>
      <c r="E39" s="2"/>
      <c r="F39" s="1">
        <v>4241.6650000000009</v>
      </c>
      <c r="G39" s="1">
        <f t="shared" si="3"/>
        <v>3983.4249388318394</v>
      </c>
      <c r="H39" s="1">
        <f t="shared" si="2"/>
        <v>3725.184877663678</v>
      </c>
      <c r="I39" s="1">
        <f t="shared" si="4"/>
        <v>3466.9448164955161</v>
      </c>
      <c r="J39" s="1">
        <f t="shared" si="5"/>
        <v>3208.7047553273546</v>
      </c>
      <c r="K39" s="6"/>
      <c r="L39" s="6"/>
      <c r="M39" s="6"/>
      <c r="O39" s="1"/>
    </row>
    <row r="40" spans="2:15">
      <c r="B40" t="s">
        <v>61</v>
      </c>
      <c r="C40" t="s">
        <v>17</v>
      </c>
      <c r="D40" t="s">
        <v>62</v>
      </c>
      <c r="E40" s="2"/>
      <c r="F40" s="1">
        <v>4241.6650000000009</v>
      </c>
      <c r="G40" s="1">
        <f t="shared" si="3"/>
        <v>3983.4249388318394</v>
      </c>
      <c r="H40" s="1">
        <f t="shared" si="2"/>
        <v>3725.184877663678</v>
      </c>
      <c r="I40" s="1">
        <f t="shared" si="4"/>
        <v>3466.9448164955161</v>
      </c>
      <c r="J40" s="1">
        <f t="shared" si="5"/>
        <v>3208.7047553273546</v>
      </c>
      <c r="K40" s="6"/>
      <c r="L40" s="6"/>
      <c r="M40" s="6"/>
      <c r="O40" s="1"/>
    </row>
    <row r="41" spans="2:15">
      <c r="B41" s="3" t="s">
        <v>63</v>
      </c>
      <c r="C41" s="3"/>
      <c r="D41" s="3"/>
      <c r="E41" s="4"/>
      <c r="F41" s="4">
        <f>SUM(F17:F40)</f>
        <v>93856.630000000034</v>
      </c>
      <c r="G41" s="4">
        <f t="shared" ref="G41:J41" si="6">SUM(G17:G40)</f>
        <v>88142.472500000047</v>
      </c>
      <c r="H41" s="4">
        <f t="shared" si="6"/>
        <v>82428.315000000031</v>
      </c>
      <c r="I41" s="4">
        <f t="shared" si="6"/>
        <v>76714.157500000001</v>
      </c>
      <c r="J41" s="4">
        <f t="shared" si="6"/>
        <v>71000</v>
      </c>
    </row>
  </sheetData>
  <mergeCells count="1">
    <mergeCell ref="B1:F1"/>
  </mergeCells>
  <phoneticPr fontId="4" type="noConversion"/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31" sqref="C31"/>
    </sheetView>
  </sheetViews>
  <sheetFormatPr defaultColWidth="8.88671875" defaultRowHeight="13.2"/>
  <cols>
    <col min="1" max="1" width="39.6640625" style="9" bestFit="1" customWidth="1"/>
    <col min="2" max="2" width="11.88671875" style="9" bestFit="1" customWidth="1"/>
    <col min="3" max="3" width="13.44140625" style="9" bestFit="1" customWidth="1"/>
    <col min="4" max="4" width="16.44140625" style="9" bestFit="1" customWidth="1"/>
    <col min="5" max="5" width="8.88671875" style="9"/>
    <col min="6" max="6" width="11.88671875" style="9" bestFit="1" customWidth="1"/>
    <col min="7" max="7" width="13.109375" style="9" bestFit="1" customWidth="1"/>
    <col min="8" max="9" width="8.88671875" style="9"/>
    <col min="10" max="10" width="19.5546875" style="9" bestFit="1" customWidth="1"/>
    <col min="11" max="16384" width="8.88671875" style="9"/>
  </cols>
  <sheetData>
    <row r="1" spans="1:8">
      <c r="A1" s="8" t="s">
        <v>64</v>
      </c>
    </row>
    <row r="2" spans="1:8">
      <c r="A2" s="9" t="s">
        <v>65</v>
      </c>
    </row>
    <row r="4" spans="1:8" s="13" customFormat="1">
      <c r="A4" s="10" t="s">
        <v>66</v>
      </c>
      <c r="B4" s="11" t="s">
        <v>67</v>
      </c>
      <c r="C4" s="12" t="s">
        <v>68</v>
      </c>
      <c r="D4" s="12" t="s">
        <v>69</v>
      </c>
      <c r="G4" s="28" t="s">
        <v>83</v>
      </c>
      <c r="H4" s="28"/>
    </row>
    <row r="5" spans="1:8" s="13" customFormat="1">
      <c r="A5" s="14" t="s">
        <v>16</v>
      </c>
      <c r="B5" s="15">
        <v>16086.39</v>
      </c>
      <c r="C5" s="16"/>
      <c r="D5" s="17">
        <v>44834</v>
      </c>
      <c r="G5" s="13" t="s">
        <v>77</v>
      </c>
      <c r="H5" s="13">
        <v>0.1</v>
      </c>
    </row>
    <row r="6" spans="1:8" s="13" customFormat="1">
      <c r="A6" s="14" t="s">
        <v>21</v>
      </c>
      <c r="B6" s="15">
        <v>4262.46</v>
      </c>
      <c r="C6" s="16"/>
      <c r="D6" s="17">
        <v>44834</v>
      </c>
      <c r="G6" s="13" t="s">
        <v>78</v>
      </c>
      <c r="H6" s="13">
        <v>7.9500000000000001E-2</v>
      </c>
    </row>
    <row r="7" spans="1:8" s="13" customFormat="1">
      <c r="A7" s="14" t="s">
        <v>35</v>
      </c>
      <c r="B7" s="15">
        <v>10849.11</v>
      </c>
      <c r="C7" s="16"/>
      <c r="D7" s="17">
        <v>44834</v>
      </c>
      <c r="G7" s="9"/>
      <c r="H7" s="9">
        <f>SUM(H5:H6)</f>
        <v>0.17949999999999999</v>
      </c>
    </row>
    <row r="8" spans="1:8" s="13" customFormat="1">
      <c r="A8" s="14" t="s">
        <v>37</v>
      </c>
      <c r="B8" s="15">
        <v>14753.16</v>
      </c>
      <c r="C8" s="16"/>
      <c r="D8" s="17">
        <v>44834</v>
      </c>
    </row>
    <row r="9" spans="1:8" s="13" customFormat="1">
      <c r="A9" s="14" t="s">
        <v>39</v>
      </c>
      <c r="B9" s="15">
        <v>4619.8999999999996</v>
      </c>
      <c r="C9" s="16"/>
      <c r="D9" s="17">
        <v>44834</v>
      </c>
    </row>
    <row r="10" spans="1:8" s="13" customFormat="1">
      <c r="A10" s="14" t="s">
        <v>43</v>
      </c>
      <c r="B10" s="15">
        <v>11591.09</v>
      </c>
      <c r="C10" s="16"/>
      <c r="D10" s="17">
        <v>44834</v>
      </c>
    </row>
    <row r="11" spans="1:8" s="13" customFormat="1">
      <c r="A11" s="14" t="s">
        <v>45</v>
      </c>
      <c r="B11" s="15">
        <v>3329.41</v>
      </c>
      <c r="C11" s="16"/>
      <c r="D11" s="17">
        <v>44834</v>
      </c>
    </row>
    <row r="12" spans="1:8" s="13" customFormat="1">
      <c r="A12" s="14" t="s">
        <v>70</v>
      </c>
      <c r="B12" s="15">
        <v>4184.16</v>
      </c>
      <c r="C12" s="16"/>
      <c r="D12" s="17">
        <v>44834</v>
      </c>
    </row>
    <row r="13" spans="1:8" s="13" customFormat="1">
      <c r="A13" s="14" t="s">
        <v>50</v>
      </c>
      <c r="B13" s="15">
        <v>26123.06</v>
      </c>
      <c r="C13" s="16"/>
      <c r="D13" s="17">
        <v>44834</v>
      </c>
    </row>
    <row r="14" spans="1:8" s="13" customFormat="1">
      <c r="A14" s="14" t="s">
        <v>55</v>
      </c>
      <c r="B14" s="15"/>
      <c r="C14" s="18">
        <v>3707</v>
      </c>
      <c r="D14" s="17">
        <v>44834</v>
      </c>
    </row>
    <row r="15" spans="1:8" s="13" customFormat="1">
      <c r="A15" s="14" t="s">
        <v>71</v>
      </c>
      <c r="B15" s="15"/>
      <c r="C15" s="18">
        <f>2250+165+165+166+63+972+500</f>
        <v>4281</v>
      </c>
      <c r="D15" s="17">
        <v>44834</v>
      </c>
    </row>
    <row r="16" spans="1:8" s="13" customFormat="1">
      <c r="A16" s="14" t="s">
        <v>84</v>
      </c>
      <c r="B16" s="15"/>
      <c r="C16" s="18">
        <v>10000</v>
      </c>
      <c r="D16" s="17">
        <v>44834</v>
      </c>
    </row>
    <row r="17" spans="1:4" s="13" customFormat="1">
      <c r="A17" s="14" t="s">
        <v>85</v>
      </c>
      <c r="B17" s="15"/>
      <c r="C17" s="18">
        <v>10000</v>
      </c>
      <c r="D17" s="17">
        <v>44834</v>
      </c>
    </row>
    <row r="18" spans="1:4" s="13" customFormat="1">
      <c r="A18" s="14" t="s">
        <v>53</v>
      </c>
      <c r="B18" s="15"/>
      <c r="C18" s="18">
        <v>10000</v>
      </c>
      <c r="D18" s="17">
        <v>44834</v>
      </c>
    </row>
    <row r="19" spans="1:4" s="13" customFormat="1">
      <c r="A19" s="14" t="s">
        <v>86</v>
      </c>
      <c r="B19" s="15"/>
      <c r="C19" s="18">
        <v>10000</v>
      </c>
      <c r="D19" s="17">
        <v>44834</v>
      </c>
    </row>
    <row r="20" spans="1:4" s="13" customFormat="1">
      <c r="A20" s="14" t="s">
        <v>72</v>
      </c>
      <c r="B20" s="15"/>
      <c r="C20" s="18">
        <v>15000</v>
      </c>
      <c r="D20" s="17">
        <v>44834</v>
      </c>
    </row>
    <row r="21" spans="1:4" s="13" customFormat="1">
      <c r="A21" s="14" t="s">
        <v>73</v>
      </c>
      <c r="B21" s="15"/>
      <c r="C21" s="18">
        <v>15000</v>
      </c>
      <c r="D21" s="17">
        <v>44834</v>
      </c>
    </row>
    <row r="22" spans="1:4" s="13" customFormat="1">
      <c r="A22" s="14" t="s">
        <v>74</v>
      </c>
      <c r="B22" s="15"/>
      <c r="C22" s="18">
        <v>15000</v>
      </c>
      <c r="D22" s="17">
        <v>44834</v>
      </c>
    </row>
    <row r="23" spans="1:4" s="13" customFormat="1">
      <c r="A23" s="14" t="s">
        <v>75</v>
      </c>
      <c r="B23" s="15"/>
      <c r="C23" s="18">
        <f>2250+500+165+495+332+63+972+500+2250+165+165+166+63+971+500+2250+165+165+166+63+972+500+2250+165+165+166+63+971+500+2250+165+165+83+21+500+2250+165+165+166+63+972+500</f>
        <v>25583</v>
      </c>
      <c r="D23" s="17">
        <v>44834</v>
      </c>
    </row>
    <row r="24" spans="1:4" s="13" customFormat="1">
      <c r="A24" s="14" t="s">
        <v>41</v>
      </c>
      <c r="B24" s="15"/>
      <c r="C24" s="18">
        <f>2250+400+165+495+332+63+972+500</f>
        <v>5177</v>
      </c>
      <c r="D24" s="17">
        <v>44834</v>
      </c>
    </row>
    <row r="25" spans="1:4" s="13" customFormat="1">
      <c r="A25" s="14" t="s">
        <v>61</v>
      </c>
      <c r="B25" s="15"/>
      <c r="C25" s="18">
        <f>2250+500+165+495+332+63+972+500</f>
        <v>5277</v>
      </c>
      <c r="D25" s="17">
        <v>44834</v>
      </c>
    </row>
    <row r="26" spans="1:4" s="13" customFormat="1">
      <c r="A26" s="14" t="s">
        <v>76</v>
      </c>
      <c r="B26" s="21"/>
      <c r="C26" s="22">
        <f>2250+500+165+495+332+63+972+500</f>
        <v>5277</v>
      </c>
      <c r="D26" s="23">
        <v>44834</v>
      </c>
    </row>
    <row r="27" spans="1:4" s="13" customFormat="1">
      <c r="A27" s="24" t="s">
        <v>63</v>
      </c>
      <c r="B27" s="25">
        <f>SUM(B5:B14)</f>
        <v>95798.74</v>
      </c>
      <c r="C27" s="26">
        <f>SUM(C5:C26)</f>
        <v>134302</v>
      </c>
      <c r="D27" s="16"/>
    </row>
    <row r="30" spans="1:4">
      <c r="B30" s="9" t="s">
        <v>79</v>
      </c>
      <c r="C30" s="19">
        <f>B27+C27</f>
        <v>230100.74</v>
      </c>
    </row>
    <row r="31" spans="1:4">
      <c r="B31" s="9" t="s">
        <v>80</v>
      </c>
      <c r="C31" s="19">
        <f>C30*H7</f>
        <v>41303.082829999999</v>
      </c>
    </row>
    <row r="32" spans="1:4">
      <c r="B32" s="9" t="s">
        <v>81</v>
      </c>
      <c r="C32" s="19">
        <f>C31/12</f>
        <v>3441.9235691666668</v>
      </c>
    </row>
  </sheetData>
  <mergeCells count="1"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9C676DCE94C4D99D9518BAC9E2225" ma:contentTypeVersion="21" ma:contentTypeDescription="Create a new document." ma:contentTypeScope="" ma:versionID="7a4c1bb5605e3c7bfdca1bd2d2bf7637">
  <xsd:schema xmlns:xsd="http://www.w3.org/2001/XMLSchema" xmlns:xs="http://www.w3.org/2001/XMLSchema" xmlns:p="http://schemas.microsoft.com/office/2006/metadata/properties" xmlns:ns2="3ec89abc-ad3a-46b4-a837-d349357b666d" xmlns:ns3="219c5758-d311-4f49-8eb7-a0c37216249c" targetNamespace="http://schemas.microsoft.com/office/2006/metadata/properties" ma:root="true" ma:fieldsID="838010caa602c93fa8c87a089be087f5" ns2:_="" ns3:_="">
    <xsd:import namespace="3ec89abc-ad3a-46b4-a837-d349357b666d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Draw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ycv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89abc-ad3a-46b4-a837-d349357b6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Drawn" ma:index="16" nillable="true" ma:displayName="Drawn" ma:default="0" ma:description="Indicates file has been drafted in CAD." ma:format="Dropdown" ma:internalName="Drawn">
      <xsd:simpleType>
        <xsd:restriction base="dms:Boolea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ycvr" ma:index="21" nillable="true" ma:displayName="Associated Case" ma:format="Dropdown" ma:internalName="ycvr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62767db-9004-4066-9da7-4de23b754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79e4543-e545-4fed-93c0-f904398e43be}" ma:internalName="TaxCatchAll" ma:showField="CatchAllData" ma:web="219c5758-d311-4f49-8eb7-a0c37216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5758-d311-4f49-8eb7-a0c37216249c" xsi:nil="true"/>
    <lcf76f155ced4ddcb4097134ff3c332f xmlns="3ec89abc-ad3a-46b4-a837-d349357b666d">
      <Terms xmlns="http://schemas.microsoft.com/office/infopath/2007/PartnerControls"/>
    </lcf76f155ced4ddcb4097134ff3c332f>
    <Drawn xmlns="3ec89abc-ad3a-46b4-a837-d349357b666d">false</Drawn>
    <ycvr xmlns="3ec89abc-ad3a-46b4-a837-d349357b66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48AB0-C265-494F-B11F-791ABB9F2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c89abc-ad3a-46b4-a837-d349357b666d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052D5-1661-4282-BDEA-0DF306C36B0E}">
  <ds:schemaRefs>
    <ds:schemaRef ds:uri="219c5758-d311-4f49-8eb7-a0c37216249c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ec89abc-ad3a-46b4-a837-d349357b666d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B4EE205-2EE1-43A6-8115-32D6825286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Silas</dc:creator>
  <cp:keywords/>
  <dc:description/>
  <cp:lastModifiedBy>INGLE, KERRY</cp:lastModifiedBy>
  <cp:revision/>
  <dcterms:created xsi:type="dcterms:W3CDTF">2022-04-14T15:13:46Z</dcterms:created>
  <dcterms:modified xsi:type="dcterms:W3CDTF">2022-08-08T14:36:18Z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0x0101003E59C676DCE94C4D99D9518BAC9E2225</vt:lpwstr>
  </property>
  <property fmtid="{D5CDD505-2E9C-101B-9397-08002B2CF9AE}" pid="3" name="MediaServiceImageTags">
    <vt:lpwstr/>
  </property>
  <property fmtid="{D5CDD505-2E9C-101B-9397-08002B2CF9AE}" pid="4" name="_AdHocReviewCycleID">
    <vt:i4>2004755785</vt:i4>
  </property>
  <property fmtid="{D5CDD505-2E9C-101B-9397-08002B2CF9AE}" pid="5" name="_NewReviewCycle">
    <vt:lpwstr/>
  </property>
  <property fmtid="{D5CDD505-2E9C-101B-9397-08002B2CF9AE}" pid="6" name="_EmailSubject">
    <vt:lpwstr>BGW - Exhibit 24 - Cost of Installation</vt:lpwstr>
  </property>
  <property fmtid="{D5CDD505-2E9C-101B-9397-08002B2CF9AE}" pid="7" name="_AuthorEmail">
    <vt:lpwstr>kerry.ingle@dinsmore.com</vt:lpwstr>
  </property>
  <property fmtid="{D5CDD505-2E9C-101B-9397-08002B2CF9AE}" pid="8" name="_AuthorEmailDisplayName">
    <vt:lpwstr>INGLE, KERRY</vt:lpwstr>
  </property>
  <property fmtid="{D5CDD505-2E9C-101B-9397-08002B2CF9AE}" pid="9" name="_ReviewingToolsShownOnce">
    <vt:lpwstr/>
  </property>
</Properties>
</file>