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B:\PROJECTS\Sandy Hook Water\19003 - 2019 Water System Improvments\Notes\Summary Addendum\"/>
    </mc:Choice>
  </mc:AlternateContent>
  <xr:revisionPtr revIDLastSave="0" documentId="13_ncr:1_{2DBB82E7-8AF6-4C31-B879-C0F2B9831AF1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Assumptions" sheetId="6" r:id="rId1"/>
    <sheet name="2019-2021 Operations" sheetId="1" r:id="rId2"/>
    <sheet name="2021-2025 wo depreciation" sheetId="2" r:id="rId3"/>
    <sheet name="2021-2025 w depreciation" sheetId="5" r:id="rId4"/>
    <sheet name="Debt Service" sheetId="4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5" l="1"/>
  <c r="C8" i="5"/>
  <c r="F8" i="5"/>
  <c r="E8" i="5"/>
  <c r="D24" i="2"/>
  <c r="D25" i="2"/>
  <c r="D26" i="2"/>
  <c r="D23" i="2"/>
  <c r="C26" i="2"/>
  <c r="C24" i="2"/>
  <c r="C25" i="2"/>
  <c r="C23" i="2"/>
  <c r="B34" i="4"/>
  <c r="B33" i="4"/>
  <c r="B29" i="4"/>
  <c r="B30" i="4"/>
  <c r="B31" i="4"/>
  <c r="B32" i="4"/>
  <c r="B28" i="4"/>
  <c r="B24" i="4"/>
  <c r="B25" i="4"/>
  <c r="B26" i="4"/>
  <c r="B27" i="4"/>
  <c r="B23" i="4"/>
  <c r="B19" i="4"/>
  <c r="B20" i="4"/>
  <c r="B21" i="4"/>
  <c r="B22" i="4"/>
  <c r="B18" i="4"/>
  <c r="B14" i="4"/>
  <c r="B15" i="4"/>
  <c r="B16" i="4"/>
  <c r="B17" i="4"/>
  <c r="B13" i="4"/>
  <c r="B9" i="4"/>
  <c r="B10" i="4"/>
  <c r="B11" i="4"/>
  <c r="B12" i="4"/>
  <c r="B8" i="4"/>
  <c r="B7" i="4"/>
  <c r="B6" i="4"/>
  <c r="B5" i="4"/>
  <c r="B4" i="4"/>
  <c r="B3" i="4"/>
  <c r="B2" i="4" l="1"/>
  <c r="E2" i="4" s="1"/>
  <c r="B10" i="2" s="1"/>
  <c r="B11" i="5" s="1"/>
  <c r="F26" i="2"/>
  <c r="F25" i="2"/>
  <c r="F24" i="2"/>
  <c r="F23" i="2"/>
  <c r="E26" i="2"/>
  <c r="E25" i="2"/>
  <c r="E24" i="2"/>
  <c r="E23" i="2"/>
  <c r="B27" i="2"/>
  <c r="C5" i="2"/>
  <c r="C5" i="5" s="1"/>
  <c r="C6" i="5"/>
  <c r="D6" i="5" s="1"/>
  <c r="E6" i="5" s="1"/>
  <c r="F6" i="5" s="1"/>
  <c r="C6" i="2"/>
  <c r="F5" i="5"/>
  <c r="E5" i="5"/>
  <c r="D5" i="5"/>
  <c r="F5" i="2"/>
  <c r="E5" i="2"/>
  <c r="A1" i="5"/>
  <c r="A1" i="2"/>
  <c r="I46" i="4"/>
  <c r="L4" i="4" s="1"/>
  <c r="C7" i="1"/>
  <c r="C10" i="1" s="1"/>
  <c r="B21" i="5"/>
  <c r="J5" i="4" l="1"/>
  <c r="D5" i="4" s="1"/>
  <c r="E5" i="4" s="1"/>
  <c r="E10" i="2" s="1"/>
  <c r="E11" i="5" s="1"/>
  <c r="L5" i="4"/>
  <c r="J4" i="4"/>
  <c r="E27" i="2"/>
  <c r="D27" i="2"/>
  <c r="C27" i="2"/>
  <c r="D6" i="2"/>
  <c r="B46" i="4"/>
  <c r="B7" i="5"/>
  <c r="E3" i="4"/>
  <c r="C10" i="2" s="1"/>
  <c r="C11" i="5" s="1"/>
  <c r="E4" i="4"/>
  <c r="D10" i="2" s="1"/>
  <c r="B7" i="2"/>
  <c r="B12" i="2" s="1"/>
  <c r="L6" i="4" l="1"/>
  <c r="J6" i="4"/>
  <c r="D6" i="4" s="1"/>
  <c r="E6" i="4" s="1"/>
  <c r="F10" i="2" s="1"/>
  <c r="F11" i="5" s="1"/>
  <c r="D11" i="5"/>
  <c r="F27" i="2"/>
  <c r="E6" i="2"/>
  <c r="B9" i="5"/>
  <c r="B13" i="5" s="1"/>
  <c r="C7" i="5"/>
  <c r="B7" i="1"/>
  <c r="B10" i="1" s="1"/>
  <c r="B14" i="1" s="1"/>
  <c r="C14" i="1"/>
  <c r="D7" i="1"/>
  <c r="D10" i="1" s="1"/>
  <c r="D14" i="1" s="1"/>
  <c r="L7" i="4" l="1"/>
  <c r="J7" i="4"/>
  <c r="D7" i="4" s="1"/>
  <c r="E7" i="4" s="1"/>
  <c r="F6" i="2"/>
  <c r="C9" i="5"/>
  <c r="C13" i="5" s="1"/>
  <c r="C7" i="2"/>
  <c r="C12" i="2" s="1"/>
  <c r="J8" i="4" l="1"/>
  <c r="D8" i="4" s="1"/>
  <c r="E8" i="4" s="1"/>
  <c r="L8" i="4"/>
  <c r="D7" i="5"/>
  <c r="D7" i="2"/>
  <c r="D12" i="2" s="1"/>
  <c r="L9" i="4" l="1"/>
  <c r="J9" i="4"/>
  <c r="D9" i="4" s="1"/>
  <c r="E9" i="4" s="1"/>
  <c r="D9" i="5"/>
  <c r="D13" i="5" s="1"/>
  <c r="E7" i="5"/>
  <c r="F7" i="5"/>
  <c r="F7" i="2"/>
  <c r="F12" i="2" s="1"/>
  <c r="E7" i="2"/>
  <c r="E12" i="2" s="1"/>
  <c r="J10" i="4" l="1"/>
  <c r="D10" i="4" s="1"/>
  <c r="E10" i="4" s="1"/>
  <c r="L10" i="4"/>
  <c r="E9" i="5"/>
  <c r="E13" i="5" s="1"/>
  <c r="F9" i="5"/>
  <c r="F13" i="5" s="1"/>
  <c r="J11" i="4" l="1"/>
  <c r="D11" i="4" s="1"/>
  <c r="E11" i="4" s="1"/>
  <c r="L11" i="4"/>
  <c r="J12" i="4" l="1"/>
  <c r="D12" i="4" s="1"/>
  <c r="E12" i="4" s="1"/>
  <c r="L12" i="4"/>
  <c r="J13" i="4" l="1"/>
  <c r="D13" i="4" s="1"/>
  <c r="E13" i="4" s="1"/>
  <c r="L13" i="4"/>
  <c r="J14" i="4" l="1"/>
  <c r="D14" i="4" s="1"/>
  <c r="E14" i="4" s="1"/>
  <c r="L14" i="4"/>
  <c r="J15" i="4" l="1"/>
  <c r="D15" i="4" s="1"/>
  <c r="E15" i="4" s="1"/>
  <c r="L15" i="4"/>
  <c r="J16" i="4" l="1"/>
  <c r="D16" i="4" s="1"/>
  <c r="E16" i="4" s="1"/>
  <c r="L16" i="4"/>
  <c r="J17" i="4" l="1"/>
  <c r="D17" i="4" s="1"/>
  <c r="E17" i="4" s="1"/>
  <c r="L17" i="4"/>
  <c r="J18" i="4" l="1"/>
  <c r="D18" i="4" s="1"/>
  <c r="E18" i="4" s="1"/>
  <c r="L18" i="4"/>
  <c r="J19" i="4" l="1"/>
  <c r="D19" i="4" s="1"/>
  <c r="E19" i="4" s="1"/>
  <c r="L19" i="4"/>
  <c r="J20" i="4" l="1"/>
  <c r="D20" i="4" s="1"/>
  <c r="E20" i="4" s="1"/>
  <c r="L20" i="4"/>
  <c r="J21" i="4" l="1"/>
  <c r="D21" i="4" s="1"/>
  <c r="E21" i="4" s="1"/>
  <c r="L21" i="4"/>
  <c r="J22" i="4" l="1"/>
  <c r="D22" i="4" s="1"/>
  <c r="E22" i="4" s="1"/>
  <c r="L22" i="4"/>
  <c r="J23" i="4" l="1"/>
  <c r="D23" i="4" s="1"/>
  <c r="E23" i="4" s="1"/>
  <c r="L23" i="4"/>
  <c r="J24" i="4" l="1"/>
  <c r="D24" i="4" s="1"/>
  <c r="E24" i="4" s="1"/>
  <c r="L24" i="4"/>
  <c r="J25" i="4" l="1"/>
  <c r="D25" i="4" s="1"/>
  <c r="E25" i="4" s="1"/>
  <c r="L25" i="4"/>
  <c r="J26" i="4" l="1"/>
  <c r="D26" i="4" s="1"/>
  <c r="E26" i="4" s="1"/>
  <c r="L26" i="4"/>
  <c r="J27" i="4" l="1"/>
  <c r="D27" i="4" s="1"/>
  <c r="E27" i="4" s="1"/>
  <c r="L27" i="4"/>
  <c r="J28" i="4" l="1"/>
  <c r="D28" i="4" s="1"/>
  <c r="E28" i="4" s="1"/>
  <c r="L28" i="4"/>
  <c r="J29" i="4" l="1"/>
  <c r="D29" i="4" s="1"/>
  <c r="E29" i="4" s="1"/>
  <c r="L29" i="4"/>
  <c r="J30" i="4" l="1"/>
  <c r="D30" i="4" s="1"/>
  <c r="E30" i="4" s="1"/>
  <c r="L30" i="4"/>
  <c r="J31" i="4" l="1"/>
  <c r="D31" i="4" s="1"/>
  <c r="E31" i="4" s="1"/>
  <c r="L31" i="4"/>
  <c r="J32" i="4" l="1"/>
  <c r="D32" i="4" s="1"/>
  <c r="E32" i="4" s="1"/>
  <c r="L32" i="4"/>
  <c r="J33" i="4" l="1"/>
  <c r="D33" i="4" s="1"/>
  <c r="E33" i="4" s="1"/>
  <c r="L33" i="4"/>
  <c r="J34" i="4" l="1"/>
  <c r="D34" i="4" s="1"/>
  <c r="E34" i="4" s="1"/>
  <c r="L34" i="4"/>
  <c r="J35" i="4" l="1"/>
  <c r="D35" i="4" s="1"/>
  <c r="E35" i="4" s="1"/>
  <c r="L35" i="4"/>
  <c r="J36" i="4" l="1"/>
  <c r="D36" i="4" s="1"/>
  <c r="E36" i="4" s="1"/>
  <c r="L36" i="4"/>
  <c r="J37" i="4" l="1"/>
  <c r="D37" i="4" s="1"/>
  <c r="E37" i="4" s="1"/>
  <c r="L37" i="4"/>
  <c r="J38" i="4" l="1"/>
  <c r="D38" i="4" s="1"/>
  <c r="E38" i="4" s="1"/>
  <c r="L38" i="4"/>
  <c r="J39" i="4" l="1"/>
  <c r="D39" i="4" s="1"/>
  <c r="E39" i="4" s="1"/>
  <c r="L39" i="4"/>
  <c r="J40" i="4" l="1"/>
  <c r="D40" i="4" s="1"/>
  <c r="E40" i="4" s="1"/>
  <c r="L40" i="4"/>
  <c r="J41" i="4" l="1"/>
  <c r="D41" i="4" s="1"/>
  <c r="E41" i="4" s="1"/>
  <c r="L41" i="4"/>
  <c r="J42" i="4" l="1"/>
  <c r="D42" i="4" s="1"/>
  <c r="E42" i="4" s="1"/>
  <c r="L42" i="4"/>
  <c r="J43" i="4" l="1"/>
  <c r="D43" i="4" s="1"/>
  <c r="E43" i="4" s="1"/>
  <c r="L43" i="4"/>
</calcChain>
</file>

<file path=xl/sharedStrings.xml><?xml version="1.0" encoding="utf-8"?>
<sst xmlns="http://schemas.openxmlformats.org/spreadsheetml/2006/main" count="95" uniqueCount="41">
  <si>
    <t>Debt Service Coverage</t>
  </si>
  <si>
    <t>Operating Revenues</t>
  </si>
  <si>
    <t xml:space="preserve">Operating Expenses </t>
  </si>
  <si>
    <t>Operating Income (Loss)</t>
  </si>
  <si>
    <t>Add back: Actuarial Pension/OPEB Expense</t>
  </si>
  <si>
    <t>Add back: Depreciation Expense</t>
  </si>
  <si>
    <t>Average Annual Debt Service</t>
  </si>
  <si>
    <t>Debt Service Coverage Ratio</t>
  </si>
  <si>
    <t>Current Project (P&amp;I)</t>
  </si>
  <si>
    <t>Total</t>
  </si>
  <si>
    <t>Depreciation Expense</t>
  </si>
  <si>
    <t>project cost</t>
  </si>
  <si>
    <t>depreciable life per PSC guidelines</t>
  </si>
  <si>
    <t>annual depreciation</t>
  </si>
  <si>
    <t xml:space="preserve">Increase in depreciation due to project depreciation </t>
  </si>
  <si>
    <t xml:space="preserve"> </t>
  </si>
  <si>
    <t>All existing debt service P&amp;I</t>
  </si>
  <si>
    <t xml:space="preserve">Rural Development requires debt service coverage ratio of 120% </t>
  </si>
  <si>
    <t>Annual Debt Service</t>
  </si>
  <si>
    <t xml:space="preserve">Schedule of Principal </t>
  </si>
  <si>
    <t>Payments on New Debt</t>
  </si>
  <si>
    <t>2021 (Annualized)</t>
  </si>
  <si>
    <t>Assumptions</t>
  </si>
  <si>
    <t>Construction period interest</t>
  </si>
  <si>
    <t>District estimates a 1.50% growth in customers per year</t>
  </si>
  <si>
    <t>Employee raises of 3% of year is assumed</t>
  </si>
  <si>
    <t>Components of Operating Expense:</t>
  </si>
  <si>
    <t>Pension costs to increase 12.5% per year for CERS Non-Hazardous members</t>
  </si>
  <si>
    <t>Analysis has applied the 30% rate increase beginning with the October 2022 bill cycle</t>
  </si>
  <si>
    <t>Increases in other operating cost of 4% is assumed</t>
  </si>
  <si>
    <t>Assume that 6 months of interest on the new RD loan will be paid with the first principal payment on 1/1/2024.</t>
  </si>
  <si>
    <t>Depreciation on new project is expected to begin 7/1/2023.</t>
  </si>
  <si>
    <t>Sandy Hook Water District</t>
  </si>
  <si>
    <t>Operating Expenses (4.0% inflationary increase)</t>
  </si>
  <si>
    <t>Interest 1.275%</t>
  </si>
  <si>
    <t>Total project construction cost - $7980000</t>
  </si>
  <si>
    <t>Operation</t>
  </si>
  <si>
    <t>Maintenance</t>
  </si>
  <si>
    <t>Customer Acc.</t>
  </si>
  <si>
    <t xml:space="preserve">Admin. &amp; Gen. </t>
  </si>
  <si>
    <t>Estimate that construction period interest to be paid in 2022-2023 (approx. 10 months) is 1.275% x $3,280,000 (approximately 45% of the anticipated cost of the project) = $35,000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</si>
</sst>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 d\,\ yyyy;@"/>
    <numFmt numFmtId="166" formatCode="&quot;$&quot;#,##0.00"/>
    <numFmt numFmtId="167" formatCode="_(* #,##0.0_);_(* \(#,##0.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7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9" fontId="17" fillId="0" borderId="0" applyFont="0" applyFill="0" applyBorder="0" applyAlignment="0" applyProtection="0"/>
    <xf numFmtId="0" fontId="17" fillId="0" borderId="0"/>
    <xf numFmtId="165" fontId="17" fillId="0" borderId="0"/>
    <xf numFmtId="0" fontId="1" fillId="0" borderId="0"/>
    <xf numFmtId="44" fontId="1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21" fillId="0" borderId="0"/>
  </cellStyleXfs>
  <cellXfs count="25">
    <xf numFmtId="0" fontId="0" fillId="0" borderId="0" xfId="0"/>
    <xf numFmtId="0" fontId="0" fillId="0" borderId="0" xfId="0"/>
    <xf numFmtId="0" fontId="16" fillId="0" borderId="0" xfId="0" applyFont="1" applyAlignment="1">
      <alignment horizontal="center"/>
    </xf>
    <xf numFmtId="164" fontId="0" fillId="0" borderId="0" xfId="1" applyNumberFormat="1" applyFont="1"/>
    <xf numFmtId="164" fontId="20" fillId="0" borderId="0" xfId="1" applyNumberFormat="1" applyFont="1"/>
    <xf numFmtId="9" fontId="0" fillId="0" borderId="0" xfId="2" applyFont="1"/>
    <xf numFmtId="166" fontId="0" fillId="0" borderId="0" xfId="0" applyNumberFormat="1"/>
    <xf numFmtId="166" fontId="0" fillId="0" borderId="0" xfId="1" applyNumberFormat="1" applyFont="1"/>
    <xf numFmtId="166" fontId="20" fillId="0" borderId="0" xfId="1" applyNumberFormat="1" applyFont="1"/>
    <xf numFmtId="0" fontId="0" fillId="0" borderId="0" xfId="0"/>
    <xf numFmtId="0" fontId="16" fillId="0" borderId="0" xfId="0" applyFont="1" applyAlignment="1">
      <alignment horizontal="center"/>
    </xf>
    <xf numFmtId="43" fontId="0" fillId="0" borderId="0" xfId="0" applyNumberFormat="1"/>
    <xf numFmtId="164" fontId="0" fillId="0" borderId="0" xfId="1" applyNumberFormat="1" applyFont="1"/>
    <xf numFmtId="9" fontId="0" fillId="0" borderId="0" xfId="2" applyFont="1"/>
    <xf numFmtId="43" fontId="0" fillId="0" borderId="0" xfId="1" applyFont="1"/>
    <xf numFmtId="167" fontId="0" fillId="0" borderId="0" xfId="1" applyNumberFormat="1" applyFont="1"/>
    <xf numFmtId="0" fontId="0" fillId="33" borderId="0" xfId="0" applyFill="1"/>
    <xf numFmtId="166" fontId="0" fillId="33" borderId="0" xfId="0" applyNumberFormat="1" applyFill="1"/>
    <xf numFmtId="43" fontId="0" fillId="0" borderId="0" xfId="1" applyNumberFormat="1" applyFont="1"/>
    <xf numFmtId="166" fontId="22" fillId="0" borderId="0" xfId="1" applyNumberFormat="1" applyFont="1"/>
    <xf numFmtId="166" fontId="22" fillId="0" borderId="0" xfId="0" applyNumberFormat="1" applyFont="1"/>
    <xf numFmtId="166" fontId="1" fillId="0" borderId="0" xfId="1" applyNumberFormat="1" applyFont="1"/>
    <xf numFmtId="166" fontId="0" fillId="0" borderId="0" xfId="0" applyNumberFormat="1" applyFont="1"/>
    <xf numFmtId="164" fontId="0" fillId="0" borderId="0" xfId="1" applyNumberFormat="1" applyFont="1" applyFill="1"/>
    <xf numFmtId="166" fontId="0" fillId="0" borderId="10" xfId="0" applyNumberFormat="1" applyBorder="1"/>
  </cellXfs>
  <cellStyles count="74">
    <cellStyle name="20% - Accent1" xfId="18" builtinId="30" customBuiltin="1"/>
    <cellStyle name="20% - Accent1 2" xfId="57" xr:uid="{00000000-0005-0000-0000-000001000000}"/>
    <cellStyle name="20% - Accent2" xfId="21" builtinId="34" customBuiltin="1"/>
    <cellStyle name="20% - Accent2 2" xfId="59" xr:uid="{00000000-0005-0000-0000-000003000000}"/>
    <cellStyle name="20% - Accent3" xfId="24" builtinId="38" customBuiltin="1"/>
    <cellStyle name="20% - Accent3 2" xfId="61" xr:uid="{00000000-0005-0000-0000-000005000000}"/>
    <cellStyle name="20% - Accent4" xfId="27" builtinId="42" customBuiltin="1"/>
    <cellStyle name="20% - Accent4 2" xfId="63" xr:uid="{00000000-0005-0000-0000-000007000000}"/>
    <cellStyle name="20% - Accent5" xfId="30" builtinId="46" customBuiltin="1"/>
    <cellStyle name="20% - Accent5 2" xfId="65" xr:uid="{00000000-0005-0000-0000-000009000000}"/>
    <cellStyle name="20% - Accent6" xfId="33" builtinId="50" customBuiltin="1"/>
    <cellStyle name="20% - Accent6 2" xfId="67" xr:uid="{00000000-0005-0000-0000-00000B000000}"/>
    <cellStyle name="40% - Accent1" xfId="19" builtinId="31" customBuiltin="1"/>
    <cellStyle name="40% - Accent1 2" xfId="58" xr:uid="{00000000-0005-0000-0000-00000D000000}"/>
    <cellStyle name="40% - Accent2" xfId="22" builtinId="35" customBuiltin="1"/>
    <cellStyle name="40% - Accent2 2" xfId="60" xr:uid="{00000000-0005-0000-0000-00000F000000}"/>
    <cellStyle name="40% - Accent3" xfId="25" builtinId="39" customBuiltin="1"/>
    <cellStyle name="40% - Accent3 2" xfId="62" xr:uid="{00000000-0005-0000-0000-000011000000}"/>
    <cellStyle name="40% - Accent4" xfId="28" builtinId="43" customBuiltin="1"/>
    <cellStyle name="40% - Accent4 2" xfId="64" xr:uid="{00000000-0005-0000-0000-000013000000}"/>
    <cellStyle name="40% - Accent5" xfId="31" builtinId="47" customBuiltin="1"/>
    <cellStyle name="40% - Accent5 2" xfId="66" xr:uid="{00000000-0005-0000-0000-000015000000}"/>
    <cellStyle name="40% - Accent6" xfId="34" builtinId="51" customBuiltin="1"/>
    <cellStyle name="40% - Accent6 2" xfId="68" xr:uid="{00000000-0005-0000-0000-000017000000}"/>
    <cellStyle name="60% - Accent1 2" xfId="40" xr:uid="{00000000-0005-0000-0000-000018000000}"/>
    <cellStyle name="60% - Accent2 2" xfId="41" xr:uid="{00000000-0005-0000-0000-000019000000}"/>
    <cellStyle name="60% - Accent3 2" xfId="42" xr:uid="{00000000-0005-0000-0000-00001A000000}"/>
    <cellStyle name="60% - Accent4 2" xfId="43" xr:uid="{00000000-0005-0000-0000-00001B000000}"/>
    <cellStyle name="60% - Accent5 2" xfId="44" xr:uid="{00000000-0005-0000-0000-00001C000000}"/>
    <cellStyle name="60% - Accent6 2" xfId="45" xr:uid="{00000000-0005-0000-0000-00001D000000}"/>
    <cellStyle name="Accent1" xfId="17" builtinId="29" customBuiltin="1"/>
    <cellStyle name="Accent2" xfId="20" builtinId="33" customBuiltin="1"/>
    <cellStyle name="Accent3" xfId="23" builtinId="37" customBuiltin="1"/>
    <cellStyle name="Accent4" xfId="26" builtinId="41" customBuiltin="1"/>
    <cellStyle name="Accent5" xfId="29" builtinId="45" customBuiltin="1"/>
    <cellStyle name="Accent6" xfId="32" builtinId="49" customBuiltin="1"/>
    <cellStyle name="Bad" xfId="8" builtinId="27" customBuiltin="1"/>
    <cellStyle name="Calculation" xfId="11" builtinId="22" customBuiltin="1"/>
    <cellStyle name="Check Cell" xfId="13" builtinId="23" customBuiltin="1"/>
    <cellStyle name="Comma" xfId="1" builtinId="3"/>
    <cellStyle name="Comma 2" xfId="36" xr:uid="{00000000-0005-0000-0000-000028000000}"/>
    <cellStyle name="Comma 2 2" xfId="55" xr:uid="{00000000-0005-0000-0000-000029000000}"/>
    <cellStyle name="Currency 2" xfId="54" xr:uid="{00000000-0005-0000-0000-00002A000000}"/>
    <cellStyle name="Currency 3" xfId="52" xr:uid="{00000000-0005-0000-0000-00002B000000}"/>
    <cellStyle name="Currency 3 2" xfId="72" xr:uid="{00000000-0005-0000-0000-00002C000000}"/>
    <cellStyle name="Currency 4" xfId="37" xr:uid="{00000000-0005-0000-0000-00002D000000}"/>
    <cellStyle name="Explanatory Text" xfId="15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9" builtinId="20" customBuiltin="1"/>
    <cellStyle name="Linked Cell" xfId="12" builtinId="24" customBuiltin="1"/>
    <cellStyle name="Neutral 2" xfId="39" xr:uid="{00000000-0005-0000-0000-000036000000}"/>
    <cellStyle name="Normal" xfId="0" builtinId="0"/>
    <cellStyle name="Normal 2" xfId="46" xr:uid="{00000000-0005-0000-0000-000038000000}"/>
    <cellStyle name="Normal 2 2" xfId="56" xr:uid="{00000000-0005-0000-0000-000039000000}"/>
    <cellStyle name="Normal 2 3" xfId="69" xr:uid="{00000000-0005-0000-0000-00003A000000}"/>
    <cellStyle name="Normal 3" xfId="49" xr:uid="{00000000-0005-0000-0000-00003B000000}"/>
    <cellStyle name="Normal 3 3" xfId="53" xr:uid="{00000000-0005-0000-0000-00003C000000}"/>
    <cellStyle name="Normal 4" xfId="35" xr:uid="{00000000-0005-0000-0000-00003D000000}"/>
    <cellStyle name="Normal 5" xfId="50" xr:uid="{00000000-0005-0000-0000-00003E000000}"/>
    <cellStyle name="Normal 6" xfId="51" xr:uid="{00000000-0005-0000-0000-00003F000000}"/>
    <cellStyle name="Normal 6 2" xfId="71" xr:uid="{00000000-0005-0000-0000-000040000000}"/>
    <cellStyle name="Normal 7" xfId="73" xr:uid="{00000000-0005-0000-0000-000041000000}"/>
    <cellStyle name="Note 2" xfId="47" xr:uid="{00000000-0005-0000-0000-000042000000}"/>
    <cellStyle name="Note 2 2" xfId="70" xr:uid="{00000000-0005-0000-0000-000043000000}"/>
    <cellStyle name="Output" xfId="10" builtinId="21" customBuiltin="1"/>
    <cellStyle name="Percent" xfId="2" builtinId="5"/>
    <cellStyle name="Percent 2" xfId="48" xr:uid="{00000000-0005-0000-0000-000046000000}"/>
    <cellStyle name="Title 2" xfId="38" xr:uid="{00000000-0005-0000-0000-000047000000}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6D833-A428-4524-BA40-4C445B9DB1DC}">
  <dimension ref="A1:C16"/>
  <sheetViews>
    <sheetView tabSelected="1" workbookViewId="0">
      <selection activeCell="C3" sqref="C3"/>
    </sheetView>
  </sheetViews>
  <sheetFormatPr defaultRowHeight="15" x14ac:dyDescent="0.25"/>
  <cols>
    <col min="1" max="1" width="15" style="9" customWidth="1"/>
    <col min="2" max="2" width="2.28515625" customWidth="1"/>
    <col min="3" max="3" width="168.85546875" customWidth="1"/>
  </cols>
  <sheetData>
    <row r="1" spans="1:3" x14ac:dyDescent="0.25">
      <c r="A1" s="9" t="s">
        <v>22</v>
      </c>
    </row>
    <row r="2" spans="1:3" x14ac:dyDescent="0.25">
      <c r="A2" s="9">
        <v>1</v>
      </c>
      <c r="C2" t="s">
        <v>40</v>
      </c>
    </row>
    <row r="4" spans="1:3" x14ac:dyDescent="0.25">
      <c r="A4" s="9">
        <v>2</v>
      </c>
      <c r="C4" t="s">
        <v>28</v>
      </c>
    </row>
    <row r="6" spans="1:3" x14ac:dyDescent="0.25">
      <c r="A6" s="9">
        <v>3</v>
      </c>
      <c r="C6" t="s">
        <v>24</v>
      </c>
    </row>
    <row r="8" spans="1:3" x14ac:dyDescent="0.25">
      <c r="A8" s="9">
        <v>4</v>
      </c>
      <c r="C8" t="s">
        <v>25</v>
      </c>
    </row>
    <row r="10" spans="1:3" x14ac:dyDescent="0.25">
      <c r="A10" s="9">
        <v>5</v>
      </c>
      <c r="C10" t="s">
        <v>29</v>
      </c>
    </row>
    <row r="12" spans="1:3" x14ac:dyDescent="0.25">
      <c r="A12" s="9">
        <v>6</v>
      </c>
      <c r="C12" t="s">
        <v>27</v>
      </c>
    </row>
    <row r="14" spans="1:3" x14ac:dyDescent="0.25">
      <c r="A14" s="9">
        <v>7</v>
      </c>
      <c r="C14" t="s">
        <v>30</v>
      </c>
    </row>
    <row r="16" spans="1:3" x14ac:dyDescent="0.25">
      <c r="A16" s="9">
        <v>8</v>
      </c>
      <c r="C16" t="s">
        <v>31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zoomScale="125" zoomScaleNormal="125" workbookViewId="0">
      <selection activeCell="B13" sqref="B13"/>
    </sheetView>
  </sheetViews>
  <sheetFormatPr defaultRowHeight="15" x14ac:dyDescent="0.25"/>
  <cols>
    <col min="1" max="1" width="59.7109375" bestFit="1" customWidth="1"/>
    <col min="2" max="4" width="10.5703125" bestFit="1" customWidth="1"/>
  </cols>
  <sheetData>
    <row r="1" spans="1:4" x14ac:dyDescent="0.25">
      <c r="A1" s="1" t="s">
        <v>32</v>
      </c>
      <c r="B1" s="1"/>
      <c r="C1" s="1"/>
      <c r="D1" s="1"/>
    </row>
    <row r="2" spans="1:4" x14ac:dyDescent="0.25">
      <c r="A2" s="1" t="s">
        <v>0</v>
      </c>
      <c r="B2" s="1"/>
      <c r="C2" s="1"/>
      <c r="D2" s="1"/>
    </row>
    <row r="4" spans="1:4" x14ac:dyDescent="0.25">
      <c r="A4" s="1"/>
      <c r="B4" s="2">
        <v>2019</v>
      </c>
      <c r="C4" s="2">
        <v>2020</v>
      </c>
      <c r="D4" s="2">
        <v>2021</v>
      </c>
    </row>
    <row r="5" spans="1:4" x14ac:dyDescent="0.25">
      <c r="A5" s="1" t="s">
        <v>1</v>
      </c>
      <c r="B5" s="3">
        <v>767038</v>
      </c>
      <c r="C5" s="3">
        <v>735758</v>
      </c>
      <c r="D5" s="3">
        <v>780962</v>
      </c>
    </row>
    <row r="6" spans="1:4" ht="17.25" x14ac:dyDescent="0.4">
      <c r="A6" s="1" t="s">
        <v>2</v>
      </c>
      <c r="B6" s="4">
        <v>929621</v>
      </c>
      <c r="C6" s="4">
        <v>870807</v>
      </c>
      <c r="D6" s="4">
        <v>899616</v>
      </c>
    </row>
    <row r="7" spans="1:4" x14ac:dyDescent="0.25">
      <c r="A7" s="1" t="s">
        <v>3</v>
      </c>
      <c r="B7" s="3">
        <f t="shared" ref="B7:C7" si="0">B5-B6</f>
        <v>-162583</v>
      </c>
      <c r="C7" s="12">
        <f t="shared" si="0"/>
        <v>-135049</v>
      </c>
      <c r="D7" s="3">
        <f>D5-D6</f>
        <v>-118654</v>
      </c>
    </row>
    <row r="8" spans="1:4" x14ac:dyDescent="0.25">
      <c r="A8" s="1" t="s">
        <v>4</v>
      </c>
      <c r="B8" s="3">
        <v>17126</v>
      </c>
      <c r="C8" s="3">
        <v>31642</v>
      </c>
      <c r="D8" s="23">
        <v>25130</v>
      </c>
    </row>
    <row r="9" spans="1:4" ht="17.25" x14ac:dyDescent="0.4">
      <c r="A9" s="1" t="s">
        <v>5</v>
      </c>
      <c r="B9" s="4">
        <v>208216</v>
      </c>
      <c r="C9" s="4">
        <v>211395</v>
      </c>
      <c r="D9" s="4">
        <v>211395</v>
      </c>
    </row>
    <row r="10" spans="1:4" x14ac:dyDescent="0.25">
      <c r="A10" s="1"/>
      <c r="B10" s="3">
        <f t="shared" ref="B10:C10" si="1">B7+B8+B9</f>
        <v>62759</v>
      </c>
      <c r="C10" s="12">
        <f t="shared" si="1"/>
        <v>107988</v>
      </c>
      <c r="D10" s="3">
        <f>D7+D8+D9</f>
        <v>117871</v>
      </c>
    </row>
    <row r="11" spans="1:4" x14ac:dyDescent="0.25">
      <c r="A11" s="1"/>
      <c r="B11" s="3"/>
      <c r="C11" s="3"/>
      <c r="D11" s="3"/>
    </row>
    <row r="12" spans="1:4" x14ac:dyDescent="0.25">
      <c r="A12" s="1" t="s">
        <v>18</v>
      </c>
      <c r="B12" s="3">
        <v>99621</v>
      </c>
      <c r="C12" s="3">
        <v>99984</v>
      </c>
      <c r="D12" s="3">
        <v>99984</v>
      </c>
    </row>
    <row r="14" spans="1:4" x14ac:dyDescent="0.25">
      <c r="A14" s="1" t="s">
        <v>7</v>
      </c>
      <c r="B14" s="5">
        <f>B10/B12</f>
        <v>0.62997761516146189</v>
      </c>
      <c r="C14" s="5">
        <f t="shared" ref="C14:D14" si="2">C10/C12</f>
        <v>1.0800528084493519</v>
      </c>
      <c r="D14" s="5">
        <f t="shared" si="2"/>
        <v>1.1788986237798047</v>
      </c>
    </row>
    <row r="18" spans="1:1" x14ac:dyDescent="0.25">
      <c r="A18" s="1" t="s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>
      <selection activeCell="F26" sqref="F26"/>
    </sheetView>
  </sheetViews>
  <sheetFormatPr defaultColWidth="9.140625" defaultRowHeight="15" x14ac:dyDescent="0.25"/>
  <cols>
    <col min="1" max="1" width="52.7109375" style="1" bestFit="1" customWidth="1"/>
    <col min="2" max="2" width="22.7109375" style="1" bestFit="1" customWidth="1"/>
    <col min="3" max="3" width="14.85546875" style="1" customWidth="1"/>
    <col min="4" max="4" width="15.42578125" style="1" customWidth="1"/>
    <col min="5" max="5" width="14.42578125" style="1" customWidth="1"/>
    <col min="6" max="6" width="15.5703125" style="1" customWidth="1"/>
    <col min="7" max="16384" width="9.140625" style="1"/>
  </cols>
  <sheetData>
    <row r="1" spans="1:11" x14ac:dyDescent="0.25">
      <c r="A1" s="9" t="str">
        <f>'2019-2021 Operations'!A1</f>
        <v>Sandy Hook Water District</v>
      </c>
      <c r="B1" s="9"/>
      <c r="C1" s="9"/>
      <c r="D1" s="9"/>
      <c r="E1" s="9"/>
      <c r="F1" s="9"/>
    </row>
    <row r="2" spans="1:11" x14ac:dyDescent="0.25">
      <c r="A2" s="9" t="s">
        <v>0</v>
      </c>
      <c r="B2" s="9"/>
      <c r="C2" s="9"/>
      <c r="D2" s="9"/>
      <c r="E2" s="9"/>
      <c r="F2" s="9"/>
    </row>
    <row r="4" spans="1:11" x14ac:dyDescent="0.25">
      <c r="A4" s="9"/>
      <c r="B4" s="10" t="s">
        <v>21</v>
      </c>
      <c r="C4" s="10">
        <v>2022</v>
      </c>
      <c r="D4" s="10">
        <v>2023</v>
      </c>
      <c r="E4" s="10">
        <v>2024</v>
      </c>
      <c r="F4" s="10">
        <v>2025</v>
      </c>
    </row>
    <row r="5" spans="1:11" x14ac:dyDescent="0.25">
      <c r="A5" s="9" t="s">
        <v>1</v>
      </c>
      <c r="B5" s="7">
        <v>780962</v>
      </c>
      <c r="C5" s="7">
        <f>B5*1.015</f>
        <v>792676.42999999993</v>
      </c>
      <c r="D5" s="7">
        <v>1001676</v>
      </c>
      <c r="E5" s="7">
        <f>D5*1.015</f>
        <v>1016701.1399999999</v>
      </c>
      <c r="F5" s="7">
        <f>E5*1.015</f>
        <v>1031951.6570999998</v>
      </c>
    </row>
    <row r="6" spans="1:11" ht="17.25" x14ac:dyDescent="0.4">
      <c r="A6" s="9" t="s">
        <v>33</v>
      </c>
      <c r="B6" s="8">
        <v>688221</v>
      </c>
      <c r="C6" s="8">
        <f>(B6*0.04)+B6</f>
        <v>715749.84</v>
      </c>
      <c r="D6" s="8">
        <f t="shared" ref="D6:F6" si="0">(C6*0.04)+C6</f>
        <v>744379.83360000001</v>
      </c>
      <c r="E6" s="8">
        <f t="shared" si="0"/>
        <v>774155.02694400004</v>
      </c>
      <c r="F6" s="8">
        <f t="shared" si="0"/>
        <v>805121.22802176001</v>
      </c>
    </row>
    <row r="7" spans="1:11" x14ac:dyDescent="0.25">
      <c r="A7" s="9" t="s">
        <v>3</v>
      </c>
      <c r="B7" s="7">
        <f>B5-B6</f>
        <v>92741</v>
      </c>
      <c r="C7" s="7">
        <f t="shared" ref="C7:F7" si="1">C5-C6</f>
        <v>76926.589999999967</v>
      </c>
      <c r="D7" s="7">
        <f t="shared" si="1"/>
        <v>257296.16639999999</v>
      </c>
      <c r="E7" s="7">
        <f t="shared" si="1"/>
        <v>242546.11305599986</v>
      </c>
      <c r="F7" s="7">
        <f t="shared" si="1"/>
        <v>226830.42907823983</v>
      </c>
    </row>
    <row r="8" spans="1:11" x14ac:dyDescent="0.25">
      <c r="A8" s="9"/>
      <c r="B8" s="7"/>
      <c r="C8" s="7"/>
      <c r="D8" s="7"/>
      <c r="E8" s="7"/>
      <c r="F8" s="7"/>
    </row>
    <row r="9" spans="1:11" x14ac:dyDescent="0.25">
      <c r="A9" s="9" t="s">
        <v>23</v>
      </c>
      <c r="B9" s="12"/>
      <c r="C9" s="18"/>
      <c r="D9" s="12">
        <v>35000</v>
      </c>
      <c r="E9" s="12"/>
      <c r="F9" s="12"/>
    </row>
    <row r="10" spans="1:11" x14ac:dyDescent="0.25">
      <c r="A10" s="9" t="s">
        <v>18</v>
      </c>
      <c r="B10" s="7">
        <f>'Debt Service'!E2</f>
        <v>99984</v>
      </c>
      <c r="C10" s="7">
        <f>'Debt Service'!E3</f>
        <v>99057</v>
      </c>
      <c r="D10" s="7">
        <f>'Debt Service'!E4</f>
        <v>100637</v>
      </c>
      <c r="E10" s="7">
        <f>'Debt Service'!E5</f>
        <v>204947.77346250002</v>
      </c>
      <c r="F10" s="7">
        <f>'Debt Service'!E6</f>
        <v>205749.77115749998</v>
      </c>
    </row>
    <row r="11" spans="1:11" x14ac:dyDescent="0.25">
      <c r="A11" s="9"/>
      <c r="B11" s="9"/>
      <c r="C11" s="9"/>
      <c r="D11" s="9"/>
      <c r="E11" s="9"/>
      <c r="F11" s="9"/>
    </row>
    <row r="12" spans="1:11" x14ac:dyDescent="0.25">
      <c r="A12" s="9" t="s">
        <v>7</v>
      </c>
      <c r="B12" s="13">
        <f>B7/B10</f>
        <v>0.92755840934549527</v>
      </c>
      <c r="C12" s="13">
        <f>C7/(C9+C10)</f>
        <v>0.7765891355482194</v>
      </c>
      <c r="D12" s="13">
        <f>D7/(D9+D10)</f>
        <v>1.8969467505179265</v>
      </c>
      <c r="E12" s="13">
        <f t="shared" ref="D12:F12" si="2">E7/E10</f>
        <v>1.1834532718179509</v>
      </c>
      <c r="F12" s="13">
        <f t="shared" si="2"/>
        <v>1.102457746621758</v>
      </c>
    </row>
    <row r="13" spans="1:11" x14ac:dyDescent="0.25">
      <c r="A13" s="9"/>
      <c r="B13" s="14"/>
      <c r="C13" s="14"/>
      <c r="D13" s="14"/>
      <c r="E13" s="14"/>
      <c r="F13" s="9"/>
    </row>
    <row r="14" spans="1:11" x14ac:dyDescent="0.25">
      <c r="A14" s="9"/>
      <c r="B14" s="13"/>
      <c r="C14" s="13"/>
      <c r="D14" s="13"/>
      <c r="E14" s="13"/>
      <c r="F14" s="13"/>
    </row>
    <row r="15" spans="1:11" x14ac:dyDescent="0.25">
      <c r="A15" s="9"/>
      <c r="B15" s="9"/>
      <c r="C15" s="9"/>
      <c r="D15" s="9"/>
      <c r="E15" s="9"/>
      <c r="F15" s="9"/>
      <c r="G15" s="9"/>
      <c r="H15" s="11"/>
      <c r="I15" s="9"/>
      <c r="J15" s="9"/>
      <c r="K15" s="9"/>
    </row>
    <row r="16" spans="1:11" x14ac:dyDescent="0.25">
      <c r="A16" s="9"/>
      <c r="B16" s="9"/>
      <c r="C16" s="9"/>
      <c r="D16" s="9"/>
      <c r="E16" s="9"/>
      <c r="F16" s="9"/>
      <c r="G16" s="9"/>
      <c r="H16" s="11"/>
      <c r="I16" s="9"/>
      <c r="J16" s="9"/>
      <c r="K16" s="9"/>
    </row>
    <row r="21" spans="1:11" x14ac:dyDescent="0.25">
      <c r="A21" s="9" t="s">
        <v>26</v>
      </c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1" x14ac:dyDescent="0.25">
      <c r="A22" s="9" t="s">
        <v>15</v>
      </c>
      <c r="B22" s="12" t="s">
        <v>15</v>
      </c>
      <c r="C22" s="9" t="s">
        <v>15</v>
      </c>
      <c r="D22" s="9"/>
      <c r="E22" s="9"/>
      <c r="F22" s="9"/>
      <c r="G22" s="9"/>
      <c r="H22" s="9"/>
      <c r="I22" s="9"/>
      <c r="J22" s="9"/>
      <c r="K22" s="9"/>
    </row>
    <row r="23" spans="1:11" x14ac:dyDescent="0.25">
      <c r="A23" s="9" t="s">
        <v>36</v>
      </c>
      <c r="B23" s="7">
        <v>547216</v>
      </c>
      <c r="C23" s="6">
        <f>B23*1.04</f>
        <v>569104.64000000001</v>
      </c>
      <c r="D23" s="6">
        <f>C23*1.04</f>
        <v>591868.82559999998</v>
      </c>
      <c r="E23" s="6">
        <f>D23*1.04</f>
        <v>615543.57862399996</v>
      </c>
      <c r="F23" s="6">
        <f>E23*1.04</f>
        <v>640165.32176895998</v>
      </c>
      <c r="G23" s="9"/>
      <c r="H23" s="9"/>
      <c r="I23" s="9"/>
      <c r="J23" s="9"/>
      <c r="K23" s="9"/>
    </row>
    <row r="24" spans="1:11" s="9" customFormat="1" x14ac:dyDescent="0.25">
      <c r="A24" s="9" t="s">
        <v>37</v>
      </c>
      <c r="B24" s="7">
        <v>91046</v>
      </c>
      <c r="C24" s="6">
        <f t="shared" ref="C24:D25" si="3">B24*1.04</f>
        <v>94687.84</v>
      </c>
      <c r="D24" s="6">
        <f t="shared" si="3"/>
        <v>98475.353600000002</v>
      </c>
      <c r="E24" s="6">
        <f>D24*1.04</f>
        <v>102414.367744</v>
      </c>
      <c r="F24" s="6">
        <f>E24*1.04</f>
        <v>106510.94245376001</v>
      </c>
    </row>
    <row r="25" spans="1:11" x14ac:dyDescent="0.25">
      <c r="A25" s="9" t="s">
        <v>38</v>
      </c>
      <c r="B25" s="21">
        <v>20175</v>
      </c>
      <c r="C25" s="6">
        <f t="shared" si="3"/>
        <v>20982</v>
      </c>
      <c r="D25" s="6">
        <f t="shared" si="3"/>
        <v>21821.280000000002</v>
      </c>
      <c r="E25" s="22">
        <f>D25*1.04</f>
        <v>22694.131200000003</v>
      </c>
      <c r="F25" s="22">
        <f>E25*1.04</f>
        <v>23601.896448000003</v>
      </c>
    </row>
    <row r="26" spans="1:11" x14ac:dyDescent="0.25">
      <c r="A26" s="9" t="s">
        <v>39</v>
      </c>
      <c r="B26" s="19">
        <v>29784</v>
      </c>
      <c r="C26" s="24">
        <f>B26*1.04</f>
        <v>30975.360000000001</v>
      </c>
      <c r="D26" s="24">
        <f t="shared" ref="D26" si="4">C26*1.04</f>
        <v>32214.374400000001</v>
      </c>
      <c r="E26" s="20">
        <f>D26*1.04</f>
        <v>33502.949376000004</v>
      </c>
      <c r="F26" s="20">
        <f>E26*1.04</f>
        <v>34843.067351040008</v>
      </c>
    </row>
    <row r="27" spans="1:11" x14ac:dyDescent="0.25">
      <c r="A27" s="9" t="s">
        <v>15</v>
      </c>
      <c r="B27" s="7">
        <f>SUM(B23:B26)</f>
        <v>688221</v>
      </c>
      <c r="C27" s="7">
        <f t="shared" ref="C27:F27" si="5">SUM(C23:C26)</f>
        <v>715749.84</v>
      </c>
      <c r="D27" s="7">
        <f t="shared" si="5"/>
        <v>744379.83360000001</v>
      </c>
      <c r="E27" s="7">
        <f t="shared" si="5"/>
        <v>774155.02694399992</v>
      </c>
      <c r="F27" s="7">
        <f t="shared" si="5"/>
        <v>805121.22802175989</v>
      </c>
    </row>
    <row r="28" spans="1:11" x14ac:dyDescent="0.25">
      <c r="A28" s="9" t="s">
        <v>15</v>
      </c>
      <c r="B28" s="7" t="s">
        <v>15</v>
      </c>
      <c r="C28" s="6" t="s">
        <v>15</v>
      </c>
    </row>
    <row r="29" spans="1:11" x14ac:dyDescent="0.25">
      <c r="B29" s="7" t="s">
        <v>15</v>
      </c>
      <c r="C29" s="6" t="s">
        <v>15</v>
      </c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8"/>
  <sheetViews>
    <sheetView workbookViewId="0">
      <selection activeCell="D16" sqref="D16"/>
    </sheetView>
  </sheetViews>
  <sheetFormatPr defaultColWidth="9.140625" defaultRowHeight="15" x14ac:dyDescent="0.25"/>
  <cols>
    <col min="1" max="1" width="52.7109375" style="9" bestFit="1" customWidth="1"/>
    <col min="2" max="2" width="22.7109375" style="9" bestFit="1" customWidth="1"/>
    <col min="3" max="3" width="13.5703125" style="9" customWidth="1"/>
    <col min="4" max="4" width="14.7109375" style="9" customWidth="1"/>
    <col min="5" max="5" width="14.85546875" style="9" customWidth="1"/>
    <col min="6" max="6" width="17.5703125" style="9" customWidth="1"/>
    <col min="7" max="16384" width="9.140625" style="9"/>
  </cols>
  <sheetData>
    <row r="1" spans="1:8" x14ac:dyDescent="0.25">
      <c r="A1" s="9" t="str">
        <f>'2019-2021 Operations'!A1</f>
        <v>Sandy Hook Water District</v>
      </c>
    </row>
    <row r="2" spans="1:8" x14ac:dyDescent="0.25">
      <c r="A2" s="9" t="s">
        <v>0</v>
      </c>
    </row>
    <row r="4" spans="1:8" x14ac:dyDescent="0.25">
      <c r="B4" s="10" t="s">
        <v>21</v>
      </c>
      <c r="C4" s="10">
        <v>2022</v>
      </c>
      <c r="D4" s="10">
        <v>2023</v>
      </c>
      <c r="E4" s="10">
        <v>2024</v>
      </c>
      <c r="F4" s="10">
        <v>2025</v>
      </c>
    </row>
    <row r="5" spans="1:8" x14ac:dyDescent="0.25">
      <c r="A5" s="9" t="s">
        <v>1</v>
      </c>
      <c r="B5" s="7">
        <v>780962</v>
      </c>
      <c r="C5" s="7">
        <f>'2021-2025 wo depreciation'!C5</f>
        <v>792676.42999999993</v>
      </c>
      <c r="D5" s="7">
        <f>'2021-2025 wo depreciation'!D5</f>
        <v>1001676</v>
      </c>
      <c r="E5" s="7">
        <f>'2021-2025 wo depreciation'!E5</f>
        <v>1016701.1399999999</v>
      </c>
      <c r="F5" s="7">
        <f>'2021-2025 wo depreciation'!F5</f>
        <v>1031951.6570999998</v>
      </c>
    </row>
    <row r="6" spans="1:8" ht="17.25" x14ac:dyDescent="0.4">
      <c r="A6" s="9" t="s">
        <v>33</v>
      </c>
      <c r="B6" s="8">
        <v>688221</v>
      </c>
      <c r="C6" s="8">
        <f>(B6*0.04)+B6</f>
        <v>715749.84</v>
      </c>
      <c r="D6" s="8">
        <f t="shared" ref="D6:F6" si="0">(C6*0.04)+C6</f>
        <v>744379.83360000001</v>
      </c>
      <c r="E6" s="8">
        <f t="shared" si="0"/>
        <v>774155.02694400004</v>
      </c>
      <c r="F6" s="8">
        <f t="shared" si="0"/>
        <v>805121.22802176001</v>
      </c>
    </row>
    <row r="7" spans="1:8" x14ac:dyDescent="0.25">
      <c r="A7" s="9" t="s">
        <v>3</v>
      </c>
      <c r="B7" s="7">
        <f>B5-B6</f>
        <v>92741</v>
      </c>
      <c r="C7" s="7">
        <f t="shared" ref="C7:F7" si="1">C5-C6</f>
        <v>76926.589999999967</v>
      </c>
      <c r="D7" s="7">
        <f t="shared" si="1"/>
        <v>257296.16639999999</v>
      </c>
      <c r="E7" s="7">
        <f t="shared" si="1"/>
        <v>242546.11305599986</v>
      </c>
      <c r="F7" s="7">
        <f t="shared" si="1"/>
        <v>226830.42907823983</v>
      </c>
    </row>
    <row r="8" spans="1:8" ht="17.25" x14ac:dyDescent="0.4">
      <c r="A8" s="9" t="s">
        <v>10</v>
      </c>
      <c r="B8" s="8">
        <v>211395</v>
      </c>
      <c r="C8" s="8">
        <f>211395</f>
        <v>211395</v>
      </c>
      <c r="D8" s="8">
        <f>211395+63840</f>
        <v>275235</v>
      </c>
      <c r="E8" s="8">
        <f>211395+127680</f>
        <v>339075</v>
      </c>
      <c r="F8" s="8">
        <f>211395+127680</f>
        <v>339075</v>
      </c>
    </row>
    <row r="9" spans="1:8" x14ac:dyDescent="0.25">
      <c r="B9" s="7">
        <f>B7-B8</f>
        <v>-118654</v>
      </c>
      <c r="C9" s="7">
        <f t="shared" ref="C9:F9" si="2">C7-C8</f>
        <v>-134468.41000000003</v>
      </c>
      <c r="D9" s="7">
        <f t="shared" si="2"/>
        <v>-17938.833600000013</v>
      </c>
      <c r="E9" s="7">
        <f t="shared" si="2"/>
        <v>-96528.886944000144</v>
      </c>
      <c r="F9" s="7">
        <f t="shared" si="2"/>
        <v>-112244.57092176017</v>
      </c>
    </row>
    <row r="10" spans="1:8" x14ac:dyDescent="0.25">
      <c r="B10" s="12"/>
      <c r="C10" s="12"/>
      <c r="D10" s="12"/>
      <c r="E10" s="12"/>
      <c r="F10" s="12"/>
    </row>
    <row r="11" spans="1:8" x14ac:dyDescent="0.25">
      <c r="A11" s="9" t="s">
        <v>6</v>
      </c>
      <c r="B11" s="7">
        <f>'2021-2025 wo depreciation'!B10</f>
        <v>99984</v>
      </c>
      <c r="C11" s="7">
        <f>'2021-2025 wo depreciation'!C10</f>
        <v>99057</v>
      </c>
      <c r="D11" s="7">
        <f>'2021-2025 wo depreciation'!D10</f>
        <v>100637</v>
      </c>
      <c r="E11" s="7">
        <f>'2021-2025 wo depreciation'!E10</f>
        <v>204947.77346250002</v>
      </c>
      <c r="F11" s="7">
        <f>'2021-2025 wo depreciation'!F10</f>
        <v>205749.77115749998</v>
      </c>
    </row>
    <row r="13" spans="1:8" x14ac:dyDescent="0.25">
      <c r="A13" s="9" t="s">
        <v>7</v>
      </c>
      <c r="B13" s="13">
        <f>B9/B11</f>
        <v>-1.1867298767802847</v>
      </c>
      <c r="C13" s="13">
        <f t="shared" ref="C13:F13" si="3">C9/C11</f>
        <v>-1.3574851852973544</v>
      </c>
      <c r="D13" s="13">
        <f t="shared" si="3"/>
        <v>-0.17825286524836803</v>
      </c>
      <c r="E13" s="13">
        <f t="shared" si="3"/>
        <v>-0.47099261101103085</v>
      </c>
      <c r="F13" s="13">
        <f t="shared" si="3"/>
        <v>-0.54553922607203165</v>
      </c>
    </row>
    <row r="14" spans="1:8" x14ac:dyDescent="0.25">
      <c r="B14" s="14"/>
      <c r="C14" s="14"/>
      <c r="D14" s="14"/>
      <c r="E14" s="14"/>
    </row>
    <row r="15" spans="1:8" x14ac:dyDescent="0.25">
      <c r="A15" s="9" t="s">
        <v>14</v>
      </c>
      <c r="C15" s="13"/>
      <c r="D15" s="13"/>
      <c r="E15" s="13"/>
      <c r="F15" s="13"/>
    </row>
    <row r="16" spans="1:8" x14ac:dyDescent="0.25">
      <c r="A16" s="9" t="s">
        <v>35</v>
      </c>
      <c r="H16" s="11"/>
    </row>
    <row r="17" spans="1:8" x14ac:dyDescent="0.25">
      <c r="H17" s="11"/>
    </row>
    <row r="19" spans="1:8" x14ac:dyDescent="0.25">
      <c r="A19" s="9" t="s">
        <v>11</v>
      </c>
      <c r="B19" s="12">
        <v>7980000</v>
      </c>
    </row>
    <row r="20" spans="1:8" x14ac:dyDescent="0.25">
      <c r="A20" s="9" t="s">
        <v>12</v>
      </c>
      <c r="B20" s="15">
        <v>62.5</v>
      </c>
    </row>
    <row r="21" spans="1:8" x14ac:dyDescent="0.25">
      <c r="A21" s="9" t="s">
        <v>13</v>
      </c>
      <c r="B21" s="12">
        <f>+B19/B20</f>
        <v>127680</v>
      </c>
    </row>
    <row r="23" spans="1:8" x14ac:dyDescent="0.25">
      <c r="A23" s="9" t="s">
        <v>15</v>
      </c>
      <c r="B23" s="12" t="s">
        <v>15</v>
      </c>
      <c r="C23" s="9" t="s">
        <v>15</v>
      </c>
    </row>
    <row r="24" spans="1:8" x14ac:dyDescent="0.25">
      <c r="A24" s="9" t="s">
        <v>15</v>
      </c>
      <c r="B24" s="7" t="s">
        <v>15</v>
      </c>
      <c r="C24" s="6" t="s">
        <v>15</v>
      </c>
    </row>
    <row r="25" spans="1:8" x14ac:dyDescent="0.25">
      <c r="A25" s="9" t="s">
        <v>15</v>
      </c>
      <c r="B25" s="7" t="s">
        <v>15</v>
      </c>
      <c r="C25" s="6" t="s">
        <v>15</v>
      </c>
    </row>
    <row r="26" spans="1:8" x14ac:dyDescent="0.25">
      <c r="A26" s="9" t="s">
        <v>15</v>
      </c>
      <c r="B26" s="7" t="s">
        <v>15</v>
      </c>
      <c r="C26" s="6" t="s">
        <v>15</v>
      </c>
    </row>
    <row r="27" spans="1:8" x14ac:dyDescent="0.25">
      <c r="A27" s="9" t="s">
        <v>15</v>
      </c>
      <c r="B27" s="7" t="s">
        <v>15</v>
      </c>
      <c r="C27" s="6" t="s">
        <v>15</v>
      </c>
    </row>
    <row r="28" spans="1:8" x14ac:dyDescent="0.25">
      <c r="A28" s="9" t="s">
        <v>15</v>
      </c>
      <c r="B28" s="7" t="s">
        <v>15</v>
      </c>
      <c r="C28" s="6" t="s">
        <v>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6"/>
  <sheetViews>
    <sheetView workbookViewId="0">
      <selection activeCell="D35" sqref="D35"/>
    </sheetView>
  </sheetViews>
  <sheetFormatPr defaultRowHeight="15" x14ac:dyDescent="0.25"/>
  <cols>
    <col min="2" max="2" width="27.85546875" customWidth="1"/>
    <col min="3" max="3" width="5.85546875" customWidth="1"/>
    <col min="4" max="4" width="19.85546875" bestFit="1" customWidth="1"/>
    <col min="5" max="5" width="14.5703125" style="16" customWidth="1"/>
    <col min="6" max="6" width="3.140625" customWidth="1"/>
    <col min="7" max="7" width="3.5703125" customWidth="1"/>
    <col min="8" max="8" width="3.42578125" customWidth="1"/>
    <col min="9" max="9" width="24" style="11" customWidth="1"/>
    <col min="10" max="10" width="17.42578125" style="11" customWidth="1"/>
    <col min="12" max="12" width="16" customWidth="1"/>
  </cols>
  <sheetData>
    <row r="1" spans="1:12" s="9" customFormat="1" x14ac:dyDescent="0.25">
      <c r="B1" s="9" t="s">
        <v>16</v>
      </c>
      <c r="C1" s="9" t="s">
        <v>15</v>
      </c>
      <c r="D1" s="9" t="s">
        <v>8</v>
      </c>
      <c r="E1" s="16" t="s">
        <v>9</v>
      </c>
      <c r="I1" s="11" t="s">
        <v>19</v>
      </c>
      <c r="J1" s="11"/>
    </row>
    <row r="2" spans="1:12" x14ac:dyDescent="0.25">
      <c r="A2">
        <v>2021</v>
      </c>
      <c r="B2" s="6">
        <f>50000+49984</f>
        <v>99984</v>
      </c>
      <c r="C2" s="6" t="s">
        <v>15</v>
      </c>
      <c r="D2" s="6" t="s">
        <v>15</v>
      </c>
      <c r="E2" s="17">
        <f t="shared" ref="E2:E43" si="0">SUM(B2:D2)</f>
        <v>99984</v>
      </c>
      <c r="I2" s="11" t="s">
        <v>20</v>
      </c>
    </row>
    <row r="3" spans="1:12" x14ac:dyDescent="0.25">
      <c r="A3">
        <v>2022</v>
      </c>
      <c r="B3" s="6">
        <f>51500+47557</f>
        <v>99057</v>
      </c>
      <c r="C3" s="6" t="s">
        <v>15</v>
      </c>
      <c r="D3" s="6">
        <v>0</v>
      </c>
      <c r="E3" s="17">
        <f t="shared" si="0"/>
        <v>99057</v>
      </c>
      <c r="J3" s="11" t="s">
        <v>34</v>
      </c>
    </row>
    <row r="4" spans="1:12" x14ac:dyDescent="0.25">
      <c r="A4">
        <v>2023</v>
      </c>
      <c r="B4" s="6">
        <f>55500+45137</f>
        <v>100637</v>
      </c>
      <c r="C4" s="6" t="s">
        <v>15</v>
      </c>
      <c r="D4" s="6">
        <v>0</v>
      </c>
      <c r="E4" s="17">
        <f t="shared" si="0"/>
        <v>100637</v>
      </c>
      <c r="I4" s="11">
        <v>63370.25</v>
      </c>
      <c r="J4" s="11">
        <f>I46*0.01275</f>
        <v>42046.524150000005</v>
      </c>
      <c r="L4" s="11">
        <f>I46-I4</f>
        <v>3234396.3500000006</v>
      </c>
    </row>
    <row r="5" spans="1:12" x14ac:dyDescent="0.25">
      <c r="A5" s="9">
        <v>2024</v>
      </c>
      <c r="B5" s="6">
        <f>57000+42531</f>
        <v>99531</v>
      </c>
      <c r="C5" s="6" t="s">
        <v>15</v>
      </c>
      <c r="D5" s="6">
        <f>SUM(I5:J5)</f>
        <v>105416.77346250002</v>
      </c>
      <c r="E5" s="17">
        <f t="shared" si="0"/>
        <v>204947.77346250002</v>
      </c>
      <c r="I5" s="11">
        <v>64178.22</v>
      </c>
      <c r="J5" s="11">
        <f>L4*0.01275</f>
        <v>41238.553462500007</v>
      </c>
      <c r="L5" s="11">
        <f>L4-I5</f>
        <v>3170218.1300000004</v>
      </c>
    </row>
    <row r="6" spans="1:12" x14ac:dyDescent="0.25">
      <c r="A6" s="9">
        <v>2025</v>
      </c>
      <c r="B6" s="6">
        <f>60500+39833</f>
        <v>100333</v>
      </c>
      <c r="C6" s="6" t="s">
        <v>15</v>
      </c>
      <c r="D6" s="6">
        <f>SUM(I6:J6)</f>
        <v>105416.7711575</v>
      </c>
      <c r="E6" s="17">
        <f t="shared" si="0"/>
        <v>205749.77115749998</v>
      </c>
      <c r="I6" s="11">
        <v>64996.49</v>
      </c>
      <c r="J6" s="11">
        <f t="shared" ref="J6:J43" si="1">L5*0.01275</f>
        <v>40420.281157500001</v>
      </c>
      <c r="L6" s="11">
        <f>L5-I6</f>
        <v>3105221.64</v>
      </c>
    </row>
    <row r="7" spans="1:12" x14ac:dyDescent="0.25">
      <c r="A7" s="9">
        <v>2026</v>
      </c>
      <c r="B7" s="6">
        <f>63500+36968</f>
        <v>100468</v>
      </c>
      <c r="C7" s="6" t="s">
        <v>15</v>
      </c>
      <c r="D7" s="6">
        <f>SUM(I7:J7)</f>
        <v>105416.77591</v>
      </c>
      <c r="E7" s="17">
        <f t="shared" si="0"/>
        <v>205884.77591</v>
      </c>
      <c r="I7" s="11">
        <v>65825.2</v>
      </c>
      <c r="J7" s="11">
        <f t="shared" si="1"/>
        <v>39591.57591</v>
      </c>
      <c r="L7" s="11">
        <f>L6-I7</f>
        <v>3039396.44</v>
      </c>
    </row>
    <row r="8" spans="1:12" x14ac:dyDescent="0.25">
      <c r="A8" s="9">
        <v>2027</v>
      </c>
      <c r="B8" s="6">
        <f>57100+28045.8</f>
        <v>85145.8</v>
      </c>
      <c r="C8" s="6" t="s">
        <v>15</v>
      </c>
      <c r="D8" s="6">
        <f t="shared" ref="D8:D43" si="2">SUM(I8:J8)</f>
        <v>105416.77460999999</v>
      </c>
      <c r="E8" s="17">
        <f t="shared" si="0"/>
        <v>190562.57461000001</v>
      </c>
      <c r="I8" s="11">
        <v>66664.47</v>
      </c>
      <c r="J8" s="11">
        <f t="shared" si="1"/>
        <v>38752.304609999999</v>
      </c>
      <c r="L8" s="11">
        <f t="shared" ref="L8:L43" si="3">L7-I8</f>
        <v>2972731.9699999997</v>
      </c>
    </row>
    <row r="9" spans="1:12" x14ac:dyDescent="0.25">
      <c r="A9" s="9">
        <v>2028</v>
      </c>
      <c r="B9" s="6">
        <f t="shared" ref="B9:B12" si="4">57100+28045.8</f>
        <v>85145.8</v>
      </c>
      <c r="C9" s="6" t="s">
        <v>15</v>
      </c>
      <c r="D9" s="6">
        <f t="shared" si="2"/>
        <v>105416.7726175</v>
      </c>
      <c r="E9" s="17">
        <f t="shared" si="0"/>
        <v>190562.5726175</v>
      </c>
      <c r="I9" s="11">
        <v>67514.44</v>
      </c>
      <c r="J9" s="11">
        <f t="shared" si="1"/>
        <v>37902.332617499997</v>
      </c>
      <c r="L9" s="11">
        <f t="shared" si="3"/>
        <v>2905217.53</v>
      </c>
    </row>
    <row r="10" spans="1:12" x14ac:dyDescent="0.25">
      <c r="A10" s="9">
        <v>2029</v>
      </c>
      <c r="B10" s="6">
        <f t="shared" si="4"/>
        <v>85145.8</v>
      </c>
      <c r="C10" s="6" t="s">
        <v>15</v>
      </c>
      <c r="D10" s="6">
        <f t="shared" si="2"/>
        <v>105416.77350749999</v>
      </c>
      <c r="E10" s="17">
        <f t="shared" si="0"/>
        <v>190562.5735075</v>
      </c>
      <c r="I10" s="11">
        <v>68375.25</v>
      </c>
      <c r="J10" s="11">
        <f t="shared" si="1"/>
        <v>37041.523507499995</v>
      </c>
      <c r="L10" s="11">
        <f t="shared" si="3"/>
        <v>2836842.28</v>
      </c>
    </row>
    <row r="11" spans="1:12" x14ac:dyDescent="0.25">
      <c r="A11" s="9">
        <v>2030</v>
      </c>
      <c r="B11" s="6">
        <f t="shared" si="4"/>
        <v>85145.8</v>
      </c>
      <c r="C11" s="6" t="s">
        <v>15</v>
      </c>
      <c r="D11" s="6">
        <f t="shared" si="2"/>
        <v>105416.76906999999</v>
      </c>
      <c r="E11" s="17">
        <f t="shared" si="0"/>
        <v>190562.56907</v>
      </c>
      <c r="I11" s="11">
        <v>69247.03</v>
      </c>
      <c r="J11" s="11">
        <f t="shared" si="1"/>
        <v>36169.739069999996</v>
      </c>
      <c r="L11" s="11">
        <f t="shared" si="3"/>
        <v>2767595.25</v>
      </c>
    </row>
    <row r="12" spans="1:12" x14ac:dyDescent="0.25">
      <c r="A12" s="9">
        <v>2031</v>
      </c>
      <c r="B12" s="6">
        <f t="shared" si="4"/>
        <v>85145.8</v>
      </c>
      <c r="C12" s="6" t="s">
        <v>15</v>
      </c>
      <c r="D12" s="6">
        <f t="shared" si="2"/>
        <v>105416.76943749998</v>
      </c>
      <c r="E12" s="17">
        <f t="shared" si="0"/>
        <v>190562.56943749997</v>
      </c>
      <c r="I12" s="11">
        <v>70129.929999999993</v>
      </c>
      <c r="J12" s="11">
        <f t="shared" si="1"/>
        <v>35286.839437499999</v>
      </c>
      <c r="L12" s="11">
        <f t="shared" si="3"/>
        <v>2697465.32</v>
      </c>
    </row>
    <row r="13" spans="1:12" x14ac:dyDescent="0.25">
      <c r="A13" s="9">
        <v>2032</v>
      </c>
      <c r="B13" s="6">
        <f>40000+17693.8</f>
        <v>57693.8</v>
      </c>
      <c r="C13" s="6" t="s">
        <v>15</v>
      </c>
      <c r="D13" s="6">
        <f t="shared" si="2"/>
        <v>105416.77283</v>
      </c>
      <c r="E13" s="17">
        <f t="shared" si="0"/>
        <v>163110.57283000002</v>
      </c>
      <c r="I13" s="11">
        <v>71024.09</v>
      </c>
      <c r="J13" s="11">
        <f t="shared" si="1"/>
        <v>34392.682829999998</v>
      </c>
      <c r="L13" s="11">
        <f t="shared" si="3"/>
        <v>2626441.23</v>
      </c>
    </row>
    <row r="14" spans="1:12" x14ac:dyDescent="0.25">
      <c r="A14" s="9">
        <v>2033</v>
      </c>
      <c r="B14" s="6">
        <f t="shared" ref="B14:B17" si="5">40000+17693.8</f>
        <v>57693.8</v>
      </c>
      <c r="C14" s="6" t="s">
        <v>15</v>
      </c>
      <c r="D14" s="6">
        <f t="shared" si="2"/>
        <v>105416.77568249998</v>
      </c>
      <c r="E14" s="17">
        <f t="shared" si="0"/>
        <v>163110.57568249997</v>
      </c>
      <c r="I14" s="11">
        <v>71929.649999999994</v>
      </c>
      <c r="J14" s="11">
        <f t="shared" si="1"/>
        <v>33487.125682499995</v>
      </c>
      <c r="L14" s="11">
        <f t="shared" si="3"/>
        <v>2554511.58</v>
      </c>
    </row>
    <row r="15" spans="1:12" x14ac:dyDescent="0.25">
      <c r="A15" s="9">
        <v>2034</v>
      </c>
      <c r="B15" s="6">
        <f t="shared" si="5"/>
        <v>57693.8</v>
      </c>
      <c r="C15" s="6" t="s">
        <v>15</v>
      </c>
      <c r="D15" s="6">
        <f t="shared" si="2"/>
        <v>105416.77264499999</v>
      </c>
      <c r="E15" s="17">
        <f t="shared" si="0"/>
        <v>163110.57264500001</v>
      </c>
      <c r="I15" s="11">
        <v>72846.75</v>
      </c>
      <c r="J15" s="11">
        <f t="shared" si="1"/>
        <v>32570.022644999997</v>
      </c>
      <c r="L15" s="11">
        <f t="shared" si="3"/>
        <v>2481664.83</v>
      </c>
    </row>
    <row r="16" spans="1:12" x14ac:dyDescent="0.25">
      <c r="A16" s="9">
        <v>2035</v>
      </c>
      <c r="B16" s="6">
        <f t="shared" si="5"/>
        <v>57693.8</v>
      </c>
      <c r="C16" s="6" t="s">
        <v>15</v>
      </c>
      <c r="D16" s="6">
        <f t="shared" si="2"/>
        <v>105416.76658249999</v>
      </c>
      <c r="E16" s="17">
        <f t="shared" si="0"/>
        <v>163110.5665825</v>
      </c>
      <c r="I16" s="11">
        <v>73775.539999999994</v>
      </c>
      <c r="J16" s="11">
        <f t="shared" si="1"/>
        <v>31641.226582499999</v>
      </c>
      <c r="L16" s="11">
        <f t="shared" si="3"/>
        <v>2407889.29</v>
      </c>
    </row>
    <row r="17" spans="1:12" x14ac:dyDescent="0.25">
      <c r="A17" s="9">
        <v>2036</v>
      </c>
      <c r="B17" s="6">
        <f t="shared" si="5"/>
        <v>57693.8</v>
      </c>
      <c r="C17" s="6"/>
      <c r="D17" s="6">
        <f t="shared" si="2"/>
        <v>105416.76844749998</v>
      </c>
      <c r="E17" s="17">
        <f t="shared" si="0"/>
        <v>163110.5684475</v>
      </c>
      <c r="I17" s="11">
        <v>74716.179999999993</v>
      </c>
      <c r="J17" s="11">
        <f t="shared" si="1"/>
        <v>30700.588447499998</v>
      </c>
      <c r="L17" s="11">
        <f t="shared" si="3"/>
        <v>2333173.11</v>
      </c>
    </row>
    <row r="18" spans="1:12" x14ac:dyDescent="0.25">
      <c r="A18" s="9">
        <v>2037</v>
      </c>
      <c r="B18" s="6">
        <f>38400+9265.8</f>
        <v>47665.8</v>
      </c>
      <c r="C18" s="6"/>
      <c r="D18" s="6">
        <f t="shared" si="2"/>
        <v>105416.76715249999</v>
      </c>
      <c r="E18" s="17">
        <f t="shared" si="0"/>
        <v>153082.56715249998</v>
      </c>
      <c r="I18" s="11">
        <v>75668.81</v>
      </c>
      <c r="J18" s="11">
        <f t="shared" si="1"/>
        <v>29747.957152499996</v>
      </c>
      <c r="L18" s="11">
        <f t="shared" si="3"/>
        <v>2257504.2999999998</v>
      </c>
    </row>
    <row r="19" spans="1:12" x14ac:dyDescent="0.25">
      <c r="A19" s="9">
        <v>2038</v>
      </c>
      <c r="B19" s="6">
        <f t="shared" ref="B19:B22" si="6">38400+9265.8</f>
        <v>47665.8</v>
      </c>
      <c r="C19" s="6"/>
      <c r="D19" s="6">
        <f t="shared" si="2"/>
        <v>105416.769825</v>
      </c>
      <c r="E19" s="17">
        <f t="shared" si="0"/>
        <v>153082.56982500001</v>
      </c>
      <c r="I19" s="11">
        <v>76633.59</v>
      </c>
      <c r="J19" s="11">
        <f t="shared" si="1"/>
        <v>28783.179824999996</v>
      </c>
      <c r="L19" s="11">
        <f t="shared" si="3"/>
        <v>2180870.71</v>
      </c>
    </row>
    <row r="20" spans="1:12" x14ac:dyDescent="0.25">
      <c r="A20" s="9">
        <v>2039</v>
      </c>
      <c r="B20" s="6">
        <f t="shared" si="6"/>
        <v>47665.8</v>
      </c>
      <c r="C20" s="6"/>
      <c r="D20" s="6">
        <f t="shared" si="2"/>
        <v>105416.77155249999</v>
      </c>
      <c r="E20" s="17">
        <f t="shared" si="0"/>
        <v>153082.57155250001</v>
      </c>
      <c r="I20" s="11">
        <v>77610.67</v>
      </c>
      <c r="J20" s="11">
        <f t="shared" si="1"/>
        <v>27806.101552499997</v>
      </c>
      <c r="L20" s="11">
        <f t="shared" si="3"/>
        <v>2103260.04</v>
      </c>
    </row>
    <row r="21" spans="1:12" x14ac:dyDescent="0.25">
      <c r="A21" s="9">
        <v>2040</v>
      </c>
      <c r="B21" s="6">
        <f t="shared" si="6"/>
        <v>47665.8</v>
      </c>
      <c r="C21" s="6"/>
      <c r="D21" s="6">
        <f t="shared" si="2"/>
        <v>105416.77551000001</v>
      </c>
      <c r="E21" s="17">
        <f t="shared" si="0"/>
        <v>153082.57551</v>
      </c>
      <c r="I21" s="11">
        <v>78600.210000000006</v>
      </c>
      <c r="J21" s="11">
        <f t="shared" si="1"/>
        <v>26816.56551</v>
      </c>
      <c r="L21" s="11">
        <f t="shared" si="3"/>
        <v>2024659.83</v>
      </c>
    </row>
    <row r="22" spans="1:12" x14ac:dyDescent="0.25">
      <c r="A22" s="9">
        <v>2041</v>
      </c>
      <c r="B22" s="6">
        <f t="shared" si="6"/>
        <v>47665.8</v>
      </c>
      <c r="C22" s="6"/>
      <c r="D22" s="6">
        <f t="shared" si="2"/>
        <v>105416.77283249999</v>
      </c>
      <c r="E22" s="17">
        <f t="shared" si="0"/>
        <v>153082.57283249998</v>
      </c>
      <c r="I22" s="11">
        <v>79602.36</v>
      </c>
      <c r="J22" s="11">
        <f t="shared" si="1"/>
        <v>25814.412832499998</v>
      </c>
      <c r="L22" s="11">
        <f t="shared" si="3"/>
        <v>1945057.47</v>
      </c>
    </row>
    <row r="23" spans="1:12" x14ac:dyDescent="0.25">
      <c r="A23" s="9">
        <v>2042</v>
      </c>
      <c r="B23" s="6">
        <f>16500+4888.2</f>
        <v>21388.2</v>
      </c>
      <c r="C23" s="6"/>
      <c r="D23" s="6">
        <f t="shared" si="2"/>
        <v>105416.77274249999</v>
      </c>
      <c r="E23" s="17">
        <f t="shared" si="0"/>
        <v>126804.97274249999</v>
      </c>
      <c r="I23" s="11">
        <v>80617.289999999994</v>
      </c>
      <c r="J23" s="11">
        <f t="shared" si="1"/>
        <v>24799.482742499997</v>
      </c>
      <c r="L23" s="11">
        <f t="shared" si="3"/>
        <v>1864440.18</v>
      </c>
    </row>
    <row r="24" spans="1:12" x14ac:dyDescent="0.25">
      <c r="A24" s="9">
        <v>2043</v>
      </c>
      <c r="B24" s="6">
        <f t="shared" ref="B24:B27" si="7">16500+4888.2</f>
        <v>21388.2</v>
      </c>
      <c r="C24" s="6"/>
      <c r="D24" s="6">
        <f t="shared" si="2"/>
        <v>105416.772295</v>
      </c>
      <c r="E24" s="17">
        <f t="shared" si="0"/>
        <v>126804.972295</v>
      </c>
      <c r="I24" s="11">
        <v>81645.16</v>
      </c>
      <c r="J24" s="11">
        <f t="shared" si="1"/>
        <v>23771.612294999999</v>
      </c>
      <c r="L24" s="11">
        <f t="shared" si="3"/>
        <v>1782795.02</v>
      </c>
    </row>
    <row r="25" spans="1:12" x14ac:dyDescent="0.25">
      <c r="A25" s="9">
        <v>2044</v>
      </c>
      <c r="B25" s="6">
        <f t="shared" si="7"/>
        <v>21388.2</v>
      </c>
      <c r="C25" s="6"/>
      <c r="D25" s="6">
        <f t="shared" si="2"/>
        <v>105416.76650500001</v>
      </c>
      <c r="E25" s="17">
        <f t="shared" si="0"/>
        <v>126804.966505</v>
      </c>
      <c r="I25" s="11">
        <v>82686.13</v>
      </c>
      <c r="J25" s="11">
        <f t="shared" si="1"/>
        <v>22730.636504999999</v>
      </c>
      <c r="L25" s="11">
        <f t="shared" si="3"/>
        <v>1700108.8900000001</v>
      </c>
    </row>
    <row r="26" spans="1:12" x14ac:dyDescent="0.25">
      <c r="A26" s="9">
        <v>2045</v>
      </c>
      <c r="B26" s="6">
        <f t="shared" si="7"/>
        <v>21388.2</v>
      </c>
      <c r="C26" s="6"/>
      <c r="D26" s="6">
        <f t="shared" si="2"/>
        <v>105416.76834750001</v>
      </c>
      <c r="E26" s="17">
        <f t="shared" si="0"/>
        <v>126804.96834750001</v>
      </c>
      <c r="I26" s="11">
        <v>83740.38</v>
      </c>
      <c r="J26" s="11">
        <f t="shared" si="1"/>
        <v>21676.3883475</v>
      </c>
      <c r="L26" s="11">
        <f t="shared" si="3"/>
        <v>1616368.5100000002</v>
      </c>
    </row>
    <row r="27" spans="1:12" x14ac:dyDescent="0.25">
      <c r="A27" s="9">
        <v>2046</v>
      </c>
      <c r="B27" s="6">
        <f t="shared" si="7"/>
        <v>21388.2</v>
      </c>
      <c r="C27" s="6"/>
      <c r="D27" s="6">
        <f t="shared" si="2"/>
        <v>105416.76850250001</v>
      </c>
      <c r="E27" s="17">
        <f t="shared" si="0"/>
        <v>126804.96850250001</v>
      </c>
      <c r="I27" s="11">
        <v>84808.07</v>
      </c>
      <c r="J27" s="11">
        <f t="shared" si="1"/>
        <v>20608.698502500003</v>
      </c>
      <c r="L27" s="11">
        <f t="shared" si="3"/>
        <v>1531560.4400000002</v>
      </c>
    </row>
    <row r="28" spans="1:12" x14ac:dyDescent="0.25">
      <c r="A28" s="9">
        <v>2047</v>
      </c>
      <c r="B28" s="6">
        <f>19000+2447.6</f>
        <v>21447.599999999999</v>
      </c>
      <c r="C28" s="6"/>
      <c r="D28" s="6">
        <f t="shared" si="2"/>
        <v>105416.77561000001</v>
      </c>
      <c r="E28" s="17">
        <f t="shared" si="0"/>
        <v>126864.37561000002</v>
      </c>
      <c r="I28" s="11">
        <v>85889.38</v>
      </c>
      <c r="J28" s="11">
        <f t="shared" si="1"/>
        <v>19527.39561</v>
      </c>
      <c r="L28" s="11">
        <f t="shared" si="3"/>
        <v>1445671.06</v>
      </c>
    </row>
    <row r="29" spans="1:12" x14ac:dyDescent="0.25">
      <c r="A29" s="9">
        <v>2048</v>
      </c>
      <c r="B29" s="6">
        <f t="shared" ref="B29:B32" si="8">19000+2447.6</f>
        <v>21447.599999999999</v>
      </c>
      <c r="C29" s="6"/>
      <c r="D29" s="6">
        <f t="shared" si="2"/>
        <v>105416.776015</v>
      </c>
      <c r="E29" s="17">
        <f t="shared" si="0"/>
        <v>126864.37601499999</v>
      </c>
      <c r="I29" s="11">
        <v>86984.47</v>
      </c>
      <c r="J29" s="11">
        <f t="shared" si="1"/>
        <v>18432.306014999998</v>
      </c>
      <c r="L29" s="11">
        <f t="shared" si="3"/>
        <v>1358686.59</v>
      </c>
    </row>
    <row r="30" spans="1:12" x14ac:dyDescent="0.25">
      <c r="A30" s="9">
        <v>2049</v>
      </c>
      <c r="B30" s="6">
        <f t="shared" si="8"/>
        <v>21447.599999999999</v>
      </c>
      <c r="C30" s="6"/>
      <c r="D30" s="6">
        <f t="shared" si="2"/>
        <v>105416.7740225</v>
      </c>
      <c r="E30" s="17">
        <f t="shared" si="0"/>
        <v>126864.37402250001</v>
      </c>
      <c r="I30" s="11">
        <v>88093.52</v>
      </c>
      <c r="J30" s="11">
        <f t="shared" si="1"/>
        <v>17323.254022500001</v>
      </c>
      <c r="L30" s="11">
        <f t="shared" si="3"/>
        <v>1270593.07</v>
      </c>
    </row>
    <row r="31" spans="1:12" x14ac:dyDescent="0.25">
      <c r="A31" s="9">
        <v>2050</v>
      </c>
      <c r="B31" s="6">
        <f t="shared" si="8"/>
        <v>21447.599999999999</v>
      </c>
      <c r="C31" s="6"/>
      <c r="D31" s="6">
        <f t="shared" si="2"/>
        <v>105416.77164250001</v>
      </c>
      <c r="E31" s="17">
        <f t="shared" si="0"/>
        <v>126864.37164250002</v>
      </c>
      <c r="I31" s="11">
        <v>89216.71</v>
      </c>
      <c r="J31" s="11">
        <f t="shared" si="1"/>
        <v>16200.061642499999</v>
      </c>
      <c r="L31" s="11">
        <f t="shared" si="3"/>
        <v>1181376.3600000001</v>
      </c>
    </row>
    <row r="32" spans="1:12" x14ac:dyDescent="0.25">
      <c r="A32" s="9">
        <v>2051</v>
      </c>
      <c r="B32" s="6">
        <f t="shared" si="8"/>
        <v>21447.599999999999</v>
      </c>
      <c r="C32" s="6"/>
      <c r="D32" s="6">
        <f t="shared" si="2"/>
        <v>105416.76859000001</v>
      </c>
      <c r="E32" s="17">
        <f t="shared" si="0"/>
        <v>126864.36859</v>
      </c>
      <c r="I32" s="11">
        <v>90354.22</v>
      </c>
      <c r="J32" s="11">
        <f t="shared" si="1"/>
        <v>15062.54859</v>
      </c>
      <c r="L32" s="11">
        <f t="shared" si="3"/>
        <v>1091022.1400000001</v>
      </c>
    </row>
    <row r="33" spans="1:12" x14ac:dyDescent="0.25">
      <c r="A33" s="9">
        <v>2052</v>
      </c>
      <c r="B33" s="6">
        <f>19471+553.5</f>
        <v>20024.5</v>
      </c>
      <c r="C33" s="6"/>
      <c r="D33" s="6">
        <f t="shared" si="2"/>
        <v>105416.77228500001</v>
      </c>
      <c r="E33" s="17">
        <f t="shared" si="0"/>
        <v>125441.27228500001</v>
      </c>
      <c r="I33" s="11">
        <v>91506.240000000005</v>
      </c>
      <c r="J33" s="11">
        <f t="shared" si="1"/>
        <v>13910.532285000001</v>
      </c>
      <c r="L33" s="11">
        <f t="shared" si="3"/>
        <v>999515.90000000014</v>
      </c>
    </row>
    <row r="34" spans="1:12" x14ac:dyDescent="0.25">
      <c r="A34" s="9">
        <v>2053</v>
      </c>
      <c r="B34" s="6">
        <f>19471+553.5</f>
        <v>20024.5</v>
      </c>
      <c r="C34" s="6"/>
      <c r="D34" s="6">
        <f t="shared" si="2"/>
        <v>105416.767725</v>
      </c>
      <c r="E34" s="17">
        <f t="shared" si="0"/>
        <v>125441.267725</v>
      </c>
      <c r="I34" s="11">
        <v>92672.94</v>
      </c>
      <c r="J34" s="11">
        <f t="shared" si="1"/>
        <v>12743.827725000001</v>
      </c>
      <c r="L34" s="11">
        <f t="shared" si="3"/>
        <v>906842.9600000002</v>
      </c>
    </row>
    <row r="35" spans="1:12" x14ac:dyDescent="0.25">
      <c r="A35" s="9">
        <v>2054</v>
      </c>
      <c r="B35" s="6"/>
      <c r="C35" s="6"/>
      <c r="D35" s="6">
        <f t="shared" si="2"/>
        <v>105416.76774000001</v>
      </c>
      <c r="E35" s="17">
        <f t="shared" si="0"/>
        <v>105416.76774000001</v>
      </c>
      <c r="I35" s="11">
        <v>93854.52</v>
      </c>
      <c r="J35" s="11">
        <f t="shared" si="1"/>
        <v>11562.247740000003</v>
      </c>
      <c r="L35" s="11">
        <f t="shared" si="3"/>
        <v>812988.44000000018</v>
      </c>
    </row>
    <row r="36" spans="1:12" x14ac:dyDescent="0.25">
      <c r="A36" s="9">
        <v>2055</v>
      </c>
      <c r="B36" s="6"/>
      <c r="C36" s="6"/>
      <c r="D36" s="6">
        <f t="shared" si="2"/>
        <v>105416.77261</v>
      </c>
      <c r="E36" s="17">
        <f t="shared" si="0"/>
        <v>105416.77261</v>
      </c>
      <c r="I36" s="11">
        <v>95051.17</v>
      </c>
      <c r="J36" s="11">
        <f t="shared" si="1"/>
        <v>10365.602610000002</v>
      </c>
      <c r="L36" s="11">
        <f t="shared" si="3"/>
        <v>717937.27000000014</v>
      </c>
    </row>
    <row r="37" spans="1:12" x14ac:dyDescent="0.25">
      <c r="A37" s="9">
        <v>2056</v>
      </c>
      <c r="B37" s="6"/>
      <c r="C37" s="6"/>
      <c r="D37" s="6">
        <f t="shared" si="2"/>
        <v>105416.78019250001</v>
      </c>
      <c r="E37" s="17">
        <f t="shared" si="0"/>
        <v>105416.78019250001</v>
      </c>
      <c r="I37" s="11">
        <v>96263.08</v>
      </c>
      <c r="J37" s="11">
        <f t="shared" si="1"/>
        <v>9153.7001925000004</v>
      </c>
      <c r="L37" s="11">
        <f t="shared" si="3"/>
        <v>621674.19000000018</v>
      </c>
    </row>
    <row r="38" spans="1:12" x14ac:dyDescent="0.25">
      <c r="A38" s="9">
        <v>2057</v>
      </c>
      <c r="B38" s="6"/>
      <c r="C38" s="6"/>
      <c r="D38" s="6">
        <f t="shared" si="2"/>
        <v>105416.77592249999</v>
      </c>
      <c r="E38" s="17">
        <f t="shared" si="0"/>
        <v>105416.77592249999</v>
      </c>
      <c r="I38" s="11">
        <v>97490.43</v>
      </c>
      <c r="J38" s="11">
        <f t="shared" si="1"/>
        <v>7926.3459225000015</v>
      </c>
      <c r="L38" s="11">
        <f t="shared" si="3"/>
        <v>524183.76000000018</v>
      </c>
    </row>
    <row r="39" spans="1:12" x14ac:dyDescent="0.25">
      <c r="A39" s="9">
        <v>2058</v>
      </c>
      <c r="B39" s="6"/>
      <c r="C39" s="6"/>
      <c r="D39" s="6">
        <f t="shared" si="2"/>
        <v>106675.62294</v>
      </c>
      <c r="E39" s="17">
        <f t="shared" si="0"/>
        <v>106675.62294</v>
      </c>
      <c r="I39" s="11">
        <v>99992.28</v>
      </c>
      <c r="J39" s="11">
        <f t="shared" si="1"/>
        <v>6683.3429400000023</v>
      </c>
      <c r="L39" s="11">
        <f t="shared" si="3"/>
        <v>424191.48000000021</v>
      </c>
    </row>
    <row r="40" spans="1:12" x14ac:dyDescent="0.25">
      <c r="A40" s="9">
        <v>2059</v>
      </c>
      <c r="B40" s="6"/>
      <c r="C40" s="6"/>
      <c r="D40" s="6">
        <f t="shared" si="2"/>
        <v>106675.62136999999</v>
      </c>
      <c r="E40" s="17">
        <f t="shared" si="0"/>
        <v>106675.62136999999</v>
      </c>
      <c r="I40" s="11">
        <v>101267.18</v>
      </c>
      <c r="J40" s="11">
        <f t="shared" si="1"/>
        <v>5408.4413700000023</v>
      </c>
      <c r="L40" s="11">
        <f t="shared" si="3"/>
        <v>322924.30000000022</v>
      </c>
    </row>
    <row r="41" spans="1:12" x14ac:dyDescent="0.25">
      <c r="A41" s="9">
        <v>2060</v>
      </c>
      <c r="B41" s="6"/>
      <c r="C41" s="6"/>
      <c r="D41" s="6">
        <f t="shared" si="2"/>
        <v>106675.62482500001</v>
      </c>
      <c r="E41" s="17">
        <f t="shared" si="0"/>
        <v>106675.62482500001</v>
      </c>
      <c r="I41" s="11">
        <v>102558.34</v>
      </c>
      <c r="J41" s="11">
        <f t="shared" si="1"/>
        <v>4117.2848250000025</v>
      </c>
      <c r="L41" s="11">
        <f t="shared" si="3"/>
        <v>220365.96000000022</v>
      </c>
    </row>
    <row r="42" spans="1:12" x14ac:dyDescent="0.25">
      <c r="A42" s="9">
        <v>2061</v>
      </c>
      <c r="B42" s="6"/>
      <c r="C42" s="6"/>
      <c r="D42" s="6">
        <f t="shared" si="2"/>
        <v>106675.62599000002</v>
      </c>
      <c r="E42" s="17">
        <f t="shared" si="0"/>
        <v>106675.62599000002</v>
      </c>
      <c r="I42" s="11">
        <v>103865.96</v>
      </c>
      <c r="J42" s="11">
        <f t="shared" si="1"/>
        <v>2809.6659900000027</v>
      </c>
      <c r="L42" s="11">
        <f t="shared" si="3"/>
        <v>116500.00000000022</v>
      </c>
    </row>
    <row r="43" spans="1:12" x14ac:dyDescent="0.25">
      <c r="A43" s="9">
        <v>2062</v>
      </c>
      <c r="B43" s="6"/>
      <c r="C43" s="6"/>
      <c r="D43" s="6">
        <f t="shared" si="2"/>
        <v>117985.375</v>
      </c>
      <c r="E43" s="17">
        <f t="shared" si="0"/>
        <v>117985.375</v>
      </c>
      <c r="I43" s="11">
        <v>116500</v>
      </c>
      <c r="J43" s="11">
        <f t="shared" si="1"/>
        <v>1485.3750000000027</v>
      </c>
      <c r="L43" s="11">
        <f t="shared" si="3"/>
        <v>2.1827872842550278E-10</v>
      </c>
    </row>
    <row r="46" spans="1:12" x14ac:dyDescent="0.25">
      <c r="B46" s="6">
        <f>SUM(B2:B43)</f>
        <v>1806765.0000000009</v>
      </c>
      <c r="I46" s="11">
        <f>SUM(I2:I43)</f>
        <v>3297766.6000000006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Assumptions</vt:lpstr>
      <vt:lpstr>2019-2021 Operations</vt:lpstr>
      <vt:lpstr>2021-2025 wo depreciation</vt:lpstr>
      <vt:lpstr>2021-2025 w depreciation</vt:lpstr>
      <vt:lpstr>Debt Service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Upton</dc:creator>
  <cp:lastModifiedBy>PBR</cp:lastModifiedBy>
  <cp:lastPrinted>2021-04-05T15:35:14Z</cp:lastPrinted>
  <dcterms:created xsi:type="dcterms:W3CDTF">2021-01-29T19:25:09Z</dcterms:created>
  <dcterms:modified xsi:type="dcterms:W3CDTF">2022-08-23T17:46:11Z</dcterms:modified>
</cp:coreProperties>
</file>