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ROJECTS\Sandy Hook Water\19003 - 2019 Water System Improvments\Notes\Summary Addendum\"/>
    </mc:Choice>
  </mc:AlternateContent>
  <xr:revisionPtr revIDLastSave="0" documentId="13_ncr:1_{9FC1DF5A-8A5E-4780-8554-99E9A43D0AB1}" xr6:coauthVersionLast="47" xr6:coauthVersionMax="47" xr10:uidLastSave="{00000000-0000-0000-0000-000000000000}"/>
  <bookViews>
    <workbookView xWindow="28680" yWindow="-120" windowWidth="29040" windowHeight="16440" activeTab="4" xr2:uid="{696249DE-E5C5-49F6-8306-48E7AA5AA30F}"/>
  </bookViews>
  <sheets>
    <sheet name="SHWD Usage" sheetId="1" r:id="rId1"/>
    <sheet name="Existing Water Income" sheetId="2" r:id="rId2"/>
    <sheet name="Forecasted Water Income" sheetId="3" r:id="rId3"/>
    <sheet name="Current Debt Obligations" sheetId="4" r:id="rId4"/>
    <sheet name="Revenue Req." sheetId="6" r:id="rId5"/>
    <sheet name="O &amp; M Expenses" sheetId="5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6" l="1"/>
  <c r="E62" i="6"/>
  <c r="E61" i="6"/>
  <c r="E59" i="6"/>
  <c r="E58" i="6"/>
  <c r="E57" i="6"/>
  <c r="E55" i="6"/>
  <c r="E54" i="6"/>
  <c r="E53" i="6"/>
  <c r="E51" i="6"/>
  <c r="E50" i="6"/>
  <c r="E49" i="6"/>
  <c r="E48" i="6"/>
  <c r="E46" i="6"/>
  <c r="E45" i="6"/>
  <c r="E44" i="6"/>
  <c r="E43" i="6"/>
  <c r="I26" i="6"/>
  <c r="I30" i="6" s="1"/>
  <c r="I16" i="6"/>
  <c r="I19" i="6" s="1"/>
  <c r="I13" i="6"/>
  <c r="C10" i="5"/>
  <c r="B10" i="5"/>
  <c r="G9" i="5"/>
  <c r="H9" i="5" s="1"/>
  <c r="I9" i="5" s="1"/>
  <c r="D9" i="5"/>
  <c r="E9" i="5" s="1"/>
  <c r="H8" i="5"/>
  <c r="I8" i="5" s="1"/>
  <c r="G8" i="5"/>
  <c r="E8" i="5"/>
  <c r="D8" i="5"/>
  <c r="G7" i="5"/>
  <c r="H7" i="5" s="1"/>
  <c r="I7" i="5" s="1"/>
  <c r="D7" i="5"/>
  <c r="E7" i="5" s="1"/>
  <c r="H6" i="5"/>
  <c r="G6" i="5"/>
  <c r="G10" i="5" s="1"/>
  <c r="E6" i="5"/>
  <c r="D6" i="5"/>
  <c r="D10" i="5" s="1"/>
  <c r="I21" i="6" l="1"/>
  <c r="I23" i="6" s="1"/>
  <c r="I32" i="6" s="1"/>
  <c r="I35" i="6" s="1"/>
  <c r="I37" i="6" s="1"/>
  <c r="E10" i="5"/>
  <c r="H10" i="5"/>
  <c r="I6" i="5"/>
  <c r="I10" i="5" s="1"/>
  <c r="I39" i="6" l="1"/>
  <c r="U37" i="3" l="1"/>
  <c r="G36" i="3"/>
  <c r="V35" i="3"/>
  <c r="V40" i="3" s="1"/>
  <c r="U35" i="3"/>
  <c r="U40" i="3" s="1"/>
  <c r="T35" i="3"/>
  <c r="T40" i="3" s="1"/>
  <c r="S35" i="3"/>
  <c r="S40" i="3" s="1"/>
  <c r="R35" i="3"/>
  <c r="R40" i="3" s="1"/>
  <c r="Q35" i="3"/>
  <c r="Q40" i="3" s="1"/>
  <c r="O35" i="3"/>
  <c r="N35" i="3"/>
  <c r="N40" i="3" s="1"/>
  <c r="K35" i="3"/>
  <c r="K40" i="3" s="1"/>
  <c r="P35" i="3"/>
  <c r="P40" i="3" s="1"/>
  <c r="M35" i="3"/>
  <c r="M40" i="3" s="1"/>
  <c r="L35" i="3"/>
  <c r="V40" i="2"/>
  <c r="G36" i="2"/>
  <c r="V35" i="2"/>
  <c r="U35" i="2"/>
  <c r="U40" i="2" s="1"/>
  <c r="T35" i="2"/>
  <c r="T40" i="2" s="1"/>
  <c r="S35" i="2"/>
  <c r="S40" i="2" s="1"/>
  <c r="R35" i="2"/>
  <c r="R40" i="2" s="1"/>
  <c r="Q35" i="2"/>
  <c r="Q40" i="2" s="1"/>
  <c r="D28" i="2"/>
  <c r="N27" i="2"/>
  <c r="O27" i="2" s="1"/>
  <c r="D27" i="2"/>
  <c r="H27" i="2" s="1"/>
  <c r="P27" i="2" s="1"/>
  <c r="N26" i="2"/>
  <c r="O26" i="2" s="1"/>
  <c r="H26" i="2"/>
  <c r="P26" i="2" s="1"/>
  <c r="D26" i="2"/>
  <c r="D23" i="2"/>
  <c r="N22" i="2"/>
  <c r="O22" i="2" s="1"/>
  <c r="K22" i="2"/>
  <c r="L22" i="2" s="1"/>
  <c r="H22" i="2"/>
  <c r="P22" i="2" s="1"/>
  <c r="G22" i="2"/>
  <c r="D22" i="2"/>
  <c r="H21" i="2"/>
  <c r="G21" i="2"/>
  <c r="D21" i="2"/>
  <c r="H18" i="2"/>
  <c r="G18" i="2"/>
  <c r="N17" i="2"/>
  <c r="O17" i="2" s="1"/>
  <c r="K17" i="2"/>
  <c r="L17" i="2" s="1"/>
  <c r="G17" i="2"/>
  <c r="M17" i="2" s="1"/>
  <c r="D17" i="2"/>
  <c r="H17" i="2" s="1"/>
  <c r="P17" i="2" s="1"/>
  <c r="C17" i="2"/>
  <c r="N16" i="2"/>
  <c r="O16" i="2" s="1"/>
  <c r="K16" i="2"/>
  <c r="L16" i="2" s="1"/>
  <c r="H16" i="2"/>
  <c r="P16" i="2" s="1"/>
  <c r="G16" i="2"/>
  <c r="M16" i="2" s="1"/>
  <c r="D16" i="2"/>
  <c r="C16" i="2"/>
  <c r="N15" i="2"/>
  <c r="O15" i="2" s="1"/>
  <c r="M15" i="2"/>
  <c r="L15" i="2"/>
  <c r="K15" i="2"/>
  <c r="H15" i="2"/>
  <c r="P15" i="2" s="1"/>
  <c r="G15" i="2"/>
  <c r="D15" i="2"/>
  <c r="C15" i="2"/>
  <c r="N12" i="2"/>
  <c r="O12" i="2" s="1"/>
  <c r="K12" i="2"/>
  <c r="D12" i="2"/>
  <c r="H12" i="2" s="1"/>
  <c r="P12" i="2" s="1"/>
  <c r="C12" i="2"/>
  <c r="L12" i="2" s="1"/>
  <c r="N11" i="2"/>
  <c r="O11" i="2" s="1"/>
  <c r="K11" i="2"/>
  <c r="L11" i="2" s="1"/>
  <c r="G11" i="2"/>
  <c r="M11" i="2" s="1"/>
  <c r="D11" i="2"/>
  <c r="H11" i="2" s="1"/>
  <c r="P11" i="2" s="1"/>
  <c r="C11" i="2"/>
  <c r="N10" i="2"/>
  <c r="O10" i="2" s="1"/>
  <c r="K10" i="2"/>
  <c r="L10" i="2" s="1"/>
  <c r="H10" i="2"/>
  <c r="P10" i="2" s="1"/>
  <c r="G10" i="2"/>
  <c r="M10" i="2" s="1"/>
  <c r="D10" i="2"/>
  <c r="C10" i="2"/>
  <c r="N9" i="2"/>
  <c r="N35" i="2" s="1"/>
  <c r="N40" i="2" s="1"/>
  <c r="L9" i="2"/>
  <c r="K9" i="2"/>
  <c r="M9" i="2" s="1"/>
  <c r="H9" i="2"/>
  <c r="P9" i="2" s="1"/>
  <c r="G9" i="2"/>
  <c r="D9" i="2"/>
  <c r="C9" i="2"/>
  <c r="N39" i="1"/>
  <c r="L36" i="1"/>
  <c r="O34" i="1"/>
  <c r="O36" i="1" s="1"/>
  <c r="N34" i="1"/>
  <c r="L34" i="1"/>
  <c r="L39" i="1" s="1"/>
  <c r="K34" i="1"/>
  <c r="K39" i="1" s="1"/>
  <c r="H34" i="1"/>
  <c r="H39" i="1" s="1"/>
  <c r="E34" i="1"/>
  <c r="E39" i="1" s="1"/>
  <c r="I26" i="1"/>
  <c r="I25" i="1"/>
  <c r="I21" i="1"/>
  <c r="I16" i="1"/>
  <c r="F16" i="1"/>
  <c r="I15" i="1"/>
  <c r="F15" i="1"/>
  <c r="I14" i="1"/>
  <c r="F14" i="1"/>
  <c r="O11" i="1"/>
  <c r="I11" i="1"/>
  <c r="F11" i="1"/>
  <c r="O10" i="1"/>
  <c r="I10" i="1"/>
  <c r="F10" i="1"/>
  <c r="O9" i="1"/>
  <c r="I9" i="1"/>
  <c r="I34" i="1" s="1"/>
  <c r="F9" i="1"/>
  <c r="I8" i="1"/>
  <c r="F8" i="1"/>
  <c r="F34" i="1" s="1"/>
  <c r="O37" i="3" l="1"/>
  <c r="O40" i="3"/>
  <c r="L40" i="3"/>
  <c r="L37" i="3"/>
  <c r="R37" i="3"/>
  <c r="P35" i="2"/>
  <c r="P40" i="2" s="1"/>
  <c r="M35" i="2"/>
  <c r="M40" i="2" s="1"/>
  <c r="L35" i="2"/>
  <c r="R37" i="2"/>
  <c r="K35" i="2"/>
  <c r="K40" i="2" s="1"/>
  <c r="U37" i="2"/>
  <c r="O9" i="2"/>
  <c r="O35" i="2" s="1"/>
  <c r="G12" i="2"/>
  <c r="M12" i="2" s="1"/>
  <c r="F36" i="1"/>
  <c r="F39" i="1"/>
  <c r="I36" i="1"/>
  <c r="I39" i="1"/>
  <c r="O39" i="1"/>
  <c r="O37" i="2" l="1"/>
  <c r="O40" i="2"/>
  <c r="L40" i="2"/>
  <c r="L37" i="2"/>
</calcChain>
</file>

<file path=xl/sharedStrings.xml><?xml version="1.0" encoding="utf-8"?>
<sst xmlns="http://schemas.openxmlformats.org/spreadsheetml/2006/main" count="267" uniqueCount="118">
  <si>
    <t>ANALYSIS OF ACTUAL WATER USAGE - EXISTING SYSTEM</t>
  </si>
  <si>
    <t>Residential</t>
  </si>
  <si>
    <t>Commercial</t>
  </si>
  <si>
    <t>Wholesale</t>
  </si>
  <si>
    <t>Bulk</t>
  </si>
  <si>
    <t>MONTHLY WATER  USAGE</t>
  </si>
  <si>
    <t xml:space="preserve">No. of </t>
  </si>
  <si>
    <t>Usage</t>
  </si>
  <si>
    <t>Average</t>
  </si>
  <si>
    <t>Users</t>
  </si>
  <si>
    <t>1,000</t>
  </si>
  <si>
    <t>5/8 x 3/4 meter</t>
  </si>
  <si>
    <t xml:space="preserve">         0 -   2,000 Gal.</t>
  </si>
  <si>
    <t xml:space="preserve">2,000 - 10,000 Gal. </t>
  </si>
  <si>
    <t>10,000 - 50,000 Gal.</t>
  </si>
  <si>
    <t>50,000 &amp; Over Gal.</t>
  </si>
  <si>
    <t>1" meter</t>
  </si>
  <si>
    <t xml:space="preserve">         0 -   5,000 Gal.</t>
  </si>
  <si>
    <t xml:space="preserve">5,000 - 10,000 Gal. </t>
  </si>
  <si>
    <t>1 &amp; 1/2" meter</t>
  </si>
  <si>
    <t xml:space="preserve">         0 -   10,000 Gal.</t>
  </si>
  <si>
    <t xml:space="preserve">10,000 - 50,000 Gal. </t>
  </si>
  <si>
    <t>2" meter</t>
  </si>
  <si>
    <t xml:space="preserve">         0 -   20,000 Gal.</t>
  </si>
  <si>
    <t xml:space="preserve">20,000 - 50,000 Gal. </t>
  </si>
  <si>
    <t>3" meter</t>
  </si>
  <si>
    <t xml:space="preserve">         0 -   30,000 Gal.</t>
  </si>
  <si>
    <t xml:space="preserve">30,000 - 50,000 Gal. </t>
  </si>
  <si>
    <t>Subtotal</t>
  </si>
  <si>
    <t xml:space="preserve">Average Monthly Usage </t>
  </si>
  <si>
    <t>Totals</t>
  </si>
  <si>
    <t>Total Water Purchased and/or Produced</t>
  </si>
  <si>
    <t>Total Water Sold (Gallons)</t>
  </si>
  <si>
    <t>43,848,000 (water) + 8,562,,000 (sewer)</t>
  </si>
  <si>
    <t>WATER - INCOME -  EXISTING SYSTEM</t>
  </si>
  <si>
    <t>MONTHLY WATER USAGE</t>
  </si>
  <si>
    <t>AVERAGE</t>
  </si>
  <si>
    <t>RATE</t>
  </si>
  <si>
    <t>Income</t>
  </si>
  <si>
    <t xml:space="preserve">   2,000 - 10,000 Gal.</t>
  </si>
  <si>
    <t xml:space="preserve">   5,000 - 10,000 Gal.</t>
  </si>
  <si>
    <t xml:space="preserve">   10,000 - 50,000 Gal.</t>
  </si>
  <si>
    <t xml:space="preserve">   20,000 - 50,000 Gal.</t>
  </si>
  <si>
    <t xml:space="preserve">   30,000 - 50,000 Gal.</t>
  </si>
  <si>
    <t>Sub-Total</t>
  </si>
  <si>
    <t>Average Monthly Rate</t>
  </si>
  <si>
    <t>XXV. FORECAST OF WATER USAGE - INCOME -  EXISTING SYSTEM</t>
  </si>
  <si>
    <t xml:space="preserve">     2,000 - 10,000 Gal.</t>
  </si>
  <si>
    <t>DATE OF ISSUE</t>
  </si>
  <si>
    <t>BOND/NOTE HOLDER</t>
  </si>
  <si>
    <t>PRINCIPAL PMT</t>
  </si>
  <si>
    <t>INTEREST PMT</t>
  </si>
  <si>
    <t>PAYMENT YEAR</t>
  </si>
  <si>
    <t>1988 ISSUE</t>
  </si>
  <si>
    <t>1991 ISSUE</t>
  </si>
  <si>
    <t>1995 ISSUE</t>
  </si>
  <si>
    <t>2001 ISSUE</t>
  </si>
  <si>
    <t>2014 ISSUE</t>
  </si>
  <si>
    <t>USRD</t>
  </si>
  <si>
    <t>Expense Inflation</t>
  </si>
  <si>
    <t/>
  </si>
  <si>
    <t>Account</t>
  </si>
  <si>
    <t xml:space="preserve">Operation </t>
  </si>
  <si>
    <t>Maintenance</t>
  </si>
  <si>
    <t>Customer Acc.</t>
  </si>
  <si>
    <t>Admin. &amp; Gen.</t>
  </si>
  <si>
    <t>CURRENT DEBT OBLIGATIONS</t>
  </si>
  <si>
    <t>Revenue Requirements w/Future Debt Obligations</t>
  </si>
  <si>
    <t>Summary Addendum</t>
  </si>
  <si>
    <t>Funding Option 1 - 40 year Payback Schedule with Grant</t>
  </si>
  <si>
    <t>First Year of Operation - Year Ending in 2023</t>
  </si>
  <si>
    <t>Total Project Cost</t>
  </si>
  <si>
    <t>Proposed Funding</t>
  </si>
  <si>
    <t>ARC Grant Funds Committed</t>
  </si>
  <si>
    <t>RD Grant Funds Committed</t>
  </si>
  <si>
    <t>Total RD Grant Funds</t>
  </si>
  <si>
    <t>Proposed Bond Amount - Committed</t>
  </si>
  <si>
    <t>Total RD Proposed Bond Amount</t>
  </si>
  <si>
    <t>Proposed Debt Service</t>
  </si>
  <si>
    <t xml:space="preserve">RD Loan Annual Debt Service </t>
  </si>
  <si>
    <t>years @</t>
  </si>
  <si>
    <t>RD Loan Debt Service Coverage (10% of Annual Debt Service)</t>
  </si>
  <si>
    <t>Total New Project Debt Service</t>
  </si>
  <si>
    <t>Additional Expenses &amp; Anticipated Debt Service</t>
  </si>
  <si>
    <t xml:space="preserve">Estimated Annual O &amp; M Increase </t>
  </si>
  <si>
    <t>Short-Lived Assets</t>
  </si>
  <si>
    <t>Debt Reserve</t>
  </si>
  <si>
    <t>+</t>
  </si>
  <si>
    <t>Total Additional Expenses &amp; Anticipated Debt Service</t>
  </si>
  <si>
    <t>Total Annual Increase (Total New Project Debt Service + Total Additional Expenses)</t>
  </si>
  <si>
    <t>Balance Available for Coverage (For Planned &amp; Ongoing Immediate Projects)</t>
  </si>
  <si>
    <t>-</t>
  </si>
  <si>
    <t>Total Additional Annual Revenue Required</t>
  </si>
  <si>
    <t>Total 2021 Billed Water Revenue</t>
  </si>
  <si>
    <t>÷</t>
  </si>
  <si>
    <t>Percentage Rate Increase</t>
  </si>
  <si>
    <t>In Gallons</t>
  </si>
  <si>
    <t>2018 Existing Rates</t>
  </si>
  <si>
    <t>Proposed Rates</t>
  </si>
  <si>
    <t>5/8" Meter</t>
  </si>
  <si>
    <t>First 2,000</t>
  </si>
  <si>
    <t>Next 8,000</t>
  </si>
  <si>
    <t>Next 40,000</t>
  </si>
  <si>
    <t>Over 50,000</t>
  </si>
  <si>
    <t>1" Meter</t>
  </si>
  <si>
    <t>First 5,000</t>
  </si>
  <si>
    <t>Next 5,000</t>
  </si>
  <si>
    <t>1 &amp; 1/2" Meter</t>
  </si>
  <si>
    <t>First 10,000</t>
  </si>
  <si>
    <t>2" Meter</t>
  </si>
  <si>
    <t>First 20,000</t>
  </si>
  <si>
    <t>Next 30,000</t>
  </si>
  <si>
    <t>3" Meter</t>
  </si>
  <si>
    <t>First 30,000</t>
  </si>
  <si>
    <t>Next 20,000</t>
  </si>
  <si>
    <t>RD Grant Funds - Additional</t>
  </si>
  <si>
    <t>Proposed Bond Amount - Additional</t>
  </si>
  <si>
    <r>
      <t xml:space="preserve">                                                  SHWD Water System Improvements                                          </t>
    </r>
    <r>
      <rPr>
        <sz val="9"/>
        <color theme="1"/>
        <rFont val="Calibri"/>
        <family val="2"/>
        <scheme val="minor"/>
      </rPr>
      <t xml:space="preserve"> Revised 6/30/22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</si>
</sst>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  <numFmt numFmtId="166" formatCode="0.00_)"/>
    <numFmt numFmtId="167" formatCode="_(* #,##0_);_(* \(#,##0\);_(* &quot;-&quot;??_);_(@_)"/>
    <numFmt numFmtId="168" formatCode="0.0%"/>
    <numFmt numFmtId="169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etica"/>
      <family val="2"/>
    </font>
    <font>
      <sz val="10"/>
      <name val="Helvetica"/>
      <family val="2"/>
    </font>
    <font>
      <b/>
      <sz val="10"/>
      <name val="Helv"/>
    </font>
    <font>
      <u/>
      <sz val="10"/>
      <name val="Helvetica"/>
      <family val="2"/>
    </font>
    <font>
      <i/>
      <sz val="10"/>
      <name val="Helvetica"/>
      <family val="2"/>
    </font>
    <font>
      <i/>
      <sz val="10"/>
      <name val="Helv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u/>
      <sz val="10"/>
      <color indexed="50"/>
      <name val="Arial"/>
      <family val="2"/>
    </font>
    <font>
      <sz val="10"/>
      <color indexed="28"/>
      <name val="Arial"/>
      <family val="2"/>
    </font>
    <font>
      <i/>
      <sz val="10"/>
      <color indexed="2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</cellStyleXfs>
  <cellXfs count="143">
    <xf numFmtId="0" fontId="0" fillId="0" borderId="0" xfId="0"/>
    <xf numFmtId="164" fontId="3" fillId="0" borderId="0" xfId="3" applyFont="1" applyAlignment="1">
      <alignment horizontal="left"/>
    </xf>
    <xf numFmtId="164" fontId="4" fillId="0" borderId="0" xfId="3" applyFont="1"/>
    <xf numFmtId="164" fontId="5" fillId="0" borderId="0" xfId="3" applyFont="1" applyAlignment="1">
      <alignment horizontal="left"/>
    </xf>
    <xf numFmtId="164" fontId="2" fillId="0" borderId="0" xfId="3"/>
    <xf numFmtId="164" fontId="3" fillId="0" borderId="0" xfId="3" applyFont="1"/>
    <xf numFmtId="164" fontId="5" fillId="0" borderId="0" xfId="3" applyFont="1"/>
    <xf numFmtId="0" fontId="4" fillId="0" borderId="0" xfId="0" applyFont="1"/>
    <xf numFmtId="164" fontId="6" fillId="0" borderId="0" xfId="3" applyFont="1"/>
    <xf numFmtId="164" fontId="6" fillId="0" borderId="0" xfId="3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2" xfId="0" applyFont="1" applyBorder="1"/>
    <xf numFmtId="164" fontId="4" fillId="2" borderId="0" xfId="3" applyFont="1" applyFill="1" applyAlignment="1">
      <alignment horizontal="center"/>
    </xf>
    <xf numFmtId="164" fontId="4" fillId="0" borderId="3" xfId="3" applyFont="1" applyBorder="1" applyAlignment="1">
      <alignment horizontal="center"/>
    </xf>
    <xf numFmtId="164" fontId="4" fillId="2" borderId="3" xfId="3" applyFont="1" applyFill="1" applyBorder="1" applyAlignment="1">
      <alignment horizontal="center"/>
    </xf>
    <xf numFmtId="164" fontId="4" fillId="0" borderId="4" xfId="3" applyFont="1" applyBorder="1" applyAlignment="1">
      <alignment horizontal="center"/>
    </xf>
    <xf numFmtId="164" fontId="6" fillId="0" borderId="1" xfId="3" applyFont="1" applyBorder="1" applyAlignment="1">
      <alignment horizontal="center"/>
    </xf>
    <xf numFmtId="164" fontId="4" fillId="0" borderId="1" xfId="3" applyFont="1" applyBorder="1"/>
    <xf numFmtId="164" fontId="6" fillId="0" borderId="5" xfId="3" applyFont="1" applyBorder="1" applyAlignment="1">
      <alignment horizontal="left"/>
    </xf>
    <xf numFmtId="164" fontId="4" fillId="2" borderId="1" xfId="3" applyFont="1" applyFill="1" applyBorder="1" applyAlignment="1">
      <alignment horizontal="center"/>
    </xf>
    <xf numFmtId="164" fontId="4" fillId="0" borderId="6" xfId="3" applyFont="1" applyBorder="1" applyAlignment="1">
      <alignment horizontal="center"/>
    </xf>
    <xf numFmtId="164" fontId="6" fillId="0" borderId="7" xfId="3" applyFont="1" applyBorder="1" applyAlignment="1">
      <alignment horizontal="center"/>
    </xf>
    <xf numFmtId="164" fontId="4" fillId="2" borderId="6" xfId="3" applyFont="1" applyFill="1" applyBorder="1" applyAlignment="1">
      <alignment horizontal="center"/>
    </xf>
    <xf numFmtId="164" fontId="6" fillId="0" borderId="6" xfId="3" applyFont="1" applyBorder="1" applyAlignment="1">
      <alignment horizontal="center"/>
    </xf>
    <xf numFmtId="164" fontId="4" fillId="0" borderId="8" xfId="3" applyFont="1" applyBorder="1" applyAlignment="1">
      <alignment horizontal="center"/>
    </xf>
    <xf numFmtId="164" fontId="8" fillId="0" borderId="0" xfId="3" applyFont="1"/>
    <xf numFmtId="37" fontId="9" fillId="0" borderId="0" xfId="3" applyNumberFormat="1" applyFont="1"/>
    <xf numFmtId="164" fontId="9" fillId="0" borderId="0" xfId="3" applyFont="1"/>
    <xf numFmtId="37" fontId="4" fillId="0" borderId="0" xfId="3" applyNumberFormat="1" applyFont="1"/>
    <xf numFmtId="164" fontId="2" fillId="0" borderId="0" xfId="3" applyAlignment="1">
      <alignment horizontal="left"/>
    </xf>
    <xf numFmtId="164" fontId="9" fillId="0" borderId="0" xfId="3" applyFont="1" applyAlignment="1">
      <alignment horizontal="right"/>
    </xf>
    <xf numFmtId="164" fontId="4" fillId="0" borderId="0" xfId="3" applyFont="1" applyAlignment="1">
      <alignment horizontal="center"/>
    </xf>
    <xf numFmtId="164" fontId="2" fillId="0" borderId="0" xfId="3" applyAlignment="1">
      <alignment horizontal="right"/>
    </xf>
    <xf numFmtId="164" fontId="4" fillId="0" borderId="0" xfId="3" applyFont="1" applyAlignment="1">
      <alignment horizontal="left"/>
    </xf>
    <xf numFmtId="0" fontId="7" fillId="0" borderId="0" xfId="0" applyFont="1"/>
    <xf numFmtId="164" fontId="10" fillId="0" borderId="10" xfId="3" applyFont="1" applyBorder="1"/>
    <xf numFmtId="37" fontId="10" fillId="0" borderId="10" xfId="3" applyNumberFormat="1" applyFont="1" applyBorder="1"/>
    <xf numFmtId="37" fontId="10" fillId="0" borderId="11" xfId="3" applyNumberFormat="1" applyFont="1" applyBorder="1"/>
    <xf numFmtId="164" fontId="4" fillId="0" borderId="11" xfId="3" applyFont="1" applyBorder="1"/>
    <xf numFmtId="164" fontId="2" fillId="0" borderId="11" xfId="3" applyBorder="1" applyAlignment="1">
      <alignment horizontal="left"/>
    </xf>
    <xf numFmtId="164" fontId="2" fillId="0" borderId="11" xfId="3" applyBorder="1"/>
    <xf numFmtId="164" fontId="4" fillId="0" borderId="12" xfId="3" applyFont="1" applyBorder="1"/>
    <xf numFmtId="37" fontId="9" fillId="0" borderId="12" xfId="3" applyNumberFormat="1" applyFont="1" applyBorder="1"/>
    <xf numFmtId="164" fontId="9" fillId="0" borderId="12" xfId="3" applyFont="1" applyBorder="1"/>
    <xf numFmtId="164" fontId="9" fillId="0" borderId="12" xfId="3" applyFont="1" applyBorder="1" applyAlignment="1">
      <alignment horizontal="left"/>
    </xf>
    <xf numFmtId="0" fontId="9" fillId="0" borderId="0" xfId="0" applyFont="1"/>
    <xf numFmtId="0" fontId="9" fillId="0" borderId="1" xfId="0" applyFont="1" applyBorder="1"/>
    <xf numFmtId="164" fontId="10" fillId="0" borderId="1" xfId="3" applyFont="1" applyBorder="1"/>
    <xf numFmtId="164" fontId="9" fillId="0" borderId="1" xfId="3" applyFont="1" applyBorder="1"/>
    <xf numFmtId="164" fontId="3" fillId="0" borderId="12" xfId="3" applyFont="1" applyBorder="1"/>
    <xf numFmtId="164" fontId="11" fillId="0" borderId="12" xfId="3" applyFont="1" applyBorder="1"/>
    <xf numFmtId="37" fontId="2" fillId="0" borderId="0" xfId="3" applyNumberFormat="1"/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7" fontId="9" fillId="0" borderId="11" xfId="3" applyNumberFormat="1" applyFont="1" applyBorder="1" applyAlignment="1">
      <alignment horizontal="center"/>
    </xf>
    <xf numFmtId="37" fontId="12" fillId="0" borderId="0" xfId="3" applyNumberFormat="1" applyFont="1" applyAlignment="1">
      <alignment horizontal="left"/>
    </xf>
    <xf numFmtId="164" fontId="11" fillId="0" borderId="0" xfId="3" applyFont="1" applyAlignment="1">
      <alignment horizontal="left"/>
    </xf>
    <xf numFmtId="164" fontId="13" fillId="0" borderId="0" xfId="3" applyFont="1"/>
    <xf numFmtId="164" fontId="14" fillId="0" borderId="0" xfId="3" applyFont="1"/>
    <xf numFmtId="164" fontId="14" fillId="0" borderId="0" xfId="3" applyFont="1" applyAlignment="1">
      <alignment horizontal="left"/>
    </xf>
    <xf numFmtId="0" fontId="15" fillId="0" borderId="0" xfId="0" applyFont="1" applyProtection="1">
      <protection hidden="1"/>
    </xf>
    <xf numFmtId="164" fontId="14" fillId="0" borderId="13" xfId="3" applyFont="1" applyBorder="1"/>
    <xf numFmtId="164" fontId="9" fillId="0" borderId="13" xfId="3" applyFont="1" applyBorder="1" applyAlignment="1">
      <alignment horizontal="left"/>
    </xf>
    <xf numFmtId="164" fontId="9" fillId="0" borderId="13" xfId="3" applyFont="1" applyBorder="1"/>
    <xf numFmtId="164" fontId="9" fillId="0" borderId="13" xfId="3" applyFont="1" applyBorder="1" applyAlignment="1">
      <alignment horizontal="center"/>
    </xf>
    <xf numFmtId="164" fontId="9" fillId="2" borderId="0" xfId="3" applyFont="1" applyFill="1" applyAlignment="1">
      <alignment horizontal="center"/>
    </xf>
    <xf numFmtId="164" fontId="9" fillId="0" borderId="3" xfId="3" applyFont="1" applyBorder="1" applyAlignment="1">
      <alignment horizontal="center"/>
    </xf>
    <xf numFmtId="164" fontId="9" fillId="2" borderId="3" xfId="3" applyFont="1" applyFill="1" applyBorder="1" applyAlignment="1">
      <alignment horizontal="center"/>
    </xf>
    <xf numFmtId="164" fontId="9" fillId="0" borderId="14" xfId="3" applyFont="1" applyBorder="1" applyAlignment="1">
      <alignment horizontal="center"/>
    </xf>
    <xf numFmtId="164" fontId="14" fillId="0" borderId="1" xfId="3" applyFont="1" applyBorder="1" applyAlignment="1">
      <alignment horizontal="left"/>
    </xf>
    <xf numFmtId="164" fontId="14" fillId="0" borderId="1" xfId="3" applyFont="1" applyBorder="1" applyAlignment="1">
      <alignment horizontal="center"/>
    </xf>
    <xf numFmtId="164" fontId="17" fillId="0" borderId="1" xfId="3" applyFont="1" applyBorder="1" applyAlignment="1">
      <alignment horizontal="center"/>
    </xf>
    <xf numFmtId="164" fontId="9" fillId="2" borderId="5" xfId="3" applyFont="1" applyFill="1" applyBorder="1" applyAlignment="1">
      <alignment horizontal="center"/>
    </xf>
    <xf numFmtId="164" fontId="9" fillId="0" borderId="5" xfId="3" applyFont="1" applyBorder="1" applyAlignment="1">
      <alignment horizontal="center"/>
    </xf>
    <xf numFmtId="164" fontId="9" fillId="0" borderId="5" xfId="3" applyFont="1" applyBorder="1"/>
    <xf numFmtId="164" fontId="9" fillId="0" borderId="15" xfId="3" applyFont="1" applyBorder="1"/>
    <xf numFmtId="164" fontId="10" fillId="0" borderId="0" xfId="3" applyFont="1"/>
    <xf numFmtId="165" fontId="16" fillId="0" borderId="0" xfId="3" applyNumberFormat="1" applyFont="1"/>
    <xf numFmtId="164" fontId="9" fillId="0" borderId="0" xfId="3" applyFont="1" applyAlignment="1">
      <alignment horizontal="center"/>
    </xf>
    <xf numFmtId="164" fontId="9" fillId="0" borderId="0" xfId="3" applyFont="1" applyAlignment="1">
      <alignment horizontal="left"/>
    </xf>
    <xf numFmtId="44" fontId="16" fillId="0" borderId="0" xfId="2" applyFont="1"/>
    <xf numFmtId="37" fontId="18" fillId="0" borderId="0" xfId="3" applyNumberFormat="1" applyFont="1"/>
    <xf numFmtId="164" fontId="10" fillId="0" borderId="0" xfId="3" applyFont="1" applyAlignment="1">
      <alignment horizontal="right"/>
    </xf>
    <xf numFmtId="44" fontId="16" fillId="0" borderId="1" xfId="2" applyFont="1" applyBorder="1"/>
    <xf numFmtId="164" fontId="10" fillId="0" borderId="10" xfId="3" applyFont="1" applyBorder="1" applyAlignment="1">
      <alignment horizontal="left"/>
    </xf>
    <xf numFmtId="164" fontId="10" fillId="0" borderId="11" xfId="3" applyFont="1" applyBorder="1" applyAlignment="1">
      <alignment horizontal="left"/>
    </xf>
    <xf numFmtId="166" fontId="16" fillId="0" borderId="11" xfId="3" applyNumberFormat="1" applyFont="1" applyBorder="1"/>
    <xf numFmtId="167" fontId="10" fillId="0" borderId="10" xfId="1" applyNumberFormat="1" applyFont="1" applyBorder="1" applyProtection="1"/>
    <xf numFmtId="5" fontId="19" fillId="0" borderId="10" xfId="3" applyNumberFormat="1" applyFont="1" applyBorder="1"/>
    <xf numFmtId="44" fontId="16" fillId="0" borderId="0" xfId="2" applyFont="1" applyProtection="1"/>
    <xf numFmtId="166" fontId="18" fillId="0" borderId="0" xfId="3" applyNumberFormat="1" applyFont="1"/>
    <xf numFmtId="164" fontId="18" fillId="0" borderId="0" xfId="3" applyFont="1"/>
    <xf numFmtId="164" fontId="18" fillId="0" borderId="11" xfId="3" applyFont="1" applyBorder="1"/>
    <xf numFmtId="164" fontId="18" fillId="0" borderId="12" xfId="3" applyFont="1" applyBorder="1"/>
    <xf numFmtId="0" fontId="18" fillId="0" borderId="0" xfId="0" applyFont="1"/>
    <xf numFmtId="0" fontId="18" fillId="0" borderId="16" xfId="0" applyFont="1" applyBorder="1"/>
    <xf numFmtId="164" fontId="16" fillId="0" borderId="0" xfId="3" applyFont="1"/>
    <xf numFmtId="167" fontId="11" fillId="0" borderId="12" xfId="1" applyNumberFormat="1" applyFont="1" applyBorder="1"/>
    <xf numFmtId="42" fontId="11" fillId="0" borderId="12" xfId="1" applyNumberFormat="1" applyFont="1" applyBorder="1"/>
    <xf numFmtId="164" fontId="14" fillId="0" borderId="0" xfId="3" applyFont="1" applyAlignment="1">
      <alignment horizontal="center"/>
    </xf>
    <xf numFmtId="164" fontId="17" fillId="0" borderId="5" xfId="3" applyFont="1" applyBorder="1" applyAlignment="1">
      <alignment horizontal="center"/>
    </xf>
    <xf numFmtId="164" fontId="4" fillId="0" borderId="0" xfId="3" applyFont="1" applyAlignment="1">
      <alignment horizontal="right"/>
    </xf>
    <xf numFmtId="164" fontId="7" fillId="0" borderId="0" xfId="3" applyFont="1" applyAlignment="1">
      <alignment horizontal="center"/>
    </xf>
    <xf numFmtId="164" fontId="4" fillId="0" borderId="1" xfId="3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0" borderId="9" xfId="3" applyFont="1" applyBorder="1" applyAlignment="1">
      <alignment horizontal="center"/>
    </xf>
    <xf numFmtId="164" fontId="9" fillId="0" borderId="0" xfId="3" applyFont="1" applyAlignment="1">
      <alignment horizontal="center"/>
    </xf>
    <xf numFmtId="164" fontId="16" fillId="0" borderId="0" xfId="3" applyFont="1" applyAlignment="1">
      <alignment horizontal="center"/>
    </xf>
    <xf numFmtId="164" fontId="14" fillId="0" borderId="0" xfId="3" applyFont="1" applyAlignment="1">
      <alignment horizontal="center"/>
    </xf>
    <xf numFmtId="164" fontId="17" fillId="0" borderId="0" xfId="3" applyFont="1" applyAlignment="1">
      <alignment horizontal="center"/>
    </xf>
    <xf numFmtId="164" fontId="17" fillId="0" borderId="2" xfId="3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17" xfId="0" applyBorder="1" applyAlignment="1">
      <alignment horizontal="center"/>
    </xf>
    <xf numFmtId="3" fontId="0" fillId="0" borderId="17" xfId="0" applyNumberFormat="1" applyBorder="1"/>
    <xf numFmtId="0" fontId="21" fillId="0" borderId="0" xfId="0" applyFont="1" applyAlignment="1">
      <alignment horizontal="center"/>
    </xf>
    <xf numFmtId="0" fontId="0" fillId="0" borderId="17" xfId="0" applyBorder="1"/>
    <xf numFmtId="168" fontId="0" fillId="0" borderId="17" xfId="0" applyNumberFormat="1" applyBorder="1"/>
    <xf numFmtId="0" fontId="0" fillId="0" borderId="18" xfId="0" applyBorder="1"/>
    <xf numFmtId="0" fontId="0" fillId="0" borderId="15" xfId="0" applyBorder="1"/>
    <xf numFmtId="3" fontId="0" fillId="0" borderId="15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" xfId="0" applyBorder="1"/>
    <xf numFmtId="0" fontId="20" fillId="0" borderId="0" xfId="0" applyFont="1"/>
    <xf numFmtId="169" fontId="0" fillId="0" borderId="0" xfId="0" applyNumberFormat="1"/>
    <xf numFmtId="169" fontId="0" fillId="0" borderId="1" xfId="0" applyNumberFormat="1" applyBorder="1"/>
    <xf numFmtId="10" fontId="0" fillId="0" borderId="0" xfId="0" applyNumberFormat="1"/>
    <xf numFmtId="0" fontId="0" fillId="0" borderId="0" xfId="0" applyAlignment="1">
      <alignment horizontal="right"/>
    </xf>
    <xf numFmtId="0" fontId="22" fillId="0" borderId="17" xfId="0" applyFont="1" applyBorder="1"/>
    <xf numFmtId="0" fontId="22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4" fontId="0" fillId="0" borderId="22" xfId="0" applyNumberFormat="1" applyBorder="1"/>
    <xf numFmtId="44" fontId="0" fillId="0" borderId="19" xfId="0" applyNumberFormat="1" applyBorder="1"/>
    <xf numFmtId="0" fontId="23" fillId="0" borderId="0" xfId="0" applyFont="1"/>
    <xf numFmtId="0" fontId="24" fillId="0" borderId="0" xfId="0" applyFont="1"/>
    <xf numFmtId="0" fontId="20" fillId="0" borderId="1" xfId="0" applyFont="1" applyBorder="1"/>
    <xf numFmtId="169" fontId="0" fillId="0" borderId="23" xfId="0" applyNumberFormat="1" applyBorder="1"/>
    <xf numFmtId="10" fontId="23" fillId="0" borderId="0" xfId="0" applyNumberFormat="1" applyFont="1"/>
    <xf numFmtId="0" fontId="20" fillId="0" borderId="22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_MTN-USE" xfId="3" xr:uid="{946A9085-EFD0-46B2-AA99-B174F3B23B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%206_28_22%20SHWD%20Usage%20for%20Summary%20Addend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"/>
      <sheetName val="Sewer Forecast"/>
      <sheetName val="Water Forecast"/>
      <sheetName val="Sewer Budget"/>
      <sheetName val="Water Budget"/>
      <sheetName val="Proposed Rates"/>
      <sheetName val="Existing Rates"/>
      <sheetName val="Debt"/>
    </sheetNames>
    <sheetDataSet>
      <sheetData sheetId="0">
        <row r="8">
          <cell r="T8">
            <v>725</v>
          </cell>
          <cell r="U8">
            <v>297</v>
          </cell>
          <cell r="W8">
            <v>875</v>
          </cell>
          <cell r="X8">
            <v>57</v>
          </cell>
        </row>
        <row r="9">
          <cell r="T9">
            <v>2650</v>
          </cell>
          <cell r="U9">
            <v>750</v>
          </cell>
          <cell r="W9">
            <v>2050</v>
          </cell>
          <cell r="X9">
            <v>24</v>
          </cell>
        </row>
        <row r="10">
          <cell r="T10">
            <v>10678</v>
          </cell>
          <cell r="U10">
            <v>55</v>
          </cell>
          <cell r="W10">
            <v>10015</v>
          </cell>
          <cell r="X10">
            <v>1</v>
          </cell>
        </row>
        <row r="11">
          <cell r="T11">
            <v>50111</v>
          </cell>
          <cell r="U11">
            <v>10</v>
          </cell>
          <cell r="W11">
            <v>50489</v>
          </cell>
          <cell r="X11">
            <v>1</v>
          </cell>
        </row>
        <row r="14">
          <cell r="T14">
            <v>1050</v>
          </cell>
          <cell r="U14">
            <v>3</v>
          </cell>
          <cell r="W14">
            <v>1650</v>
          </cell>
          <cell r="X14">
            <v>1</v>
          </cell>
        </row>
        <row r="15">
          <cell r="T15">
            <v>5578</v>
          </cell>
          <cell r="U15">
            <v>2</v>
          </cell>
          <cell r="W15">
            <v>5000</v>
          </cell>
          <cell r="X15">
            <v>1</v>
          </cell>
        </row>
        <row r="16">
          <cell r="T16">
            <v>10785</v>
          </cell>
          <cell r="U16">
            <v>1</v>
          </cell>
          <cell r="W16">
            <v>10000</v>
          </cell>
          <cell r="X16">
            <v>1</v>
          </cell>
        </row>
        <row r="21">
          <cell r="W21">
            <v>10041</v>
          </cell>
          <cell r="X21">
            <v>1</v>
          </cell>
        </row>
        <row r="25">
          <cell r="W25">
            <v>17500</v>
          </cell>
          <cell r="X25">
            <v>3</v>
          </cell>
        </row>
        <row r="26">
          <cell r="W26">
            <v>49500</v>
          </cell>
          <cell r="X26">
            <v>2</v>
          </cell>
        </row>
      </sheetData>
      <sheetData sheetId="1"/>
      <sheetData sheetId="2">
        <row r="37">
          <cell r="L37">
            <v>2966.2933810375671</v>
          </cell>
        </row>
      </sheetData>
      <sheetData sheetId="3"/>
      <sheetData sheetId="4"/>
      <sheetData sheetId="5"/>
      <sheetData sheetId="6">
        <row r="3">
          <cell r="B3">
            <v>28.57</v>
          </cell>
        </row>
        <row r="4">
          <cell r="B4">
            <v>11.19</v>
          </cell>
        </row>
        <row r="5">
          <cell r="B5">
            <v>10</v>
          </cell>
        </row>
        <row r="6">
          <cell r="B6">
            <v>8.81</v>
          </cell>
        </row>
        <row r="9">
          <cell r="B9">
            <v>62.14</v>
          </cell>
        </row>
        <row r="10">
          <cell r="B10">
            <v>11.19</v>
          </cell>
        </row>
        <row r="11">
          <cell r="B11">
            <v>10</v>
          </cell>
        </row>
        <row r="12">
          <cell r="B12">
            <v>8.81</v>
          </cell>
        </row>
        <row r="15">
          <cell r="B15">
            <v>118.09</v>
          </cell>
        </row>
        <row r="16">
          <cell r="B16">
            <v>10</v>
          </cell>
        </row>
        <row r="20">
          <cell r="B20">
            <v>218.09</v>
          </cell>
        </row>
        <row r="21">
          <cell r="B21">
            <v>10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5B42-C6ED-40E7-B74B-36E8FFA4ED10}">
  <dimension ref="A1:O43"/>
  <sheetViews>
    <sheetView workbookViewId="0">
      <selection activeCell="E31" sqref="E31"/>
    </sheetView>
  </sheetViews>
  <sheetFormatPr defaultRowHeight="15" x14ac:dyDescent="0.25"/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</row>
    <row r="2" spans="1:15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6"/>
      <c r="L2" s="4"/>
      <c r="M2" s="4"/>
      <c r="N2" s="4"/>
      <c r="O2" s="4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</row>
    <row r="4" spans="1:15" x14ac:dyDescent="0.25">
      <c r="A4" s="7"/>
      <c r="B4" s="8"/>
      <c r="C4" s="8"/>
      <c r="D4" s="9"/>
      <c r="E4" s="103" t="s">
        <v>1</v>
      </c>
      <c r="F4" s="103"/>
      <c r="G4" s="10"/>
      <c r="H4" s="103" t="s">
        <v>2</v>
      </c>
      <c r="I4" s="103"/>
      <c r="J4" s="10"/>
      <c r="K4" s="103" t="s">
        <v>3</v>
      </c>
      <c r="L4" s="103"/>
      <c r="M4" s="10"/>
      <c r="N4" s="104" t="s">
        <v>4</v>
      </c>
      <c r="O4" s="104"/>
    </row>
    <row r="5" spans="1:15" x14ac:dyDescent="0.25">
      <c r="A5" s="9" t="s">
        <v>5</v>
      </c>
      <c r="B5" s="2"/>
      <c r="C5" s="2"/>
      <c r="D5" s="11"/>
      <c r="E5" s="12" t="s">
        <v>6</v>
      </c>
      <c r="F5" s="13" t="s">
        <v>7</v>
      </c>
      <c r="G5" s="13"/>
      <c r="H5" s="14" t="s">
        <v>6</v>
      </c>
      <c r="I5" s="13" t="s">
        <v>7</v>
      </c>
      <c r="J5" s="13"/>
      <c r="K5" s="14" t="s">
        <v>6</v>
      </c>
      <c r="L5" s="13" t="s">
        <v>7</v>
      </c>
      <c r="M5" s="13"/>
      <c r="N5" s="14" t="s">
        <v>6</v>
      </c>
      <c r="O5" s="15" t="s">
        <v>7</v>
      </c>
    </row>
    <row r="6" spans="1:15" x14ac:dyDescent="0.25">
      <c r="A6" s="16"/>
      <c r="B6" s="17"/>
      <c r="C6" s="17"/>
      <c r="D6" s="18" t="s">
        <v>8</v>
      </c>
      <c r="E6" s="19" t="s">
        <v>9</v>
      </c>
      <c r="F6" s="20" t="s">
        <v>10</v>
      </c>
      <c r="G6" s="21" t="s">
        <v>8</v>
      </c>
      <c r="H6" s="22" t="s">
        <v>9</v>
      </c>
      <c r="I6" s="20" t="s">
        <v>10</v>
      </c>
      <c r="J6" s="23" t="s">
        <v>8</v>
      </c>
      <c r="K6" s="22" t="s">
        <v>9</v>
      </c>
      <c r="L6" s="20" t="s">
        <v>10</v>
      </c>
      <c r="M6" s="23" t="s">
        <v>8</v>
      </c>
      <c r="N6" s="22" t="s">
        <v>9</v>
      </c>
      <c r="O6" s="24" t="s">
        <v>10</v>
      </c>
    </row>
    <row r="7" spans="1:15" x14ac:dyDescent="0.25">
      <c r="A7" s="105" t="s">
        <v>11</v>
      </c>
      <c r="B7" s="105"/>
      <c r="C7" s="2"/>
      <c r="D7" s="2"/>
      <c r="E7" s="2"/>
      <c r="F7" s="2"/>
      <c r="G7" s="2"/>
      <c r="H7" s="2"/>
      <c r="I7" s="2"/>
      <c r="J7" s="2"/>
      <c r="K7" s="25"/>
      <c r="L7" s="4"/>
      <c r="M7" s="2"/>
      <c r="N7" s="25"/>
      <c r="O7" s="4"/>
    </row>
    <row r="8" spans="1:15" x14ac:dyDescent="0.25">
      <c r="A8" s="101" t="s">
        <v>12</v>
      </c>
      <c r="B8" s="101"/>
      <c r="C8" s="2"/>
      <c r="D8" s="26">
        <v>725</v>
      </c>
      <c r="E8" s="27">
        <v>297</v>
      </c>
      <c r="F8" s="26">
        <f>(E8*D8)/1000</f>
        <v>215.32499999999999</v>
      </c>
      <c r="G8" s="26">
        <v>875</v>
      </c>
      <c r="H8" s="27">
        <v>57</v>
      </c>
      <c r="I8" s="26">
        <f>(H8*G8)/1000</f>
        <v>49.875</v>
      </c>
      <c r="J8" s="28"/>
      <c r="K8" s="29"/>
      <c r="L8" s="4"/>
      <c r="M8" s="28"/>
      <c r="N8" s="29"/>
      <c r="O8" s="4"/>
    </row>
    <row r="9" spans="1:15" x14ac:dyDescent="0.25">
      <c r="A9" s="101" t="s">
        <v>13</v>
      </c>
      <c r="B9" s="101"/>
      <c r="C9" s="2"/>
      <c r="D9" s="26">
        <v>2650</v>
      </c>
      <c r="E9" s="27">
        <v>750</v>
      </c>
      <c r="F9" s="26">
        <f>(E9*D9)/1000</f>
        <v>1987.5</v>
      </c>
      <c r="G9" s="26">
        <v>2050</v>
      </c>
      <c r="H9" s="27">
        <v>24</v>
      </c>
      <c r="I9" s="26">
        <f>(H9*G9)/1000</f>
        <v>49.2</v>
      </c>
      <c r="J9" s="28"/>
      <c r="K9" s="29"/>
      <c r="L9" s="4"/>
      <c r="M9" s="26"/>
      <c r="N9" s="30"/>
      <c r="O9" s="26">
        <f>(N9*M9)/1000</f>
        <v>0</v>
      </c>
    </row>
    <row r="10" spans="1:15" x14ac:dyDescent="0.25">
      <c r="A10" s="101" t="s">
        <v>14</v>
      </c>
      <c r="B10" s="101"/>
      <c r="C10" s="2"/>
      <c r="D10" s="26">
        <v>10678</v>
      </c>
      <c r="E10" s="27">
        <v>55</v>
      </c>
      <c r="F10" s="26">
        <f>(E10*D10)/1000</f>
        <v>587.29</v>
      </c>
      <c r="G10" s="26">
        <v>10015</v>
      </c>
      <c r="H10" s="27">
        <v>1</v>
      </c>
      <c r="I10" s="26">
        <f>(H10*G10)/1000</f>
        <v>10.015000000000001</v>
      </c>
      <c r="J10" s="28"/>
      <c r="K10" s="29"/>
      <c r="L10" s="4"/>
      <c r="M10" s="26"/>
      <c r="N10" s="30"/>
      <c r="O10" s="26">
        <f>(N10*M10)/1000</f>
        <v>0</v>
      </c>
    </row>
    <row r="11" spans="1:15" x14ac:dyDescent="0.25">
      <c r="A11" s="101" t="s">
        <v>15</v>
      </c>
      <c r="B11" s="101"/>
      <c r="C11" s="2"/>
      <c r="D11" s="26">
        <v>50111</v>
      </c>
      <c r="E11" s="27">
        <v>10</v>
      </c>
      <c r="F11" s="26">
        <f>(E11*D11)/1000</f>
        <v>501.11</v>
      </c>
      <c r="G11" s="26">
        <v>50489</v>
      </c>
      <c r="H11" s="27">
        <v>1</v>
      </c>
      <c r="I11" s="26">
        <f>(H11*G11)/1000</f>
        <v>50.488999999999997</v>
      </c>
      <c r="J11" s="28"/>
      <c r="K11" s="29"/>
      <c r="L11" s="4"/>
      <c r="M11" s="26"/>
      <c r="N11" s="30"/>
      <c r="O11" s="26">
        <f>(N11*M11)/1000</f>
        <v>0</v>
      </c>
    </row>
    <row r="12" spans="1:15" x14ac:dyDescent="0.25">
      <c r="A12" s="31"/>
      <c r="B12" s="31"/>
      <c r="C12" s="2"/>
      <c r="D12" s="26"/>
      <c r="E12" s="27"/>
      <c r="F12" s="26"/>
      <c r="G12" s="26"/>
      <c r="H12" s="27"/>
      <c r="I12" s="26"/>
      <c r="J12" s="28"/>
      <c r="K12" s="29"/>
      <c r="L12" s="4"/>
      <c r="M12" s="26"/>
      <c r="N12" s="30"/>
      <c r="O12" s="26"/>
    </row>
    <row r="13" spans="1:15" x14ac:dyDescent="0.25">
      <c r="A13" s="102" t="s">
        <v>16</v>
      </c>
      <c r="B13" s="102"/>
      <c r="C13" s="2"/>
      <c r="D13" s="26"/>
      <c r="E13" s="27"/>
      <c r="F13" s="26"/>
      <c r="G13" s="26"/>
      <c r="H13" s="27"/>
      <c r="I13" s="26"/>
      <c r="J13" s="28"/>
      <c r="K13" s="29"/>
      <c r="L13" s="4"/>
      <c r="M13" s="26"/>
      <c r="N13" s="30"/>
      <c r="O13" s="26"/>
    </row>
    <row r="14" spans="1:15" x14ac:dyDescent="0.25">
      <c r="A14" s="101" t="s">
        <v>17</v>
      </c>
      <c r="B14" s="101"/>
      <c r="C14" s="2"/>
      <c r="D14" s="26">
        <v>1050</v>
      </c>
      <c r="E14" s="27">
        <v>3</v>
      </c>
      <c r="F14" s="26">
        <f>(E14*D14)/1000</f>
        <v>3.15</v>
      </c>
      <c r="G14" s="26">
        <v>1650</v>
      </c>
      <c r="H14" s="27">
        <v>1</v>
      </c>
      <c r="I14" s="26">
        <f>(H14*G14)/1000</f>
        <v>1.65</v>
      </c>
      <c r="J14" s="28"/>
      <c r="K14" s="29"/>
      <c r="L14" s="4"/>
      <c r="M14" s="26"/>
      <c r="N14" s="30"/>
      <c r="O14" s="26"/>
    </row>
    <row r="15" spans="1:15" x14ac:dyDescent="0.25">
      <c r="A15" s="101" t="s">
        <v>18</v>
      </c>
      <c r="B15" s="101"/>
      <c r="C15" s="2"/>
      <c r="D15" s="26">
        <v>5578</v>
      </c>
      <c r="E15" s="27">
        <v>2</v>
      </c>
      <c r="F15" s="26">
        <f>(E15*D15)/1000</f>
        <v>11.156000000000001</v>
      </c>
      <c r="G15" s="26">
        <v>5000</v>
      </c>
      <c r="H15" s="27">
        <v>1</v>
      </c>
      <c r="I15" s="26">
        <f>(H15*G15)/1000</f>
        <v>5</v>
      </c>
      <c r="J15" s="28"/>
      <c r="K15" s="29"/>
      <c r="L15" s="4"/>
      <c r="M15" s="26"/>
      <c r="N15" s="30"/>
      <c r="O15" s="26"/>
    </row>
    <row r="16" spans="1:15" x14ac:dyDescent="0.25">
      <c r="A16" s="101" t="s">
        <v>14</v>
      </c>
      <c r="B16" s="101"/>
      <c r="C16" s="2"/>
      <c r="D16" s="26">
        <v>10785</v>
      </c>
      <c r="E16" s="27">
        <v>1</v>
      </c>
      <c r="F16" s="26">
        <f>(E16*D16)/1000</f>
        <v>10.785</v>
      </c>
      <c r="G16" s="26">
        <v>10000</v>
      </c>
      <c r="H16" s="27">
        <v>1</v>
      </c>
      <c r="I16" s="26">
        <f>(H16*G16)/1000</f>
        <v>10</v>
      </c>
      <c r="J16" s="28"/>
      <c r="K16" s="29"/>
      <c r="L16" s="4"/>
      <c r="M16" s="26"/>
      <c r="N16" s="30"/>
      <c r="O16" s="26"/>
    </row>
    <row r="17" spans="1:15" x14ac:dyDescent="0.25">
      <c r="A17" s="101" t="s">
        <v>15</v>
      </c>
      <c r="B17" s="101"/>
      <c r="C17" s="2"/>
      <c r="D17" s="26"/>
      <c r="E17" s="27"/>
      <c r="F17" s="26"/>
      <c r="G17" s="26"/>
      <c r="H17" s="27"/>
      <c r="I17" s="26"/>
      <c r="J17" s="28"/>
      <c r="K17" s="29"/>
      <c r="L17" s="4"/>
      <c r="M17" s="26"/>
      <c r="N17" s="30"/>
      <c r="O17" s="26"/>
    </row>
    <row r="18" spans="1:15" x14ac:dyDescent="0.25">
      <c r="A18" s="31"/>
      <c r="B18" s="31"/>
      <c r="C18" s="2"/>
      <c r="D18" s="26"/>
      <c r="E18" s="27"/>
      <c r="F18" s="26"/>
      <c r="G18" s="26"/>
      <c r="H18" s="27"/>
      <c r="I18" s="26"/>
      <c r="J18" s="28"/>
      <c r="K18" s="29"/>
      <c r="L18" s="4"/>
      <c r="M18" s="26"/>
      <c r="N18" s="30"/>
      <c r="O18" s="26"/>
    </row>
    <row r="19" spans="1:15" x14ac:dyDescent="0.25">
      <c r="A19" s="102" t="s">
        <v>19</v>
      </c>
      <c r="B19" s="102"/>
      <c r="C19" s="2"/>
      <c r="D19" s="26"/>
      <c r="E19" s="27"/>
      <c r="F19" s="26"/>
      <c r="G19" s="26"/>
      <c r="H19" s="27"/>
      <c r="I19" s="26"/>
      <c r="J19" s="28"/>
      <c r="K19" s="29"/>
      <c r="L19" s="4"/>
      <c r="M19" s="26"/>
      <c r="N19" s="30"/>
      <c r="O19" s="26"/>
    </row>
    <row r="20" spans="1:15" x14ac:dyDescent="0.25">
      <c r="A20" s="101" t="s">
        <v>20</v>
      </c>
      <c r="B20" s="101"/>
      <c r="C20" s="2"/>
      <c r="D20" s="26"/>
      <c r="E20" s="27"/>
      <c r="F20" s="26"/>
      <c r="G20" s="26"/>
      <c r="H20" s="27"/>
      <c r="I20" s="26"/>
      <c r="J20" s="28"/>
      <c r="K20" s="29"/>
      <c r="L20" s="4"/>
      <c r="M20" s="26"/>
      <c r="N20" s="30"/>
      <c r="O20" s="26"/>
    </row>
    <row r="21" spans="1:15" x14ac:dyDescent="0.25">
      <c r="A21" s="101" t="s">
        <v>21</v>
      </c>
      <c r="B21" s="101"/>
      <c r="C21" s="2"/>
      <c r="D21" s="26"/>
      <c r="E21" s="27"/>
      <c r="F21" s="26"/>
      <c r="G21" s="26">
        <v>10041</v>
      </c>
      <c r="H21" s="27">
        <v>1</v>
      </c>
      <c r="I21" s="26">
        <f>(H21*G21)/1000</f>
        <v>10.041</v>
      </c>
      <c r="J21" s="28"/>
      <c r="K21" s="29"/>
      <c r="L21" s="4"/>
      <c r="M21" s="26"/>
      <c r="N21" s="30"/>
      <c r="O21" s="26"/>
    </row>
    <row r="22" spans="1:15" x14ac:dyDescent="0.25">
      <c r="A22" s="101" t="s">
        <v>15</v>
      </c>
      <c r="B22" s="101"/>
      <c r="C22" s="2"/>
      <c r="D22" s="26"/>
      <c r="E22" s="27"/>
      <c r="F22" s="26"/>
      <c r="G22" s="26"/>
      <c r="H22" s="27"/>
      <c r="I22" s="26"/>
      <c r="J22" s="28"/>
      <c r="K22" s="29"/>
      <c r="L22" s="4"/>
      <c r="M22" s="26"/>
      <c r="N22" s="30"/>
      <c r="O22" s="26"/>
    </row>
    <row r="23" spans="1:15" x14ac:dyDescent="0.25">
      <c r="A23" s="31"/>
      <c r="B23" s="31"/>
      <c r="C23" s="2"/>
      <c r="D23" s="26"/>
      <c r="E23" s="27"/>
      <c r="F23" s="26"/>
      <c r="G23" s="26"/>
      <c r="H23" s="27"/>
      <c r="I23" s="26"/>
      <c r="J23" s="28"/>
      <c r="K23" s="29"/>
      <c r="L23" s="4"/>
      <c r="M23" s="26"/>
      <c r="N23" s="30"/>
      <c r="O23" s="26"/>
    </row>
    <row r="24" spans="1:15" x14ac:dyDescent="0.25">
      <c r="A24" s="102" t="s">
        <v>22</v>
      </c>
      <c r="B24" s="102"/>
      <c r="C24" s="2"/>
      <c r="D24" s="26"/>
      <c r="E24" s="27"/>
      <c r="F24" s="26"/>
      <c r="G24" s="26"/>
      <c r="H24" s="27"/>
      <c r="I24" s="26"/>
      <c r="J24" s="28"/>
      <c r="K24" s="29"/>
      <c r="L24" s="4"/>
      <c r="M24" s="26"/>
      <c r="N24" s="30"/>
      <c r="O24" s="26"/>
    </row>
    <row r="25" spans="1:15" x14ac:dyDescent="0.25">
      <c r="A25" s="101" t="s">
        <v>23</v>
      </c>
      <c r="B25" s="101"/>
      <c r="C25" s="2"/>
      <c r="D25" s="26"/>
      <c r="E25" s="27"/>
      <c r="F25" s="26"/>
      <c r="G25" s="26">
        <v>17500</v>
      </c>
      <c r="H25" s="27">
        <v>3</v>
      </c>
      <c r="I25" s="26">
        <f>(H25*G25)/1000</f>
        <v>52.5</v>
      </c>
      <c r="J25" s="28"/>
      <c r="K25" s="29"/>
      <c r="L25" s="4"/>
      <c r="M25" s="26"/>
      <c r="N25" s="30"/>
      <c r="O25" s="26"/>
    </row>
    <row r="26" spans="1:15" x14ac:dyDescent="0.25">
      <c r="A26" s="101" t="s">
        <v>24</v>
      </c>
      <c r="B26" s="101"/>
      <c r="C26" s="2"/>
      <c r="D26" s="26"/>
      <c r="E26" s="27"/>
      <c r="F26" s="26"/>
      <c r="G26" s="26">
        <v>49500</v>
      </c>
      <c r="H26" s="27">
        <v>2</v>
      </c>
      <c r="I26" s="26">
        <f>(H26*G26)/1000</f>
        <v>99</v>
      </c>
      <c r="J26" s="28"/>
      <c r="K26" s="29"/>
      <c r="L26" s="4"/>
      <c r="M26" s="26"/>
      <c r="N26" s="30"/>
      <c r="O26" s="26"/>
    </row>
    <row r="27" spans="1:15" x14ac:dyDescent="0.25">
      <c r="A27" s="101" t="s">
        <v>15</v>
      </c>
      <c r="B27" s="101"/>
      <c r="C27" s="2"/>
      <c r="D27" s="26"/>
      <c r="E27" s="27"/>
      <c r="F27" s="26"/>
      <c r="G27" s="26"/>
      <c r="H27" s="27"/>
      <c r="I27" s="26"/>
      <c r="J27" s="28"/>
      <c r="K27" s="29"/>
      <c r="L27" s="4"/>
      <c r="M27" s="26"/>
      <c r="N27" s="30"/>
      <c r="O27" s="26"/>
    </row>
    <row r="28" spans="1:15" x14ac:dyDescent="0.25">
      <c r="A28" s="31"/>
      <c r="B28" s="31"/>
      <c r="C28" s="2"/>
      <c r="D28" s="26"/>
      <c r="E28" s="27"/>
      <c r="F28" s="26"/>
      <c r="G28" s="26"/>
      <c r="H28" s="27"/>
      <c r="I28" s="26"/>
      <c r="J28" s="28"/>
      <c r="K28" s="29"/>
      <c r="L28" s="4"/>
      <c r="M28" s="26"/>
      <c r="N28" s="30"/>
      <c r="O28" s="26"/>
    </row>
    <row r="29" spans="1:15" x14ac:dyDescent="0.25">
      <c r="A29" s="102" t="s">
        <v>25</v>
      </c>
      <c r="B29" s="102"/>
      <c r="C29" s="2"/>
      <c r="D29" s="26"/>
      <c r="E29" s="27"/>
      <c r="F29" s="26"/>
      <c r="G29" s="26"/>
      <c r="H29" s="27"/>
      <c r="I29" s="26"/>
      <c r="J29" s="28"/>
      <c r="K29" s="29"/>
      <c r="L29" s="4"/>
      <c r="M29" s="26"/>
      <c r="N29" s="30"/>
      <c r="O29" s="26"/>
    </row>
    <row r="30" spans="1:15" x14ac:dyDescent="0.25">
      <c r="A30" s="101" t="s">
        <v>26</v>
      </c>
      <c r="B30" s="101"/>
      <c r="C30" s="2"/>
      <c r="D30" s="26"/>
      <c r="E30" s="27"/>
      <c r="F30" s="26"/>
      <c r="G30" s="26"/>
      <c r="H30" s="27"/>
      <c r="I30" s="26"/>
      <c r="J30" s="28"/>
      <c r="K30" s="29"/>
      <c r="L30" s="4"/>
      <c r="M30" s="26"/>
      <c r="N30" s="30"/>
      <c r="O30" s="26"/>
    </row>
    <row r="31" spans="1:15" x14ac:dyDescent="0.25">
      <c r="A31" s="101" t="s">
        <v>27</v>
      </c>
      <c r="B31" s="101"/>
      <c r="C31" s="2"/>
      <c r="D31" s="26"/>
      <c r="E31" s="27"/>
      <c r="F31" s="26"/>
      <c r="G31" s="26"/>
      <c r="H31" s="27"/>
      <c r="I31" s="26"/>
      <c r="J31" s="28"/>
      <c r="K31" s="29"/>
      <c r="L31" s="4"/>
      <c r="M31" s="26"/>
      <c r="N31" s="30"/>
      <c r="O31" s="26"/>
    </row>
    <row r="32" spans="1:15" x14ac:dyDescent="0.25">
      <c r="A32" s="101" t="s">
        <v>15</v>
      </c>
      <c r="B32" s="101"/>
      <c r="C32" s="2"/>
      <c r="D32" s="28"/>
      <c r="E32" s="27"/>
      <c r="F32" s="28"/>
      <c r="G32" s="28"/>
      <c r="H32" s="2"/>
      <c r="I32" s="28"/>
      <c r="J32" s="28"/>
      <c r="K32" s="29"/>
      <c r="L32" s="4"/>
      <c r="M32" s="28"/>
      <c r="N32" s="32"/>
      <c r="O32" s="28"/>
    </row>
    <row r="33" spans="1:15" x14ac:dyDescent="0.25">
      <c r="A33" s="33"/>
      <c r="B33" s="2"/>
      <c r="C33" s="2"/>
      <c r="D33" s="28"/>
      <c r="E33" s="27"/>
      <c r="F33" s="28"/>
      <c r="G33" s="28"/>
      <c r="H33" s="2"/>
      <c r="I33" s="28"/>
      <c r="J33" s="28"/>
      <c r="K33" s="32"/>
      <c r="L33" s="28"/>
      <c r="M33" s="28"/>
      <c r="N33" s="32"/>
      <c r="O33" s="28"/>
    </row>
    <row r="34" spans="1:15" x14ac:dyDescent="0.25">
      <c r="A34" s="2"/>
      <c r="B34" s="2"/>
      <c r="C34" s="2"/>
      <c r="D34" s="34" t="s">
        <v>28</v>
      </c>
      <c r="E34" s="35">
        <f>SUM(E8:E33)</f>
        <v>1118</v>
      </c>
      <c r="F34" s="36">
        <f>SUM(F8:F33)</f>
        <v>3316.3159999999998</v>
      </c>
      <c r="G34" s="36"/>
      <c r="H34" s="35">
        <f>SUM(H8:H33)</f>
        <v>92</v>
      </c>
      <c r="I34" s="36">
        <f>SUM(I8:I33)</f>
        <v>337.77</v>
      </c>
      <c r="J34" s="37"/>
      <c r="K34" s="35">
        <f>SUM(K8:K33)</f>
        <v>0</v>
      </c>
      <c r="L34" s="36">
        <f>SUM(L8:L33)</f>
        <v>0</v>
      </c>
      <c r="M34" s="37"/>
      <c r="N34" s="35">
        <f>SUM(N8:N33)</f>
        <v>0</v>
      </c>
      <c r="O34" s="36">
        <f>SUM(O8:O33)</f>
        <v>0</v>
      </c>
    </row>
    <row r="35" spans="1:15" x14ac:dyDescent="0.25">
      <c r="A35" s="33"/>
      <c r="B35" s="2"/>
      <c r="C35" s="2"/>
      <c r="D35" s="2"/>
      <c r="E35" s="2"/>
      <c r="F35" s="2"/>
      <c r="G35" s="2"/>
      <c r="H35" s="2"/>
      <c r="I35" s="2"/>
      <c r="J35" s="38"/>
      <c r="K35" s="39"/>
      <c r="L35" s="40"/>
      <c r="M35" s="38"/>
      <c r="N35" s="39"/>
      <c r="O35" s="40"/>
    </row>
    <row r="36" spans="1:15" ht="15.75" thickBot="1" x14ac:dyDescent="0.3">
      <c r="A36" s="33" t="s">
        <v>29</v>
      </c>
      <c r="B36" s="2"/>
      <c r="C36" s="2"/>
      <c r="D36" s="2"/>
      <c r="E36" s="41"/>
      <c r="F36" s="42">
        <f>(F34*1000)/E34</f>
        <v>2966.2933810375671</v>
      </c>
      <c r="G36" s="42"/>
      <c r="H36" s="43"/>
      <c r="I36" s="42">
        <f>(I34*1000)/H34</f>
        <v>3671.413043478261</v>
      </c>
      <c r="J36" s="42"/>
      <c r="K36" s="44"/>
      <c r="L36" s="42" t="e">
        <f>(L34*1000)/K34</f>
        <v>#DIV/0!</v>
      </c>
      <c r="M36" s="42"/>
      <c r="N36" s="44"/>
      <c r="O36" s="42" t="e">
        <f>(O34*1000)/N34</f>
        <v>#DIV/0!</v>
      </c>
    </row>
    <row r="37" spans="1:15" ht="15.75" thickTop="1" x14ac:dyDescent="0.25">
      <c r="A37" s="2"/>
      <c r="B37" s="2"/>
      <c r="C37" s="2"/>
      <c r="D37" s="2"/>
      <c r="E37" s="2"/>
      <c r="F37" s="26"/>
      <c r="G37" s="26"/>
      <c r="H37" s="27"/>
      <c r="I37" s="26"/>
      <c r="J37" s="26"/>
      <c r="K37" s="27"/>
      <c r="L37" s="27"/>
      <c r="M37" s="26"/>
      <c r="N37" s="27"/>
      <c r="O37" s="27"/>
    </row>
    <row r="38" spans="1:15" x14ac:dyDescent="0.25">
      <c r="A38" s="7"/>
      <c r="B38" s="7"/>
      <c r="C38" s="7"/>
      <c r="D38" s="7"/>
      <c r="E38" s="7"/>
      <c r="F38" s="45"/>
      <c r="G38" s="45"/>
      <c r="H38" s="45"/>
      <c r="I38" s="45"/>
      <c r="J38" s="46"/>
      <c r="K38" s="47"/>
      <c r="L38" s="48"/>
      <c r="M38" s="46"/>
      <c r="N38" s="47"/>
      <c r="O38" s="48"/>
    </row>
    <row r="39" spans="1:15" ht="15.75" thickBot="1" x14ac:dyDescent="0.3">
      <c r="A39" s="7"/>
      <c r="B39" s="7"/>
      <c r="C39" s="7"/>
      <c r="D39" s="49" t="s">
        <v>30</v>
      </c>
      <c r="E39" s="50">
        <f>+E34</f>
        <v>1118</v>
      </c>
      <c r="F39" s="50">
        <f>+F34</f>
        <v>3316.3159999999998</v>
      </c>
      <c r="G39" s="50"/>
      <c r="H39" s="50">
        <f>+H34</f>
        <v>92</v>
      </c>
      <c r="I39" s="50">
        <f>+I34</f>
        <v>337.77</v>
      </c>
      <c r="J39" s="50"/>
      <c r="K39" s="50">
        <f>+K34</f>
        <v>0</v>
      </c>
      <c r="L39" s="50">
        <f>+L34</f>
        <v>0</v>
      </c>
      <c r="M39" s="50"/>
      <c r="N39" s="50">
        <f>+N34</f>
        <v>0</v>
      </c>
      <c r="O39" s="50">
        <f>+O34</f>
        <v>0</v>
      </c>
    </row>
    <row r="40" spans="1:15" ht="15.75" thickTop="1" x14ac:dyDescent="0.25">
      <c r="K40" s="29"/>
      <c r="L40" s="4"/>
      <c r="M40" s="4"/>
      <c r="N40" s="4"/>
      <c r="O40" s="51"/>
    </row>
    <row r="41" spans="1:15" x14ac:dyDescent="0.25">
      <c r="B41" s="4"/>
      <c r="C41" s="4"/>
      <c r="D41" s="4"/>
      <c r="E41" s="4"/>
      <c r="F41" s="4"/>
      <c r="G41" s="4"/>
      <c r="H41" s="4"/>
      <c r="I41" s="4"/>
      <c r="J41" s="4"/>
      <c r="K41" s="29"/>
      <c r="L41" s="4"/>
      <c r="M41" s="4"/>
      <c r="N41" s="4"/>
      <c r="O41" s="51"/>
    </row>
    <row r="42" spans="1:15" x14ac:dyDescent="0.25">
      <c r="A42" s="25"/>
      <c r="B42" s="4"/>
      <c r="C42" s="4"/>
      <c r="D42" s="45" t="s">
        <v>31</v>
      </c>
      <c r="I42" s="52">
        <v>74397</v>
      </c>
      <c r="J42" s="53"/>
      <c r="K42" s="29"/>
      <c r="L42" s="4"/>
      <c r="M42" s="4"/>
      <c r="N42" s="4"/>
      <c r="O42" s="51"/>
    </row>
    <row r="43" spans="1:15" x14ac:dyDescent="0.25">
      <c r="A43" s="29"/>
      <c r="B43" s="4"/>
      <c r="C43" s="4"/>
      <c r="D43" s="26" t="s">
        <v>32</v>
      </c>
      <c r="E43" s="4"/>
      <c r="F43" s="51"/>
      <c r="G43" s="51"/>
      <c r="H43" s="4"/>
      <c r="I43" s="54">
        <v>52410</v>
      </c>
      <c r="J43" s="55" t="s">
        <v>33</v>
      </c>
      <c r="K43" s="29"/>
      <c r="L43" s="4"/>
      <c r="M43" s="4"/>
      <c r="N43" s="4"/>
      <c r="O43" s="51"/>
    </row>
  </sheetData>
  <mergeCells count="26">
    <mergeCell ref="A8:B8"/>
    <mergeCell ref="E4:F4"/>
    <mergeCell ref="H4:I4"/>
    <mergeCell ref="K4:L4"/>
    <mergeCell ref="N4:O4"/>
    <mergeCell ref="A7:B7"/>
    <mergeCell ref="A22:B22"/>
    <mergeCell ref="A9:B9"/>
    <mergeCell ref="A10:B10"/>
    <mergeCell ref="A11:B11"/>
    <mergeCell ref="A13:B13"/>
    <mergeCell ref="A14:B14"/>
    <mergeCell ref="A15:B15"/>
    <mergeCell ref="A16:B16"/>
    <mergeCell ref="A17:B17"/>
    <mergeCell ref="A19:B19"/>
    <mergeCell ref="A20:B20"/>
    <mergeCell ref="A21:B21"/>
    <mergeCell ref="A31:B31"/>
    <mergeCell ref="A32:B32"/>
    <mergeCell ref="A24:B24"/>
    <mergeCell ref="A25:B25"/>
    <mergeCell ref="A26:B26"/>
    <mergeCell ref="A27:B27"/>
    <mergeCell ref="A29:B29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4EA76-1686-4156-810A-FBC09B67AC4B}">
  <dimension ref="A1:V41"/>
  <sheetViews>
    <sheetView workbookViewId="0">
      <selection activeCell="I24" sqref="I24"/>
    </sheetView>
  </sheetViews>
  <sheetFormatPr defaultRowHeight="15" x14ac:dyDescent="0.25"/>
  <sheetData>
    <row r="1" spans="1:22" x14ac:dyDescent="0.25">
      <c r="A1" s="56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7"/>
      <c r="N2" s="27"/>
      <c r="O2" s="27"/>
      <c r="P2" s="27"/>
      <c r="Q2" s="27"/>
      <c r="R2" s="27"/>
      <c r="S2" s="27"/>
      <c r="T2" s="27"/>
      <c r="U2" s="27"/>
      <c r="V2" s="27"/>
    </row>
    <row r="3" spans="1:22" x14ac:dyDescent="0.25">
      <c r="A3" s="27"/>
      <c r="B3" s="27"/>
      <c r="C3" s="27"/>
      <c r="D3" s="27"/>
      <c r="E3" s="27"/>
      <c r="F3" s="27"/>
      <c r="G3" s="45"/>
      <c r="H3" s="45"/>
      <c r="I3" s="45"/>
      <c r="J3" s="45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x14ac:dyDescent="0.25">
      <c r="A4" s="45"/>
      <c r="B4" s="58"/>
      <c r="C4" s="59"/>
      <c r="D4" s="59"/>
      <c r="E4" s="59"/>
      <c r="F4" s="59"/>
      <c r="G4" s="60"/>
      <c r="H4" s="60"/>
      <c r="I4" s="60"/>
      <c r="J4" s="60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x14ac:dyDescent="0.25">
      <c r="A5" s="59" t="s">
        <v>35</v>
      </c>
      <c r="B5" s="27"/>
      <c r="C5" s="45"/>
      <c r="D5" s="45"/>
      <c r="E5" s="45"/>
      <c r="F5" s="45"/>
      <c r="G5" s="107" t="s">
        <v>36</v>
      </c>
      <c r="H5" s="107"/>
      <c r="I5" s="107"/>
      <c r="J5" s="107"/>
      <c r="K5" s="61"/>
      <c r="L5" s="62" t="s">
        <v>1</v>
      </c>
      <c r="M5" s="63"/>
      <c r="N5" s="63"/>
      <c r="O5" s="62" t="s">
        <v>2</v>
      </c>
      <c r="P5" s="63"/>
      <c r="Q5" s="63"/>
      <c r="R5" s="62" t="s">
        <v>3</v>
      </c>
      <c r="S5" s="63"/>
      <c r="T5" s="63"/>
      <c r="U5" s="64" t="s">
        <v>4</v>
      </c>
      <c r="V5" s="63"/>
    </row>
    <row r="6" spans="1:22" x14ac:dyDescent="0.25">
      <c r="A6" s="59"/>
      <c r="B6" s="27"/>
      <c r="C6" s="108" t="s">
        <v>36</v>
      </c>
      <c r="D6" s="108"/>
      <c r="E6" s="108"/>
      <c r="F6" s="108"/>
      <c r="G6" s="109" t="s">
        <v>37</v>
      </c>
      <c r="H6" s="109"/>
      <c r="I6" s="109"/>
      <c r="J6" s="109"/>
      <c r="K6" s="65" t="s">
        <v>6</v>
      </c>
      <c r="L6" s="66" t="s">
        <v>7</v>
      </c>
      <c r="M6" s="66" t="s">
        <v>38</v>
      </c>
      <c r="N6" s="67" t="s">
        <v>6</v>
      </c>
      <c r="O6" s="66" t="s">
        <v>7</v>
      </c>
      <c r="P6" s="66" t="s">
        <v>38</v>
      </c>
      <c r="Q6" s="67" t="s">
        <v>6</v>
      </c>
      <c r="R6" s="66" t="s">
        <v>7</v>
      </c>
      <c r="S6" s="66" t="s">
        <v>38</v>
      </c>
      <c r="T6" s="67" t="s">
        <v>6</v>
      </c>
      <c r="U6" s="66" t="s">
        <v>7</v>
      </c>
      <c r="V6" s="68" t="s">
        <v>38</v>
      </c>
    </row>
    <row r="7" spans="1:22" x14ac:dyDescent="0.25">
      <c r="A7" s="69"/>
      <c r="B7" s="48"/>
      <c r="C7" s="70" t="s">
        <v>1</v>
      </c>
      <c r="D7" s="70" t="s">
        <v>2</v>
      </c>
      <c r="E7" s="70" t="s">
        <v>3</v>
      </c>
      <c r="F7" s="70" t="s">
        <v>4</v>
      </c>
      <c r="G7" s="71" t="s">
        <v>1</v>
      </c>
      <c r="H7" s="71" t="s">
        <v>2</v>
      </c>
      <c r="I7" s="71" t="s">
        <v>3</v>
      </c>
      <c r="J7" s="71" t="s">
        <v>4</v>
      </c>
      <c r="K7" s="72" t="s">
        <v>9</v>
      </c>
      <c r="L7" s="73" t="s">
        <v>10</v>
      </c>
      <c r="M7" s="74"/>
      <c r="N7" s="72" t="s">
        <v>9</v>
      </c>
      <c r="O7" s="73" t="s">
        <v>10</v>
      </c>
      <c r="P7" s="75"/>
      <c r="Q7" s="72" t="s">
        <v>9</v>
      </c>
      <c r="R7" s="73" t="s">
        <v>10</v>
      </c>
      <c r="S7" s="75"/>
      <c r="T7" s="72" t="s">
        <v>9</v>
      </c>
      <c r="U7" s="73" t="s">
        <v>10</v>
      </c>
      <c r="V7" s="74"/>
    </row>
    <row r="8" spans="1:22" x14ac:dyDescent="0.25">
      <c r="A8" s="76" t="s">
        <v>11</v>
      </c>
      <c r="B8" s="27"/>
      <c r="C8" s="27"/>
      <c r="D8" s="27"/>
      <c r="E8" s="27"/>
      <c r="F8" s="27"/>
      <c r="G8" s="77"/>
      <c r="H8" s="77"/>
      <c r="I8" s="77"/>
      <c r="J8" s="77"/>
      <c r="K8" s="78"/>
      <c r="L8" s="78"/>
      <c r="M8" s="27"/>
      <c r="N8" s="78"/>
      <c r="O8" s="78"/>
      <c r="P8" s="27"/>
      <c r="Q8" s="27"/>
      <c r="R8" s="27"/>
      <c r="S8" s="27"/>
      <c r="T8" s="27"/>
      <c r="U8" s="27"/>
      <c r="V8" s="27"/>
    </row>
    <row r="9" spans="1:22" x14ac:dyDescent="0.25">
      <c r="A9" s="79" t="s">
        <v>12</v>
      </c>
      <c r="B9" s="27"/>
      <c r="C9" s="26">
        <f>[1]Usage!T8</f>
        <v>725</v>
      </c>
      <c r="D9" s="26">
        <f>[1]Usage!W8</f>
        <v>875</v>
      </c>
      <c r="E9" s="26"/>
      <c r="F9" s="26"/>
      <c r="G9" s="80">
        <f>'[1]Existing Rates'!B3</f>
        <v>28.57</v>
      </c>
      <c r="H9" s="80">
        <f>'[1]Existing Rates'!B3</f>
        <v>28.57</v>
      </c>
      <c r="I9" s="80"/>
      <c r="J9" s="80"/>
      <c r="K9" s="27">
        <f>[1]Usage!U8</f>
        <v>297</v>
      </c>
      <c r="L9" s="26">
        <f>(K9*C9)/1000</f>
        <v>215.32499999999999</v>
      </c>
      <c r="M9" s="81">
        <f>G9*K9</f>
        <v>8485.2900000000009</v>
      </c>
      <c r="N9" s="27">
        <f>[1]Usage!X8</f>
        <v>57</v>
      </c>
      <c r="O9" s="26">
        <f>(N9*D9)/1000</f>
        <v>49.875</v>
      </c>
      <c r="P9" s="81">
        <f>H9*N9</f>
        <v>1628.49</v>
      </c>
      <c r="Q9" s="81"/>
      <c r="R9" s="81"/>
      <c r="S9" s="81"/>
      <c r="T9" s="81"/>
      <c r="U9" s="81"/>
      <c r="V9" s="81"/>
    </row>
    <row r="10" spans="1:22" x14ac:dyDescent="0.25">
      <c r="A10" s="79" t="s">
        <v>39</v>
      </c>
      <c r="B10" s="27"/>
      <c r="C10" s="26">
        <f>[1]Usage!T9</f>
        <v>2650</v>
      </c>
      <c r="D10" s="26">
        <f>[1]Usage!W9</f>
        <v>2050</v>
      </c>
      <c r="E10" s="26"/>
      <c r="F10" s="26"/>
      <c r="G10" s="80">
        <f>28.57+('[1]Existing Rates'!B4/1000)*(C10-2000)</f>
        <v>35.843499999999999</v>
      </c>
      <c r="H10" s="80">
        <f>28.57+('[1]Existing Rates'!B4/1000)*(D10-2000)</f>
        <v>29.1295</v>
      </c>
      <c r="I10" s="80"/>
      <c r="J10" s="80"/>
      <c r="K10" s="27">
        <f>[1]Usage!U9</f>
        <v>750</v>
      </c>
      <c r="L10" s="26">
        <f>(K10*C10)/1000</f>
        <v>1987.5</v>
      </c>
      <c r="M10" s="81">
        <f>G10*K10</f>
        <v>26882.625</v>
      </c>
      <c r="N10" s="27">
        <f>[1]Usage!X9</f>
        <v>24</v>
      </c>
      <c r="O10" s="26">
        <f>(N10*D10)/1000</f>
        <v>49.2</v>
      </c>
      <c r="P10" s="81">
        <f>H10*N10</f>
        <v>699.10799999999995</v>
      </c>
      <c r="Q10" s="81"/>
      <c r="R10" s="81"/>
      <c r="S10" s="81"/>
      <c r="T10" s="81"/>
      <c r="U10" s="81"/>
      <c r="V10" s="81"/>
    </row>
    <row r="11" spans="1:22" x14ac:dyDescent="0.25">
      <c r="A11" s="106" t="s">
        <v>14</v>
      </c>
      <c r="B11" s="106"/>
      <c r="C11" s="26">
        <f>[1]Usage!T10</f>
        <v>10678</v>
      </c>
      <c r="D11" s="26">
        <f>[1]Usage!W10</f>
        <v>10015</v>
      </c>
      <c r="E11" s="26"/>
      <c r="F11" s="26"/>
      <c r="G11" s="80">
        <f>118.09+('[1]Existing Rates'!B5/1000)*(C11-10000)</f>
        <v>124.87</v>
      </c>
      <c r="H11" s="80">
        <f>118.09+('[1]Existing Rates'!B5/1000)*(D11-10000)</f>
        <v>118.24000000000001</v>
      </c>
      <c r="I11" s="80"/>
      <c r="J11" s="80"/>
      <c r="K11" s="27">
        <f>[1]Usage!U10</f>
        <v>55</v>
      </c>
      <c r="L11" s="26">
        <f>(K11*C11)/1000</f>
        <v>587.29</v>
      </c>
      <c r="M11" s="81">
        <f>G11*K11</f>
        <v>6867.85</v>
      </c>
      <c r="N11" s="27">
        <f>[1]Usage!X10</f>
        <v>1</v>
      </c>
      <c r="O11" s="26">
        <f>(N11*D11)/1000</f>
        <v>10.015000000000001</v>
      </c>
      <c r="P11" s="81">
        <f>H11*N11</f>
        <v>118.24000000000001</v>
      </c>
      <c r="Q11" s="81"/>
      <c r="R11" s="81"/>
      <c r="S11" s="81"/>
      <c r="T11" s="81"/>
      <c r="U11" s="81"/>
      <c r="V11" s="81"/>
    </row>
    <row r="12" spans="1:22" x14ac:dyDescent="0.25">
      <c r="A12" s="106" t="s">
        <v>15</v>
      </c>
      <c r="B12" s="106"/>
      <c r="C12" s="26">
        <f>[1]Usage!T11</f>
        <v>50111</v>
      </c>
      <c r="D12" s="26">
        <f>[1]Usage!W11</f>
        <v>50489</v>
      </c>
      <c r="E12" s="26"/>
      <c r="F12" s="26"/>
      <c r="G12" s="80">
        <f>518.09+('[1]Existing Rates'!B6/1000)*(C12-50000)</f>
        <v>519.06790999999998</v>
      </c>
      <c r="H12" s="80">
        <f>518.09+('[1]Existing Rates'!B6/1000)*(D12-50000)</f>
        <v>522.39809000000002</v>
      </c>
      <c r="I12" s="80"/>
      <c r="J12" s="80"/>
      <c r="K12" s="27">
        <f>[1]Usage!U11</f>
        <v>10</v>
      </c>
      <c r="L12" s="26">
        <f>(K12*C12)/1000</f>
        <v>501.11</v>
      </c>
      <c r="M12" s="81">
        <f>G12*K12</f>
        <v>5190.6790999999994</v>
      </c>
      <c r="N12" s="27">
        <f>[1]Usage!X11</f>
        <v>1</v>
      </c>
      <c r="O12" s="26">
        <f>(N12*D12)/1000</f>
        <v>50.488999999999997</v>
      </c>
      <c r="P12" s="81">
        <f>H12*N12</f>
        <v>522.39809000000002</v>
      </c>
      <c r="Q12" s="81"/>
      <c r="R12" s="81"/>
      <c r="S12" s="81"/>
      <c r="T12" s="81"/>
      <c r="U12" s="81"/>
      <c r="V12" s="81"/>
    </row>
    <row r="13" spans="1:22" x14ac:dyDescent="0.25">
      <c r="A13" s="78"/>
      <c r="B13" s="78"/>
      <c r="C13" s="26"/>
      <c r="D13" s="26"/>
      <c r="E13" s="26"/>
      <c r="F13" s="26"/>
      <c r="G13" s="80"/>
      <c r="H13" s="80"/>
      <c r="I13" s="80"/>
      <c r="J13" s="80"/>
      <c r="K13" s="27"/>
      <c r="L13" s="26"/>
      <c r="M13" s="81"/>
      <c r="N13" s="27"/>
      <c r="O13" s="26"/>
      <c r="P13" s="81"/>
      <c r="Q13" s="81"/>
      <c r="R13" s="81"/>
      <c r="S13" s="81"/>
      <c r="T13" s="81"/>
      <c r="U13" s="81"/>
      <c r="V13" s="81"/>
    </row>
    <row r="14" spans="1:22" x14ac:dyDescent="0.25">
      <c r="A14" s="76" t="s">
        <v>16</v>
      </c>
      <c r="B14" s="27"/>
      <c r="C14" s="26"/>
      <c r="D14" s="26"/>
      <c r="E14" s="26"/>
      <c r="F14" s="26"/>
      <c r="G14" s="80"/>
      <c r="H14" s="80"/>
      <c r="I14" s="80"/>
      <c r="J14" s="80"/>
      <c r="K14" s="27"/>
      <c r="L14" s="26"/>
      <c r="M14" s="81"/>
      <c r="N14" s="27"/>
      <c r="O14" s="26"/>
      <c r="P14" s="81"/>
      <c r="Q14" s="81"/>
      <c r="R14" s="81"/>
      <c r="S14" s="81"/>
      <c r="T14" s="81"/>
      <c r="U14" s="81"/>
      <c r="V14" s="81"/>
    </row>
    <row r="15" spans="1:22" x14ac:dyDescent="0.25">
      <c r="A15" s="79" t="s">
        <v>17</v>
      </c>
      <c r="B15" s="27"/>
      <c r="C15" s="26">
        <f>[1]Usage!T14</f>
        <v>1050</v>
      </c>
      <c r="D15" s="26">
        <f>[1]Usage!W14</f>
        <v>1650</v>
      </c>
      <c r="E15" s="26"/>
      <c r="F15" s="26"/>
      <c r="G15" s="80">
        <f>'[1]Existing Rates'!B9</f>
        <v>62.14</v>
      </c>
      <c r="H15" s="80">
        <f>'[1]Existing Rates'!B9</f>
        <v>62.14</v>
      </c>
      <c r="I15" s="80"/>
      <c r="J15" s="80"/>
      <c r="K15" s="27">
        <f>[1]Usage!U14</f>
        <v>3</v>
      </c>
      <c r="L15" s="26">
        <f>(K15*C15)/1000</f>
        <v>3.15</v>
      </c>
      <c r="M15" s="81">
        <f>G15*K15</f>
        <v>186.42000000000002</v>
      </c>
      <c r="N15" s="27">
        <f>[1]Usage!X14</f>
        <v>1</v>
      </c>
      <c r="O15" s="26">
        <f>(N15*D15)/1000</f>
        <v>1.65</v>
      </c>
      <c r="P15" s="81">
        <f>H15*N15</f>
        <v>62.14</v>
      </c>
      <c r="Q15" s="81"/>
      <c r="R15" s="81"/>
      <c r="S15" s="81"/>
      <c r="T15" s="81"/>
      <c r="U15" s="81"/>
      <c r="V15" s="81"/>
    </row>
    <row r="16" spans="1:22" x14ac:dyDescent="0.25">
      <c r="A16" s="79" t="s">
        <v>40</v>
      </c>
      <c r="B16" s="27"/>
      <c r="C16" s="26">
        <f>[1]Usage!T15</f>
        <v>5578</v>
      </c>
      <c r="D16" s="26">
        <f>[1]Usage!W15</f>
        <v>5000</v>
      </c>
      <c r="E16" s="26"/>
      <c r="F16" s="26"/>
      <c r="G16" s="80">
        <f>62.14+('[1]Existing Rates'!B10/1000)*(C16-5000)</f>
        <v>68.607820000000004</v>
      </c>
      <c r="H16" s="80">
        <f>62.14+('[1]Existing Rates'!B10/1000)*(D16-2000)</f>
        <v>95.710000000000008</v>
      </c>
      <c r="I16" s="80"/>
      <c r="J16" s="80"/>
      <c r="K16" s="27">
        <f>[1]Usage!U15</f>
        <v>2</v>
      </c>
      <c r="L16" s="26">
        <f>(K16*C16)/1000</f>
        <v>11.156000000000001</v>
      </c>
      <c r="M16" s="81">
        <f>G16*K16</f>
        <v>137.21564000000001</v>
      </c>
      <c r="N16" s="27">
        <f>[1]Usage!X15</f>
        <v>1</v>
      </c>
      <c r="O16" s="26">
        <f>(N16*D16)/1000</f>
        <v>5</v>
      </c>
      <c r="P16" s="81">
        <f>H16*N16</f>
        <v>95.710000000000008</v>
      </c>
      <c r="Q16" s="81"/>
      <c r="R16" s="81"/>
      <c r="S16" s="81"/>
      <c r="T16" s="81"/>
      <c r="U16" s="81"/>
      <c r="V16" s="81"/>
    </row>
    <row r="17" spans="1:22" x14ac:dyDescent="0.25">
      <c r="A17" s="106" t="s">
        <v>14</v>
      </c>
      <c r="B17" s="106"/>
      <c r="C17" s="26">
        <f>[1]Usage!T16</f>
        <v>10785</v>
      </c>
      <c r="D17" s="26">
        <f>[1]Usage!W16</f>
        <v>10000</v>
      </c>
      <c r="E17" s="26"/>
      <c r="F17" s="26"/>
      <c r="G17" s="80">
        <f>118.09+('[1]Existing Rates'!B11/1000)*(C17-10000)</f>
        <v>125.94</v>
      </c>
      <c r="H17" s="80">
        <f>118.09+('[1]Existing Rates'!B11/1000)*(D17-10000)</f>
        <v>118.09</v>
      </c>
      <c r="I17" s="80"/>
      <c r="J17" s="80"/>
      <c r="K17" s="27">
        <f>[1]Usage!U16</f>
        <v>1</v>
      </c>
      <c r="L17" s="26">
        <f>(K17*C17)/1000</f>
        <v>10.785</v>
      </c>
      <c r="M17" s="81">
        <f>G17*K17</f>
        <v>125.94</v>
      </c>
      <c r="N17" s="27">
        <f>[1]Usage!X16</f>
        <v>1</v>
      </c>
      <c r="O17" s="26">
        <f>(N17*D17)/1000</f>
        <v>10</v>
      </c>
      <c r="P17" s="81">
        <f>H17*N17</f>
        <v>118.09</v>
      </c>
      <c r="Q17" s="81"/>
      <c r="R17" s="81"/>
      <c r="S17" s="81"/>
      <c r="T17" s="81"/>
      <c r="U17" s="81"/>
      <c r="V17" s="81"/>
    </row>
    <row r="18" spans="1:22" x14ac:dyDescent="0.25">
      <c r="A18" s="106" t="s">
        <v>15</v>
      </c>
      <c r="B18" s="106"/>
      <c r="C18" s="26"/>
      <c r="D18" s="26"/>
      <c r="E18" s="26"/>
      <c r="F18" s="26"/>
      <c r="G18" s="80">
        <f>518.09+('[1]Existing Rates'!B12/1000)*(C18-50000)</f>
        <v>77.590000000000032</v>
      </c>
      <c r="H18" s="80">
        <f>518.09+('[1]Existing Rates'!B12/1000)*(D18-50000)</f>
        <v>77.590000000000032</v>
      </c>
      <c r="I18" s="80"/>
      <c r="J18" s="80"/>
      <c r="K18" s="27"/>
      <c r="L18" s="26"/>
      <c r="M18" s="81"/>
      <c r="N18" s="27"/>
      <c r="O18" s="26"/>
      <c r="P18" s="81"/>
      <c r="Q18" s="81"/>
      <c r="R18" s="81"/>
      <c r="S18" s="81"/>
      <c r="T18" s="81"/>
      <c r="U18" s="81"/>
      <c r="V18" s="81"/>
    </row>
    <row r="19" spans="1:22" x14ac:dyDescent="0.25">
      <c r="A19" s="78"/>
      <c r="B19" s="78"/>
      <c r="C19" s="26"/>
      <c r="D19" s="26"/>
      <c r="E19" s="26"/>
      <c r="F19" s="26"/>
      <c r="G19" s="80"/>
      <c r="H19" s="80"/>
      <c r="I19" s="80"/>
      <c r="J19" s="80"/>
      <c r="K19" s="27"/>
      <c r="L19" s="26"/>
      <c r="M19" s="81"/>
      <c r="N19" s="27"/>
      <c r="O19" s="26"/>
      <c r="P19" s="81"/>
      <c r="Q19" s="81"/>
      <c r="R19" s="81"/>
      <c r="S19" s="81"/>
      <c r="T19" s="81"/>
      <c r="U19" s="81"/>
      <c r="V19" s="81"/>
    </row>
    <row r="20" spans="1:22" x14ac:dyDescent="0.25">
      <c r="A20" s="76" t="s">
        <v>19</v>
      </c>
      <c r="B20" s="27"/>
      <c r="C20" s="26"/>
      <c r="D20" s="26"/>
      <c r="E20" s="26"/>
      <c r="F20" s="26"/>
      <c r="G20" s="80"/>
      <c r="H20" s="80"/>
      <c r="I20" s="80"/>
      <c r="J20" s="80"/>
      <c r="K20" s="27"/>
      <c r="L20" s="26"/>
      <c r="M20" s="81"/>
      <c r="N20" s="27"/>
      <c r="O20" s="26"/>
      <c r="P20" s="81"/>
      <c r="Q20" s="81"/>
      <c r="R20" s="81"/>
      <c r="S20" s="81"/>
      <c r="T20" s="81"/>
      <c r="U20" s="81"/>
      <c r="V20" s="81"/>
    </row>
    <row r="21" spans="1:22" x14ac:dyDescent="0.25">
      <c r="A21" s="79" t="s">
        <v>20</v>
      </c>
      <c r="B21" s="27"/>
      <c r="C21" s="26"/>
      <c r="D21" s="26">
        <f>[1]Usage!W20</f>
        <v>0</v>
      </c>
      <c r="E21" s="26"/>
      <c r="F21" s="26"/>
      <c r="G21" s="80">
        <f>'[1]Existing Rates'!B15</f>
        <v>118.09</v>
      </c>
      <c r="H21" s="80">
        <f>'[1]Existing Rates'!B15</f>
        <v>118.09</v>
      </c>
      <c r="I21" s="80"/>
      <c r="J21" s="80"/>
      <c r="K21" s="27"/>
      <c r="L21" s="26"/>
      <c r="M21" s="81"/>
      <c r="N21" s="27"/>
      <c r="O21" s="26"/>
      <c r="P21" s="81"/>
      <c r="Q21" s="81"/>
      <c r="R21" s="81"/>
      <c r="S21" s="81"/>
      <c r="T21" s="81"/>
      <c r="U21" s="81"/>
      <c r="V21" s="81"/>
    </row>
    <row r="22" spans="1:22" x14ac:dyDescent="0.25">
      <c r="A22" s="79" t="s">
        <v>41</v>
      </c>
      <c r="B22" s="27"/>
      <c r="C22" s="26"/>
      <c r="D22" s="26">
        <f>[1]Usage!W21</f>
        <v>10041</v>
      </c>
      <c r="E22" s="26"/>
      <c r="F22" s="26"/>
      <c r="G22" s="80">
        <f>518.09+('[1]Existing Rates'!B16/1000)*(C22-10000)</f>
        <v>418.09000000000003</v>
      </c>
      <c r="H22" s="80">
        <f>518.09+('[1]Existing Rates'!B16/1000)*(D22-10000)</f>
        <v>518.5</v>
      </c>
      <c r="I22" s="80"/>
      <c r="J22" s="80"/>
      <c r="K22" s="27">
        <f>[1]Usage!U21</f>
        <v>0</v>
      </c>
      <c r="L22" s="26">
        <f>(K22*C22)/1000</f>
        <v>0</v>
      </c>
      <c r="M22" s="81"/>
      <c r="N22" s="27">
        <f>[1]Usage!X21</f>
        <v>1</v>
      </c>
      <c r="O22" s="26">
        <f>(N22*D22)/1000</f>
        <v>10.041</v>
      </c>
      <c r="P22" s="81">
        <f>H22*N22</f>
        <v>518.5</v>
      </c>
      <c r="Q22" s="81"/>
      <c r="R22" s="81"/>
      <c r="S22" s="81"/>
      <c r="T22" s="81"/>
      <c r="U22" s="81"/>
      <c r="V22" s="81"/>
    </row>
    <row r="23" spans="1:22" x14ac:dyDescent="0.25">
      <c r="A23" s="106" t="s">
        <v>15</v>
      </c>
      <c r="B23" s="106"/>
      <c r="C23" s="26"/>
      <c r="D23" s="26">
        <f>[1]Usage!W22</f>
        <v>0</v>
      </c>
      <c r="E23" s="26"/>
      <c r="F23" s="26"/>
      <c r="G23" s="80"/>
      <c r="H23" s="80"/>
      <c r="I23" s="80"/>
      <c r="J23" s="80"/>
      <c r="K23" s="27"/>
      <c r="L23" s="26"/>
      <c r="M23" s="81"/>
      <c r="N23" s="27"/>
      <c r="O23" s="26"/>
      <c r="P23" s="81"/>
      <c r="Q23" s="81"/>
      <c r="R23" s="81"/>
      <c r="S23" s="81"/>
      <c r="T23" s="81"/>
      <c r="U23" s="81"/>
      <c r="V23" s="81"/>
    </row>
    <row r="24" spans="1:22" x14ac:dyDescent="0.25">
      <c r="A24" s="78"/>
      <c r="B24" s="78"/>
      <c r="C24" s="26"/>
      <c r="D24" s="26"/>
      <c r="E24" s="26"/>
      <c r="F24" s="26"/>
      <c r="G24" s="80"/>
      <c r="H24" s="80"/>
      <c r="I24" s="80"/>
      <c r="J24" s="80"/>
      <c r="K24" s="27"/>
      <c r="L24" s="26"/>
      <c r="M24" s="81"/>
      <c r="N24" s="27"/>
      <c r="O24" s="26"/>
      <c r="P24" s="81"/>
      <c r="Q24" s="81"/>
      <c r="R24" s="81"/>
      <c r="S24" s="81"/>
      <c r="T24" s="81"/>
      <c r="U24" s="81"/>
      <c r="V24" s="81"/>
    </row>
    <row r="25" spans="1:22" x14ac:dyDescent="0.25">
      <c r="A25" s="76" t="s">
        <v>22</v>
      </c>
      <c r="B25" s="27"/>
      <c r="C25" s="26"/>
      <c r="D25" s="26"/>
      <c r="E25" s="26"/>
      <c r="F25" s="26"/>
      <c r="G25" s="80"/>
      <c r="H25" s="80"/>
      <c r="I25" s="80"/>
      <c r="J25" s="80"/>
      <c r="K25" s="27"/>
      <c r="L25" s="26"/>
      <c r="M25" s="81"/>
      <c r="N25" s="27"/>
      <c r="O25" s="26"/>
      <c r="P25" s="81"/>
      <c r="Q25" s="81"/>
      <c r="R25" s="81"/>
      <c r="S25" s="81"/>
      <c r="T25" s="81"/>
      <c r="U25" s="81"/>
      <c r="V25" s="81"/>
    </row>
    <row r="26" spans="1:22" x14ac:dyDescent="0.25">
      <c r="A26" s="79" t="s">
        <v>23</v>
      </c>
      <c r="B26" s="27"/>
      <c r="C26" s="26"/>
      <c r="D26" s="26">
        <f>[1]Usage!W25</f>
        <v>17500</v>
      </c>
      <c r="E26" s="26"/>
      <c r="F26" s="26"/>
      <c r="G26" s="80"/>
      <c r="H26" s="80">
        <f>'[1]Existing Rates'!B20</f>
        <v>218.09</v>
      </c>
      <c r="I26" s="80"/>
      <c r="J26" s="80"/>
      <c r="K26" s="27"/>
      <c r="L26" s="26"/>
      <c r="M26" s="81"/>
      <c r="N26" s="27">
        <f>[1]Usage!X25</f>
        <v>3</v>
      </c>
      <c r="O26" s="26">
        <f>(N26*D26)/1000</f>
        <v>52.5</v>
      </c>
      <c r="P26" s="81">
        <f>H26*N26</f>
        <v>654.27</v>
      </c>
      <c r="Q26" s="81"/>
      <c r="R26" s="81"/>
      <c r="S26" s="81"/>
      <c r="T26" s="81"/>
      <c r="U26" s="81"/>
      <c r="V26" s="81"/>
    </row>
    <row r="27" spans="1:22" x14ac:dyDescent="0.25">
      <c r="A27" s="79" t="s">
        <v>42</v>
      </c>
      <c r="B27" s="27"/>
      <c r="C27" s="26"/>
      <c r="D27" s="26">
        <f>[1]Usage!W26</f>
        <v>49500</v>
      </c>
      <c r="E27" s="26"/>
      <c r="F27" s="26"/>
      <c r="G27" s="80"/>
      <c r="H27" s="80">
        <f>218.09+('[1]Existing Rates'!B21/1000)*(D27-20000)</f>
        <v>513.09</v>
      </c>
      <c r="I27" s="80"/>
      <c r="J27" s="80"/>
      <c r="K27" s="27"/>
      <c r="L27" s="26"/>
      <c r="M27" s="81"/>
      <c r="N27" s="27">
        <f>[1]Usage!X26</f>
        <v>2</v>
      </c>
      <c r="O27" s="26">
        <f>(N27*D27)/1000</f>
        <v>99</v>
      </c>
      <c r="P27" s="81">
        <f>H27*N27</f>
        <v>1026.18</v>
      </c>
      <c r="Q27" s="81"/>
      <c r="R27" s="81"/>
      <c r="S27" s="81"/>
      <c r="T27" s="81"/>
      <c r="U27" s="81"/>
      <c r="V27" s="81"/>
    </row>
    <row r="28" spans="1:22" x14ac:dyDescent="0.25">
      <c r="A28" s="106" t="s">
        <v>15</v>
      </c>
      <c r="B28" s="106"/>
      <c r="C28" s="26"/>
      <c r="D28" s="26">
        <f>[1]Usage!W27</f>
        <v>0</v>
      </c>
      <c r="E28" s="26"/>
      <c r="F28" s="26"/>
      <c r="G28" s="80"/>
      <c r="H28" s="80"/>
      <c r="I28" s="80"/>
      <c r="J28" s="80"/>
      <c r="K28" s="27"/>
      <c r="L28" s="26"/>
      <c r="M28" s="81"/>
      <c r="N28" s="27"/>
      <c r="O28" s="26"/>
      <c r="P28" s="81"/>
      <c r="Q28" s="81"/>
      <c r="R28" s="81"/>
      <c r="S28" s="81"/>
      <c r="T28" s="81"/>
      <c r="U28" s="81"/>
      <c r="V28" s="81"/>
    </row>
    <row r="29" spans="1:22" x14ac:dyDescent="0.25">
      <c r="A29" s="78"/>
      <c r="B29" s="78"/>
      <c r="C29" s="26"/>
      <c r="D29" s="26"/>
      <c r="E29" s="26"/>
      <c r="F29" s="26"/>
      <c r="G29" s="80"/>
      <c r="H29" s="80"/>
      <c r="I29" s="80"/>
      <c r="J29" s="80"/>
      <c r="K29" s="27"/>
      <c r="L29" s="26"/>
      <c r="M29" s="81"/>
      <c r="N29" s="27"/>
      <c r="O29" s="26"/>
      <c r="P29" s="81"/>
      <c r="Q29" s="81"/>
      <c r="R29" s="81"/>
      <c r="S29" s="81"/>
      <c r="T29" s="81"/>
      <c r="U29" s="81"/>
      <c r="V29" s="81"/>
    </row>
    <row r="30" spans="1:22" x14ac:dyDescent="0.25">
      <c r="A30" s="76" t="s">
        <v>25</v>
      </c>
      <c r="B30" s="27"/>
      <c r="C30" s="26"/>
      <c r="D30" s="26"/>
      <c r="E30" s="26"/>
      <c r="F30" s="26"/>
      <c r="G30" s="80"/>
      <c r="H30" s="80"/>
      <c r="I30" s="80"/>
      <c r="J30" s="80"/>
      <c r="K30" s="27"/>
      <c r="L30" s="26"/>
      <c r="M30" s="81"/>
      <c r="N30" s="27"/>
      <c r="O30" s="26"/>
      <c r="P30" s="81"/>
      <c r="Q30" s="81"/>
      <c r="R30" s="81"/>
      <c r="S30" s="81"/>
      <c r="T30" s="81"/>
      <c r="U30" s="81"/>
      <c r="V30" s="81"/>
    </row>
    <row r="31" spans="1:22" x14ac:dyDescent="0.25">
      <c r="A31" s="79" t="s">
        <v>26</v>
      </c>
      <c r="B31" s="27"/>
      <c r="C31" s="26"/>
      <c r="D31" s="26"/>
      <c r="E31" s="26"/>
      <c r="F31" s="26"/>
      <c r="G31" s="80"/>
      <c r="H31" s="80"/>
      <c r="I31" s="80"/>
      <c r="J31" s="80"/>
      <c r="K31" s="27"/>
      <c r="L31" s="26"/>
      <c r="M31" s="81"/>
      <c r="N31" s="27"/>
      <c r="O31" s="26"/>
      <c r="P31" s="81"/>
      <c r="Q31" s="81"/>
      <c r="R31" s="81"/>
      <c r="S31" s="81"/>
      <c r="T31" s="81"/>
      <c r="U31" s="81"/>
      <c r="V31" s="81"/>
    </row>
    <row r="32" spans="1:22" x14ac:dyDescent="0.25">
      <c r="A32" s="79" t="s">
        <v>43</v>
      </c>
      <c r="B32" s="27"/>
      <c r="C32" s="26"/>
      <c r="D32" s="26"/>
      <c r="E32" s="26"/>
      <c r="F32" s="26"/>
      <c r="G32" s="80"/>
      <c r="H32" s="80"/>
      <c r="I32" s="80"/>
      <c r="J32" s="80"/>
      <c r="K32" s="27"/>
      <c r="L32" s="26"/>
      <c r="M32" s="81"/>
      <c r="N32" s="27"/>
      <c r="O32" s="26"/>
      <c r="P32" s="81"/>
      <c r="Q32" s="81"/>
      <c r="R32" s="81"/>
      <c r="S32" s="81"/>
      <c r="T32" s="81"/>
      <c r="U32" s="81"/>
      <c r="V32" s="81"/>
    </row>
    <row r="33" spans="1:22" x14ac:dyDescent="0.25">
      <c r="A33" s="106" t="s">
        <v>15</v>
      </c>
      <c r="B33" s="106"/>
      <c r="C33" s="26"/>
      <c r="D33" s="26"/>
      <c r="E33" s="26"/>
      <c r="F33" s="26"/>
      <c r="G33" s="80"/>
      <c r="H33" s="80"/>
      <c r="I33" s="80"/>
      <c r="J33" s="80"/>
      <c r="K33" s="27"/>
      <c r="L33" s="26"/>
      <c r="M33" s="81"/>
      <c r="N33" s="27"/>
      <c r="O33" s="26"/>
      <c r="P33" s="81"/>
      <c r="Q33" s="81"/>
      <c r="R33" s="81"/>
      <c r="S33" s="81"/>
      <c r="T33" s="81"/>
      <c r="U33" s="81"/>
      <c r="V33" s="81"/>
    </row>
    <row r="34" spans="1:22" x14ac:dyDescent="0.25">
      <c r="A34" s="82"/>
      <c r="B34" s="27"/>
      <c r="C34" s="26"/>
      <c r="D34" s="26"/>
      <c r="E34" s="26"/>
      <c r="F34" s="26"/>
      <c r="G34" s="80"/>
      <c r="H34" s="80"/>
      <c r="I34" s="83"/>
      <c r="J34" s="83"/>
      <c r="K34" s="27"/>
      <c r="L34" s="26"/>
      <c r="M34" s="81"/>
      <c r="N34" s="27"/>
      <c r="O34" s="26"/>
      <c r="P34" s="81"/>
      <c r="Q34" s="81"/>
      <c r="R34" s="26"/>
      <c r="S34" s="81"/>
      <c r="T34" s="81"/>
      <c r="U34" s="26"/>
      <c r="V34" s="81"/>
    </row>
    <row r="35" spans="1:22" x14ac:dyDescent="0.25">
      <c r="A35" s="27"/>
      <c r="B35" s="27"/>
      <c r="C35" s="84" t="s">
        <v>44</v>
      </c>
      <c r="D35" s="85"/>
      <c r="E35" s="85"/>
      <c r="F35" s="85"/>
      <c r="G35" s="86"/>
      <c r="H35" s="86"/>
      <c r="I35" s="86"/>
      <c r="J35" s="86"/>
      <c r="K35" s="87">
        <f t="shared" ref="K35:S35" si="0">SUM(K9:K33)</f>
        <v>1118</v>
      </c>
      <c r="L35" s="36">
        <f t="shared" si="0"/>
        <v>3316.3159999999998</v>
      </c>
      <c r="M35" s="88">
        <f t="shared" si="0"/>
        <v>47876.019740000003</v>
      </c>
      <c r="N35" s="35">
        <f t="shared" si="0"/>
        <v>92</v>
      </c>
      <c r="O35" s="36">
        <f t="shared" si="0"/>
        <v>337.77</v>
      </c>
      <c r="P35" s="88">
        <f t="shared" si="0"/>
        <v>5443.1260899999997</v>
      </c>
      <c r="Q35" s="35">
        <f t="shared" si="0"/>
        <v>0</v>
      </c>
      <c r="R35" s="36">
        <f t="shared" si="0"/>
        <v>0</v>
      </c>
      <c r="S35" s="88">
        <f t="shared" si="0"/>
        <v>0</v>
      </c>
      <c r="T35" s="35">
        <f>SUM(T9:T34)</f>
        <v>0</v>
      </c>
      <c r="U35" s="36">
        <f>SUM(U9:U34)</f>
        <v>0</v>
      </c>
      <c r="V35" s="88">
        <f>SUM(V9:V34)</f>
        <v>0</v>
      </c>
    </row>
    <row r="36" spans="1:22" x14ac:dyDescent="0.25">
      <c r="A36" s="79" t="s">
        <v>45</v>
      </c>
      <c r="B36" s="27"/>
      <c r="C36" s="27"/>
      <c r="D36" s="27"/>
      <c r="E36" s="27"/>
      <c r="F36" s="27"/>
      <c r="G36" s="89">
        <f>'[1]Existing Rates'!B3+((('[1]Water Forecast'!L37-2000)/1000)*'[1]Existing Rates'!B4)</f>
        <v>39.382822933810374</v>
      </c>
      <c r="H36" s="89"/>
      <c r="I36" s="89"/>
      <c r="J36" s="89"/>
      <c r="K36" s="27"/>
      <c r="L36" s="27"/>
      <c r="M36" s="90"/>
      <c r="N36" s="27"/>
      <c r="O36" s="27"/>
      <c r="P36" s="91"/>
      <c r="Q36" s="92"/>
      <c r="R36" s="92"/>
      <c r="S36" s="92"/>
      <c r="T36" s="92"/>
      <c r="U36" s="92"/>
      <c r="V36" s="92"/>
    </row>
    <row r="37" spans="1:22" ht="15.75" thickBot="1" x14ac:dyDescent="0.3">
      <c r="A37" s="79" t="s">
        <v>29</v>
      </c>
      <c r="B37" s="27"/>
      <c r="C37" s="27"/>
      <c r="D37" s="27"/>
      <c r="E37" s="27"/>
      <c r="F37" s="27"/>
      <c r="G37" s="43"/>
      <c r="H37" s="43"/>
      <c r="I37" s="43"/>
      <c r="J37" s="43"/>
      <c r="K37" s="43"/>
      <c r="L37" s="42">
        <f>(L35*1000)/K35</f>
        <v>2966.2933810375671</v>
      </c>
      <c r="M37" s="93"/>
      <c r="N37" s="43"/>
      <c r="O37" s="42">
        <f>(O35*1000)/N35</f>
        <v>3671.413043478261</v>
      </c>
      <c r="P37" s="93"/>
      <c r="Q37" s="93"/>
      <c r="R37" s="42" t="e">
        <f>(R35*1000)/Q35</f>
        <v>#DIV/0!</v>
      </c>
      <c r="S37" s="93"/>
      <c r="T37" s="93"/>
      <c r="U37" s="42" t="e">
        <f>(U35*1000)/T35</f>
        <v>#DIV/0!</v>
      </c>
      <c r="V37" s="93"/>
    </row>
    <row r="38" spans="1:22" ht="15.75" thickTop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94"/>
      <c r="N38" s="45"/>
      <c r="O38" s="45"/>
      <c r="P38" s="94"/>
      <c r="Q38" s="95"/>
      <c r="R38" s="95"/>
      <c r="S38" s="95"/>
      <c r="T38" s="95"/>
      <c r="U38" s="95"/>
      <c r="V38" s="95"/>
    </row>
    <row r="39" spans="1:22" x14ac:dyDescent="0.25">
      <c r="A39" s="76"/>
      <c r="B39" s="27"/>
      <c r="C39" s="27"/>
      <c r="D39" s="27"/>
      <c r="E39" s="27"/>
      <c r="F39" s="27"/>
      <c r="G39" s="96"/>
      <c r="H39" s="96"/>
      <c r="I39" s="96"/>
      <c r="J39" s="96"/>
      <c r="K39" s="27"/>
      <c r="L39" s="27"/>
      <c r="M39" s="91"/>
      <c r="N39" s="27"/>
      <c r="O39" s="27"/>
      <c r="P39" s="91"/>
      <c r="Q39" s="91"/>
      <c r="R39" s="91"/>
      <c r="S39" s="91"/>
      <c r="T39" s="91"/>
      <c r="U39" s="91"/>
      <c r="V39" s="91"/>
    </row>
    <row r="40" spans="1:22" ht="15.75" thickBot="1" x14ac:dyDescent="0.3">
      <c r="A40" s="76"/>
      <c r="B40" s="27"/>
      <c r="C40" s="50" t="s">
        <v>30</v>
      </c>
      <c r="D40" s="50"/>
      <c r="E40" s="50"/>
      <c r="F40" s="50"/>
      <c r="G40" s="50"/>
      <c r="H40" s="50"/>
      <c r="I40" s="50"/>
      <c r="J40" s="50"/>
      <c r="K40" s="97">
        <f t="shared" ref="K40:S40" si="1">K35</f>
        <v>1118</v>
      </c>
      <c r="L40" s="97">
        <f t="shared" si="1"/>
        <v>3316.3159999999998</v>
      </c>
      <c r="M40" s="98">
        <f t="shared" si="1"/>
        <v>47876.019740000003</v>
      </c>
      <c r="N40" s="97">
        <f t="shared" si="1"/>
        <v>92</v>
      </c>
      <c r="O40" s="97">
        <f t="shared" si="1"/>
        <v>337.77</v>
      </c>
      <c r="P40" s="98">
        <f t="shared" si="1"/>
        <v>5443.1260899999997</v>
      </c>
      <c r="Q40" s="97">
        <f t="shared" si="1"/>
        <v>0</v>
      </c>
      <c r="R40" s="97">
        <f t="shared" si="1"/>
        <v>0</v>
      </c>
      <c r="S40" s="98">
        <f t="shared" si="1"/>
        <v>0</v>
      </c>
      <c r="T40" s="97">
        <f>T35</f>
        <v>0</v>
      </c>
      <c r="U40" s="97">
        <f>U35</f>
        <v>0</v>
      </c>
      <c r="V40" s="98">
        <f>V35</f>
        <v>0</v>
      </c>
    </row>
    <row r="41" spans="1:22" ht="15.75" thickTop="1" x14ac:dyDescent="0.25"/>
  </sheetData>
  <mergeCells count="10">
    <mergeCell ref="A18:B18"/>
    <mergeCell ref="A23:B23"/>
    <mergeCell ref="A28:B28"/>
    <mergeCell ref="A33:B33"/>
    <mergeCell ref="G5:J5"/>
    <mergeCell ref="C6:F6"/>
    <mergeCell ref="G6:J6"/>
    <mergeCell ref="A11:B11"/>
    <mergeCell ref="A12:B12"/>
    <mergeCell ref="A17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33C95-D44A-4EC5-A430-F9AB9463C75F}">
  <dimension ref="A1:V41"/>
  <sheetViews>
    <sheetView workbookViewId="0">
      <selection activeCell="L17" sqref="L17"/>
    </sheetView>
  </sheetViews>
  <sheetFormatPr defaultRowHeight="15" x14ac:dyDescent="0.25"/>
  <sheetData>
    <row r="1" spans="1:22" x14ac:dyDescent="0.25">
      <c r="A1" s="56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45"/>
      <c r="R1" s="56"/>
      <c r="S1" s="45"/>
      <c r="T1" s="45"/>
      <c r="U1" s="45"/>
      <c r="V1" s="45"/>
    </row>
    <row r="2" spans="1:22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7"/>
      <c r="N2" s="27"/>
      <c r="O2" s="27"/>
      <c r="P2" s="27"/>
      <c r="Q2" s="45"/>
      <c r="R2" s="45"/>
      <c r="S2" s="45"/>
      <c r="T2" s="45"/>
      <c r="U2" s="45"/>
      <c r="V2" s="45"/>
    </row>
    <row r="3" spans="1:22" x14ac:dyDescent="0.25">
      <c r="A3" s="27"/>
      <c r="B3" s="27"/>
      <c r="C3" s="27"/>
      <c r="D3" s="27"/>
      <c r="E3" s="27"/>
      <c r="F3" s="27"/>
      <c r="G3" s="45"/>
      <c r="H3" s="45"/>
      <c r="I3" s="45"/>
      <c r="J3" s="45"/>
      <c r="K3" s="27"/>
      <c r="L3" s="27"/>
      <c r="M3" s="27"/>
      <c r="N3" s="27"/>
      <c r="O3" s="27"/>
      <c r="P3" s="27"/>
      <c r="Q3" s="45"/>
      <c r="R3" s="45"/>
      <c r="S3" s="45"/>
      <c r="T3" s="45"/>
      <c r="U3" s="45"/>
      <c r="V3" s="45"/>
    </row>
    <row r="4" spans="1:22" x14ac:dyDescent="0.25">
      <c r="A4" s="45"/>
      <c r="B4" s="58"/>
      <c r="C4" s="59"/>
      <c r="D4" s="59"/>
      <c r="E4" s="59"/>
      <c r="F4" s="59"/>
      <c r="G4" s="60"/>
      <c r="H4" s="60"/>
      <c r="I4" s="60"/>
      <c r="J4" s="60"/>
      <c r="K4" s="45"/>
      <c r="L4" s="45"/>
      <c r="M4" s="45"/>
      <c r="N4" s="45"/>
      <c r="O4" s="45"/>
      <c r="P4" s="45"/>
      <c r="Q4" s="45"/>
      <c r="R4" s="45"/>
      <c r="S4" s="58"/>
      <c r="T4" s="59"/>
      <c r="U4" s="60"/>
      <c r="V4" s="58"/>
    </row>
    <row r="5" spans="1:22" x14ac:dyDescent="0.25">
      <c r="A5" s="59" t="s">
        <v>35</v>
      </c>
      <c r="B5" s="27"/>
      <c r="C5" s="45"/>
      <c r="D5" s="45"/>
      <c r="E5" s="45"/>
      <c r="F5" s="45"/>
      <c r="G5" s="107" t="s">
        <v>36</v>
      </c>
      <c r="H5" s="107"/>
      <c r="I5" s="107"/>
      <c r="J5" s="107"/>
      <c r="K5" s="61"/>
      <c r="L5" s="62" t="s">
        <v>1</v>
      </c>
      <c r="M5" s="63"/>
      <c r="N5" s="63"/>
      <c r="O5" s="62" t="s">
        <v>2</v>
      </c>
      <c r="P5" s="63"/>
      <c r="Q5" s="63"/>
      <c r="R5" s="62" t="s">
        <v>3</v>
      </c>
      <c r="S5" s="63"/>
      <c r="T5" s="63"/>
      <c r="U5" s="64" t="s">
        <v>4</v>
      </c>
      <c r="V5" s="63"/>
    </row>
    <row r="6" spans="1:22" x14ac:dyDescent="0.25">
      <c r="A6" s="59"/>
      <c r="B6" s="27"/>
      <c r="C6" s="108" t="s">
        <v>36</v>
      </c>
      <c r="D6" s="108"/>
      <c r="E6" s="99"/>
      <c r="F6" s="99"/>
      <c r="G6" s="109" t="s">
        <v>37</v>
      </c>
      <c r="H6" s="109"/>
      <c r="I6" s="109"/>
      <c r="J6" s="110"/>
      <c r="K6" s="65" t="s">
        <v>6</v>
      </c>
      <c r="L6" s="66" t="s">
        <v>7</v>
      </c>
      <c r="M6" s="66" t="s">
        <v>38</v>
      </c>
      <c r="N6" s="67" t="s">
        <v>6</v>
      </c>
      <c r="O6" s="66" t="s">
        <v>7</v>
      </c>
      <c r="P6" s="68" t="s">
        <v>38</v>
      </c>
      <c r="Q6" s="67" t="s">
        <v>6</v>
      </c>
      <c r="R6" s="66" t="s">
        <v>7</v>
      </c>
      <c r="S6" s="66" t="s">
        <v>38</v>
      </c>
      <c r="T6" s="67" t="s">
        <v>6</v>
      </c>
      <c r="U6" s="66" t="s">
        <v>7</v>
      </c>
      <c r="V6" s="68" t="s">
        <v>38</v>
      </c>
    </row>
    <row r="7" spans="1:22" x14ac:dyDescent="0.25">
      <c r="A7" s="69"/>
      <c r="B7" s="48"/>
      <c r="C7" s="70" t="s">
        <v>1</v>
      </c>
      <c r="D7" s="70" t="s">
        <v>2</v>
      </c>
      <c r="E7" s="70" t="s">
        <v>3</v>
      </c>
      <c r="F7" s="70" t="s">
        <v>4</v>
      </c>
      <c r="G7" s="71" t="s">
        <v>1</v>
      </c>
      <c r="H7" s="71" t="s">
        <v>2</v>
      </c>
      <c r="I7" s="71" t="s">
        <v>3</v>
      </c>
      <c r="J7" s="100" t="s">
        <v>4</v>
      </c>
      <c r="K7" s="72" t="s">
        <v>9</v>
      </c>
      <c r="L7" s="73" t="s">
        <v>10</v>
      </c>
      <c r="M7" s="74"/>
      <c r="N7" s="72" t="s">
        <v>9</v>
      </c>
      <c r="O7" s="73" t="s">
        <v>10</v>
      </c>
      <c r="P7" s="74"/>
      <c r="Q7" s="72" t="s">
        <v>9</v>
      </c>
      <c r="R7" s="73" t="s">
        <v>10</v>
      </c>
      <c r="S7" s="75"/>
      <c r="T7" s="72" t="s">
        <v>9</v>
      </c>
      <c r="U7" s="73" t="s">
        <v>10</v>
      </c>
      <c r="V7" s="74"/>
    </row>
    <row r="8" spans="1:22" x14ac:dyDescent="0.25">
      <c r="A8" s="76" t="s">
        <v>11</v>
      </c>
      <c r="B8" s="27"/>
      <c r="C8" s="27"/>
      <c r="D8" s="27"/>
      <c r="E8" s="27"/>
      <c r="F8" s="27"/>
      <c r="G8" s="77"/>
      <c r="H8" s="77"/>
      <c r="I8" s="77"/>
      <c r="J8" s="7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79" t="s">
        <v>12</v>
      </c>
      <c r="B9" s="27"/>
      <c r="C9" s="26">
        <v>725</v>
      </c>
      <c r="D9" s="26">
        <v>875</v>
      </c>
      <c r="E9" s="26"/>
      <c r="F9" s="26"/>
      <c r="G9" s="80">
        <v>37.14</v>
      </c>
      <c r="H9" s="80">
        <v>37.14</v>
      </c>
      <c r="I9" s="80"/>
      <c r="J9" s="80"/>
      <c r="K9" s="27">
        <v>297</v>
      </c>
      <c r="L9" s="26">
        <v>215.32499999999999</v>
      </c>
      <c r="M9" s="81">
        <v>11030.58</v>
      </c>
      <c r="N9" s="27">
        <v>57</v>
      </c>
      <c r="O9" s="26">
        <v>49.875</v>
      </c>
      <c r="P9" s="81">
        <v>2116.98</v>
      </c>
      <c r="Q9" s="81"/>
      <c r="R9" s="81"/>
      <c r="S9" s="81"/>
      <c r="T9" s="81"/>
      <c r="U9" s="81"/>
      <c r="V9" s="81"/>
    </row>
    <row r="10" spans="1:22" x14ac:dyDescent="0.25">
      <c r="A10" s="79" t="s">
        <v>47</v>
      </c>
      <c r="B10" s="27"/>
      <c r="C10" s="26">
        <v>2650</v>
      </c>
      <c r="D10" s="26">
        <v>2050</v>
      </c>
      <c r="E10" s="26"/>
      <c r="F10" s="26"/>
      <c r="G10" s="80">
        <v>46.597499999999997</v>
      </c>
      <c r="H10" s="80">
        <v>39.297499999999999</v>
      </c>
      <c r="I10" s="80"/>
      <c r="J10" s="80"/>
      <c r="K10" s="27">
        <v>750</v>
      </c>
      <c r="L10" s="26">
        <v>1987.5</v>
      </c>
      <c r="M10" s="81">
        <v>34948.125</v>
      </c>
      <c r="N10" s="27">
        <v>24</v>
      </c>
      <c r="O10" s="26">
        <v>49.2</v>
      </c>
      <c r="P10" s="81">
        <v>943.14</v>
      </c>
      <c r="Q10" s="81"/>
      <c r="R10" s="81"/>
      <c r="S10" s="81"/>
      <c r="T10" s="81"/>
      <c r="U10" s="81"/>
      <c r="V10" s="81"/>
    </row>
    <row r="11" spans="1:22" x14ac:dyDescent="0.25">
      <c r="A11" s="106" t="s">
        <v>14</v>
      </c>
      <c r="B11" s="106"/>
      <c r="C11" s="26">
        <v>10678</v>
      </c>
      <c r="D11" s="26">
        <v>10015</v>
      </c>
      <c r="E11" s="26"/>
      <c r="F11" s="26"/>
      <c r="G11" s="80">
        <v>162.35399999999998</v>
      </c>
      <c r="H11" s="80">
        <v>159.64499999999998</v>
      </c>
      <c r="I11" s="80"/>
      <c r="J11" s="80"/>
      <c r="K11" s="27">
        <v>55</v>
      </c>
      <c r="L11" s="26">
        <v>587.29</v>
      </c>
      <c r="M11" s="81">
        <v>8929.4699999999993</v>
      </c>
      <c r="N11" s="27">
        <v>1</v>
      </c>
      <c r="O11" s="26">
        <v>10.015000000000001</v>
      </c>
      <c r="P11" s="81">
        <v>159.64499999999998</v>
      </c>
      <c r="Q11" s="81"/>
      <c r="R11" s="81"/>
      <c r="S11" s="81"/>
      <c r="T11" s="81"/>
      <c r="U11" s="81"/>
      <c r="V11" s="81"/>
    </row>
    <row r="12" spans="1:22" x14ac:dyDescent="0.25">
      <c r="A12" s="106" t="s">
        <v>15</v>
      </c>
      <c r="B12" s="106"/>
      <c r="C12" s="26">
        <v>50111</v>
      </c>
      <c r="D12" s="26">
        <v>50489</v>
      </c>
      <c r="E12" s="26"/>
      <c r="F12" s="26"/>
      <c r="G12" s="80">
        <v>674.81094999999993</v>
      </c>
      <c r="H12" s="80">
        <v>705.04905000000008</v>
      </c>
      <c r="I12" s="80"/>
      <c r="J12" s="80"/>
      <c r="K12" s="27">
        <v>10</v>
      </c>
      <c r="L12" s="26">
        <v>501.11</v>
      </c>
      <c r="M12" s="81">
        <v>6748.1094999999996</v>
      </c>
      <c r="N12" s="27">
        <v>1</v>
      </c>
      <c r="O12" s="26">
        <v>50.488999999999997</v>
      </c>
      <c r="P12" s="81">
        <v>705.04905000000008</v>
      </c>
      <c r="Q12" s="81"/>
      <c r="R12" s="81"/>
      <c r="S12" s="81"/>
      <c r="T12" s="81"/>
      <c r="U12" s="81"/>
      <c r="V12" s="81"/>
    </row>
    <row r="13" spans="1:22" x14ac:dyDescent="0.25">
      <c r="A13" s="78"/>
      <c r="B13" s="78"/>
      <c r="C13" s="26"/>
      <c r="D13" s="26"/>
      <c r="E13" s="26"/>
      <c r="F13" s="26"/>
      <c r="G13" s="80"/>
      <c r="H13" s="80"/>
      <c r="I13" s="80"/>
      <c r="J13" s="80"/>
      <c r="K13" s="27"/>
      <c r="L13" s="26"/>
      <c r="M13" s="81"/>
      <c r="N13" s="27"/>
      <c r="O13" s="26"/>
      <c r="P13" s="81"/>
      <c r="Q13" s="81"/>
      <c r="R13" s="81"/>
      <c r="S13" s="81"/>
      <c r="T13" s="81"/>
      <c r="U13" s="81"/>
      <c r="V13" s="81"/>
    </row>
    <row r="14" spans="1:22" x14ac:dyDescent="0.25">
      <c r="A14" s="76" t="s">
        <v>16</v>
      </c>
      <c r="B14" s="27"/>
      <c r="C14" s="26"/>
      <c r="D14" s="26"/>
      <c r="E14" s="26"/>
      <c r="F14" s="26"/>
      <c r="G14" s="80"/>
      <c r="H14" s="80"/>
      <c r="I14" s="80"/>
      <c r="J14" s="80"/>
      <c r="K14" s="27"/>
      <c r="L14" s="26"/>
      <c r="M14" s="81"/>
      <c r="N14" s="27"/>
      <c r="O14" s="26"/>
      <c r="P14" s="81"/>
      <c r="Q14" s="81"/>
      <c r="R14" s="81"/>
      <c r="S14" s="81"/>
      <c r="T14" s="81"/>
      <c r="U14" s="81"/>
      <c r="V14" s="81"/>
    </row>
    <row r="15" spans="1:22" x14ac:dyDescent="0.25">
      <c r="A15" s="79" t="s">
        <v>17</v>
      </c>
      <c r="B15" s="27"/>
      <c r="C15" s="26">
        <v>1050</v>
      </c>
      <c r="D15" s="26">
        <v>1650</v>
      </c>
      <c r="E15" s="26"/>
      <c r="F15" s="26"/>
      <c r="G15" s="80">
        <v>80.78</v>
      </c>
      <c r="H15" s="80">
        <v>80.78</v>
      </c>
      <c r="I15" s="80"/>
      <c r="J15" s="80"/>
      <c r="K15" s="27">
        <v>3</v>
      </c>
      <c r="L15" s="26">
        <v>3.15</v>
      </c>
      <c r="M15" s="81">
        <v>242.34</v>
      </c>
      <c r="N15" s="27">
        <v>1</v>
      </c>
      <c r="O15" s="26">
        <v>1.65</v>
      </c>
      <c r="P15" s="81">
        <v>80.78</v>
      </c>
      <c r="Q15" s="81"/>
      <c r="R15" s="81"/>
      <c r="S15" s="81"/>
      <c r="T15" s="81"/>
      <c r="U15" s="81"/>
      <c r="V15" s="81"/>
    </row>
    <row r="16" spans="1:22" x14ac:dyDescent="0.25">
      <c r="A16" s="79" t="s">
        <v>40</v>
      </c>
      <c r="B16" s="27"/>
      <c r="C16" s="26">
        <v>5578</v>
      </c>
      <c r="D16" s="26">
        <v>5000</v>
      </c>
      <c r="E16" s="26"/>
      <c r="F16" s="26"/>
      <c r="G16" s="80">
        <v>89.189899999999994</v>
      </c>
      <c r="H16" s="80">
        <v>83.89</v>
      </c>
      <c r="I16" s="80"/>
      <c r="J16" s="80"/>
      <c r="K16" s="27">
        <v>2</v>
      </c>
      <c r="L16" s="26">
        <v>11.156000000000001</v>
      </c>
      <c r="M16" s="81">
        <v>178.37979999999999</v>
      </c>
      <c r="N16" s="27">
        <v>1</v>
      </c>
      <c r="O16" s="26">
        <v>5</v>
      </c>
      <c r="P16" s="81">
        <v>83.89</v>
      </c>
      <c r="Q16" s="81"/>
      <c r="R16" s="81"/>
      <c r="S16" s="81"/>
      <c r="T16" s="81"/>
      <c r="U16" s="81"/>
      <c r="V16" s="81"/>
    </row>
    <row r="17" spans="1:22" x14ac:dyDescent="0.25">
      <c r="A17" s="106" t="s">
        <v>14</v>
      </c>
      <c r="B17" s="106"/>
      <c r="C17" s="26">
        <v>10785</v>
      </c>
      <c r="D17" s="26">
        <v>10000</v>
      </c>
      <c r="E17" s="26"/>
      <c r="F17" s="26"/>
      <c r="G17" s="80">
        <v>163.73500000000001</v>
      </c>
      <c r="H17" s="80">
        <v>159.44</v>
      </c>
      <c r="I17" s="80"/>
      <c r="J17" s="80"/>
      <c r="K17" s="27">
        <v>1</v>
      </c>
      <c r="L17" s="26">
        <v>10.785</v>
      </c>
      <c r="M17" s="81">
        <v>163.73500000000001</v>
      </c>
      <c r="N17" s="27">
        <v>1</v>
      </c>
      <c r="O17" s="26">
        <v>10</v>
      </c>
      <c r="P17" s="81">
        <v>159.44</v>
      </c>
      <c r="Q17" s="81"/>
      <c r="R17" s="81"/>
      <c r="S17" s="81"/>
      <c r="T17" s="81"/>
      <c r="U17" s="81"/>
      <c r="V17" s="81"/>
    </row>
    <row r="18" spans="1:22" x14ac:dyDescent="0.25">
      <c r="A18" s="106" t="s">
        <v>15</v>
      </c>
      <c r="B18" s="106"/>
      <c r="C18" s="26"/>
      <c r="D18" s="26"/>
      <c r="E18" s="26"/>
      <c r="F18" s="26"/>
      <c r="G18" s="80"/>
      <c r="H18" s="80"/>
      <c r="I18" s="80"/>
      <c r="J18" s="80"/>
      <c r="K18" s="27"/>
      <c r="L18" s="26"/>
      <c r="M18" s="81"/>
      <c r="N18" s="27"/>
      <c r="O18" s="26"/>
      <c r="P18" s="81"/>
      <c r="Q18" s="81"/>
      <c r="R18" s="81"/>
      <c r="S18" s="81"/>
      <c r="T18" s="81"/>
      <c r="U18" s="81"/>
      <c r="V18" s="81"/>
    </row>
    <row r="19" spans="1:22" x14ac:dyDescent="0.25">
      <c r="A19" s="78"/>
      <c r="B19" s="78"/>
      <c r="C19" s="26"/>
      <c r="D19" s="26"/>
      <c r="E19" s="26"/>
      <c r="F19" s="26"/>
      <c r="G19" s="80"/>
      <c r="H19" s="80"/>
      <c r="I19" s="80"/>
      <c r="J19" s="80"/>
      <c r="K19" s="27"/>
      <c r="L19" s="26"/>
      <c r="M19" s="81"/>
      <c r="N19" s="27"/>
      <c r="O19" s="26"/>
      <c r="P19" s="81"/>
      <c r="Q19" s="81"/>
      <c r="R19" s="81"/>
      <c r="S19" s="81"/>
      <c r="T19" s="81"/>
      <c r="U19" s="81"/>
      <c r="V19" s="81"/>
    </row>
    <row r="20" spans="1:22" x14ac:dyDescent="0.25">
      <c r="A20" s="76" t="s">
        <v>19</v>
      </c>
      <c r="B20" s="27"/>
      <c r="C20" s="26"/>
      <c r="D20" s="26"/>
      <c r="E20" s="26"/>
      <c r="F20" s="26"/>
      <c r="G20" s="80"/>
      <c r="H20" s="80"/>
      <c r="I20" s="80"/>
      <c r="J20" s="80"/>
      <c r="K20" s="27"/>
      <c r="L20" s="26"/>
      <c r="M20" s="81"/>
      <c r="N20" s="27"/>
      <c r="O20" s="26"/>
      <c r="P20" s="81"/>
      <c r="Q20" s="81"/>
      <c r="R20" s="81"/>
      <c r="S20" s="81"/>
      <c r="T20" s="81"/>
      <c r="U20" s="81"/>
      <c r="V20" s="81"/>
    </row>
    <row r="21" spans="1:22" x14ac:dyDescent="0.25">
      <c r="A21" s="79" t="s">
        <v>20</v>
      </c>
      <c r="B21" s="27"/>
      <c r="C21" s="26"/>
      <c r="D21" s="26">
        <v>0</v>
      </c>
      <c r="E21" s="26"/>
      <c r="F21" s="26"/>
      <c r="G21" s="80"/>
      <c r="H21" s="80">
        <v>153.52000000000001</v>
      </c>
      <c r="I21" s="80"/>
      <c r="J21" s="80"/>
      <c r="K21" s="27"/>
      <c r="L21" s="26"/>
      <c r="M21" s="81"/>
      <c r="N21" s="27"/>
      <c r="O21" s="26"/>
      <c r="P21" s="81"/>
      <c r="Q21" s="81"/>
      <c r="R21" s="81"/>
      <c r="S21" s="81"/>
      <c r="T21" s="81"/>
      <c r="U21" s="81"/>
      <c r="V21" s="81"/>
    </row>
    <row r="22" spans="1:22" x14ac:dyDescent="0.25">
      <c r="A22" s="79" t="s">
        <v>41</v>
      </c>
      <c r="B22" s="27"/>
      <c r="C22" s="26"/>
      <c r="D22" s="26">
        <v>10041</v>
      </c>
      <c r="E22" s="26"/>
      <c r="F22" s="26"/>
      <c r="G22" s="80"/>
      <c r="H22" s="80">
        <v>674.053</v>
      </c>
      <c r="I22" s="80"/>
      <c r="J22" s="80"/>
      <c r="K22" s="27">
        <v>0</v>
      </c>
      <c r="L22" s="26">
        <v>0</v>
      </c>
      <c r="M22" s="81">
        <v>0</v>
      </c>
      <c r="N22" s="27">
        <v>1</v>
      </c>
      <c r="O22" s="26">
        <v>10.041</v>
      </c>
      <c r="P22" s="81">
        <v>674.053</v>
      </c>
      <c r="Q22" s="81"/>
      <c r="R22" s="81"/>
      <c r="S22" s="81"/>
      <c r="T22" s="81"/>
      <c r="U22" s="81"/>
      <c r="V22" s="81"/>
    </row>
    <row r="23" spans="1:22" x14ac:dyDescent="0.25">
      <c r="A23" s="106" t="s">
        <v>15</v>
      </c>
      <c r="B23" s="106"/>
      <c r="C23" s="26"/>
      <c r="D23" s="26">
        <v>0</v>
      </c>
      <c r="E23" s="26"/>
      <c r="F23" s="26"/>
      <c r="G23" s="80"/>
      <c r="H23" s="80"/>
      <c r="I23" s="80"/>
      <c r="J23" s="80"/>
      <c r="K23" s="27"/>
      <c r="L23" s="26"/>
      <c r="M23" s="81"/>
      <c r="N23" s="27"/>
      <c r="O23" s="26"/>
      <c r="P23" s="81"/>
      <c r="Q23" s="81"/>
      <c r="R23" s="81"/>
      <c r="S23" s="81"/>
      <c r="T23" s="81"/>
      <c r="U23" s="81"/>
      <c r="V23" s="81"/>
    </row>
    <row r="24" spans="1:22" x14ac:dyDescent="0.25">
      <c r="A24" s="78"/>
      <c r="B24" s="78"/>
      <c r="C24" s="26"/>
      <c r="D24" s="26"/>
      <c r="E24" s="26"/>
      <c r="F24" s="26"/>
      <c r="G24" s="80"/>
      <c r="H24" s="80"/>
      <c r="I24" s="80"/>
      <c r="J24" s="80"/>
      <c r="K24" s="27"/>
      <c r="L24" s="26"/>
      <c r="M24" s="81"/>
      <c r="N24" s="27"/>
      <c r="O24" s="26"/>
      <c r="P24" s="81"/>
      <c r="Q24" s="81"/>
      <c r="R24" s="81"/>
      <c r="S24" s="81"/>
      <c r="T24" s="81"/>
      <c r="U24" s="81"/>
      <c r="V24" s="81"/>
    </row>
    <row r="25" spans="1:22" x14ac:dyDescent="0.25">
      <c r="A25" s="76" t="s">
        <v>22</v>
      </c>
      <c r="B25" s="27"/>
      <c r="C25" s="26"/>
      <c r="D25" s="26"/>
      <c r="E25" s="26"/>
      <c r="F25" s="26"/>
      <c r="G25" s="80"/>
      <c r="H25" s="80"/>
      <c r="I25" s="80"/>
      <c r="J25" s="80"/>
      <c r="K25" s="27"/>
      <c r="L25" s="26"/>
      <c r="M25" s="81"/>
      <c r="N25" s="27"/>
      <c r="O25" s="26"/>
      <c r="P25" s="81"/>
      <c r="Q25" s="81"/>
      <c r="R25" s="81"/>
      <c r="S25" s="81"/>
      <c r="T25" s="81"/>
      <c r="U25" s="81"/>
      <c r="V25" s="81"/>
    </row>
    <row r="26" spans="1:22" x14ac:dyDescent="0.25">
      <c r="A26" s="79" t="s">
        <v>23</v>
      </c>
      <c r="B26" s="27"/>
      <c r="C26" s="26"/>
      <c r="D26" s="26">
        <v>17500</v>
      </c>
      <c r="E26" s="26"/>
      <c r="F26" s="26"/>
      <c r="G26" s="80"/>
      <c r="H26" s="80">
        <v>283.52</v>
      </c>
      <c r="I26" s="80"/>
      <c r="J26" s="80"/>
      <c r="K26" s="27">
        <v>0</v>
      </c>
      <c r="L26" s="26">
        <v>0</v>
      </c>
      <c r="M26" s="81">
        <v>0</v>
      </c>
      <c r="N26" s="27">
        <v>3</v>
      </c>
      <c r="O26" s="26">
        <v>52.5</v>
      </c>
      <c r="P26" s="81">
        <v>850.56</v>
      </c>
      <c r="Q26" s="81"/>
      <c r="R26" s="81"/>
      <c r="S26" s="81"/>
      <c r="T26" s="81"/>
      <c r="U26" s="81"/>
      <c r="V26" s="81"/>
    </row>
    <row r="27" spans="1:22" x14ac:dyDescent="0.25">
      <c r="A27" s="79" t="s">
        <v>42</v>
      </c>
      <c r="B27" s="27"/>
      <c r="C27" s="26"/>
      <c r="D27" s="26">
        <v>49500</v>
      </c>
      <c r="E27" s="26"/>
      <c r="F27" s="26"/>
      <c r="G27" s="80"/>
      <c r="H27" s="80">
        <v>667.02</v>
      </c>
      <c r="I27" s="80"/>
      <c r="J27" s="80"/>
      <c r="K27" s="27">
        <v>0</v>
      </c>
      <c r="L27" s="26">
        <v>0</v>
      </c>
      <c r="M27" s="81">
        <v>0</v>
      </c>
      <c r="N27" s="27">
        <v>2</v>
      </c>
      <c r="O27" s="26">
        <v>99</v>
      </c>
      <c r="P27" s="81">
        <v>1334.04</v>
      </c>
      <c r="Q27" s="81"/>
      <c r="R27" s="81"/>
      <c r="S27" s="81"/>
      <c r="T27" s="81"/>
      <c r="U27" s="81"/>
      <c r="V27" s="81"/>
    </row>
    <row r="28" spans="1:22" x14ac:dyDescent="0.25">
      <c r="A28" s="106" t="s">
        <v>15</v>
      </c>
      <c r="B28" s="106"/>
      <c r="C28" s="26"/>
      <c r="D28" s="26">
        <v>0</v>
      </c>
      <c r="E28" s="26"/>
      <c r="F28" s="26"/>
      <c r="G28" s="80"/>
      <c r="H28" s="80"/>
      <c r="I28" s="80"/>
      <c r="J28" s="80"/>
      <c r="K28" s="27"/>
      <c r="L28" s="26"/>
      <c r="M28" s="81"/>
      <c r="N28" s="27"/>
      <c r="O28" s="26"/>
      <c r="P28" s="81"/>
      <c r="Q28" s="81"/>
      <c r="R28" s="81"/>
      <c r="S28" s="81"/>
      <c r="T28" s="81"/>
      <c r="U28" s="81"/>
      <c r="V28" s="81"/>
    </row>
    <row r="29" spans="1:22" x14ac:dyDescent="0.25">
      <c r="A29" s="78"/>
      <c r="B29" s="78"/>
      <c r="C29" s="26"/>
      <c r="D29" s="26"/>
      <c r="E29" s="26"/>
      <c r="F29" s="26"/>
      <c r="G29" s="80"/>
      <c r="H29" s="80"/>
      <c r="I29" s="80"/>
      <c r="J29" s="80"/>
      <c r="K29" s="27"/>
      <c r="L29" s="26"/>
      <c r="M29" s="81"/>
      <c r="N29" s="27"/>
      <c r="O29" s="26"/>
      <c r="P29" s="81"/>
      <c r="Q29" s="81"/>
      <c r="R29" s="81"/>
      <c r="S29" s="81"/>
      <c r="T29" s="81"/>
      <c r="U29" s="81"/>
      <c r="V29" s="81"/>
    </row>
    <row r="30" spans="1:22" x14ac:dyDescent="0.25">
      <c r="A30" s="76" t="s">
        <v>25</v>
      </c>
      <c r="B30" s="27"/>
      <c r="C30" s="26"/>
      <c r="D30" s="26"/>
      <c r="E30" s="26"/>
      <c r="F30" s="26"/>
      <c r="G30" s="80"/>
      <c r="H30" s="80"/>
      <c r="I30" s="80"/>
      <c r="J30" s="80"/>
      <c r="K30" s="27"/>
      <c r="L30" s="26"/>
      <c r="M30" s="81"/>
      <c r="N30" s="27"/>
      <c r="O30" s="26"/>
      <c r="P30" s="81"/>
      <c r="Q30" s="81"/>
      <c r="R30" s="81"/>
      <c r="S30" s="81"/>
      <c r="T30" s="81"/>
      <c r="U30" s="81"/>
      <c r="V30" s="81"/>
    </row>
    <row r="31" spans="1:22" x14ac:dyDescent="0.25">
      <c r="A31" s="79" t="s">
        <v>26</v>
      </c>
      <c r="B31" s="27"/>
      <c r="C31" s="26"/>
      <c r="D31" s="26"/>
      <c r="E31" s="26"/>
      <c r="F31" s="26"/>
      <c r="G31" s="80"/>
      <c r="H31" s="80"/>
      <c r="I31" s="80"/>
      <c r="J31" s="80"/>
      <c r="K31" s="27"/>
      <c r="L31" s="26"/>
      <c r="M31" s="81"/>
      <c r="N31" s="27"/>
      <c r="O31" s="26"/>
      <c r="P31" s="81"/>
      <c r="Q31" s="81"/>
      <c r="R31" s="81"/>
      <c r="S31" s="81"/>
      <c r="T31" s="81"/>
      <c r="U31" s="81"/>
      <c r="V31" s="81"/>
    </row>
    <row r="32" spans="1:22" x14ac:dyDescent="0.25">
      <c r="A32" s="79" t="s">
        <v>43</v>
      </c>
      <c r="B32" s="27"/>
      <c r="C32" s="26"/>
      <c r="D32" s="26"/>
      <c r="E32" s="26"/>
      <c r="F32" s="26"/>
      <c r="G32" s="80"/>
      <c r="H32" s="80"/>
      <c r="I32" s="80"/>
      <c r="J32" s="80"/>
      <c r="K32" s="27"/>
      <c r="L32" s="26"/>
      <c r="M32" s="81"/>
      <c r="N32" s="27"/>
      <c r="O32" s="26"/>
      <c r="P32" s="81"/>
      <c r="Q32" s="81"/>
      <c r="R32" s="81"/>
      <c r="S32" s="81"/>
      <c r="T32" s="81"/>
      <c r="U32" s="81"/>
      <c r="V32" s="81"/>
    </row>
    <row r="33" spans="1:22" x14ac:dyDescent="0.25">
      <c r="A33" s="106" t="s">
        <v>15</v>
      </c>
      <c r="B33" s="106"/>
      <c r="C33" s="26"/>
      <c r="D33" s="26"/>
      <c r="E33" s="26"/>
      <c r="F33" s="26"/>
      <c r="G33" s="80"/>
      <c r="H33" s="80"/>
      <c r="I33" s="80"/>
      <c r="J33" s="80"/>
      <c r="K33" s="27"/>
      <c r="L33" s="26"/>
      <c r="M33" s="81"/>
      <c r="N33" s="27"/>
      <c r="O33" s="26"/>
      <c r="P33" s="81"/>
      <c r="Q33" s="81"/>
      <c r="R33" s="81"/>
      <c r="S33" s="81"/>
      <c r="T33" s="81"/>
      <c r="U33" s="81"/>
      <c r="V33" s="81"/>
    </row>
    <row r="34" spans="1:22" x14ac:dyDescent="0.25">
      <c r="A34" s="82"/>
      <c r="B34" s="27"/>
      <c r="C34" s="26"/>
      <c r="D34" s="26"/>
      <c r="E34" s="26"/>
      <c r="F34" s="26"/>
      <c r="G34" s="80"/>
      <c r="H34" s="80"/>
      <c r="I34" s="83"/>
      <c r="J34" s="83"/>
      <c r="K34" s="27"/>
      <c r="L34" s="26"/>
      <c r="M34" s="81"/>
      <c r="N34" s="27"/>
      <c r="O34" s="26"/>
      <c r="P34" s="81"/>
      <c r="Q34" s="81"/>
      <c r="R34" s="26"/>
      <c r="S34" s="81"/>
      <c r="T34" s="81"/>
      <c r="U34" s="26"/>
      <c r="V34" s="81"/>
    </row>
    <row r="35" spans="1:22" x14ac:dyDescent="0.25">
      <c r="A35" s="27"/>
      <c r="B35" s="27"/>
      <c r="C35" s="84" t="s">
        <v>44</v>
      </c>
      <c r="D35" s="85"/>
      <c r="E35" s="85"/>
      <c r="F35" s="85"/>
      <c r="G35" s="86"/>
      <c r="H35" s="86"/>
      <c r="I35" s="86"/>
      <c r="J35" s="86"/>
      <c r="K35" s="87">
        <f t="shared" ref="K35:S35" si="0">SUM(K9:K33)</f>
        <v>1118</v>
      </c>
      <c r="L35" s="36">
        <f t="shared" si="0"/>
        <v>3316.3159999999998</v>
      </c>
      <c r="M35" s="88">
        <f t="shared" si="0"/>
        <v>62240.739300000001</v>
      </c>
      <c r="N35" s="35">
        <f t="shared" si="0"/>
        <v>92</v>
      </c>
      <c r="O35" s="36">
        <f t="shared" si="0"/>
        <v>337.77</v>
      </c>
      <c r="P35" s="88">
        <f t="shared" si="0"/>
        <v>7107.577049999999</v>
      </c>
      <c r="Q35" s="35">
        <f t="shared" si="0"/>
        <v>0</v>
      </c>
      <c r="R35" s="36">
        <f t="shared" si="0"/>
        <v>0</v>
      </c>
      <c r="S35" s="88">
        <f t="shared" si="0"/>
        <v>0</v>
      </c>
      <c r="T35" s="35">
        <f>SUM(T9:T34)</f>
        <v>0</v>
      </c>
      <c r="U35" s="36">
        <f>SUM(U9:U34)</f>
        <v>0</v>
      </c>
      <c r="V35" s="88">
        <f>SUM(V9:V34)</f>
        <v>0</v>
      </c>
    </row>
    <row r="36" spans="1:22" x14ac:dyDescent="0.25">
      <c r="A36" s="79" t="s">
        <v>45</v>
      </c>
      <c r="B36" s="27"/>
      <c r="C36" s="27"/>
      <c r="D36" s="27"/>
      <c r="E36" s="27"/>
      <c r="F36" s="27"/>
      <c r="G36" s="89" t="e">
        <f>'[1]Proposed Rates'!#REF!+((('[1]Water Forecast'!L37-2000)/1000)*'[1]Proposed Rates'!#REF!)</f>
        <v>#REF!</v>
      </c>
      <c r="H36" s="89"/>
      <c r="I36" s="89"/>
      <c r="J36" s="89"/>
      <c r="K36" s="27"/>
      <c r="L36" s="27"/>
      <c r="M36" s="90"/>
      <c r="N36" s="27"/>
      <c r="O36" s="27"/>
      <c r="P36" s="91"/>
      <c r="Q36" s="92"/>
      <c r="R36" s="92"/>
      <c r="S36" s="92"/>
      <c r="T36" s="92"/>
      <c r="U36" s="92"/>
      <c r="V36" s="92"/>
    </row>
    <row r="37" spans="1:22" ht="15.75" thickBot="1" x14ac:dyDescent="0.3">
      <c r="A37" s="79" t="s">
        <v>29</v>
      </c>
      <c r="B37" s="27"/>
      <c r="C37" s="27"/>
      <c r="D37" s="27"/>
      <c r="E37" s="27"/>
      <c r="F37" s="27"/>
      <c r="G37" s="43"/>
      <c r="H37" s="43"/>
      <c r="I37" s="43"/>
      <c r="J37" s="43"/>
      <c r="K37" s="43"/>
      <c r="L37" s="42">
        <f>(L35*1000)/K35</f>
        <v>2966.2933810375671</v>
      </c>
      <c r="M37" s="93"/>
      <c r="N37" s="43"/>
      <c r="O37" s="42">
        <f>(O35*1000)/N35</f>
        <v>3671.413043478261</v>
      </c>
      <c r="P37" s="93"/>
      <c r="Q37" s="93"/>
      <c r="R37" s="42" t="e">
        <f>(R35*1000)/Q35</f>
        <v>#DIV/0!</v>
      </c>
      <c r="S37" s="93"/>
      <c r="T37" s="93"/>
      <c r="U37" s="42" t="e">
        <f>(U35*1000)/T35</f>
        <v>#DIV/0!</v>
      </c>
      <c r="V37" s="93"/>
    </row>
    <row r="38" spans="1:22" ht="15.75" thickTop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94"/>
      <c r="N38" s="45"/>
      <c r="O38" s="45"/>
      <c r="P38" s="94"/>
      <c r="Q38" s="95"/>
      <c r="R38" s="95"/>
      <c r="S38" s="95"/>
      <c r="T38" s="95"/>
      <c r="U38" s="95"/>
      <c r="V38" s="95"/>
    </row>
    <row r="39" spans="1:22" x14ac:dyDescent="0.25">
      <c r="A39" s="76"/>
      <c r="B39" s="27"/>
      <c r="C39" s="27"/>
      <c r="D39" s="27"/>
      <c r="E39" s="27"/>
      <c r="F39" s="27"/>
      <c r="G39" s="96"/>
      <c r="H39" s="96"/>
      <c r="I39" s="96"/>
      <c r="J39" s="96"/>
      <c r="K39" s="27"/>
      <c r="L39" s="27"/>
      <c r="M39" s="91"/>
      <c r="N39" s="27"/>
      <c r="O39" s="27"/>
      <c r="P39" s="91"/>
      <c r="Q39" s="91"/>
      <c r="R39" s="91"/>
      <c r="S39" s="91"/>
      <c r="T39" s="91"/>
      <c r="U39" s="91"/>
      <c r="V39" s="91"/>
    </row>
    <row r="40" spans="1:22" ht="15.75" thickBot="1" x14ac:dyDescent="0.3">
      <c r="A40" s="76"/>
      <c r="B40" s="27"/>
      <c r="C40" s="50" t="s">
        <v>30</v>
      </c>
      <c r="D40" s="50"/>
      <c r="E40" s="50"/>
      <c r="F40" s="50"/>
      <c r="G40" s="50"/>
      <c r="H40" s="50"/>
      <c r="I40" s="50"/>
      <c r="J40" s="50"/>
      <c r="K40" s="97">
        <f t="shared" ref="K40:S40" si="1">K35</f>
        <v>1118</v>
      </c>
      <c r="L40" s="97">
        <f t="shared" si="1"/>
        <v>3316.3159999999998</v>
      </c>
      <c r="M40" s="98">
        <f t="shared" si="1"/>
        <v>62240.739300000001</v>
      </c>
      <c r="N40" s="97">
        <f t="shared" si="1"/>
        <v>92</v>
      </c>
      <c r="O40" s="97">
        <f t="shared" si="1"/>
        <v>337.77</v>
      </c>
      <c r="P40" s="98">
        <f t="shared" si="1"/>
        <v>7107.577049999999</v>
      </c>
      <c r="Q40" s="97">
        <f t="shared" si="1"/>
        <v>0</v>
      </c>
      <c r="R40" s="97">
        <f t="shared" si="1"/>
        <v>0</v>
      </c>
      <c r="S40" s="98">
        <f t="shared" si="1"/>
        <v>0</v>
      </c>
      <c r="T40" s="97">
        <f>T35</f>
        <v>0</v>
      </c>
      <c r="U40" s="97">
        <f>U35</f>
        <v>0</v>
      </c>
      <c r="V40" s="98">
        <f>V35</f>
        <v>0</v>
      </c>
    </row>
    <row r="41" spans="1:22" ht="15.75" thickTop="1" x14ac:dyDescent="0.25"/>
  </sheetData>
  <mergeCells count="10">
    <mergeCell ref="A18:B18"/>
    <mergeCell ref="A23:B23"/>
    <mergeCell ref="A28:B28"/>
    <mergeCell ref="A33:B33"/>
    <mergeCell ref="G5:J5"/>
    <mergeCell ref="C6:D6"/>
    <mergeCell ref="G6:J6"/>
    <mergeCell ref="A11:B11"/>
    <mergeCell ref="A12:B12"/>
    <mergeCell ref="A17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A86A4-2968-4669-A702-FD226885098E}">
  <dimension ref="A1:H9"/>
  <sheetViews>
    <sheetView workbookViewId="0">
      <selection activeCell="A2" sqref="A2"/>
    </sheetView>
  </sheetViews>
  <sheetFormatPr defaultRowHeight="15" x14ac:dyDescent="0.25"/>
  <cols>
    <col min="1" max="1" width="25.5703125" bestFit="1" customWidth="1"/>
    <col min="2" max="2" width="19.7109375" bestFit="1" customWidth="1"/>
    <col min="3" max="3" width="14.7109375" bestFit="1" customWidth="1"/>
    <col min="4" max="4" width="13.5703125" bestFit="1" customWidth="1"/>
    <col min="5" max="5" width="14.7109375" bestFit="1" customWidth="1"/>
    <col min="6" max="6" width="13.5703125" bestFit="1" customWidth="1"/>
    <col min="7" max="7" width="14.7109375" bestFit="1" customWidth="1"/>
    <col min="8" max="8" width="13.5703125" bestFit="1" customWidth="1"/>
  </cols>
  <sheetData>
    <row r="1" spans="1:8" ht="15.75" x14ac:dyDescent="0.25">
      <c r="A1" s="116" t="s">
        <v>66</v>
      </c>
      <c r="B1" s="116"/>
      <c r="C1" s="116"/>
      <c r="D1" s="116"/>
      <c r="E1" s="116"/>
      <c r="F1" s="116"/>
      <c r="G1" s="116"/>
      <c r="H1" s="116"/>
    </row>
    <row r="2" spans="1:8" x14ac:dyDescent="0.25">
      <c r="C2" s="112" t="s">
        <v>52</v>
      </c>
      <c r="D2" s="112"/>
      <c r="E2" s="112" t="s">
        <v>52</v>
      </c>
      <c r="F2" s="112"/>
      <c r="G2" s="112" t="s">
        <v>52</v>
      </c>
      <c r="H2" s="112"/>
    </row>
    <row r="3" spans="1:8" x14ac:dyDescent="0.25">
      <c r="C3" s="112">
        <v>2019</v>
      </c>
      <c r="D3" s="112"/>
      <c r="E3" s="112">
        <v>2020</v>
      </c>
      <c r="F3" s="112"/>
      <c r="G3" s="112">
        <v>2021</v>
      </c>
      <c r="H3" s="112"/>
    </row>
    <row r="4" spans="1:8" x14ac:dyDescent="0.25">
      <c r="A4" s="111" t="s">
        <v>48</v>
      </c>
      <c r="B4" t="s">
        <v>49</v>
      </c>
      <c r="C4" t="s">
        <v>50</v>
      </c>
      <c r="D4" t="s">
        <v>51</v>
      </c>
      <c r="E4" t="s">
        <v>50</v>
      </c>
      <c r="F4" t="s">
        <v>51</v>
      </c>
      <c r="G4" t="s">
        <v>50</v>
      </c>
      <c r="H4" t="s">
        <v>51</v>
      </c>
    </row>
    <row r="5" spans="1:8" x14ac:dyDescent="0.25">
      <c r="A5" s="114" t="s">
        <v>53</v>
      </c>
      <c r="B5" s="114" t="s">
        <v>58</v>
      </c>
      <c r="C5" s="115">
        <v>9000</v>
      </c>
      <c r="D5" s="115">
        <v>8000</v>
      </c>
      <c r="E5" s="115">
        <v>10000</v>
      </c>
      <c r="F5" s="115">
        <v>7438</v>
      </c>
      <c r="G5" s="115">
        <v>11000</v>
      </c>
      <c r="H5" s="115">
        <v>6812</v>
      </c>
    </row>
    <row r="6" spans="1:8" x14ac:dyDescent="0.25">
      <c r="A6" s="114" t="s">
        <v>54</v>
      </c>
      <c r="B6" s="114" t="s">
        <v>58</v>
      </c>
      <c r="C6" s="115">
        <v>10000</v>
      </c>
      <c r="D6" s="115">
        <v>8200</v>
      </c>
      <c r="E6" s="115">
        <v>11000</v>
      </c>
      <c r="F6" s="115">
        <v>7700</v>
      </c>
      <c r="G6" s="115">
        <v>11000</v>
      </c>
      <c r="H6" s="115">
        <v>7150</v>
      </c>
    </row>
    <row r="7" spans="1:8" x14ac:dyDescent="0.25">
      <c r="A7" s="114" t="s">
        <v>55</v>
      </c>
      <c r="B7" s="114" t="s">
        <v>58</v>
      </c>
      <c r="C7" s="115">
        <v>7000</v>
      </c>
      <c r="D7" s="115">
        <v>7402</v>
      </c>
      <c r="E7" s="115">
        <v>7500</v>
      </c>
      <c r="F7" s="115">
        <v>7088</v>
      </c>
      <c r="G7" s="115">
        <v>8000</v>
      </c>
      <c r="H7" s="115">
        <v>6750</v>
      </c>
    </row>
    <row r="8" spans="1:8" x14ac:dyDescent="0.25">
      <c r="A8" s="114" t="s">
        <v>56</v>
      </c>
      <c r="B8" s="114" t="s">
        <v>58</v>
      </c>
      <c r="C8" s="115">
        <v>10000</v>
      </c>
      <c r="D8" s="115">
        <v>17482</v>
      </c>
      <c r="E8" s="115">
        <v>10500</v>
      </c>
      <c r="F8" s="115">
        <v>17032</v>
      </c>
      <c r="G8" s="115">
        <v>11000</v>
      </c>
      <c r="H8" s="115">
        <v>16560</v>
      </c>
    </row>
    <row r="9" spans="1:8" x14ac:dyDescent="0.25">
      <c r="A9" s="114" t="s">
        <v>57</v>
      </c>
      <c r="B9" s="114" t="s">
        <v>58</v>
      </c>
      <c r="C9" s="115">
        <v>8500</v>
      </c>
      <c r="D9" s="115">
        <v>13097</v>
      </c>
      <c r="E9" s="115">
        <v>8500</v>
      </c>
      <c r="F9" s="115">
        <v>12863</v>
      </c>
      <c r="G9" s="115">
        <v>9000</v>
      </c>
      <c r="H9" s="115">
        <v>12622</v>
      </c>
    </row>
  </sheetData>
  <mergeCells count="7">
    <mergeCell ref="A1:H1"/>
    <mergeCell ref="C2:D2"/>
    <mergeCell ref="C3:D3"/>
    <mergeCell ref="E2:F2"/>
    <mergeCell ref="E3:F3"/>
    <mergeCell ref="G2:H2"/>
    <mergeCell ref="G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08F4-21C3-4584-AD85-B42D37A747C0}">
  <dimension ref="A1:I63"/>
  <sheetViews>
    <sheetView tabSelected="1" workbookViewId="0">
      <selection activeCell="G53" sqref="G53"/>
    </sheetView>
  </sheetViews>
  <sheetFormatPr defaultRowHeight="15" x14ac:dyDescent="0.25"/>
  <cols>
    <col min="3" max="3" width="15.7109375" customWidth="1"/>
    <col min="4" max="4" width="14" customWidth="1"/>
    <col min="5" max="5" width="11.85546875" customWidth="1"/>
    <col min="6" max="6" width="10.140625" bestFit="1" customWidth="1"/>
    <col min="7" max="7" width="11.7109375" customWidth="1"/>
    <col min="8" max="8" width="6.7109375" customWidth="1"/>
    <col min="9" max="9" width="10.140625" bestFit="1" customWidth="1"/>
  </cols>
  <sheetData>
    <row r="1" spans="1:9" x14ac:dyDescent="0.25">
      <c r="A1" s="126" t="s">
        <v>67</v>
      </c>
    </row>
    <row r="3" spans="1:9" x14ac:dyDescent="0.25">
      <c r="A3" s="112" t="s">
        <v>117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2" t="s">
        <v>68</v>
      </c>
      <c r="B4" s="112"/>
      <c r="C4" s="112"/>
      <c r="D4" s="112"/>
      <c r="E4" s="112"/>
      <c r="F4" s="112"/>
      <c r="G4" s="112"/>
      <c r="H4" s="112"/>
      <c r="I4" s="112"/>
    </row>
    <row r="5" spans="1:9" x14ac:dyDescent="0.25">
      <c r="A5" s="112" t="s">
        <v>69</v>
      </c>
      <c r="B5" s="112"/>
      <c r="C5" s="112"/>
      <c r="D5" s="112"/>
      <c r="E5" s="112"/>
      <c r="F5" s="112"/>
      <c r="G5" s="112"/>
      <c r="H5" s="112"/>
      <c r="I5" s="112"/>
    </row>
    <row r="6" spans="1:9" x14ac:dyDescent="0.25">
      <c r="A6" s="112" t="s">
        <v>70</v>
      </c>
      <c r="B6" s="112"/>
      <c r="C6" s="112"/>
      <c r="D6" s="112"/>
      <c r="E6" s="112"/>
      <c r="F6" s="112"/>
      <c r="G6" s="112"/>
      <c r="H6" s="112"/>
      <c r="I6" s="112"/>
    </row>
    <row r="7" spans="1:9" x14ac:dyDescent="0.25">
      <c r="A7" t="s">
        <v>71</v>
      </c>
      <c r="I7" s="127">
        <v>7980000</v>
      </c>
    </row>
    <row r="9" spans="1:9" x14ac:dyDescent="0.25">
      <c r="A9" s="126" t="s">
        <v>72</v>
      </c>
    </row>
    <row r="10" spans="1:9" x14ac:dyDescent="0.25">
      <c r="A10" t="s">
        <v>73</v>
      </c>
      <c r="I10" s="127">
        <v>1500000</v>
      </c>
    </row>
    <row r="11" spans="1:9" x14ac:dyDescent="0.25">
      <c r="A11" t="s">
        <v>74</v>
      </c>
      <c r="F11" s="127">
        <v>2000000</v>
      </c>
      <c r="G11" s="127"/>
    </row>
    <row r="12" spans="1:9" x14ac:dyDescent="0.25">
      <c r="A12" t="s">
        <v>115</v>
      </c>
      <c r="F12" s="128">
        <v>1579000</v>
      </c>
      <c r="G12" s="127"/>
    </row>
    <row r="13" spans="1:9" x14ac:dyDescent="0.25">
      <c r="A13" t="s">
        <v>75</v>
      </c>
      <c r="I13" s="127">
        <f>F11+F12</f>
        <v>3579000</v>
      </c>
    </row>
    <row r="14" spans="1:9" x14ac:dyDescent="0.25">
      <c r="A14" t="s">
        <v>76</v>
      </c>
      <c r="F14" s="127">
        <v>1180000</v>
      </c>
      <c r="G14" s="127"/>
    </row>
    <row r="15" spans="1:9" x14ac:dyDescent="0.25">
      <c r="A15" t="s">
        <v>116</v>
      </c>
      <c r="F15" s="128">
        <v>1721000</v>
      </c>
      <c r="G15" s="127"/>
    </row>
    <row r="16" spans="1:9" x14ac:dyDescent="0.25">
      <c r="A16" t="s">
        <v>77</v>
      </c>
      <c r="I16" s="127">
        <f>F14+F15</f>
        <v>2901000</v>
      </c>
    </row>
    <row r="18" spans="1:9" x14ac:dyDescent="0.25">
      <c r="A18" s="138" t="s">
        <v>78</v>
      </c>
      <c r="B18" s="125"/>
      <c r="C18" s="125"/>
      <c r="D18" s="125"/>
      <c r="E18" s="125"/>
      <c r="F18" s="125"/>
      <c r="G18" s="125"/>
      <c r="H18" s="125"/>
      <c r="I18" s="125"/>
    </row>
    <row r="19" spans="1:9" x14ac:dyDescent="0.25">
      <c r="A19" t="s">
        <v>79</v>
      </c>
      <c r="I19" s="127">
        <f>ROUNDUP(((I16)*((C20*(1+C20)^A20)/(((1+C20)^A20)-1))),-2)</f>
        <v>97000</v>
      </c>
    </row>
    <row r="20" spans="1:9" x14ac:dyDescent="0.25">
      <c r="A20">
        <v>40</v>
      </c>
      <c r="B20" t="s">
        <v>80</v>
      </c>
      <c r="C20" s="129">
        <v>1.4999999999999999E-2</v>
      </c>
    </row>
    <row r="21" spans="1:9" x14ac:dyDescent="0.25">
      <c r="A21" t="s">
        <v>81</v>
      </c>
      <c r="I21" s="127">
        <f>ROUNDUP((I19*0.1),-1)</f>
        <v>9700</v>
      </c>
    </row>
    <row r="23" spans="1:9" x14ac:dyDescent="0.25">
      <c r="F23" s="137" t="s">
        <v>82</v>
      </c>
      <c r="I23" s="127">
        <f>I19+I21</f>
        <v>106700</v>
      </c>
    </row>
    <row r="25" spans="1:9" x14ac:dyDescent="0.25">
      <c r="A25" s="138" t="s">
        <v>83</v>
      </c>
      <c r="B25" s="125"/>
      <c r="C25" s="125"/>
      <c r="D25" s="125"/>
      <c r="E25" s="125"/>
      <c r="F25" s="125"/>
      <c r="G25" s="125"/>
      <c r="H25" s="125"/>
      <c r="I25" s="125"/>
    </row>
    <row r="26" spans="1:9" x14ac:dyDescent="0.25">
      <c r="A26" t="s">
        <v>84</v>
      </c>
      <c r="I26" s="127">
        <f>'O &amp; M Expenses'!I10-'O &amp; M Expenses'!F10</f>
        <v>66274</v>
      </c>
    </row>
    <row r="27" spans="1:9" x14ac:dyDescent="0.25">
      <c r="A27" t="s">
        <v>85</v>
      </c>
      <c r="I27" s="127">
        <v>13000</v>
      </c>
    </row>
    <row r="28" spans="1:9" x14ac:dyDescent="0.25">
      <c r="A28" t="s">
        <v>86</v>
      </c>
    </row>
    <row r="29" spans="1:9" x14ac:dyDescent="0.25">
      <c r="H29" s="130" t="s">
        <v>87</v>
      </c>
      <c r="I29" s="125"/>
    </row>
    <row r="30" spans="1:9" x14ac:dyDescent="0.25">
      <c r="D30" s="137" t="s">
        <v>88</v>
      </c>
      <c r="I30" s="127">
        <f>SUM(I26:I29)</f>
        <v>79274</v>
      </c>
    </row>
    <row r="32" spans="1:9" x14ac:dyDescent="0.25">
      <c r="B32" t="s">
        <v>89</v>
      </c>
      <c r="I32" s="127">
        <f>I23+I30</f>
        <v>185974</v>
      </c>
    </row>
    <row r="33" spans="1:9" x14ac:dyDescent="0.25">
      <c r="A33" t="s">
        <v>90</v>
      </c>
      <c r="H33" s="130" t="s">
        <v>91</v>
      </c>
      <c r="I33" s="127">
        <v>78584</v>
      </c>
    </row>
    <row r="34" spans="1:9" x14ac:dyDescent="0.25">
      <c r="I34" s="125"/>
    </row>
    <row r="35" spans="1:9" ht="15.75" thickBot="1" x14ac:dyDescent="0.3">
      <c r="E35" s="126" t="s">
        <v>92</v>
      </c>
      <c r="I35" s="139">
        <f>I32-I33-I34</f>
        <v>107390</v>
      </c>
    </row>
    <row r="37" spans="1:9" x14ac:dyDescent="0.25">
      <c r="C37" t="s">
        <v>92</v>
      </c>
      <c r="I37" s="127">
        <f>SUM(I35)+67492</f>
        <v>174882</v>
      </c>
    </row>
    <row r="38" spans="1:9" x14ac:dyDescent="0.25">
      <c r="C38" t="s">
        <v>93</v>
      </c>
      <c r="H38" t="s">
        <v>94</v>
      </c>
      <c r="I38" s="128">
        <v>602104</v>
      </c>
    </row>
    <row r="39" spans="1:9" x14ac:dyDescent="0.25">
      <c r="F39" s="136" t="s">
        <v>95</v>
      </c>
      <c r="I39" s="140">
        <f>ROUNDUP((I37/I38),2)</f>
        <v>0.3</v>
      </c>
    </row>
    <row r="41" spans="1:9" ht="30" x14ac:dyDescent="0.25">
      <c r="C41" s="131" t="s">
        <v>96</v>
      </c>
      <c r="D41" s="141" t="s">
        <v>97</v>
      </c>
      <c r="E41" s="142" t="s">
        <v>98</v>
      </c>
    </row>
    <row r="42" spans="1:9" x14ac:dyDescent="0.25">
      <c r="C42" s="132" t="s">
        <v>99</v>
      </c>
      <c r="D42" s="133"/>
      <c r="E42" s="122"/>
    </row>
    <row r="43" spans="1:9" x14ac:dyDescent="0.25">
      <c r="C43" s="117" t="s">
        <v>100</v>
      </c>
      <c r="D43" s="134">
        <v>28.57</v>
      </c>
      <c r="E43" s="135">
        <f>D43*(1+$I$39)</f>
        <v>37.140999999999998</v>
      </c>
    </row>
    <row r="44" spans="1:9" x14ac:dyDescent="0.25">
      <c r="C44" s="117" t="s">
        <v>101</v>
      </c>
      <c r="D44" s="134">
        <v>11.19</v>
      </c>
      <c r="E44" s="135">
        <f>D44*(1+$I$39)</f>
        <v>14.547000000000001</v>
      </c>
    </row>
    <row r="45" spans="1:9" x14ac:dyDescent="0.25">
      <c r="C45" s="117" t="s">
        <v>102</v>
      </c>
      <c r="D45" s="134">
        <v>10</v>
      </c>
      <c r="E45" s="135">
        <f>D45*(1+$I$39)</f>
        <v>13</v>
      </c>
    </row>
    <row r="46" spans="1:9" x14ac:dyDescent="0.25">
      <c r="C46" s="117" t="s">
        <v>103</v>
      </c>
      <c r="D46" s="134">
        <v>8.81</v>
      </c>
      <c r="E46" s="135">
        <f>D46*(1+$I$39)</f>
        <v>11.453000000000001</v>
      </c>
    </row>
    <row r="47" spans="1:9" x14ac:dyDescent="0.25">
      <c r="C47" s="132" t="s">
        <v>104</v>
      </c>
      <c r="D47" s="133"/>
      <c r="E47" s="122"/>
    </row>
    <row r="48" spans="1:9" x14ac:dyDescent="0.25">
      <c r="C48" s="117" t="s">
        <v>105</v>
      </c>
      <c r="D48" s="134">
        <v>62.14</v>
      </c>
      <c r="E48" s="135">
        <f>D48*(1+$I$39)</f>
        <v>80.781999999999996</v>
      </c>
    </row>
    <row r="49" spans="3:5" x14ac:dyDescent="0.25">
      <c r="C49" s="117" t="s">
        <v>106</v>
      </c>
      <c r="D49" s="134">
        <v>11.19</v>
      </c>
      <c r="E49" s="135">
        <f>D49*(1+$I$39)</f>
        <v>14.547000000000001</v>
      </c>
    </row>
    <row r="50" spans="3:5" x14ac:dyDescent="0.25">
      <c r="C50" s="117" t="s">
        <v>102</v>
      </c>
      <c r="D50" s="134">
        <v>10</v>
      </c>
      <c r="E50" s="135">
        <f>D50*(1+$I$39)</f>
        <v>13</v>
      </c>
    </row>
    <row r="51" spans="3:5" x14ac:dyDescent="0.25">
      <c r="C51" s="117" t="s">
        <v>103</v>
      </c>
      <c r="D51" s="134">
        <v>8.81</v>
      </c>
      <c r="E51" s="135">
        <f>D51*(1+$I$39)</f>
        <v>11.453000000000001</v>
      </c>
    </row>
    <row r="52" spans="3:5" x14ac:dyDescent="0.25">
      <c r="C52" s="132" t="s">
        <v>107</v>
      </c>
      <c r="D52" s="133"/>
      <c r="E52" s="122"/>
    </row>
    <row r="53" spans="3:5" x14ac:dyDescent="0.25">
      <c r="C53" s="117" t="s">
        <v>108</v>
      </c>
      <c r="D53" s="134">
        <v>118.09</v>
      </c>
      <c r="E53" s="135">
        <f>D53*(1+$I$39)</f>
        <v>153.517</v>
      </c>
    </row>
    <row r="54" spans="3:5" x14ac:dyDescent="0.25">
      <c r="C54" s="117" t="s">
        <v>102</v>
      </c>
      <c r="D54" s="134">
        <v>10</v>
      </c>
      <c r="E54" s="135">
        <f>D54*(1+$I$39)</f>
        <v>13</v>
      </c>
    </row>
    <row r="55" spans="3:5" x14ac:dyDescent="0.25">
      <c r="C55" s="117" t="s">
        <v>103</v>
      </c>
      <c r="D55" s="134">
        <v>8.81</v>
      </c>
      <c r="E55" s="135">
        <f>D55*(1+$I$39)</f>
        <v>11.453000000000001</v>
      </c>
    </row>
    <row r="56" spans="3:5" x14ac:dyDescent="0.25">
      <c r="C56" s="132" t="s">
        <v>109</v>
      </c>
      <c r="D56" s="133"/>
      <c r="E56" s="122"/>
    </row>
    <row r="57" spans="3:5" x14ac:dyDescent="0.25">
      <c r="C57" s="117" t="s">
        <v>110</v>
      </c>
      <c r="D57" s="134">
        <v>218.09</v>
      </c>
      <c r="E57" s="135">
        <f>D57*(1+$I$39)</f>
        <v>283.517</v>
      </c>
    </row>
    <row r="58" spans="3:5" x14ac:dyDescent="0.25">
      <c r="C58" s="117" t="s">
        <v>111</v>
      </c>
      <c r="D58" s="134">
        <v>10</v>
      </c>
      <c r="E58" s="135">
        <f>D58*(1+$I$39)</f>
        <v>13</v>
      </c>
    </row>
    <row r="59" spans="3:5" x14ac:dyDescent="0.25">
      <c r="C59" s="117" t="s">
        <v>103</v>
      </c>
      <c r="D59" s="134">
        <v>8.81</v>
      </c>
      <c r="E59" s="135">
        <f>D59*(1+$I$39)</f>
        <v>11.453000000000001</v>
      </c>
    </row>
    <row r="60" spans="3:5" x14ac:dyDescent="0.25">
      <c r="C60" s="132" t="s">
        <v>112</v>
      </c>
      <c r="D60" s="133"/>
      <c r="E60" s="122"/>
    </row>
    <row r="61" spans="3:5" x14ac:dyDescent="0.25">
      <c r="C61" s="117" t="s">
        <v>113</v>
      </c>
      <c r="D61" s="134">
        <v>318.08999999999997</v>
      </c>
      <c r="E61" s="135">
        <f>D61*(1+$I$39)</f>
        <v>413.517</v>
      </c>
    </row>
    <row r="62" spans="3:5" x14ac:dyDescent="0.25">
      <c r="C62" s="117" t="s">
        <v>114</v>
      </c>
      <c r="D62" s="134">
        <v>10</v>
      </c>
      <c r="E62" s="135">
        <f>D62*(1+$I$39)</f>
        <v>13</v>
      </c>
    </row>
    <row r="63" spans="3:5" x14ac:dyDescent="0.25">
      <c r="C63" s="117" t="s">
        <v>103</v>
      </c>
      <c r="D63" s="134">
        <v>8.81</v>
      </c>
      <c r="E63" s="135">
        <f>D63*(1+$I$39)</f>
        <v>11.453000000000001</v>
      </c>
    </row>
  </sheetData>
  <mergeCells count="9">
    <mergeCell ref="C52:D52"/>
    <mergeCell ref="C56:D56"/>
    <mergeCell ref="C60:D60"/>
    <mergeCell ref="A3:I3"/>
    <mergeCell ref="C42:D42"/>
    <mergeCell ref="C47:D47"/>
    <mergeCell ref="A4:I4"/>
    <mergeCell ref="A5:I5"/>
    <mergeCell ref="A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E439-E44F-451B-B051-FA514423A1A1}">
  <dimension ref="A4:I10"/>
  <sheetViews>
    <sheetView workbookViewId="0">
      <selection activeCell="H25" sqref="H25"/>
    </sheetView>
  </sheetViews>
  <sheetFormatPr defaultRowHeight="15" x14ac:dyDescent="0.25"/>
  <sheetData>
    <row r="4" spans="1:9" x14ac:dyDescent="0.25">
      <c r="A4" s="117" t="s">
        <v>59</v>
      </c>
      <c r="B4" s="117"/>
      <c r="C4" s="117"/>
      <c r="D4" s="118">
        <v>2.1999999999999999E-2</v>
      </c>
      <c r="E4" s="118">
        <v>2.1999999999999999E-2</v>
      </c>
      <c r="F4" s="118">
        <v>2.1999999999999999E-2</v>
      </c>
      <c r="G4" s="118">
        <v>4.9000000000000002E-2</v>
      </c>
      <c r="H4" s="118">
        <v>4.9000000000000002E-2</v>
      </c>
      <c r="I4" s="117" t="s">
        <v>60</v>
      </c>
    </row>
    <row r="5" spans="1:9" ht="15.75" thickBot="1" x14ac:dyDescent="0.3">
      <c r="A5" s="123" t="s">
        <v>61</v>
      </c>
      <c r="B5" s="124"/>
      <c r="C5" s="119">
        <v>2018</v>
      </c>
      <c r="D5" s="119">
        <v>2019</v>
      </c>
      <c r="E5" s="119">
        <v>2020</v>
      </c>
      <c r="F5" s="119">
        <v>2021</v>
      </c>
      <c r="G5" s="119">
        <v>2022</v>
      </c>
      <c r="H5" s="119">
        <v>2023</v>
      </c>
      <c r="I5" s="119">
        <v>2023</v>
      </c>
    </row>
    <row r="6" spans="1:9" x14ac:dyDescent="0.25">
      <c r="A6" s="120" t="s">
        <v>62</v>
      </c>
      <c r="B6" s="120"/>
      <c r="C6" s="121">
        <v>497579</v>
      </c>
      <c r="D6" s="121">
        <f t="shared" ref="D6:H6" si="0">C6*(1+D4)</f>
        <v>508525.73800000001</v>
      </c>
      <c r="E6" s="121">
        <f t="shared" si="0"/>
        <v>519713.304236</v>
      </c>
      <c r="F6" s="121">
        <v>508721</v>
      </c>
      <c r="G6" s="121">
        <f t="shared" si="0"/>
        <v>533648.32899999991</v>
      </c>
      <c r="H6" s="121">
        <f t="shared" si="0"/>
        <v>559797.09712099982</v>
      </c>
      <c r="I6" s="121">
        <f>ROUNDUP(H6,-3)</f>
        <v>560000</v>
      </c>
    </row>
    <row r="7" spans="1:9" x14ac:dyDescent="0.25">
      <c r="A7" s="117" t="s">
        <v>63</v>
      </c>
      <c r="B7" s="117"/>
      <c r="C7" s="115">
        <v>85141</v>
      </c>
      <c r="D7" s="115">
        <f t="shared" ref="D7:H7" si="1">C7*(1+D4)</f>
        <v>87014.101999999999</v>
      </c>
      <c r="E7" s="115">
        <f t="shared" si="1"/>
        <v>88928.412244000006</v>
      </c>
      <c r="F7" s="115">
        <v>87046</v>
      </c>
      <c r="G7" s="115">
        <f t="shared" si="1"/>
        <v>91311.254000000001</v>
      </c>
      <c r="H7" s="115">
        <f t="shared" si="1"/>
        <v>95785.505445999996</v>
      </c>
      <c r="I7" s="115">
        <f t="shared" ref="I7:I9" si="2">ROUNDUP(H7,-3)</f>
        <v>96000</v>
      </c>
    </row>
    <row r="8" spans="1:9" x14ac:dyDescent="0.25">
      <c r="A8" s="117" t="s">
        <v>64</v>
      </c>
      <c r="B8" s="117"/>
      <c r="C8" s="115">
        <v>18756</v>
      </c>
      <c r="D8" s="115">
        <f>C8*(1+D4)</f>
        <v>19168.632000000001</v>
      </c>
      <c r="E8" s="115">
        <f>D8*(1+E4)</f>
        <v>19590.341904000001</v>
      </c>
      <c r="F8" s="115">
        <v>19175</v>
      </c>
      <c r="G8" s="115">
        <f>F8*(1+G4)</f>
        <v>20114.574999999997</v>
      </c>
      <c r="H8" s="115">
        <f>G8*(1+H4)</f>
        <v>21100.189174999996</v>
      </c>
      <c r="I8" s="115">
        <f t="shared" si="2"/>
        <v>22000</v>
      </c>
    </row>
    <row r="9" spans="1:9" x14ac:dyDescent="0.25">
      <c r="A9" s="117" t="s">
        <v>65</v>
      </c>
      <c r="B9" s="117"/>
      <c r="C9" s="115">
        <v>26198</v>
      </c>
      <c r="D9" s="115">
        <f>C9*(1+D4)</f>
        <v>26774.356</v>
      </c>
      <c r="E9" s="115">
        <f>D9*(1+E4)</f>
        <v>27363.391832000001</v>
      </c>
      <c r="F9" s="115">
        <v>26784</v>
      </c>
      <c r="G9" s="115">
        <f>F9*(1+G4)</f>
        <v>28096.415999999997</v>
      </c>
      <c r="H9" s="115">
        <f>G9*(1+H4)</f>
        <v>29473.140383999995</v>
      </c>
      <c r="I9" s="115">
        <f t="shared" si="2"/>
        <v>30000</v>
      </c>
    </row>
    <row r="10" spans="1:9" x14ac:dyDescent="0.25">
      <c r="B10">
        <f>SUM(B6:B9)</f>
        <v>0</v>
      </c>
      <c r="C10" s="113">
        <f t="shared" ref="C10:H10" si="3">SUM(C6:C9)</f>
        <v>627674</v>
      </c>
      <c r="D10" s="113">
        <f t="shared" si="3"/>
        <v>641482.82799999998</v>
      </c>
      <c r="E10" s="113">
        <f t="shared" si="3"/>
        <v>655595.45021599997</v>
      </c>
      <c r="F10" s="113">
        <v>641726</v>
      </c>
      <c r="G10" s="113">
        <f t="shared" si="3"/>
        <v>673170.57399999979</v>
      </c>
      <c r="H10" s="113">
        <f t="shared" si="3"/>
        <v>706155.93212599983</v>
      </c>
      <c r="I10" s="113">
        <f>SUM(I6:I9)</f>
        <v>708000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SHWD Usage</vt:lpstr>
      <vt:lpstr>Existing Water Income</vt:lpstr>
      <vt:lpstr>Forecasted Water Income</vt:lpstr>
      <vt:lpstr>Current Debt Obligations</vt:lpstr>
      <vt:lpstr>Revenue Req.</vt:lpstr>
      <vt:lpstr>O &amp; M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PBR</cp:lastModifiedBy>
  <dcterms:created xsi:type="dcterms:W3CDTF">2022-06-30T17:06:12Z</dcterms:created>
  <dcterms:modified xsi:type="dcterms:W3CDTF">2022-08-17T19:20:36Z</dcterms:modified>
</cp:coreProperties>
</file>