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Riders/2022-00190 Fuel Adjustment Clause Regulation Investigation/02-Supplemental Comments/"/>
    </mc:Choice>
  </mc:AlternateContent>
  <xr:revisionPtr revIDLastSave="2668" documentId="8_{93EF2A67-A82B-4D74-8C12-D0C2DBAF22A7}" xr6:coauthVersionLast="47" xr6:coauthVersionMax="47" xr10:uidLastSave="{01BBF424-2A7F-4EE6-B3FA-D0183BFB5864}"/>
  <bookViews>
    <workbookView xWindow="-120" yWindow="-120" windowWidth="38640" windowHeight="21120" tabRatio="835" firstSheet="4" activeTab="23" xr2:uid="{2C345519-02C5-4B06-934C-420ECA85413F}"/>
  </bookViews>
  <sheets>
    <sheet name="Summary" sheetId="4" r:id="rId1"/>
    <sheet name="Current &gt;" sheetId="6" r:id="rId2"/>
    <sheet name="0. Rate Calc" sheetId="1" r:id="rId3"/>
    <sheet name="0. Pg4" sheetId="5" r:id="rId4"/>
    <sheet name="Option 1 &gt;" sheetId="7" r:id="rId5"/>
    <sheet name="1. Rate Calc" sheetId="18" r:id="rId6"/>
    <sheet name="1. Pg4" sheetId="19" r:id="rId7"/>
    <sheet name="Option 2 &gt;" sheetId="8" r:id="rId8"/>
    <sheet name="2. Rate Calc" sheetId="30" r:id="rId9"/>
    <sheet name="2. Pg4" sheetId="31" r:id="rId10"/>
    <sheet name="Option 3 &gt; " sheetId="23" r:id="rId11"/>
    <sheet name="3. Rate Calc" sheetId="24" r:id="rId12"/>
    <sheet name="3. Pg4" sheetId="25" r:id="rId13"/>
    <sheet name="Option 4 &gt;" sheetId="32" r:id="rId14"/>
    <sheet name="4. Rate Calc" sheetId="20" r:id="rId15"/>
    <sheet name="4. Pg 4" sheetId="21" r:id="rId16"/>
    <sheet name="1a. Injected O.U" sheetId="35" r:id="rId17"/>
    <sheet name="1a. Rate Calc" sheetId="34" r:id="rId18"/>
    <sheet name="1a. Pg4" sheetId="36" r:id="rId19"/>
    <sheet name="Addl Info &gt;" sheetId="22" r:id="rId20"/>
    <sheet name="Historical Sales" sheetId="10" r:id="rId21"/>
    <sheet name="Forecasted Sales" sheetId="29" r:id="rId22"/>
    <sheet name="FAC Charge Chart" sheetId="26" r:id="rId23"/>
    <sheet name="AMP Chart" sheetId="33" r:id="rId2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1" i="18" l="1"/>
  <c r="AD20" i="18"/>
  <c r="L42" i="36" l="1"/>
  <c r="M42" i="36" s="1"/>
  <c r="M41" i="36"/>
  <c r="L41" i="36"/>
  <c r="M40" i="36"/>
  <c r="L40" i="36"/>
  <c r="L39" i="36"/>
  <c r="M39" i="36" s="1"/>
  <c r="M38" i="36"/>
  <c r="L38" i="36"/>
  <c r="L37" i="36"/>
  <c r="M37" i="36" s="1"/>
  <c r="L36" i="36"/>
  <c r="M36" i="36" s="1"/>
  <c r="M35" i="36"/>
  <c r="M34" i="36"/>
  <c r="M33" i="36"/>
  <c r="M32" i="36"/>
  <c r="M31" i="36"/>
  <c r="M30" i="36"/>
  <c r="M29" i="36"/>
  <c r="M28" i="36"/>
  <c r="M27" i="36"/>
  <c r="M26" i="36"/>
  <c r="M25" i="36"/>
  <c r="M24" i="36"/>
  <c r="M23" i="36"/>
  <c r="M22" i="36"/>
  <c r="M21" i="36"/>
  <c r="M20" i="36"/>
  <c r="M19" i="36"/>
  <c r="M18" i="36"/>
  <c r="F18" i="36"/>
  <c r="H18" i="36" s="1"/>
  <c r="M17" i="36"/>
  <c r="F17" i="36"/>
  <c r="H17" i="36" s="1"/>
  <c r="M16" i="36"/>
  <c r="F16" i="36"/>
  <c r="H16" i="36" s="1"/>
  <c r="M15" i="36"/>
  <c r="F15" i="36"/>
  <c r="H15" i="36" s="1"/>
  <c r="M14" i="36"/>
  <c r="F14" i="36"/>
  <c r="H14" i="36" s="1"/>
  <c r="M13" i="36"/>
  <c r="F13" i="36"/>
  <c r="H13" i="36" s="1"/>
  <c r="M12" i="36"/>
  <c r="F12" i="36"/>
  <c r="H12" i="36" s="1"/>
  <c r="M11" i="36"/>
  <c r="F11" i="36"/>
  <c r="H11" i="36" s="1"/>
  <c r="M10" i="36"/>
  <c r="F10" i="36"/>
  <c r="H10" i="36" s="1"/>
  <c r="M9" i="36"/>
  <c r="F9" i="36"/>
  <c r="H9" i="36" s="1"/>
  <c r="M8" i="36"/>
  <c r="F8" i="36"/>
  <c r="H8" i="36" s="1"/>
  <c r="M7" i="36"/>
  <c r="F7" i="36"/>
  <c r="H7" i="36" s="1"/>
  <c r="M6" i="36"/>
  <c r="H6" i="36"/>
  <c r="M5" i="36"/>
  <c r="H5" i="36"/>
  <c r="AD47" i="34"/>
  <c r="Z47" i="34"/>
  <c r="AE47" i="34" s="1"/>
  <c r="M47" i="34"/>
  <c r="I47" i="34"/>
  <c r="AD46" i="34"/>
  <c r="AE46" i="34" s="1"/>
  <c r="Z46" i="34"/>
  <c r="M46" i="34"/>
  <c r="I46" i="34"/>
  <c r="AD45" i="34"/>
  <c r="Z45" i="34"/>
  <c r="AE45" i="34" s="1"/>
  <c r="M45" i="34"/>
  <c r="I45" i="34"/>
  <c r="AD44" i="34"/>
  <c r="Z44" i="34"/>
  <c r="M44" i="34"/>
  <c r="I44" i="34"/>
  <c r="AD43" i="34"/>
  <c r="Z43" i="34"/>
  <c r="M43" i="34"/>
  <c r="I43" i="34"/>
  <c r="AD42" i="34"/>
  <c r="Z42" i="34"/>
  <c r="M42" i="34"/>
  <c r="I42" i="34"/>
  <c r="AD41" i="34"/>
  <c r="Z41" i="34"/>
  <c r="M41" i="34"/>
  <c r="I41" i="34"/>
  <c r="AD40" i="34"/>
  <c r="Z40" i="34"/>
  <c r="M40" i="34"/>
  <c r="I40" i="34"/>
  <c r="AD39" i="34"/>
  <c r="Z39" i="34"/>
  <c r="M39" i="34"/>
  <c r="I39" i="34"/>
  <c r="AD38" i="34"/>
  <c r="Z38" i="34"/>
  <c r="M38" i="34"/>
  <c r="I38" i="34"/>
  <c r="AD37" i="34"/>
  <c r="Z37" i="34"/>
  <c r="M37" i="34"/>
  <c r="I37" i="34"/>
  <c r="AD36" i="34"/>
  <c r="AE36" i="34" s="1"/>
  <c r="Z36" i="34"/>
  <c r="M36" i="34"/>
  <c r="I36" i="34"/>
  <c r="O36" i="34" s="1"/>
  <c r="AD35" i="34"/>
  <c r="Z35" i="34"/>
  <c r="M35" i="34"/>
  <c r="I35" i="34"/>
  <c r="AD34" i="34"/>
  <c r="Z34" i="34"/>
  <c r="M34" i="34"/>
  <c r="I34" i="34"/>
  <c r="AD33" i="34"/>
  <c r="Z33" i="34"/>
  <c r="M33" i="34"/>
  <c r="I33" i="34"/>
  <c r="AD32" i="34"/>
  <c r="Z32" i="34"/>
  <c r="M32" i="34"/>
  <c r="I32" i="34"/>
  <c r="O32" i="34" s="1"/>
  <c r="AD31" i="34"/>
  <c r="Z31" i="34"/>
  <c r="AE31" i="34" s="1"/>
  <c r="M31" i="34"/>
  <c r="I31" i="34"/>
  <c r="O31" i="34" s="1"/>
  <c r="AD30" i="34"/>
  <c r="Z30" i="34"/>
  <c r="M30" i="34"/>
  <c r="I30" i="34"/>
  <c r="AD29" i="34"/>
  <c r="Z29" i="34"/>
  <c r="M29" i="34"/>
  <c r="I29" i="34"/>
  <c r="AD28" i="34"/>
  <c r="Z28" i="34"/>
  <c r="M28" i="34"/>
  <c r="I28" i="34"/>
  <c r="O28" i="34" s="1"/>
  <c r="AD27" i="34"/>
  <c r="Z27" i="34"/>
  <c r="M27" i="34"/>
  <c r="I27" i="34"/>
  <c r="AD26" i="34"/>
  <c r="Z26" i="34"/>
  <c r="M26" i="34"/>
  <c r="I26" i="34"/>
  <c r="AD25" i="34"/>
  <c r="Z25" i="34"/>
  <c r="M25" i="34"/>
  <c r="I25" i="34"/>
  <c r="AD24" i="34"/>
  <c r="Z24" i="34"/>
  <c r="M24" i="34"/>
  <c r="I24" i="34"/>
  <c r="AD23" i="34"/>
  <c r="Z23" i="34"/>
  <c r="M23" i="34"/>
  <c r="I23" i="34"/>
  <c r="AD22" i="34"/>
  <c r="Z22" i="34"/>
  <c r="M22" i="34"/>
  <c r="I22" i="34"/>
  <c r="AF21" i="34"/>
  <c r="AD21" i="34"/>
  <c r="Z21" i="34"/>
  <c r="AE21" i="34" s="1"/>
  <c r="M21" i="34"/>
  <c r="I21" i="34"/>
  <c r="AF20" i="34"/>
  <c r="AD20" i="34"/>
  <c r="Z20" i="34"/>
  <c r="M20" i="34"/>
  <c r="I20" i="34"/>
  <c r="AD19" i="34"/>
  <c r="Z19" i="34"/>
  <c r="M19" i="34"/>
  <c r="I19" i="34"/>
  <c r="O19" i="34" s="1"/>
  <c r="R19" i="34" s="1"/>
  <c r="T19" i="34" s="1"/>
  <c r="AD18" i="34"/>
  <c r="Z18" i="34"/>
  <c r="M18" i="34"/>
  <c r="I18" i="34"/>
  <c r="AD17" i="34"/>
  <c r="Z17" i="34"/>
  <c r="M17" i="34"/>
  <c r="I17" i="34"/>
  <c r="AD16" i="34"/>
  <c r="Z16" i="34"/>
  <c r="AE16" i="34" s="1"/>
  <c r="M16" i="34"/>
  <c r="I16" i="34"/>
  <c r="AD15" i="34"/>
  <c r="Z15" i="34"/>
  <c r="M15" i="34"/>
  <c r="I15" i="34"/>
  <c r="O15" i="34" s="1"/>
  <c r="R15" i="34" s="1"/>
  <c r="T15" i="34" s="1"/>
  <c r="AD14" i="34"/>
  <c r="Z14" i="34"/>
  <c r="M14" i="34"/>
  <c r="I14" i="34"/>
  <c r="AD13" i="34"/>
  <c r="Z13" i="34"/>
  <c r="M13" i="34"/>
  <c r="I13" i="34"/>
  <c r="AD12" i="34"/>
  <c r="Z12" i="34"/>
  <c r="M12" i="34"/>
  <c r="I12" i="34"/>
  <c r="AD11" i="34"/>
  <c r="Z11" i="34"/>
  <c r="M11" i="34"/>
  <c r="I11" i="34"/>
  <c r="O11" i="34" s="1"/>
  <c r="R11" i="34" s="1"/>
  <c r="T11" i="34" s="1"/>
  <c r="AD10" i="34"/>
  <c r="Z10" i="34"/>
  <c r="AE10" i="34" s="1"/>
  <c r="M10" i="34"/>
  <c r="I10" i="34"/>
  <c r="AD9" i="34"/>
  <c r="Z9" i="34"/>
  <c r="M9" i="34"/>
  <c r="I9" i="34"/>
  <c r="O9" i="34" s="1"/>
  <c r="R9" i="34" s="1"/>
  <c r="T9" i="34" s="1"/>
  <c r="AD8" i="34"/>
  <c r="Z8" i="34"/>
  <c r="AE8" i="34" s="1"/>
  <c r="M8" i="34"/>
  <c r="I8" i="34"/>
  <c r="O27" i="26"/>
  <c r="O26" i="26"/>
  <c r="O25" i="26"/>
  <c r="O24" i="26"/>
  <c r="O23" i="26"/>
  <c r="O22" i="26"/>
  <c r="O21" i="26"/>
  <c r="O20" i="26"/>
  <c r="O19" i="26"/>
  <c r="O18" i="26"/>
  <c r="O17" i="26"/>
  <c r="O16" i="26"/>
  <c r="O15" i="26"/>
  <c r="O14" i="26"/>
  <c r="O13" i="26"/>
  <c r="O12" i="26"/>
  <c r="O11" i="26"/>
  <c r="O10" i="26"/>
  <c r="O9" i="26"/>
  <c r="O8" i="26"/>
  <c r="O7" i="26"/>
  <c r="O6" i="26"/>
  <c r="O5" i="26"/>
  <c r="O4" i="26"/>
  <c r="AD45" i="30"/>
  <c r="AD44" i="30"/>
  <c r="AD43" i="30"/>
  <c r="F40" i="31" s="1"/>
  <c r="F41" i="31" s="1"/>
  <c r="F42" i="31" s="1"/>
  <c r="AD42" i="30"/>
  <c r="AD41" i="30"/>
  <c r="AD40" i="30"/>
  <c r="AD39" i="30"/>
  <c r="AD38" i="30"/>
  <c r="AD37" i="30"/>
  <c r="F34" i="31" s="1"/>
  <c r="F35" i="31" s="1"/>
  <c r="F36" i="31" s="1"/>
  <c r="AD36" i="30"/>
  <c r="AD35" i="30"/>
  <c r="AD34" i="30"/>
  <c r="F31" i="31" s="1"/>
  <c r="F32" i="31" s="1"/>
  <c r="F33" i="31" s="1"/>
  <c r="AD33" i="30"/>
  <c r="AD32" i="30"/>
  <c r="AD31" i="30"/>
  <c r="AD30" i="30"/>
  <c r="AD29" i="30"/>
  <c r="AD28" i="30"/>
  <c r="F25" i="31" s="1"/>
  <c r="F26" i="31" s="1"/>
  <c r="F27" i="31" s="1"/>
  <c r="AD27" i="30"/>
  <c r="AD26" i="30"/>
  <c r="AD25" i="30"/>
  <c r="AD24" i="30"/>
  <c r="AD23" i="30"/>
  <c r="AD22" i="30"/>
  <c r="F19" i="31" l="1"/>
  <c r="F20" i="31" s="1"/>
  <c r="F21" i="31" s="1"/>
  <c r="O42" i="34"/>
  <c r="F28" i="31"/>
  <c r="F29" i="31" s="1"/>
  <c r="F30" i="31" s="1"/>
  <c r="AE37" i="34"/>
  <c r="F37" i="31"/>
  <c r="F38" i="31" s="1"/>
  <c r="F39" i="31" s="1"/>
  <c r="F22" i="31"/>
  <c r="F23" i="31" s="1"/>
  <c r="F24" i="31" s="1"/>
  <c r="O44" i="34"/>
  <c r="O30" i="34"/>
  <c r="O35" i="34"/>
  <c r="O46" i="34"/>
  <c r="AE17" i="34"/>
  <c r="AE19" i="34"/>
  <c r="O43" i="34"/>
  <c r="O10" i="34"/>
  <c r="R10" i="34" s="1"/>
  <c r="T10" i="34" s="1"/>
  <c r="O12" i="34"/>
  <c r="R12" i="34" s="1"/>
  <c r="T12" i="34" s="1"/>
  <c r="O14" i="34"/>
  <c r="R14" i="34" s="1"/>
  <c r="T14" i="34" s="1"/>
  <c r="AG14" i="34" s="1"/>
  <c r="AI14" i="34" s="1"/>
  <c r="O20" i="34"/>
  <c r="R20" i="34" s="1"/>
  <c r="T20" i="34" s="1"/>
  <c r="AG20" i="34" s="1"/>
  <c r="AI20" i="34" s="1"/>
  <c r="O26" i="34"/>
  <c r="AE44" i="34"/>
  <c r="AE18" i="34"/>
  <c r="O22" i="34"/>
  <c r="R22" i="34" s="1"/>
  <c r="T22" i="34" s="1"/>
  <c r="O29" i="34"/>
  <c r="AE39" i="34"/>
  <c r="AE30" i="34"/>
  <c r="AE22" i="34"/>
  <c r="AE14" i="34"/>
  <c r="AE23" i="34"/>
  <c r="O34" i="34"/>
  <c r="O13" i="34"/>
  <c r="R13" i="34" s="1"/>
  <c r="T13" i="34" s="1"/>
  <c r="AE20" i="34"/>
  <c r="O38" i="34"/>
  <c r="O23" i="34"/>
  <c r="R23" i="34" s="1"/>
  <c r="T23" i="34" s="1"/>
  <c r="O24" i="34"/>
  <c r="O37" i="34"/>
  <c r="O17" i="34"/>
  <c r="R17" i="34" s="1"/>
  <c r="T17" i="34" s="1"/>
  <c r="AE11" i="34"/>
  <c r="AG11" i="34" s="1"/>
  <c r="AI11" i="34" s="1"/>
  <c r="O27" i="34"/>
  <c r="AE29" i="34"/>
  <c r="AE38" i="34"/>
  <c r="O40" i="34"/>
  <c r="AE15" i="34"/>
  <c r="AG15" i="34" s="1"/>
  <c r="AI15" i="34" s="1"/>
  <c r="AE33" i="34"/>
  <c r="AE34" i="34"/>
  <c r="O47" i="34"/>
  <c r="AE12" i="34"/>
  <c r="O16" i="34"/>
  <c r="R16" i="34" s="1"/>
  <c r="T16" i="34" s="1"/>
  <c r="O21" i="34"/>
  <c r="R21" i="34" s="1"/>
  <c r="T21" i="34" s="1"/>
  <c r="O25" i="34"/>
  <c r="AE27" i="34"/>
  <c r="AE28" i="34"/>
  <c r="O41" i="34"/>
  <c r="AE43" i="34"/>
  <c r="O18" i="34"/>
  <c r="R18" i="34" s="1"/>
  <c r="T18" i="34" s="1"/>
  <c r="AE40" i="34"/>
  <c r="AE32" i="34"/>
  <c r="AE13" i="34"/>
  <c r="AE24" i="34"/>
  <c r="AE25" i="34"/>
  <c r="AE26" i="34"/>
  <c r="O39" i="34"/>
  <c r="AE41" i="34"/>
  <c r="AE42" i="34"/>
  <c r="O8" i="34"/>
  <c r="R8" i="34" s="1"/>
  <c r="T8" i="34" s="1"/>
  <c r="AG8" i="34" s="1"/>
  <c r="AI8" i="34" s="1"/>
  <c r="AE9" i="34"/>
  <c r="AG9" i="34" s="1"/>
  <c r="AI9" i="34" s="1"/>
  <c r="O33" i="34"/>
  <c r="AE35" i="34"/>
  <c r="O45" i="34"/>
  <c r="AG19" i="34"/>
  <c r="AI19" i="34" s="1"/>
  <c r="AG10" i="34"/>
  <c r="AI10" i="34" s="1"/>
  <c r="AG17" i="34"/>
  <c r="AI17" i="34" s="1"/>
  <c r="L42" i="31"/>
  <c r="M42" i="31" s="1"/>
  <c r="H42" i="31"/>
  <c r="L41" i="31"/>
  <c r="M41" i="31" s="1"/>
  <c r="H41" i="31"/>
  <c r="M40" i="31"/>
  <c r="L40" i="31"/>
  <c r="H40" i="31"/>
  <c r="M39" i="31"/>
  <c r="L39" i="31"/>
  <c r="H39" i="31"/>
  <c r="L38" i="31"/>
  <c r="M38" i="31" s="1"/>
  <c r="H38" i="31"/>
  <c r="L37" i="31"/>
  <c r="M37" i="31" s="1"/>
  <c r="H37" i="31"/>
  <c r="L36" i="31"/>
  <c r="M36" i="31" s="1"/>
  <c r="H36" i="31"/>
  <c r="M35" i="31"/>
  <c r="H35" i="31"/>
  <c r="M34" i="31"/>
  <c r="H34" i="31"/>
  <c r="M33" i="31"/>
  <c r="H33" i="31"/>
  <c r="M32" i="31"/>
  <c r="H32" i="31"/>
  <c r="M31" i="31"/>
  <c r="H31" i="31"/>
  <c r="M30" i="31"/>
  <c r="H30" i="31"/>
  <c r="M29" i="31"/>
  <c r="H29" i="31"/>
  <c r="M28" i="31"/>
  <c r="H28" i="31"/>
  <c r="M27" i="31"/>
  <c r="H27" i="31"/>
  <c r="M26" i="31"/>
  <c r="H26" i="31"/>
  <c r="M25" i="31"/>
  <c r="H25" i="31"/>
  <c r="M24" i="31"/>
  <c r="H24" i="31"/>
  <c r="M23" i="31"/>
  <c r="H23" i="31"/>
  <c r="M22" i="31"/>
  <c r="H22" i="31"/>
  <c r="M21" i="31"/>
  <c r="H21" i="31"/>
  <c r="M20" i="31"/>
  <c r="M19" i="31"/>
  <c r="H19" i="31"/>
  <c r="M18" i="31"/>
  <c r="F18" i="31"/>
  <c r="H18" i="31" s="1"/>
  <c r="M17" i="31"/>
  <c r="F17" i="31"/>
  <c r="H17" i="31" s="1"/>
  <c r="M16" i="31"/>
  <c r="F16" i="31"/>
  <c r="H16" i="31" s="1"/>
  <c r="M15" i="31"/>
  <c r="F15" i="31"/>
  <c r="H15" i="31" s="1"/>
  <c r="M14" i="31"/>
  <c r="F14" i="31"/>
  <c r="H14" i="31" s="1"/>
  <c r="M13" i="31"/>
  <c r="F13" i="31"/>
  <c r="H13" i="31" s="1"/>
  <c r="M12" i="31"/>
  <c r="F12" i="31"/>
  <c r="H12" i="31" s="1"/>
  <c r="M11" i="31"/>
  <c r="F11" i="31"/>
  <c r="H11" i="31" s="1"/>
  <c r="M10" i="31"/>
  <c r="F10" i="31"/>
  <c r="H10" i="31" s="1"/>
  <c r="M9" i="31"/>
  <c r="F9" i="31"/>
  <c r="H9" i="31" s="1"/>
  <c r="M8" i="31"/>
  <c r="F8" i="31"/>
  <c r="H8" i="31" s="1"/>
  <c r="M7" i="31"/>
  <c r="F7" i="31"/>
  <c r="H7" i="31" s="1"/>
  <c r="M6" i="31"/>
  <c r="H6" i="31"/>
  <c r="M5" i="31"/>
  <c r="H5" i="31"/>
  <c r="AC47" i="30"/>
  <c r="AB47" i="30"/>
  <c r="X47" i="30"/>
  <c r="M47" i="30"/>
  <c r="I47" i="30"/>
  <c r="AB46" i="30"/>
  <c r="X46" i="30"/>
  <c r="AC46" i="30" s="1"/>
  <c r="M46" i="30"/>
  <c r="I46" i="30"/>
  <c r="O46" i="30" s="1"/>
  <c r="AC45" i="30"/>
  <c r="AB45" i="30"/>
  <c r="X45" i="30"/>
  <c r="M45" i="30"/>
  <c r="O45" i="30" s="1"/>
  <c r="I45" i="30"/>
  <c r="AB44" i="30"/>
  <c r="X44" i="30"/>
  <c r="AC44" i="30" s="1"/>
  <c r="M44" i="30"/>
  <c r="I44" i="30"/>
  <c r="AB43" i="30"/>
  <c r="X43" i="30"/>
  <c r="M43" i="30"/>
  <c r="I43" i="30"/>
  <c r="AB42" i="30"/>
  <c r="X42" i="30"/>
  <c r="AC42" i="30" s="1"/>
  <c r="M42" i="30"/>
  <c r="I42" i="30"/>
  <c r="O42" i="30" s="1"/>
  <c r="AC41" i="30"/>
  <c r="AB41" i="30"/>
  <c r="X41" i="30"/>
  <c r="M41" i="30"/>
  <c r="O41" i="30" s="1"/>
  <c r="I41" i="30"/>
  <c r="AB40" i="30"/>
  <c r="X40" i="30"/>
  <c r="AC40" i="30" s="1"/>
  <c r="M40" i="30"/>
  <c r="I40" i="30"/>
  <c r="AB39" i="30"/>
  <c r="X39" i="30"/>
  <c r="AC39" i="30" s="1"/>
  <c r="M39" i="30"/>
  <c r="I39" i="30"/>
  <c r="AB38" i="30"/>
  <c r="X38" i="30"/>
  <c r="AC38" i="30" s="1"/>
  <c r="M38" i="30"/>
  <c r="I38" i="30"/>
  <c r="AB37" i="30"/>
  <c r="AC37" i="30" s="1"/>
  <c r="X37" i="30"/>
  <c r="M37" i="30"/>
  <c r="I37" i="30"/>
  <c r="AB36" i="30"/>
  <c r="X36" i="30"/>
  <c r="AC36" i="30" s="1"/>
  <c r="M36" i="30"/>
  <c r="I36" i="30"/>
  <c r="AB35" i="30"/>
  <c r="X35" i="30"/>
  <c r="M35" i="30"/>
  <c r="I35" i="30"/>
  <c r="O35" i="30" s="1"/>
  <c r="AB34" i="30"/>
  <c r="X34" i="30"/>
  <c r="AC34" i="30" s="1"/>
  <c r="M34" i="30"/>
  <c r="I34" i="30"/>
  <c r="AC33" i="30"/>
  <c r="AB33" i="30"/>
  <c r="X33" i="30"/>
  <c r="M33" i="30"/>
  <c r="I33" i="30"/>
  <c r="AB32" i="30"/>
  <c r="X32" i="30"/>
  <c r="M32" i="30"/>
  <c r="I32" i="30"/>
  <c r="O32" i="30" s="1"/>
  <c r="AB31" i="30"/>
  <c r="X31" i="30"/>
  <c r="AC31" i="30" s="1"/>
  <c r="M31" i="30"/>
  <c r="I31" i="30"/>
  <c r="O31" i="30" s="1"/>
  <c r="AB30" i="30"/>
  <c r="X30" i="30"/>
  <c r="M30" i="30"/>
  <c r="I30" i="30"/>
  <c r="O30" i="30" s="1"/>
  <c r="AB29" i="30"/>
  <c r="X29" i="30"/>
  <c r="AC29" i="30" s="1"/>
  <c r="M29" i="30"/>
  <c r="I29" i="30"/>
  <c r="AB28" i="30"/>
  <c r="X28" i="30"/>
  <c r="M28" i="30"/>
  <c r="I28" i="30"/>
  <c r="AB27" i="30"/>
  <c r="X27" i="30"/>
  <c r="AC27" i="30" s="1"/>
  <c r="M27" i="30"/>
  <c r="I27" i="30"/>
  <c r="O27" i="30" s="1"/>
  <c r="AB26" i="30"/>
  <c r="X26" i="30"/>
  <c r="M26" i="30"/>
  <c r="I26" i="30"/>
  <c r="AB25" i="30"/>
  <c r="X25" i="30"/>
  <c r="AC25" i="30" s="1"/>
  <c r="M25" i="30"/>
  <c r="O25" i="30" s="1"/>
  <c r="I25" i="30"/>
  <c r="AB24" i="30"/>
  <c r="X24" i="30"/>
  <c r="AC24" i="30" s="1"/>
  <c r="M24" i="30"/>
  <c r="I24" i="30"/>
  <c r="O24" i="30" s="1"/>
  <c r="AB23" i="30"/>
  <c r="X23" i="30"/>
  <c r="AC23" i="30" s="1"/>
  <c r="M23" i="30"/>
  <c r="I23" i="30"/>
  <c r="AB22" i="30"/>
  <c r="X22" i="30"/>
  <c r="AC22" i="30" s="1"/>
  <c r="M22" i="30"/>
  <c r="I22" i="30"/>
  <c r="AB21" i="30"/>
  <c r="X21" i="30"/>
  <c r="AC21" i="30" s="1"/>
  <c r="M21" i="30"/>
  <c r="O21" i="30" s="1"/>
  <c r="R21" i="30" s="1"/>
  <c r="T21" i="30" s="1"/>
  <c r="I21" i="30"/>
  <c r="AB20" i="30"/>
  <c r="X20" i="30"/>
  <c r="AC20" i="30" s="1"/>
  <c r="M20" i="30"/>
  <c r="I20" i="30"/>
  <c r="AB19" i="30"/>
  <c r="X19" i="30"/>
  <c r="AC19" i="30" s="1"/>
  <c r="M19" i="30"/>
  <c r="I19" i="30"/>
  <c r="AB18" i="30"/>
  <c r="X18" i="30"/>
  <c r="AC18" i="30" s="1"/>
  <c r="M18" i="30"/>
  <c r="I18" i="30"/>
  <c r="O18" i="30" s="1"/>
  <c r="R18" i="30" s="1"/>
  <c r="T18" i="30" s="1"/>
  <c r="AB17" i="30"/>
  <c r="X17" i="30"/>
  <c r="AC17" i="30" s="1"/>
  <c r="M17" i="30"/>
  <c r="I17" i="30"/>
  <c r="AB16" i="30"/>
  <c r="X16" i="30"/>
  <c r="M16" i="30"/>
  <c r="O16" i="30" s="1"/>
  <c r="R16" i="30" s="1"/>
  <c r="T16" i="30" s="1"/>
  <c r="I16" i="30"/>
  <c r="AB15" i="30"/>
  <c r="X15" i="30"/>
  <c r="AC15" i="30" s="1"/>
  <c r="M15" i="30"/>
  <c r="I15" i="30"/>
  <c r="AB14" i="30"/>
  <c r="X14" i="30"/>
  <c r="M14" i="30"/>
  <c r="I14" i="30"/>
  <c r="AB13" i="30"/>
  <c r="X13" i="30"/>
  <c r="AC13" i="30" s="1"/>
  <c r="M13" i="30"/>
  <c r="I13" i="30"/>
  <c r="O13" i="30" s="1"/>
  <c r="R13" i="30" s="1"/>
  <c r="T13" i="30" s="1"/>
  <c r="AB12" i="30"/>
  <c r="X12" i="30"/>
  <c r="AC12" i="30" s="1"/>
  <c r="M12" i="30"/>
  <c r="I12" i="30"/>
  <c r="AB11" i="30"/>
  <c r="X11" i="30"/>
  <c r="M11" i="30"/>
  <c r="I11" i="30"/>
  <c r="O11" i="30" s="1"/>
  <c r="R11" i="30" s="1"/>
  <c r="T11" i="30" s="1"/>
  <c r="AB10" i="30"/>
  <c r="X10" i="30"/>
  <c r="AC10" i="30" s="1"/>
  <c r="M10" i="30"/>
  <c r="I10" i="30"/>
  <c r="AC9" i="30"/>
  <c r="AB9" i="30"/>
  <c r="X9" i="30"/>
  <c r="M9" i="30"/>
  <c r="I9" i="30"/>
  <c r="AB8" i="30"/>
  <c r="X8" i="30"/>
  <c r="AC8" i="30" s="1"/>
  <c r="M8" i="30"/>
  <c r="I8" i="30"/>
  <c r="I15" i="29"/>
  <c r="I14" i="29"/>
  <c r="I13" i="29"/>
  <c r="I12" i="29"/>
  <c r="I11" i="29"/>
  <c r="I10" i="29"/>
  <c r="I9" i="29"/>
  <c r="I8" i="29"/>
  <c r="I7" i="29"/>
  <c r="I6" i="29"/>
  <c r="I5" i="29"/>
  <c r="I4" i="29"/>
  <c r="F15" i="29"/>
  <c r="F14" i="29"/>
  <c r="F13" i="29"/>
  <c r="F12" i="29"/>
  <c r="F11" i="29"/>
  <c r="F10" i="29"/>
  <c r="F9" i="29"/>
  <c r="F8" i="29"/>
  <c r="F7" i="29"/>
  <c r="F6" i="29"/>
  <c r="F5" i="29"/>
  <c r="F4" i="29"/>
  <c r="O8" i="30" l="1"/>
  <c r="R8" i="30" s="1"/>
  <c r="T8" i="30" s="1"/>
  <c r="AE8" i="30" s="1"/>
  <c r="AG8" i="30" s="1"/>
  <c r="C5" i="31" s="1"/>
  <c r="O10" i="30"/>
  <c r="R10" i="30" s="1"/>
  <c r="T10" i="30" s="1"/>
  <c r="O12" i="30"/>
  <c r="R12" i="30" s="1"/>
  <c r="T12" i="30" s="1"/>
  <c r="O14" i="30"/>
  <c r="R14" i="30" s="1"/>
  <c r="T14" i="30" s="1"/>
  <c r="O33" i="30"/>
  <c r="O37" i="30"/>
  <c r="O39" i="30"/>
  <c r="O29" i="30"/>
  <c r="O9" i="30"/>
  <c r="R9" i="30" s="1"/>
  <c r="T9" i="30" s="1"/>
  <c r="AC14" i="30"/>
  <c r="AC16" i="30"/>
  <c r="O20" i="30"/>
  <c r="R20" i="30" s="1"/>
  <c r="T20" i="30" s="1"/>
  <c r="O22" i="30"/>
  <c r="R22" i="30" s="1"/>
  <c r="T22" i="30" s="1"/>
  <c r="O26" i="30"/>
  <c r="O28" i="30"/>
  <c r="AC35" i="30"/>
  <c r="O43" i="30"/>
  <c r="H20" i="31"/>
  <c r="AG12" i="34"/>
  <c r="AI12" i="34" s="1"/>
  <c r="AG13" i="34"/>
  <c r="AI13" i="34" s="1"/>
  <c r="O15" i="30"/>
  <c r="R15" i="30" s="1"/>
  <c r="T15" i="30" s="1"/>
  <c r="U21" i="30" s="1"/>
  <c r="O17" i="30"/>
  <c r="R17" i="30" s="1"/>
  <c r="T17" i="30" s="1"/>
  <c r="AC26" i="30"/>
  <c r="AC28" i="30"/>
  <c r="O34" i="30"/>
  <c r="O36" i="30"/>
  <c r="AC43" i="30"/>
  <c r="O47" i="30"/>
  <c r="AC11" i="30"/>
  <c r="O19" i="30"/>
  <c r="R19" i="30" s="1"/>
  <c r="T19" i="30" s="1"/>
  <c r="O23" i="30"/>
  <c r="R23" i="30" s="1"/>
  <c r="T23" i="30" s="1"/>
  <c r="AC30" i="30"/>
  <c r="AC32" i="30"/>
  <c r="O38" i="30"/>
  <c r="O40" i="30"/>
  <c r="O44" i="30"/>
  <c r="AG21" i="34"/>
  <c r="AI21" i="34" s="1"/>
  <c r="V22" i="34"/>
  <c r="AG18" i="34"/>
  <c r="AI18" i="34" s="1"/>
  <c r="U22" i="34"/>
  <c r="W22" i="34" s="1"/>
  <c r="U23" i="34"/>
  <c r="U20" i="34"/>
  <c r="U21" i="34"/>
  <c r="AG16" i="34"/>
  <c r="AI16" i="34" s="1"/>
  <c r="I14" i="31"/>
  <c r="E7" i="31"/>
  <c r="E10" i="31"/>
  <c r="J10" i="31" s="1"/>
  <c r="N10" i="31" s="1"/>
  <c r="E11" i="31"/>
  <c r="J11" i="31" s="1"/>
  <c r="N11" i="31" s="1"/>
  <c r="E15" i="31"/>
  <c r="E16" i="31"/>
  <c r="J16" i="31" s="1"/>
  <c r="N16" i="31" s="1"/>
  <c r="AE19" i="30"/>
  <c r="AG19" i="30" s="1"/>
  <c r="C16" i="31" s="1"/>
  <c r="I16" i="31" s="1"/>
  <c r="AE13" i="30"/>
  <c r="AG13" i="30" s="1"/>
  <c r="C10" i="31" s="1"/>
  <c r="I10" i="31" s="1"/>
  <c r="AE17" i="30"/>
  <c r="AG17" i="30" s="1"/>
  <c r="C14" i="31" s="1"/>
  <c r="E14" i="31" s="1"/>
  <c r="AE9" i="30"/>
  <c r="AG9" i="30" s="1"/>
  <c r="C6" i="31" s="1"/>
  <c r="AE21" i="30"/>
  <c r="AG21" i="30" s="1"/>
  <c r="C18" i="31" s="1"/>
  <c r="I18" i="31" s="1"/>
  <c r="AE15" i="30"/>
  <c r="AG15" i="30" s="1"/>
  <c r="C12" i="31" s="1"/>
  <c r="I12" i="31" s="1"/>
  <c r="AE10" i="30"/>
  <c r="AG10" i="30" s="1"/>
  <c r="C7" i="31" s="1"/>
  <c r="I7" i="31" s="1"/>
  <c r="AE12" i="30"/>
  <c r="AG12" i="30" s="1"/>
  <c r="C9" i="31" s="1"/>
  <c r="I9" i="31" s="1"/>
  <c r="AE14" i="30"/>
  <c r="AG14" i="30" s="1"/>
  <c r="C11" i="31" s="1"/>
  <c r="I11" i="31" s="1"/>
  <c r="AE20" i="30"/>
  <c r="AG20" i="30" s="1"/>
  <c r="C17" i="31" s="1"/>
  <c r="I17" i="31" s="1"/>
  <c r="AE11" i="30"/>
  <c r="AG11" i="30" s="1"/>
  <c r="C8" i="31" s="1"/>
  <c r="I8" i="31" s="1"/>
  <c r="AE16" i="30"/>
  <c r="AG16" i="30" s="1"/>
  <c r="C13" i="31" s="1"/>
  <c r="E13" i="31" s="1"/>
  <c r="AE18" i="30"/>
  <c r="AG18" i="30" s="1"/>
  <c r="C15" i="31" s="1"/>
  <c r="I15" i="31" s="1"/>
  <c r="N4" i="26"/>
  <c r="P4" i="26"/>
  <c r="N5" i="26"/>
  <c r="P5" i="26"/>
  <c r="N6" i="26"/>
  <c r="P6" i="26"/>
  <c r="N7" i="26"/>
  <c r="P7" i="26"/>
  <c r="N8" i="26"/>
  <c r="P8" i="26"/>
  <c r="N9" i="26"/>
  <c r="P9" i="26"/>
  <c r="N10" i="26"/>
  <c r="P10" i="26"/>
  <c r="N11" i="26"/>
  <c r="P11" i="26"/>
  <c r="N12" i="26"/>
  <c r="P12" i="26"/>
  <c r="N13" i="26"/>
  <c r="P13" i="26"/>
  <c r="N14" i="26"/>
  <c r="P14" i="26"/>
  <c r="N15" i="26"/>
  <c r="P15" i="26"/>
  <c r="N16" i="26"/>
  <c r="P16" i="26"/>
  <c r="N17" i="26"/>
  <c r="P17" i="26"/>
  <c r="N18" i="26"/>
  <c r="P18" i="26"/>
  <c r="N19" i="26"/>
  <c r="P19" i="26"/>
  <c r="N20" i="26"/>
  <c r="P20" i="26"/>
  <c r="N21" i="26"/>
  <c r="P21" i="26"/>
  <c r="N22" i="26"/>
  <c r="P22" i="26"/>
  <c r="N23" i="26"/>
  <c r="P23" i="26"/>
  <c r="N24" i="26"/>
  <c r="P24" i="26"/>
  <c r="N25" i="26"/>
  <c r="P25" i="26"/>
  <c r="N26" i="26"/>
  <c r="P26" i="26"/>
  <c r="N27" i="26"/>
  <c r="P27" i="26"/>
  <c r="Q27" i="26"/>
  <c r="Q26" i="26"/>
  <c r="Q25" i="26"/>
  <c r="Q24" i="26"/>
  <c r="Q23" i="26"/>
  <c r="Q22" i="26"/>
  <c r="Q21" i="26"/>
  <c r="Q20" i="26"/>
  <c r="Q19" i="26"/>
  <c r="Q18" i="26"/>
  <c r="Q17" i="26"/>
  <c r="Q16" i="26"/>
  <c r="Q15" i="26"/>
  <c r="Q14" i="26"/>
  <c r="Q13" i="26"/>
  <c r="Q12" i="26"/>
  <c r="Q11" i="26"/>
  <c r="Q10" i="26"/>
  <c r="Q9" i="26"/>
  <c r="Q8" i="26"/>
  <c r="Q7" i="26"/>
  <c r="Q6" i="26"/>
  <c r="Q5" i="26"/>
  <c r="Q4" i="26"/>
  <c r="M27" i="26"/>
  <c r="M26" i="26"/>
  <c r="M25" i="26"/>
  <c r="M24" i="26"/>
  <c r="M23" i="26"/>
  <c r="M22" i="26"/>
  <c r="M21" i="26"/>
  <c r="M20" i="26"/>
  <c r="M19" i="26"/>
  <c r="M18" i="26"/>
  <c r="M17" i="26"/>
  <c r="M16" i="26"/>
  <c r="M15" i="26"/>
  <c r="M14" i="26"/>
  <c r="M13" i="26"/>
  <c r="M12" i="26"/>
  <c r="M11" i="26"/>
  <c r="M10" i="26"/>
  <c r="M9" i="26"/>
  <c r="M8" i="26"/>
  <c r="M7" i="26"/>
  <c r="M6" i="26"/>
  <c r="M5" i="26"/>
  <c r="M4" i="26"/>
  <c r="E5" i="31" l="1"/>
  <c r="I5" i="31"/>
  <c r="U22" i="30"/>
  <c r="E18" i="31"/>
  <c r="J18" i="31" s="1"/>
  <c r="N18" i="31" s="1"/>
  <c r="V24" i="34"/>
  <c r="V21" i="34"/>
  <c r="W21" i="34" s="1"/>
  <c r="W20" i="34"/>
  <c r="E17" i="31"/>
  <c r="J17" i="31" s="1"/>
  <c r="N17" i="31" s="1"/>
  <c r="E9" i="31"/>
  <c r="J9" i="31" s="1"/>
  <c r="N9" i="31" s="1"/>
  <c r="I13" i="31"/>
  <c r="J13" i="31" s="1"/>
  <c r="N13" i="31" s="1"/>
  <c r="V23" i="34"/>
  <c r="W23" i="34" s="1"/>
  <c r="I6" i="31"/>
  <c r="E6" i="31"/>
  <c r="J6" i="31" s="1"/>
  <c r="N6" i="31" s="1"/>
  <c r="E8" i="31"/>
  <c r="J8" i="31" s="1"/>
  <c r="N8" i="31" s="1"/>
  <c r="J15" i="31"/>
  <c r="N15" i="31" s="1"/>
  <c r="U23" i="30"/>
  <c r="U20" i="30"/>
  <c r="AH22" i="30" s="1"/>
  <c r="E12" i="31"/>
  <c r="J12" i="31" s="1"/>
  <c r="N12" i="31" s="1"/>
  <c r="J7" i="31"/>
  <c r="N7" i="31" s="1"/>
  <c r="J14" i="31"/>
  <c r="N14" i="31" s="1"/>
  <c r="AH23" i="30"/>
  <c r="AE22" i="30" l="1"/>
  <c r="J5" i="31"/>
  <c r="N5" i="31" s="1"/>
  <c r="AE23" i="30"/>
  <c r="AG22" i="30"/>
  <c r="L42" i="25"/>
  <c r="M42" i="25" s="1"/>
  <c r="L41" i="25"/>
  <c r="M41" i="25" s="1"/>
  <c r="L40" i="25"/>
  <c r="M40" i="25" s="1"/>
  <c r="L39" i="25"/>
  <c r="M39" i="25" s="1"/>
  <c r="M38" i="25"/>
  <c r="L38" i="25"/>
  <c r="L37" i="25"/>
  <c r="M37" i="25" s="1"/>
  <c r="L36" i="25"/>
  <c r="M36" i="25" s="1"/>
  <c r="M35" i="25"/>
  <c r="M34" i="25"/>
  <c r="M33" i="25"/>
  <c r="M32" i="25"/>
  <c r="M31" i="25"/>
  <c r="M30" i="25"/>
  <c r="M29" i="25"/>
  <c r="M28" i="25"/>
  <c r="M27" i="25"/>
  <c r="M26" i="25"/>
  <c r="M25" i="25"/>
  <c r="M24" i="25"/>
  <c r="M23" i="25"/>
  <c r="M22" i="25"/>
  <c r="M21" i="25"/>
  <c r="M20" i="25"/>
  <c r="M19" i="25"/>
  <c r="M18" i="25"/>
  <c r="F18" i="25"/>
  <c r="H18" i="25" s="1"/>
  <c r="M17" i="25"/>
  <c r="F17" i="25"/>
  <c r="H17" i="25" s="1"/>
  <c r="M16" i="25"/>
  <c r="F16" i="25"/>
  <c r="H16" i="25" s="1"/>
  <c r="M15" i="25"/>
  <c r="H15" i="25"/>
  <c r="F15" i="25"/>
  <c r="M14" i="25"/>
  <c r="F14" i="25"/>
  <c r="H14" i="25" s="1"/>
  <c r="M13" i="25"/>
  <c r="H13" i="25"/>
  <c r="F13" i="25"/>
  <c r="M12" i="25"/>
  <c r="F12" i="25"/>
  <c r="H12" i="25" s="1"/>
  <c r="M11" i="25"/>
  <c r="F11" i="25"/>
  <c r="H11" i="25" s="1"/>
  <c r="M10" i="25"/>
  <c r="F10" i="25"/>
  <c r="H10" i="25" s="1"/>
  <c r="M9" i="25"/>
  <c r="F9" i="25"/>
  <c r="H9" i="25" s="1"/>
  <c r="M8" i="25"/>
  <c r="F8" i="25"/>
  <c r="H8" i="25" s="1"/>
  <c r="M7" i="25"/>
  <c r="F7" i="25"/>
  <c r="H7" i="25" s="1"/>
  <c r="M6" i="25"/>
  <c r="H6" i="25"/>
  <c r="M5" i="25"/>
  <c r="H5" i="25"/>
  <c r="AB47" i="24"/>
  <c r="X47" i="24"/>
  <c r="M47" i="24"/>
  <c r="I47" i="24"/>
  <c r="AB46" i="24"/>
  <c r="X46" i="24"/>
  <c r="M46" i="24"/>
  <c r="I46" i="24"/>
  <c r="O46" i="24" s="1"/>
  <c r="AB45" i="24"/>
  <c r="X45" i="24"/>
  <c r="M45" i="24"/>
  <c r="I45" i="24"/>
  <c r="AB44" i="24"/>
  <c r="X44" i="24"/>
  <c r="M44" i="24"/>
  <c r="I44" i="24"/>
  <c r="AB43" i="24"/>
  <c r="X43" i="24"/>
  <c r="M43" i="24"/>
  <c r="O43" i="24" s="1"/>
  <c r="I43" i="24"/>
  <c r="AB42" i="24"/>
  <c r="X42" i="24"/>
  <c r="M42" i="24"/>
  <c r="I42" i="24"/>
  <c r="AB41" i="24"/>
  <c r="X41" i="24"/>
  <c r="AC41" i="24" s="1"/>
  <c r="M41" i="24"/>
  <c r="I41" i="24"/>
  <c r="AB40" i="24"/>
  <c r="X40" i="24"/>
  <c r="M40" i="24"/>
  <c r="I40" i="24"/>
  <c r="AB39" i="24"/>
  <c r="X39" i="24"/>
  <c r="AC39" i="24" s="1"/>
  <c r="M39" i="24"/>
  <c r="I39" i="24"/>
  <c r="AB38" i="24"/>
  <c r="X38" i="24"/>
  <c r="M38" i="24"/>
  <c r="I38" i="24"/>
  <c r="AB37" i="24"/>
  <c r="X37" i="24"/>
  <c r="M37" i="24"/>
  <c r="I37" i="24"/>
  <c r="AB36" i="24"/>
  <c r="X36" i="24"/>
  <c r="M36" i="24"/>
  <c r="I36" i="24"/>
  <c r="AB35" i="24"/>
  <c r="X35" i="24"/>
  <c r="AC35" i="24" s="1"/>
  <c r="M35" i="24"/>
  <c r="I35" i="24"/>
  <c r="AB34" i="24"/>
  <c r="X34" i="24"/>
  <c r="M34" i="24"/>
  <c r="I34" i="24"/>
  <c r="AB33" i="24"/>
  <c r="X33" i="24"/>
  <c r="AC33" i="24" s="1"/>
  <c r="M33" i="24"/>
  <c r="I33" i="24"/>
  <c r="AB32" i="24"/>
  <c r="X32" i="24"/>
  <c r="M32" i="24"/>
  <c r="I32" i="24"/>
  <c r="AB31" i="24"/>
  <c r="X31" i="24"/>
  <c r="AC31" i="24" s="1"/>
  <c r="M31" i="24"/>
  <c r="I31" i="24"/>
  <c r="AB30" i="24"/>
  <c r="X30" i="24"/>
  <c r="M30" i="24"/>
  <c r="I30" i="24"/>
  <c r="AB29" i="24"/>
  <c r="X29" i="24"/>
  <c r="M29" i="24"/>
  <c r="I29" i="24"/>
  <c r="AB28" i="24"/>
  <c r="X28" i="24"/>
  <c r="M28" i="24"/>
  <c r="I28" i="24"/>
  <c r="AB27" i="24"/>
  <c r="X27" i="24"/>
  <c r="AC27" i="24" s="1"/>
  <c r="M27" i="24"/>
  <c r="I27" i="24"/>
  <c r="AB26" i="24"/>
  <c r="X26" i="24"/>
  <c r="M26" i="24"/>
  <c r="I26" i="24"/>
  <c r="AB25" i="24"/>
  <c r="X25" i="24"/>
  <c r="M25" i="24"/>
  <c r="I25" i="24"/>
  <c r="AB24" i="24"/>
  <c r="X24" i="24"/>
  <c r="M24" i="24"/>
  <c r="I24" i="24"/>
  <c r="AB23" i="24"/>
  <c r="X23" i="24"/>
  <c r="M23" i="24"/>
  <c r="O23" i="24" s="1"/>
  <c r="R23" i="24" s="1"/>
  <c r="T23" i="24" s="1"/>
  <c r="I23" i="24"/>
  <c r="AB22" i="24"/>
  <c r="X22" i="24"/>
  <c r="M22" i="24"/>
  <c r="I22" i="24"/>
  <c r="O22" i="24" s="1"/>
  <c r="R22" i="24" s="1"/>
  <c r="T22" i="24" s="1"/>
  <c r="AB21" i="24"/>
  <c r="X21" i="24"/>
  <c r="M21" i="24"/>
  <c r="I21" i="24"/>
  <c r="AB20" i="24"/>
  <c r="X20" i="24"/>
  <c r="M20" i="24"/>
  <c r="I20" i="24"/>
  <c r="AB19" i="24"/>
  <c r="X19" i="24"/>
  <c r="M19" i="24"/>
  <c r="I19" i="24"/>
  <c r="AB18" i="24"/>
  <c r="X18" i="24"/>
  <c r="M18" i="24"/>
  <c r="I18" i="24"/>
  <c r="AB17" i="24"/>
  <c r="X17" i="24"/>
  <c r="AC17" i="24" s="1"/>
  <c r="M17" i="24"/>
  <c r="I17" i="24"/>
  <c r="AB16" i="24"/>
  <c r="X16" i="24"/>
  <c r="M16" i="24"/>
  <c r="I16" i="24"/>
  <c r="AB15" i="24"/>
  <c r="X15" i="24"/>
  <c r="M15" i="24"/>
  <c r="I15" i="24"/>
  <c r="AB14" i="24"/>
  <c r="X14" i="24"/>
  <c r="M14" i="24"/>
  <c r="I14" i="24"/>
  <c r="AB13" i="24"/>
  <c r="X13" i="24"/>
  <c r="M13" i="24"/>
  <c r="I13" i="24"/>
  <c r="AB12" i="24"/>
  <c r="X12" i="24"/>
  <c r="M12" i="24"/>
  <c r="I12" i="24"/>
  <c r="AB11" i="24"/>
  <c r="X11" i="24"/>
  <c r="M11" i="24"/>
  <c r="I11" i="24"/>
  <c r="AB10" i="24"/>
  <c r="X10" i="24"/>
  <c r="M10" i="24"/>
  <c r="I10" i="24"/>
  <c r="AB9" i="24"/>
  <c r="X9" i="24"/>
  <c r="M9" i="24"/>
  <c r="I9" i="24"/>
  <c r="AB8" i="24"/>
  <c r="X8" i="24"/>
  <c r="M8" i="24"/>
  <c r="I8" i="24"/>
  <c r="O42" i="24" l="1"/>
  <c r="O16" i="24"/>
  <c r="R16" i="24" s="1"/>
  <c r="T16" i="24" s="1"/>
  <c r="D6" i="4"/>
  <c r="C19" i="31"/>
  <c r="AC9" i="24"/>
  <c r="AC8" i="24"/>
  <c r="AC12" i="24"/>
  <c r="AC20" i="24"/>
  <c r="AC22" i="24"/>
  <c r="AC24" i="24"/>
  <c r="AC28" i="24"/>
  <c r="AC36" i="24"/>
  <c r="AC40" i="24"/>
  <c r="O9" i="24"/>
  <c r="R9" i="24" s="1"/>
  <c r="T9" i="24" s="1"/>
  <c r="O11" i="24"/>
  <c r="R11" i="24" s="1"/>
  <c r="T11" i="24" s="1"/>
  <c r="AE11" i="24" s="1"/>
  <c r="AG11" i="24" s="1"/>
  <c r="C8" i="25" s="1"/>
  <c r="AC46" i="24"/>
  <c r="AG23" i="30"/>
  <c r="AE24" i="30"/>
  <c r="AG24" i="30" s="1"/>
  <c r="O28" i="24"/>
  <c r="O44" i="24"/>
  <c r="AC10" i="24"/>
  <c r="O13" i="24"/>
  <c r="R13" i="24" s="1"/>
  <c r="T13" i="24" s="1"/>
  <c r="AC32" i="24"/>
  <c r="AC34" i="24"/>
  <c r="AC38" i="24"/>
  <c r="AC44" i="24"/>
  <c r="O17" i="24"/>
  <c r="R17" i="24" s="1"/>
  <c r="T17" i="24" s="1"/>
  <c r="AE17" i="24" s="1"/>
  <c r="AG17" i="24" s="1"/>
  <c r="C14" i="25" s="1"/>
  <c r="O25" i="24"/>
  <c r="O27" i="24"/>
  <c r="O29" i="24"/>
  <c r="O31" i="24"/>
  <c r="O33" i="24"/>
  <c r="O35" i="24"/>
  <c r="O37" i="24"/>
  <c r="O39" i="24"/>
  <c r="O41" i="24"/>
  <c r="AC14" i="24"/>
  <c r="AC11" i="24"/>
  <c r="AC13" i="24"/>
  <c r="AE13" i="24" s="1"/>
  <c r="AG13" i="24" s="1"/>
  <c r="C10" i="25" s="1"/>
  <c r="AC15" i="24"/>
  <c r="AE15" i="24" s="1"/>
  <c r="AG15" i="24" s="1"/>
  <c r="C12" i="25" s="1"/>
  <c r="O47" i="24"/>
  <c r="O8" i="24"/>
  <c r="R8" i="24" s="1"/>
  <c r="T8" i="24" s="1"/>
  <c r="AE8" i="24" s="1"/>
  <c r="AG8" i="24" s="1"/>
  <c r="C5" i="25" s="1"/>
  <c r="O12" i="24"/>
  <c r="R12" i="24" s="1"/>
  <c r="T12" i="24" s="1"/>
  <c r="AE12" i="24" s="1"/>
  <c r="AG12" i="24" s="1"/>
  <c r="C9" i="25" s="1"/>
  <c r="AC19" i="24"/>
  <c r="AC45" i="24"/>
  <c r="AC47" i="24"/>
  <c r="O15" i="24"/>
  <c r="R15" i="24" s="1"/>
  <c r="T15" i="24" s="1"/>
  <c r="AC16" i="24"/>
  <c r="O18" i="24"/>
  <c r="R18" i="24" s="1"/>
  <c r="T18" i="24" s="1"/>
  <c r="O20" i="24"/>
  <c r="R20" i="24" s="1"/>
  <c r="T20" i="24" s="1"/>
  <c r="AE20" i="24" s="1"/>
  <c r="AG20" i="24" s="1"/>
  <c r="C17" i="25" s="1"/>
  <c r="AC23" i="24"/>
  <c r="AC26" i="24"/>
  <c r="O30" i="24"/>
  <c r="O40" i="24"/>
  <c r="AC43" i="24"/>
  <c r="O45" i="24"/>
  <c r="O10" i="24"/>
  <c r="R10" i="24" s="1"/>
  <c r="T10" i="24" s="1"/>
  <c r="AC18" i="24"/>
  <c r="O32" i="24"/>
  <c r="O19" i="24"/>
  <c r="R19" i="24" s="1"/>
  <c r="T19" i="24" s="1"/>
  <c r="O24" i="24"/>
  <c r="AC25" i="24"/>
  <c r="AC30" i="24"/>
  <c r="O34" i="24"/>
  <c r="AC37" i="24"/>
  <c r="AC42" i="24"/>
  <c r="O14" i="24"/>
  <c r="R14" i="24" s="1"/>
  <c r="T14" i="24" s="1"/>
  <c r="AE14" i="24" s="1"/>
  <c r="AG14" i="24" s="1"/>
  <c r="C11" i="25" s="1"/>
  <c r="O21" i="24"/>
  <c r="R21" i="24" s="1"/>
  <c r="T21" i="24" s="1"/>
  <c r="AE21" i="24" s="1"/>
  <c r="AG21" i="24" s="1"/>
  <c r="C18" i="25" s="1"/>
  <c r="O26" i="24"/>
  <c r="O36" i="24"/>
  <c r="AC21" i="24"/>
  <c r="AC29" i="24"/>
  <c r="O38" i="24"/>
  <c r="E6" i="25"/>
  <c r="J6" i="25" s="1"/>
  <c r="N6" i="25" s="1"/>
  <c r="AE19" i="24"/>
  <c r="AG19" i="24" s="1"/>
  <c r="C16" i="25" s="1"/>
  <c r="AE9" i="24"/>
  <c r="AG9" i="24" s="1"/>
  <c r="C6" i="25" s="1"/>
  <c r="I6" i="25" s="1"/>
  <c r="AD26" i="24" l="1"/>
  <c r="F23" i="25" s="1"/>
  <c r="H23" i="25" s="1"/>
  <c r="D8" i="4"/>
  <c r="C21" i="31"/>
  <c r="D7" i="4"/>
  <c r="C20" i="31"/>
  <c r="AD35" i="24"/>
  <c r="F32" i="25" s="1"/>
  <c r="H32" i="25" s="1"/>
  <c r="I19" i="31"/>
  <c r="E19" i="31"/>
  <c r="J19" i="31" s="1"/>
  <c r="N19" i="31" s="1"/>
  <c r="Q24" i="30" s="1"/>
  <c r="R24" i="30" s="1"/>
  <c r="T24" i="30" s="1"/>
  <c r="AD38" i="24"/>
  <c r="F35" i="25" s="1"/>
  <c r="H35" i="25" s="1"/>
  <c r="AD22" i="24"/>
  <c r="F19" i="25" s="1"/>
  <c r="H19" i="25" s="1"/>
  <c r="AD30" i="24"/>
  <c r="F27" i="25" s="1"/>
  <c r="H27" i="25" s="1"/>
  <c r="AD43" i="24"/>
  <c r="F40" i="25" s="1"/>
  <c r="H40" i="25" s="1"/>
  <c r="AD28" i="24"/>
  <c r="F25" i="25" s="1"/>
  <c r="H25" i="25" s="1"/>
  <c r="AD42" i="24"/>
  <c r="F39" i="25" s="1"/>
  <c r="H39" i="25" s="1"/>
  <c r="AE10" i="24"/>
  <c r="AG10" i="24" s="1"/>
  <c r="C7" i="25" s="1"/>
  <c r="AE18" i="24"/>
  <c r="AG18" i="24" s="1"/>
  <c r="C15" i="25" s="1"/>
  <c r="I15" i="25" s="1"/>
  <c r="I17" i="25"/>
  <c r="E17" i="25"/>
  <c r="E7" i="25"/>
  <c r="I7" i="25"/>
  <c r="E11" i="25"/>
  <c r="I11" i="25"/>
  <c r="J11" i="25" s="1"/>
  <c r="N11" i="25" s="1"/>
  <c r="E10" i="25"/>
  <c r="J10" i="25" s="1"/>
  <c r="N10" i="25" s="1"/>
  <c r="I10" i="25"/>
  <c r="AD33" i="24"/>
  <c r="F30" i="25" s="1"/>
  <c r="H30" i="25" s="1"/>
  <c r="AD34" i="24"/>
  <c r="F31" i="25" s="1"/>
  <c r="H31" i="25" s="1"/>
  <c r="E5" i="25"/>
  <c r="I5" i="25"/>
  <c r="AD47" i="24"/>
  <c r="AD32" i="24"/>
  <c r="F29" i="25" s="1"/>
  <c r="H29" i="25" s="1"/>
  <c r="AD45" i="24"/>
  <c r="F42" i="25" s="1"/>
  <c r="H42" i="25" s="1"/>
  <c r="U22" i="24"/>
  <c r="AD36" i="24"/>
  <c r="F33" i="25" s="1"/>
  <c r="H33" i="25" s="1"/>
  <c r="AD46" i="24"/>
  <c r="AD31" i="24"/>
  <c r="F28" i="25" s="1"/>
  <c r="H28" i="25" s="1"/>
  <c r="I16" i="25"/>
  <c r="E16" i="25"/>
  <c r="U23" i="24"/>
  <c r="E18" i="25"/>
  <c r="J18" i="25" s="1"/>
  <c r="N18" i="25" s="1"/>
  <c r="I18" i="25"/>
  <c r="E12" i="25"/>
  <c r="I12" i="25"/>
  <c r="AD40" i="24"/>
  <c r="F37" i="25" s="1"/>
  <c r="H37" i="25" s="1"/>
  <c r="AD27" i="24"/>
  <c r="F24" i="25" s="1"/>
  <c r="H24" i="25" s="1"/>
  <c r="AD41" i="24"/>
  <c r="F38" i="25" s="1"/>
  <c r="H38" i="25" s="1"/>
  <c r="AE16" i="24"/>
  <c r="AG16" i="24" s="1"/>
  <c r="C13" i="25" s="1"/>
  <c r="I8" i="25"/>
  <c r="E8" i="25"/>
  <c r="AD44" i="24"/>
  <c r="F41" i="25" s="1"/>
  <c r="H41" i="25" s="1"/>
  <c r="AD24" i="24"/>
  <c r="F21" i="25" s="1"/>
  <c r="H21" i="25" s="1"/>
  <c r="AD25" i="24"/>
  <c r="F22" i="25" s="1"/>
  <c r="H22" i="25" s="1"/>
  <c r="AD29" i="24"/>
  <c r="F26" i="25" s="1"/>
  <c r="H26" i="25" s="1"/>
  <c r="E9" i="25"/>
  <c r="I9" i="25"/>
  <c r="E14" i="25"/>
  <c r="I14" i="25"/>
  <c r="AD39" i="24"/>
  <c r="F36" i="25" s="1"/>
  <c r="H36" i="25" s="1"/>
  <c r="AD37" i="24"/>
  <c r="F34" i="25" s="1"/>
  <c r="H34" i="25" s="1"/>
  <c r="AD23" i="24"/>
  <c r="F20" i="25" s="1"/>
  <c r="H20" i="25" s="1"/>
  <c r="U24" i="30" l="1"/>
  <c r="AH24" i="30" s="1"/>
  <c r="E20" i="31"/>
  <c r="I20" i="31"/>
  <c r="E21" i="31"/>
  <c r="J21" i="31" s="1"/>
  <c r="N21" i="31" s="1"/>
  <c r="Q26" i="30" s="1"/>
  <c r="R26" i="30" s="1"/>
  <c r="T26" i="30" s="1"/>
  <c r="I21" i="31"/>
  <c r="J5" i="25"/>
  <c r="N5" i="25" s="1"/>
  <c r="E15" i="25"/>
  <c r="J15" i="25" s="1"/>
  <c r="N15" i="25" s="1"/>
  <c r="J12" i="25"/>
  <c r="N12" i="25" s="1"/>
  <c r="J7" i="25"/>
  <c r="N7" i="25" s="1"/>
  <c r="J8" i="25"/>
  <c r="N8" i="25" s="1"/>
  <c r="AH22" i="24"/>
  <c r="AH23" i="24" s="1"/>
  <c r="AE22" i="24"/>
  <c r="J14" i="25"/>
  <c r="N14" i="25" s="1"/>
  <c r="J9" i="25"/>
  <c r="N9" i="25" s="1"/>
  <c r="E13" i="25"/>
  <c r="J13" i="25" s="1"/>
  <c r="N13" i="25" s="1"/>
  <c r="I13" i="25"/>
  <c r="AE23" i="24"/>
  <c r="J17" i="25"/>
  <c r="N17" i="25" s="1"/>
  <c r="J16" i="25"/>
  <c r="N16" i="25" s="1"/>
  <c r="AG22" i="24"/>
  <c r="J20" i="31" l="1"/>
  <c r="N20" i="31" s="1"/>
  <c r="Q25" i="30" s="1"/>
  <c r="R25" i="30" s="1"/>
  <c r="T25" i="30" s="1"/>
  <c r="C19" i="25"/>
  <c r="E6" i="4"/>
  <c r="E19" i="25"/>
  <c r="I19" i="25"/>
  <c r="J19" i="25" s="1"/>
  <c r="N19" i="25" s="1"/>
  <c r="Q24" i="24" s="1"/>
  <c r="R24" i="24" s="1"/>
  <c r="T24" i="24" s="1"/>
  <c r="AG23" i="24"/>
  <c r="U26" i="30" l="1"/>
  <c r="U25" i="30"/>
  <c r="C20" i="25"/>
  <c r="E7" i="4"/>
  <c r="U24" i="24"/>
  <c r="E20" i="25"/>
  <c r="I20" i="25"/>
  <c r="AE25" i="30" l="1"/>
  <c r="AH25" i="30"/>
  <c r="AH26" i="30" s="1"/>
  <c r="AE24" i="24"/>
  <c r="AG24" i="24" s="1"/>
  <c r="AH24" i="24"/>
  <c r="J20" i="25"/>
  <c r="N20" i="25" s="1"/>
  <c r="Q25" i="24" s="1"/>
  <c r="R25" i="24" s="1"/>
  <c r="T25" i="24" s="1"/>
  <c r="U25" i="24" s="1"/>
  <c r="AE25" i="24" s="1"/>
  <c r="AG25" i="24" s="1"/>
  <c r="C22" i="25" l="1"/>
  <c r="I22" i="25" s="1"/>
  <c r="E9" i="4"/>
  <c r="C21" i="25"/>
  <c r="E8" i="4"/>
  <c r="AG25" i="30"/>
  <c r="AE26" i="30"/>
  <c r="E22" i="25"/>
  <c r="AH25" i="24"/>
  <c r="E21" i="25"/>
  <c r="I21" i="25"/>
  <c r="C22" i="31" l="1"/>
  <c r="D9" i="4"/>
  <c r="AG26" i="30"/>
  <c r="AE27" i="30"/>
  <c r="AG27" i="30" s="1"/>
  <c r="J21" i="25"/>
  <c r="N21" i="25" s="1"/>
  <c r="Q26" i="24" s="1"/>
  <c r="R26" i="24" s="1"/>
  <c r="T26" i="24" s="1"/>
  <c r="J22" i="25"/>
  <c r="N22" i="25" s="1"/>
  <c r="Q27" i="24" s="1"/>
  <c r="R27" i="24" s="1"/>
  <c r="T27" i="24" s="1"/>
  <c r="I22" i="31" l="1"/>
  <c r="E22" i="31"/>
  <c r="C24" i="31"/>
  <c r="D11" i="4"/>
  <c r="C23" i="31"/>
  <c r="D10" i="4"/>
  <c r="U26" i="24"/>
  <c r="U27" i="24"/>
  <c r="AE27" i="24" s="1"/>
  <c r="AG27" i="24" s="1"/>
  <c r="E23" i="31" l="1"/>
  <c r="J23" i="31" s="1"/>
  <c r="N23" i="31" s="1"/>
  <c r="Q28" i="30" s="1"/>
  <c r="R28" i="30" s="1"/>
  <c r="T28" i="30" s="1"/>
  <c r="I23" i="31"/>
  <c r="I24" i="31"/>
  <c r="E24" i="31"/>
  <c r="C24" i="25"/>
  <c r="E11" i="4"/>
  <c r="J22" i="31"/>
  <c r="N22" i="31" s="1"/>
  <c r="Q27" i="30" s="1"/>
  <c r="R27" i="30" s="1"/>
  <c r="T27" i="30" s="1"/>
  <c r="E24" i="25"/>
  <c r="I24" i="25"/>
  <c r="AH26" i="24"/>
  <c r="AH27" i="24" s="1"/>
  <c r="AE26" i="24"/>
  <c r="AG26" i="24" s="1"/>
  <c r="U27" i="30" l="1"/>
  <c r="AH27" i="30" s="1"/>
  <c r="U28" i="30"/>
  <c r="C23" i="25"/>
  <c r="E10" i="4"/>
  <c r="J24" i="31"/>
  <c r="N24" i="31" s="1"/>
  <c r="Q29" i="30" s="1"/>
  <c r="R29" i="30" s="1"/>
  <c r="T29" i="30" s="1"/>
  <c r="J24" i="25"/>
  <c r="N24" i="25" s="1"/>
  <c r="Q29" i="24" s="1"/>
  <c r="R29" i="24" s="1"/>
  <c r="T29" i="24" s="1"/>
  <c r="E23" i="25"/>
  <c r="I23" i="25"/>
  <c r="AE28" i="30" l="1"/>
  <c r="AH28" i="30"/>
  <c r="U29" i="30"/>
  <c r="AH29" i="30" s="1"/>
  <c r="J23" i="25"/>
  <c r="N23" i="25" s="1"/>
  <c r="Q28" i="24" s="1"/>
  <c r="R28" i="24" s="1"/>
  <c r="T28" i="24" s="1"/>
  <c r="AG28" i="30" l="1"/>
  <c r="AE29" i="30"/>
  <c r="U29" i="24"/>
  <c r="AE29" i="24" s="1"/>
  <c r="AG29" i="24" s="1"/>
  <c r="U28" i="24"/>
  <c r="C26" i="25" l="1"/>
  <c r="E26" i="25" s="1"/>
  <c r="E13" i="4"/>
  <c r="AG29" i="30"/>
  <c r="AE30" i="30"/>
  <c r="AG30" i="30" s="1"/>
  <c r="D12" i="4"/>
  <c r="C25" i="31"/>
  <c r="AH28" i="24"/>
  <c r="AH29" i="24" s="1"/>
  <c r="AE28" i="24"/>
  <c r="AG28" i="24" s="1"/>
  <c r="E25" i="31" l="1"/>
  <c r="I25" i="31"/>
  <c r="I26" i="25"/>
  <c r="C25" i="25"/>
  <c r="I25" i="25" s="1"/>
  <c r="E12" i="4"/>
  <c r="C26" i="31"/>
  <c r="D13" i="4"/>
  <c r="D14" i="4"/>
  <c r="C27" i="31"/>
  <c r="J26" i="25"/>
  <c r="N26" i="25" s="1"/>
  <c r="Q31" i="24" s="1"/>
  <c r="R31" i="24" s="1"/>
  <c r="T31" i="24" s="1"/>
  <c r="E25" i="25"/>
  <c r="J25" i="25" l="1"/>
  <c r="N25" i="25" s="1"/>
  <c r="Q30" i="24" s="1"/>
  <c r="R30" i="24" s="1"/>
  <c r="T30" i="24" s="1"/>
  <c r="U30" i="24" s="1"/>
  <c r="E26" i="31"/>
  <c r="J26" i="31" s="1"/>
  <c r="N26" i="31" s="1"/>
  <c r="Q31" i="30" s="1"/>
  <c r="R31" i="30" s="1"/>
  <c r="T31" i="30" s="1"/>
  <c r="I26" i="31"/>
  <c r="J25" i="31"/>
  <c r="N25" i="31" s="1"/>
  <c r="Q30" i="30" s="1"/>
  <c r="R30" i="30" s="1"/>
  <c r="T30" i="30" s="1"/>
  <c r="I27" i="31"/>
  <c r="E27" i="31"/>
  <c r="J27" i="31" s="1"/>
  <c r="N27" i="31" s="1"/>
  <c r="Q32" i="30" s="1"/>
  <c r="R32" i="30" s="1"/>
  <c r="T32" i="30" s="1"/>
  <c r="U31" i="24"/>
  <c r="AE31" i="24" s="1"/>
  <c r="AG31" i="24" s="1"/>
  <c r="AE30" i="24"/>
  <c r="AG30" i="24" s="1"/>
  <c r="AH30" i="24"/>
  <c r="AH31" i="24" s="1"/>
  <c r="C27" i="25" l="1"/>
  <c r="I27" i="25" s="1"/>
  <c r="E14" i="4"/>
  <c r="C28" i="25"/>
  <c r="E28" i="25" s="1"/>
  <c r="E15" i="4"/>
  <c r="U30" i="30"/>
  <c r="AH30" i="30" s="1"/>
  <c r="U32" i="30"/>
  <c r="U31" i="30"/>
  <c r="I28" i="25"/>
  <c r="J28" i="25"/>
  <c r="N28" i="25" s="1"/>
  <c r="Q33" i="24" s="1"/>
  <c r="R33" i="24" s="1"/>
  <c r="T33" i="24" s="1"/>
  <c r="AH31" i="30" l="1"/>
  <c r="AH32" i="30" s="1"/>
  <c r="AE31" i="30"/>
  <c r="E27" i="25"/>
  <c r="J27" i="25"/>
  <c r="N27" i="25" s="1"/>
  <c r="Q32" i="24" s="1"/>
  <c r="R32" i="24" s="1"/>
  <c r="T32" i="24" s="1"/>
  <c r="AG31" i="30" l="1"/>
  <c r="AE32" i="30"/>
  <c r="U32" i="24"/>
  <c r="U33" i="24"/>
  <c r="AE33" i="24" s="1"/>
  <c r="AG33" i="24" s="1"/>
  <c r="C30" i="25" l="1"/>
  <c r="I30" i="25" s="1"/>
  <c r="E17" i="4"/>
  <c r="AG32" i="30"/>
  <c r="AE33" i="30"/>
  <c r="AG33" i="30" s="1"/>
  <c r="D15" i="4"/>
  <c r="C28" i="31"/>
  <c r="AE32" i="24"/>
  <c r="AG32" i="24" s="1"/>
  <c r="AH32" i="24"/>
  <c r="AH33" i="24" s="1"/>
  <c r="D17" i="4" l="1"/>
  <c r="C30" i="31"/>
  <c r="E30" i="25"/>
  <c r="J30" i="25" s="1"/>
  <c r="N30" i="25" s="1"/>
  <c r="Q35" i="24" s="1"/>
  <c r="R35" i="24" s="1"/>
  <c r="T35" i="24" s="1"/>
  <c r="D16" i="4"/>
  <c r="C29" i="31"/>
  <c r="C29" i="25"/>
  <c r="E16" i="4"/>
  <c r="E28" i="31"/>
  <c r="I28" i="31"/>
  <c r="E29" i="25"/>
  <c r="I29" i="25"/>
  <c r="J28" i="31" l="1"/>
  <c r="N28" i="31" s="1"/>
  <c r="Q33" i="30" s="1"/>
  <c r="R33" i="30" s="1"/>
  <c r="T33" i="30" s="1"/>
  <c r="J29" i="25"/>
  <c r="N29" i="25" s="1"/>
  <c r="Q34" i="24" s="1"/>
  <c r="R34" i="24" s="1"/>
  <c r="T34" i="24" s="1"/>
  <c r="U35" i="24" s="1"/>
  <c r="AE35" i="24" s="1"/>
  <c r="AG35" i="24" s="1"/>
  <c r="I29" i="31"/>
  <c r="E29" i="31"/>
  <c r="J29" i="31" s="1"/>
  <c r="N29" i="31" s="1"/>
  <c r="Q34" i="30" s="1"/>
  <c r="R34" i="30" s="1"/>
  <c r="T34" i="30" s="1"/>
  <c r="E30" i="31"/>
  <c r="I30" i="31"/>
  <c r="C32" i="25" l="1"/>
  <c r="E19" i="4"/>
  <c r="U33" i="30"/>
  <c r="AH33" i="30" s="1"/>
  <c r="U34" i="24"/>
  <c r="AH34" i="24" s="1"/>
  <c r="AH35" i="24" s="1"/>
  <c r="J30" i="31"/>
  <c r="N30" i="31" s="1"/>
  <c r="Q35" i="30" s="1"/>
  <c r="R35" i="30" s="1"/>
  <c r="T35" i="30" s="1"/>
  <c r="U34" i="30"/>
  <c r="I32" i="25"/>
  <c r="E32" i="25"/>
  <c r="J32" i="25" s="1"/>
  <c r="N32" i="25" s="1"/>
  <c r="Q37" i="24" s="1"/>
  <c r="R37" i="24" s="1"/>
  <c r="T37" i="24" s="1"/>
  <c r="AE34" i="24"/>
  <c r="AG34" i="24" s="1"/>
  <c r="C31" i="25" l="1"/>
  <c r="E18" i="4"/>
  <c r="U35" i="30"/>
  <c r="AH34" i="30"/>
  <c r="AE34" i="30"/>
  <c r="E31" i="25"/>
  <c r="I31" i="25"/>
  <c r="AG34" i="30" l="1"/>
  <c r="AE35" i="30"/>
  <c r="AH35" i="30"/>
  <c r="J31" i="25"/>
  <c r="N31" i="25" s="1"/>
  <c r="Q36" i="24" s="1"/>
  <c r="R36" i="24" s="1"/>
  <c r="T36" i="24" s="1"/>
  <c r="U36" i="24" s="1"/>
  <c r="U37" i="24" l="1"/>
  <c r="AE37" i="24" s="1"/>
  <c r="AG37" i="24" s="1"/>
  <c r="AE36" i="30"/>
  <c r="AG36" i="30" s="1"/>
  <c r="AG35" i="30"/>
  <c r="C31" i="31"/>
  <c r="D18" i="4"/>
  <c r="AE36" i="24"/>
  <c r="AG36" i="24" s="1"/>
  <c r="AH36" i="24"/>
  <c r="AH37" i="24" s="1"/>
  <c r="C33" i="25" l="1"/>
  <c r="E20" i="4"/>
  <c r="E31" i="31"/>
  <c r="I31" i="31"/>
  <c r="J31" i="31" s="1"/>
  <c r="N31" i="31" s="1"/>
  <c r="Q36" i="30" s="1"/>
  <c r="R36" i="30" s="1"/>
  <c r="T36" i="30" s="1"/>
  <c r="D19" i="4"/>
  <c r="C32" i="31"/>
  <c r="C33" i="31"/>
  <c r="D20" i="4"/>
  <c r="C34" i="25"/>
  <c r="E21" i="4"/>
  <c r="E33" i="25"/>
  <c r="I33" i="25"/>
  <c r="I32" i="31" l="1"/>
  <c r="E32" i="31"/>
  <c r="I33" i="31"/>
  <c r="E33" i="31"/>
  <c r="J33" i="31" s="1"/>
  <c r="N33" i="31" s="1"/>
  <c r="Q38" i="30" s="1"/>
  <c r="R38" i="30" s="1"/>
  <c r="T38" i="30" s="1"/>
  <c r="U36" i="30"/>
  <c r="AH36" i="30" s="1"/>
  <c r="E34" i="25"/>
  <c r="J34" i="25" s="1"/>
  <c r="N34" i="25" s="1"/>
  <c r="Q39" i="24" s="1"/>
  <c r="R39" i="24" s="1"/>
  <c r="T39" i="24" s="1"/>
  <c r="I34" i="25"/>
  <c r="J33" i="25"/>
  <c r="N33" i="25" s="1"/>
  <c r="Q38" i="24" s="1"/>
  <c r="R38" i="24" s="1"/>
  <c r="T38" i="24" s="1"/>
  <c r="U39" i="24" s="1"/>
  <c r="AE39" i="24" s="1"/>
  <c r="AG39" i="24" s="1"/>
  <c r="C36" i="25" l="1"/>
  <c r="E23" i="4"/>
  <c r="J32" i="31"/>
  <c r="N32" i="31" s="1"/>
  <c r="Q37" i="30" s="1"/>
  <c r="R37" i="30" s="1"/>
  <c r="T37" i="30" s="1"/>
  <c r="E36" i="25"/>
  <c r="I36" i="25"/>
  <c r="U38" i="24"/>
  <c r="L42" i="21"/>
  <c r="M42" i="21" s="1"/>
  <c r="L41" i="21"/>
  <c r="M41" i="21" s="1"/>
  <c r="L40" i="21"/>
  <c r="M40" i="21" s="1"/>
  <c r="L39" i="21"/>
  <c r="M39" i="21" s="1"/>
  <c r="L38" i="21"/>
  <c r="M38" i="21" s="1"/>
  <c r="L37" i="21"/>
  <c r="M37" i="21" s="1"/>
  <c r="L36" i="21"/>
  <c r="M36" i="21" s="1"/>
  <c r="M35" i="21"/>
  <c r="M34" i="21"/>
  <c r="M33" i="21"/>
  <c r="M32" i="21"/>
  <c r="M31" i="21"/>
  <c r="M30" i="21"/>
  <c r="M29" i="21"/>
  <c r="M28" i="21"/>
  <c r="M27" i="21"/>
  <c r="M26" i="21"/>
  <c r="M25" i="21"/>
  <c r="M24" i="21"/>
  <c r="M23" i="21"/>
  <c r="M22" i="21"/>
  <c r="M21" i="21"/>
  <c r="M20" i="21"/>
  <c r="M19" i="21"/>
  <c r="M18" i="21"/>
  <c r="H18" i="21"/>
  <c r="F18" i="21"/>
  <c r="M17" i="21"/>
  <c r="F17" i="21"/>
  <c r="H17" i="21" s="1"/>
  <c r="M16" i="21"/>
  <c r="F16" i="21"/>
  <c r="H16" i="21" s="1"/>
  <c r="M15" i="21"/>
  <c r="F15" i="21"/>
  <c r="H15" i="21" s="1"/>
  <c r="M14" i="21"/>
  <c r="F14" i="21"/>
  <c r="H14" i="21" s="1"/>
  <c r="M13" i="21"/>
  <c r="H13" i="21"/>
  <c r="F13" i="21"/>
  <c r="M12" i="21"/>
  <c r="H12" i="21"/>
  <c r="F12" i="21"/>
  <c r="M11" i="21"/>
  <c r="F11" i="21"/>
  <c r="H11" i="21" s="1"/>
  <c r="M10" i="21"/>
  <c r="H10" i="21"/>
  <c r="F10" i="21"/>
  <c r="M9" i="21"/>
  <c r="F9" i="21"/>
  <c r="H9" i="21" s="1"/>
  <c r="M8" i="21"/>
  <c r="F8" i="21"/>
  <c r="H8" i="21" s="1"/>
  <c r="M7" i="21"/>
  <c r="F7" i="21"/>
  <c r="H7" i="21" s="1"/>
  <c r="M6" i="21"/>
  <c r="H6" i="21"/>
  <c r="M5" i="21"/>
  <c r="H5" i="21"/>
  <c r="AA47" i="20"/>
  <c r="W47" i="20"/>
  <c r="M47" i="20"/>
  <c r="I47" i="20"/>
  <c r="O47" i="20" s="1"/>
  <c r="AA46" i="20"/>
  <c r="W46" i="20"/>
  <c r="M46" i="20"/>
  <c r="I46" i="20"/>
  <c r="O46" i="20" s="1"/>
  <c r="AA45" i="20"/>
  <c r="W45" i="20"/>
  <c r="M45" i="20"/>
  <c r="I45" i="20"/>
  <c r="O45" i="20" s="1"/>
  <c r="AA44" i="20"/>
  <c r="W44" i="20"/>
  <c r="AB44" i="20" s="1"/>
  <c r="M44" i="20"/>
  <c r="I44" i="20"/>
  <c r="AA43" i="20"/>
  <c r="W43" i="20"/>
  <c r="M43" i="20"/>
  <c r="I43" i="20"/>
  <c r="AA42" i="20"/>
  <c r="W42" i="20"/>
  <c r="AB42" i="20" s="1"/>
  <c r="M42" i="20"/>
  <c r="I42" i="20"/>
  <c r="AA41" i="20"/>
  <c r="W41" i="20"/>
  <c r="AB41" i="20" s="1"/>
  <c r="M41" i="20"/>
  <c r="I41" i="20"/>
  <c r="O41" i="20" s="1"/>
  <c r="AA40" i="20"/>
  <c r="W40" i="20"/>
  <c r="M40" i="20"/>
  <c r="I40" i="20"/>
  <c r="AA39" i="20"/>
  <c r="AB39" i="20" s="1"/>
  <c r="W39" i="20"/>
  <c r="M39" i="20"/>
  <c r="I39" i="20"/>
  <c r="AA38" i="20"/>
  <c r="W38" i="20"/>
  <c r="M38" i="20"/>
  <c r="I38" i="20"/>
  <c r="AA37" i="20"/>
  <c r="W37" i="20"/>
  <c r="M37" i="20"/>
  <c r="I37" i="20"/>
  <c r="AA36" i="20"/>
  <c r="W36" i="20"/>
  <c r="AB36" i="20" s="1"/>
  <c r="M36" i="20"/>
  <c r="I36" i="20"/>
  <c r="AA35" i="20"/>
  <c r="W35" i="20"/>
  <c r="M35" i="20"/>
  <c r="I35" i="20"/>
  <c r="AA34" i="20"/>
  <c r="W34" i="20"/>
  <c r="AB34" i="20" s="1"/>
  <c r="M34" i="20"/>
  <c r="I34" i="20"/>
  <c r="AA33" i="20"/>
  <c r="W33" i="20"/>
  <c r="O33" i="20"/>
  <c r="M33" i="20"/>
  <c r="I33" i="20"/>
  <c r="AA32" i="20"/>
  <c r="W32" i="20"/>
  <c r="M32" i="20"/>
  <c r="I32" i="20"/>
  <c r="O32" i="20" s="1"/>
  <c r="AA31" i="20"/>
  <c r="W31" i="20"/>
  <c r="M31" i="20"/>
  <c r="I31" i="20"/>
  <c r="AA30" i="20"/>
  <c r="W30" i="20"/>
  <c r="M30" i="20"/>
  <c r="I30" i="20"/>
  <c r="O30" i="20" s="1"/>
  <c r="AA29" i="20"/>
  <c r="W29" i="20"/>
  <c r="M29" i="20"/>
  <c r="I29" i="20"/>
  <c r="AA28" i="20"/>
  <c r="W28" i="20"/>
  <c r="AB28" i="20" s="1"/>
  <c r="M28" i="20"/>
  <c r="I28" i="20"/>
  <c r="AA27" i="20"/>
  <c r="W27" i="20"/>
  <c r="M27" i="20"/>
  <c r="I27" i="20"/>
  <c r="AA26" i="20"/>
  <c r="W26" i="20"/>
  <c r="AB26" i="20" s="1"/>
  <c r="M26" i="20"/>
  <c r="I26" i="20"/>
  <c r="AA25" i="20"/>
  <c r="W25" i="20"/>
  <c r="AB25" i="20" s="1"/>
  <c r="M25" i="20"/>
  <c r="I25" i="20"/>
  <c r="O25" i="20" s="1"/>
  <c r="AA24" i="20"/>
  <c r="AB24" i="20" s="1"/>
  <c r="W24" i="20"/>
  <c r="M24" i="20"/>
  <c r="I24" i="20"/>
  <c r="AA23" i="20"/>
  <c r="AB23" i="20" s="1"/>
  <c r="W23" i="20"/>
  <c r="M23" i="20"/>
  <c r="I23" i="20"/>
  <c r="O23" i="20" s="1"/>
  <c r="R23" i="20" s="1"/>
  <c r="T23" i="20" s="1"/>
  <c r="AA22" i="20"/>
  <c r="W22" i="20"/>
  <c r="M22" i="20"/>
  <c r="I22" i="20"/>
  <c r="AA21" i="20"/>
  <c r="W21" i="20"/>
  <c r="M21" i="20"/>
  <c r="I21" i="20"/>
  <c r="O21" i="20" s="1"/>
  <c r="R21" i="20" s="1"/>
  <c r="T21" i="20" s="1"/>
  <c r="AB20" i="20"/>
  <c r="AA20" i="20"/>
  <c r="W20" i="20"/>
  <c r="M20" i="20"/>
  <c r="I20" i="20"/>
  <c r="AA19" i="20"/>
  <c r="W19" i="20"/>
  <c r="M19" i="20"/>
  <c r="I19" i="20"/>
  <c r="AA18" i="20"/>
  <c r="W18" i="20"/>
  <c r="AB18" i="20" s="1"/>
  <c r="M18" i="20"/>
  <c r="I18" i="20"/>
  <c r="AA17" i="20"/>
  <c r="W17" i="20"/>
  <c r="AB17" i="20" s="1"/>
  <c r="M17" i="20"/>
  <c r="O17" i="20" s="1"/>
  <c r="R17" i="20" s="1"/>
  <c r="T17" i="20" s="1"/>
  <c r="I17" i="20"/>
  <c r="AA16" i="20"/>
  <c r="AB16" i="20" s="1"/>
  <c r="W16" i="20"/>
  <c r="M16" i="20"/>
  <c r="I16" i="20"/>
  <c r="AA15" i="20"/>
  <c r="W15" i="20"/>
  <c r="M15" i="20"/>
  <c r="I15" i="20"/>
  <c r="AA14" i="20"/>
  <c r="W14" i="20"/>
  <c r="M14" i="20"/>
  <c r="I14" i="20"/>
  <c r="AA13" i="20"/>
  <c r="W13" i="20"/>
  <c r="M13" i="20"/>
  <c r="I13" i="20"/>
  <c r="AA12" i="20"/>
  <c r="W12" i="20"/>
  <c r="M12" i="20"/>
  <c r="I12" i="20"/>
  <c r="AA11" i="20"/>
  <c r="W11" i="20"/>
  <c r="M11" i="20"/>
  <c r="O11" i="20" s="1"/>
  <c r="R11" i="20" s="1"/>
  <c r="T11" i="20" s="1"/>
  <c r="I11" i="20"/>
  <c r="AA10" i="20"/>
  <c r="W10" i="20"/>
  <c r="M10" i="20"/>
  <c r="I10" i="20"/>
  <c r="AA9" i="20"/>
  <c r="W9" i="20"/>
  <c r="AB9" i="20" s="1"/>
  <c r="O9" i="20"/>
  <c r="R9" i="20" s="1"/>
  <c r="T9" i="20" s="1"/>
  <c r="M9" i="20"/>
  <c r="I9" i="20"/>
  <c r="AA8" i="20"/>
  <c r="W8" i="20"/>
  <c r="M8" i="20"/>
  <c r="I8" i="20"/>
  <c r="L42" i="19"/>
  <c r="M42" i="19" s="1"/>
  <c r="L41" i="19"/>
  <c r="M41" i="19" s="1"/>
  <c r="L40" i="19"/>
  <c r="M40" i="19" s="1"/>
  <c r="L39" i="19"/>
  <c r="M39" i="19" s="1"/>
  <c r="L38" i="19"/>
  <c r="M38" i="19" s="1"/>
  <c r="M37" i="19"/>
  <c r="L37" i="19"/>
  <c r="L36" i="19"/>
  <c r="M36" i="19" s="1"/>
  <c r="M35" i="19"/>
  <c r="M34" i="19"/>
  <c r="M33" i="19"/>
  <c r="M32" i="19"/>
  <c r="M31" i="19"/>
  <c r="M30" i="19"/>
  <c r="M29" i="19"/>
  <c r="M28" i="19"/>
  <c r="M27" i="19"/>
  <c r="M26" i="19"/>
  <c r="M25" i="19"/>
  <c r="M24" i="19"/>
  <c r="M23" i="19"/>
  <c r="M22" i="19"/>
  <c r="M21" i="19"/>
  <c r="M20" i="19"/>
  <c r="M19" i="19"/>
  <c r="M18" i="19"/>
  <c r="F18" i="19"/>
  <c r="H18" i="19" s="1"/>
  <c r="M17" i="19"/>
  <c r="F17" i="19"/>
  <c r="H17" i="19" s="1"/>
  <c r="M16" i="19"/>
  <c r="F16" i="19"/>
  <c r="H16" i="19" s="1"/>
  <c r="M15" i="19"/>
  <c r="F15" i="19"/>
  <c r="H15" i="19" s="1"/>
  <c r="M14" i="19"/>
  <c r="F14" i="19"/>
  <c r="H14" i="19" s="1"/>
  <c r="M13" i="19"/>
  <c r="F13" i="19"/>
  <c r="H13" i="19" s="1"/>
  <c r="M12" i="19"/>
  <c r="F12" i="19"/>
  <c r="H12" i="19" s="1"/>
  <c r="M11" i="19"/>
  <c r="F11" i="19"/>
  <c r="H11" i="19" s="1"/>
  <c r="M10" i="19"/>
  <c r="F10" i="19"/>
  <c r="H10" i="19" s="1"/>
  <c r="M9" i="19"/>
  <c r="F9" i="19"/>
  <c r="H9" i="19" s="1"/>
  <c r="M8" i="19"/>
  <c r="F8" i="19"/>
  <c r="H8" i="19" s="1"/>
  <c r="M7" i="19"/>
  <c r="F7" i="19"/>
  <c r="H7" i="19" s="1"/>
  <c r="M6" i="19"/>
  <c r="H6" i="19"/>
  <c r="M5" i="19"/>
  <c r="H5" i="19"/>
  <c r="AB47" i="18"/>
  <c r="X47" i="18"/>
  <c r="M47" i="18"/>
  <c r="I47" i="18"/>
  <c r="AB46" i="18"/>
  <c r="X46" i="18"/>
  <c r="M46" i="18"/>
  <c r="I46" i="18"/>
  <c r="O46" i="18" s="1"/>
  <c r="AB45" i="18"/>
  <c r="X45" i="18"/>
  <c r="M45" i="18"/>
  <c r="I45" i="18"/>
  <c r="AB44" i="18"/>
  <c r="X44" i="18"/>
  <c r="M44" i="18"/>
  <c r="I44" i="18"/>
  <c r="O44" i="18" s="1"/>
  <c r="AB43" i="18"/>
  <c r="X43" i="18"/>
  <c r="AC43" i="18" s="1"/>
  <c r="M43" i="18"/>
  <c r="I43" i="18"/>
  <c r="O43" i="18" s="1"/>
  <c r="AB42" i="18"/>
  <c r="AC42" i="18" s="1"/>
  <c r="X42" i="18"/>
  <c r="M42" i="18"/>
  <c r="I42" i="18"/>
  <c r="AB41" i="18"/>
  <c r="X41" i="18"/>
  <c r="AC41" i="18" s="1"/>
  <c r="M41" i="18"/>
  <c r="I41" i="18"/>
  <c r="AB40" i="18"/>
  <c r="X40" i="18"/>
  <c r="M40" i="18"/>
  <c r="I40" i="18"/>
  <c r="AB39" i="18"/>
  <c r="X39" i="18"/>
  <c r="AC39" i="18" s="1"/>
  <c r="M39" i="18"/>
  <c r="I39" i="18"/>
  <c r="O39" i="18" s="1"/>
  <c r="AB38" i="18"/>
  <c r="X38" i="18"/>
  <c r="M38" i="18"/>
  <c r="I38" i="18"/>
  <c r="O38" i="18" s="1"/>
  <c r="AB37" i="18"/>
  <c r="X37" i="18"/>
  <c r="AC37" i="18" s="1"/>
  <c r="M37" i="18"/>
  <c r="I37" i="18"/>
  <c r="AB36" i="18"/>
  <c r="X36" i="18"/>
  <c r="AC36" i="18" s="1"/>
  <c r="M36" i="18"/>
  <c r="I36" i="18"/>
  <c r="AB35" i="18"/>
  <c r="X35" i="18"/>
  <c r="M35" i="18"/>
  <c r="I35" i="18"/>
  <c r="AB34" i="18"/>
  <c r="X34" i="18"/>
  <c r="M34" i="18"/>
  <c r="I34" i="18"/>
  <c r="AB33" i="18"/>
  <c r="AC33" i="18" s="1"/>
  <c r="X33" i="18"/>
  <c r="M33" i="18"/>
  <c r="I33" i="18"/>
  <c r="AB32" i="18"/>
  <c r="X32" i="18"/>
  <c r="AC32" i="18" s="1"/>
  <c r="O32" i="18"/>
  <c r="M32" i="18"/>
  <c r="I32" i="18"/>
  <c r="AB31" i="18"/>
  <c r="X31" i="18"/>
  <c r="AC31" i="18" s="1"/>
  <c r="M31" i="18"/>
  <c r="I31" i="18"/>
  <c r="AB30" i="18"/>
  <c r="X30" i="18"/>
  <c r="M30" i="18"/>
  <c r="I30" i="18"/>
  <c r="O30" i="18" s="1"/>
  <c r="AB29" i="18"/>
  <c r="X29" i="18"/>
  <c r="AC29" i="18" s="1"/>
  <c r="M29" i="18"/>
  <c r="I29" i="18"/>
  <c r="AB28" i="18"/>
  <c r="X28" i="18"/>
  <c r="AC28" i="18" s="1"/>
  <c r="M28" i="18"/>
  <c r="I28" i="18"/>
  <c r="O28" i="18" s="1"/>
  <c r="AB27" i="18"/>
  <c r="X27" i="18"/>
  <c r="AC27" i="18" s="1"/>
  <c r="M27" i="18"/>
  <c r="I27" i="18"/>
  <c r="AB26" i="18"/>
  <c r="X26" i="18"/>
  <c r="M26" i="18"/>
  <c r="I26" i="18"/>
  <c r="O26" i="18" s="1"/>
  <c r="AB25" i="18"/>
  <c r="X25" i="18"/>
  <c r="M25" i="18"/>
  <c r="I25" i="18"/>
  <c r="AB24" i="18"/>
  <c r="X24" i="18"/>
  <c r="AC24" i="18" s="1"/>
  <c r="M24" i="18"/>
  <c r="I24" i="18"/>
  <c r="O24" i="18" s="1"/>
  <c r="AB23" i="18"/>
  <c r="X23" i="18"/>
  <c r="M23" i="18"/>
  <c r="I23" i="18"/>
  <c r="O23" i="18" s="1"/>
  <c r="R23" i="18" s="1"/>
  <c r="T23" i="18" s="1"/>
  <c r="AB22" i="18"/>
  <c r="X22" i="18"/>
  <c r="M22" i="18"/>
  <c r="I22" i="18"/>
  <c r="AB21" i="18"/>
  <c r="X21" i="18"/>
  <c r="M21" i="18"/>
  <c r="I21" i="18"/>
  <c r="AB20" i="18"/>
  <c r="X20" i="18"/>
  <c r="M20" i="18"/>
  <c r="I20" i="18"/>
  <c r="AB19" i="18"/>
  <c r="X19" i="18"/>
  <c r="M19" i="18"/>
  <c r="I19" i="18"/>
  <c r="O19" i="18" s="1"/>
  <c r="R19" i="18" s="1"/>
  <c r="T19" i="18" s="1"/>
  <c r="AB18" i="18"/>
  <c r="X18" i="18"/>
  <c r="M18" i="18"/>
  <c r="I18" i="18"/>
  <c r="AB17" i="18"/>
  <c r="X17" i="18"/>
  <c r="M17" i="18"/>
  <c r="I17" i="18"/>
  <c r="AB16" i="18"/>
  <c r="X16" i="18"/>
  <c r="M16" i="18"/>
  <c r="O16" i="18" s="1"/>
  <c r="R16" i="18" s="1"/>
  <c r="T16" i="18" s="1"/>
  <c r="I16" i="18"/>
  <c r="AB15" i="18"/>
  <c r="X15" i="18"/>
  <c r="M15" i="18"/>
  <c r="I15" i="18"/>
  <c r="O15" i="18" s="1"/>
  <c r="R15" i="18" s="1"/>
  <c r="T15" i="18" s="1"/>
  <c r="AB14" i="18"/>
  <c r="X14" i="18"/>
  <c r="M14" i="18"/>
  <c r="I14" i="18"/>
  <c r="AB13" i="18"/>
  <c r="AC13" i="18" s="1"/>
  <c r="X13" i="18"/>
  <c r="M13" i="18"/>
  <c r="I13" i="18"/>
  <c r="AB12" i="18"/>
  <c r="X12" i="18"/>
  <c r="M12" i="18"/>
  <c r="I12" i="18"/>
  <c r="AC11" i="18"/>
  <c r="AB11" i="18"/>
  <c r="X11" i="18"/>
  <c r="M11" i="18"/>
  <c r="I11" i="18"/>
  <c r="O11" i="18" s="1"/>
  <c r="R11" i="18" s="1"/>
  <c r="T11" i="18" s="1"/>
  <c r="AB10" i="18"/>
  <c r="X10" i="18"/>
  <c r="AC10" i="18" s="1"/>
  <c r="M10" i="18"/>
  <c r="I10" i="18"/>
  <c r="AB9" i="18"/>
  <c r="X9" i="18"/>
  <c r="AC9" i="18" s="1"/>
  <c r="M9" i="18"/>
  <c r="I9" i="18"/>
  <c r="AB8" i="18"/>
  <c r="X8" i="18"/>
  <c r="M8" i="18"/>
  <c r="I8" i="18"/>
  <c r="AB32" i="20" l="1"/>
  <c r="O31" i="18"/>
  <c r="O8" i="20"/>
  <c r="R8" i="20" s="1"/>
  <c r="T8" i="20" s="1"/>
  <c r="AB15" i="20"/>
  <c r="O29" i="20"/>
  <c r="O31" i="20"/>
  <c r="AB40" i="20"/>
  <c r="O40" i="18"/>
  <c r="AC15" i="18"/>
  <c r="AC17" i="18"/>
  <c r="AC19" i="18"/>
  <c r="AC21" i="18"/>
  <c r="AC23" i="18"/>
  <c r="AC44" i="18"/>
  <c r="O14" i="20"/>
  <c r="R14" i="20" s="1"/>
  <c r="T14" i="20" s="1"/>
  <c r="O16" i="20"/>
  <c r="R16" i="20" s="1"/>
  <c r="T16" i="20" s="1"/>
  <c r="AD16" i="20" s="1"/>
  <c r="AF16" i="20" s="1"/>
  <c r="C13" i="21" s="1"/>
  <c r="O37" i="20"/>
  <c r="O39" i="20"/>
  <c r="AC30" i="18"/>
  <c r="O8" i="18"/>
  <c r="R8" i="18" s="1"/>
  <c r="T8" i="18" s="1"/>
  <c r="O18" i="18"/>
  <c r="R18" i="18" s="1"/>
  <c r="T18" i="18" s="1"/>
  <c r="AE18" i="18" s="1"/>
  <c r="AG18" i="18" s="1"/>
  <c r="O22" i="18"/>
  <c r="R22" i="18" s="1"/>
  <c r="T22" i="18" s="1"/>
  <c r="AC25" i="18"/>
  <c r="AC35" i="18"/>
  <c r="AB8" i="20"/>
  <c r="AB10" i="20"/>
  <c r="AB12" i="20"/>
  <c r="O22" i="20"/>
  <c r="R22" i="20" s="1"/>
  <c r="T22" i="20" s="1"/>
  <c r="O24" i="20"/>
  <c r="AB31" i="20"/>
  <c r="AB33" i="20"/>
  <c r="U38" i="30"/>
  <c r="U37" i="30"/>
  <c r="O44" i="20"/>
  <c r="AC14" i="18"/>
  <c r="AC16" i="18"/>
  <c r="AE16" i="18" s="1"/>
  <c r="AG16" i="18" s="1"/>
  <c r="AC18" i="18"/>
  <c r="AC20" i="18"/>
  <c r="O34" i="18"/>
  <c r="O36" i="18"/>
  <c r="AC45" i="18"/>
  <c r="AC47" i="18"/>
  <c r="O13" i="20"/>
  <c r="R13" i="20" s="1"/>
  <c r="T13" i="20" s="1"/>
  <c r="O15" i="20"/>
  <c r="R15" i="20" s="1"/>
  <c r="T15" i="20" s="1"/>
  <c r="O38" i="20"/>
  <c r="AB47" i="20"/>
  <c r="J36" i="25"/>
  <c r="N36" i="25" s="1"/>
  <c r="Q41" i="24" s="1"/>
  <c r="R41" i="24" s="1"/>
  <c r="T41" i="24" s="1"/>
  <c r="AE38" i="24"/>
  <c r="AG38" i="24" s="1"/>
  <c r="AH38" i="24"/>
  <c r="AH39" i="24" s="1"/>
  <c r="E14" i="21"/>
  <c r="J14" i="21" s="1"/>
  <c r="N14" i="21" s="1"/>
  <c r="E15" i="21"/>
  <c r="J15" i="21" s="1"/>
  <c r="N15" i="21" s="1"/>
  <c r="AB19" i="20"/>
  <c r="AB35" i="20"/>
  <c r="AB14" i="20"/>
  <c r="AD14" i="20" s="1"/>
  <c r="AF14" i="20" s="1"/>
  <c r="C11" i="21" s="1"/>
  <c r="I11" i="21" s="1"/>
  <c r="O18" i="20"/>
  <c r="R18" i="20" s="1"/>
  <c r="T18" i="20" s="1"/>
  <c r="AD18" i="20" s="1"/>
  <c r="AF18" i="20" s="1"/>
  <c r="C15" i="21" s="1"/>
  <c r="I15" i="21" s="1"/>
  <c r="O20" i="20"/>
  <c r="R20" i="20" s="1"/>
  <c r="T20" i="20" s="1"/>
  <c r="AD20" i="20" s="1"/>
  <c r="AF20" i="20" s="1"/>
  <c r="C17" i="21" s="1"/>
  <c r="I17" i="21" s="1"/>
  <c r="AB21" i="20"/>
  <c r="AD21" i="20" s="1"/>
  <c r="AF21" i="20" s="1"/>
  <c r="C18" i="21" s="1"/>
  <c r="I18" i="21" s="1"/>
  <c r="O27" i="20"/>
  <c r="AB30" i="20"/>
  <c r="O34" i="20"/>
  <c r="O36" i="20"/>
  <c r="AB37" i="20"/>
  <c r="O43" i="20"/>
  <c r="AB46" i="20"/>
  <c r="AD8" i="20"/>
  <c r="AF8" i="20" s="1"/>
  <c r="C5" i="21" s="1"/>
  <c r="AD15" i="20"/>
  <c r="AF15" i="20" s="1"/>
  <c r="C12" i="21" s="1"/>
  <c r="I12" i="21" s="1"/>
  <c r="AB11" i="20"/>
  <c r="AD11" i="20" s="1"/>
  <c r="AF11" i="20" s="1"/>
  <c r="C8" i="21" s="1"/>
  <c r="AB27" i="20"/>
  <c r="O40" i="20"/>
  <c r="AB43" i="20"/>
  <c r="O10" i="20"/>
  <c r="R10" i="20" s="1"/>
  <c r="T10" i="20" s="1"/>
  <c r="AD10" i="20" s="1"/>
  <c r="AF10" i="20" s="1"/>
  <c r="C7" i="21" s="1"/>
  <c r="O12" i="20"/>
  <c r="R12" i="20" s="1"/>
  <c r="T12" i="20" s="1"/>
  <c r="AD12" i="20" s="1"/>
  <c r="AF12" i="20" s="1"/>
  <c r="C9" i="21" s="1"/>
  <c r="I9" i="21" s="1"/>
  <c r="AB13" i="20"/>
  <c r="AD13" i="20" s="1"/>
  <c r="AF13" i="20" s="1"/>
  <c r="C10" i="21" s="1"/>
  <c r="I10" i="21" s="1"/>
  <c r="O19" i="20"/>
  <c r="R19" i="20" s="1"/>
  <c r="T19" i="20" s="1"/>
  <c r="AB22" i="20"/>
  <c r="O26" i="20"/>
  <c r="O28" i="20"/>
  <c r="AB29" i="20"/>
  <c r="O35" i="20"/>
  <c r="AB38" i="20"/>
  <c r="O42" i="20"/>
  <c r="AB45" i="20"/>
  <c r="AD9" i="20"/>
  <c r="AF9" i="20" s="1"/>
  <c r="C6" i="21" s="1"/>
  <c r="I6" i="21" s="1"/>
  <c r="AD17" i="20"/>
  <c r="AF17" i="20" s="1"/>
  <c r="C14" i="21" s="1"/>
  <c r="I14" i="21" s="1"/>
  <c r="O10" i="18"/>
  <c r="R10" i="18" s="1"/>
  <c r="T10" i="18" s="1"/>
  <c r="U21" i="18" s="1"/>
  <c r="O12" i="18"/>
  <c r="R12" i="18" s="1"/>
  <c r="T12" i="18" s="1"/>
  <c r="AC26" i="18"/>
  <c r="O41" i="18"/>
  <c r="AC46" i="18"/>
  <c r="O9" i="18"/>
  <c r="R9" i="18" s="1"/>
  <c r="T9" i="18" s="1"/>
  <c r="AE9" i="18" s="1"/>
  <c r="AG9" i="18" s="1"/>
  <c r="AC12" i="18"/>
  <c r="O14" i="18"/>
  <c r="R14" i="18" s="1"/>
  <c r="T14" i="18" s="1"/>
  <c r="AE14" i="18" s="1"/>
  <c r="AG14" i="18" s="1"/>
  <c r="O27" i="18"/>
  <c r="O37" i="18"/>
  <c r="O47" i="18"/>
  <c r="O25" i="18"/>
  <c r="O45" i="18"/>
  <c r="O13" i="18"/>
  <c r="R13" i="18" s="1"/>
  <c r="T13" i="18" s="1"/>
  <c r="O21" i="18"/>
  <c r="R21" i="18" s="1"/>
  <c r="T21" i="18" s="1"/>
  <c r="O33" i="18"/>
  <c r="AC38" i="18"/>
  <c r="AE15" i="18"/>
  <c r="AG15" i="18" s="1"/>
  <c r="AC34" i="18"/>
  <c r="O17" i="18"/>
  <c r="R17" i="18" s="1"/>
  <c r="T17" i="18" s="1"/>
  <c r="AE17" i="18" s="1"/>
  <c r="AG17" i="18" s="1"/>
  <c r="O20" i="18"/>
  <c r="R20" i="18" s="1"/>
  <c r="T20" i="18" s="1"/>
  <c r="O29" i="18"/>
  <c r="O35" i="18"/>
  <c r="AC40" i="18"/>
  <c r="O42" i="18"/>
  <c r="AE10" i="18"/>
  <c r="AG10" i="18" s="1"/>
  <c r="AE21" i="18"/>
  <c r="AG21" i="18" s="1"/>
  <c r="AC8" i="18"/>
  <c r="AE8" i="18" s="1"/>
  <c r="AG8" i="18" s="1"/>
  <c r="AC22" i="18"/>
  <c r="AE19" i="18"/>
  <c r="AG19" i="18" s="1"/>
  <c r="AE11" i="18"/>
  <c r="AG11" i="18" s="1"/>
  <c r="I7" i="21" l="1"/>
  <c r="E7" i="21"/>
  <c r="J7" i="21" s="1"/>
  <c r="N7" i="21" s="1"/>
  <c r="I13" i="21"/>
  <c r="E13" i="21"/>
  <c r="J13" i="21" s="1"/>
  <c r="N13" i="21" s="1"/>
  <c r="C13" i="36"/>
  <c r="C13" i="19"/>
  <c r="I8" i="21"/>
  <c r="E8" i="21"/>
  <c r="J8" i="21" s="1"/>
  <c r="N8" i="21" s="1"/>
  <c r="E5" i="21"/>
  <c r="I5" i="21"/>
  <c r="E6" i="21"/>
  <c r="J6" i="21" s="1"/>
  <c r="N6" i="21" s="1"/>
  <c r="E12" i="21"/>
  <c r="J12" i="21" s="1"/>
  <c r="N12" i="21" s="1"/>
  <c r="C15" i="36"/>
  <c r="C15" i="19"/>
  <c r="C14" i="36"/>
  <c r="C14" i="19"/>
  <c r="C12" i="36"/>
  <c r="C12" i="19"/>
  <c r="AE12" i="18"/>
  <c r="AG12" i="18" s="1"/>
  <c r="E11" i="21"/>
  <c r="J11" i="21" s="1"/>
  <c r="N11" i="21" s="1"/>
  <c r="C35" i="25"/>
  <c r="E35" i="25" s="1"/>
  <c r="E22" i="4"/>
  <c r="C18" i="36"/>
  <c r="C18" i="19"/>
  <c r="C7" i="36"/>
  <c r="C7" i="19"/>
  <c r="E18" i="21"/>
  <c r="J18" i="21" s="1"/>
  <c r="N18" i="21" s="1"/>
  <c r="AE37" i="30"/>
  <c r="AH37" i="30"/>
  <c r="AH38" i="30" s="1"/>
  <c r="C8" i="36"/>
  <c r="C8" i="19"/>
  <c r="C16" i="36"/>
  <c r="C16" i="19"/>
  <c r="C11" i="36"/>
  <c r="C11" i="19"/>
  <c r="C5" i="36"/>
  <c r="C5" i="19"/>
  <c r="C6" i="36"/>
  <c r="C6" i="19"/>
  <c r="E10" i="21"/>
  <c r="J10" i="21" s="1"/>
  <c r="N10" i="21" s="1"/>
  <c r="AE20" i="18"/>
  <c r="AG20" i="18" s="1"/>
  <c r="E17" i="21"/>
  <c r="J17" i="21" s="1"/>
  <c r="N17" i="21" s="1"/>
  <c r="E9" i="21"/>
  <c r="J9" i="21" s="1"/>
  <c r="N9" i="21" s="1"/>
  <c r="AD19" i="20"/>
  <c r="AF19" i="20" s="1"/>
  <c r="C16" i="21" s="1"/>
  <c r="AE13" i="18"/>
  <c r="AG13" i="18" s="1"/>
  <c r="U23" i="18"/>
  <c r="U20" i="18"/>
  <c r="U22" i="18"/>
  <c r="I5" i="19" l="1"/>
  <c r="E5" i="19"/>
  <c r="J5" i="19" s="1"/>
  <c r="N5" i="19" s="1"/>
  <c r="I5" i="36"/>
  <c r="E5" i="36"/>
  <c r="J5" i="36" s="1"/>
  <c r="N5" i="36" s="1"/>
  <c r="I13" i="36"/>
  <c r="E13" i="36"/>
  <c r="J13" i="36" s="1"/>
  <c r="N13" i="36" s="1"/>
  <c r="I11" i="19"/>
  <c r="E11" i="19"/>
  <c r="J11" i="19" s="1"/>
  <c r="N11" i="19" s="1"/>
  <c r="C17" i="36"/>
  <c r="C17" i="19"/>
  <c r="E7" i="36"/>
  <c r="I7" i="36"/>
  <c r="I12" i="19"/>
  <c r="E12" i="19"/>
  <c r="J12" i="19" s="1"/>
  <c r="N12" i="19" s="1"/>
  <c r="I18" i="19"/>
  <c r="E18" i="19"/>
  <c r="J18" i="19" s="1"/>
  <c r="N18" i="19" s="1"/>
  <c r="I12" i="36"/>
  <c r="E12" i="36"/>
  <c r="J12" i="36" s="1"/>
  <c r="N12" i="36" s="1"/>
  <c r="I35" i="25"/>
  <c r="I6" i="19"/>
  <c r="E6" i="19"/>
  <c r="I8" i="19"/>
  <c r="E8" i="19"/>
  <c r="J8" i="19" s="1"/>
  <c r="N8" i="19" s="1"/>
  <c r="I18" i="36"/>
  <c r="E18" i="36"/>
  <c r="J18" i="36" s="1"/>
  <c r="N18" i="36" s="1"/>
  <c r="I14" i="19"/>
  <c r="E14" i="19"/>
  <c r="E13" i="19"/>
  <c r="J13" i="19" s="1"/>
  <c r="N13" i="19" s="1"/>
  <c r="I13" i="19"/>
  <c r="I15" i="36"/>
  <c r="E15" i="36"/>
  <c r="J15" i="36" s="1"/>
  <c r="N15" i="36" s="1"/>
  <c r="I16" i="19"/>
  <c r="E16" i="19"/>
  <c r="J16" i="19" s="1"/>
  <c r="N16" i="19" s="1"/>
  <c r="I16" i="36"/>
  <c r="E16" i="36"/>
  <c r="J5" i="21"/>
  <c r="N5" i="21" s="1"/>
  <c r="AH22" i="18"/>
  <c r="I6" i="36"/>
  <c r="E6" i="36"/>
  <c r="J6" i="36" s="1"/>
  <c r="N6" i="36" s="1"/>
  <c r="I8" i="36"/>
  <c r="E8" i="36"/>
  <c r="J8" i="36" s="1"/>
  <c r="N8" i="36" s="1"/>
  <c r="I14" i="36"/>
  <c r="E14" i="36"/>
  <c r="J14" i="36" s="1"/>
  <c r="N14" i="36" s="1"/>
  <c r="AG37" i="30"/>
  <c r="AE38" i="30"/>
  <c r="E15" i="19"/>
  <c r="I15" i="19"/>
  <c r="I16" i="21"/>
  <c r="E16" i="21"/>
  <c r="J16" i="21" s="1"/>
  <c r="N16" i="21" s="1"/>
  <c r="C10" i="36"/>
  <c r="C10" i="19"/>
  <c r="I11" i="36"/>
  <c r="E11" i="36"/>
  <c r="J11" i="36" s="1"/>
  <c r="N11" i="36" s="1"/>
  <c r="I7" i="19"/>
  <c r="E7" i="19"/>
  <c r="J7" i="19" s="1"/>
  <c r="N7" i="19" s="1"/>
  <c r="C9" i="36"/>
  <c r="C9" i="19"/>
  <c r="J35" i="25"/>
  <c r="N35" i="25" s="1"/>
  <c r="Q40" i="24" s="1"/>
  <c r="R40" i="24" s="1"/>
  <c r="T40" i="24" s="1"/>
  <c r="U40" i="24" s="1"/>
  <c r="AH23" i="18"/>
  <c r="I9" i="19" l="1"/>
  <c r="E9" i="19"/>
  <c r="J9" i="19" s="1"/>
  <c r="N9" i="19" s="1"/>
  <c r="I17" i="19"/>
  <c r="E17" i="19"/>
  <c r="J17" i="19" s="1"/>
  <c r="N17" i="19" s="1"/>
  <c r="J15" i="19"/>
  <c r="N15" i="19" s="1"/>
  <c r="AE39" i="30"/>
  <c r="AG39" i="30" s="1"/>
  <c r="AG38" i="30"/>
  <c r="E9" i="36"/>
  <c r="J9" i="36" s="1"/>
  <c r="N9" i="36" s="1"/>
  <c r="I9" i="36"/>
  <c r="E17" i="36"/>
  <c r="J17" i="36" s="1"/>
  <c r="N17" i="36" s="1"/>
  <c r="I17" i="36"/>
  <c r="D21" i="4"/>
  <c r="C34" i="31"/>
  <c r="J6" i="19"/>
  <c r="N6" i="19" s="1"/>
  <c r="I10" i="19"/>
  <c r="E10" i="19"/>
  <c r="J10" i="19" s="1"/>
  <c r="N10" i="19" s="1"/>
  <c r="I10" i="36"/>
  <c r="E10" i="36"/>
  <c r="J10" i="36" s="1"/>
  <c r="N10" i="36" s="1"/>
  <c r="J16" i="36"/>
  <c r="N16" i="36" s="1"/>
  <c r="J14" i="19"/>
  <c r="N14" i="19" s="1"/>
  <c r="J7" i="36"/>
  <c r="N7" i="36" s="1"/>
  <c r="U41" i="24"/>
  <c r="AE41" i="24" s="1"/>
  <c r="AG41" i="24" s="1"/>
  <c r="AE40" i="24"/>
  <c r="AG40" i="24" s="1"/>
  <c r="AH40" i="24"/>
  <c r="C35" i="31" l="1"/>
  <c r="D22" i="4"/>
  <c r="D23" i="4"/>
  <c r="C36" i="31"/>
  <c r="C38" i="25"/>
  <c r="I38" i="25" s="1"/>
  <c r="E25" i="4"/>
  <c r="AH41" i="24"/>
  <c r="E34" i="31"/>
  <c r="I34" i="31"/>
  <c r="J34" i="31" s="1"/>
  <c r="N34" i="31" s="1"/>
  <c r="Q39" i="30" s="1"/>
  <c r="R39" i="30" s="1"/>
  <c r="T39" i="30" s="1"/>
  <c r="C37" i="25"/>
  <c r="E24" i="4"/>
  <c r="E37" i="25"/>
  <c r="I37" i="25"/>
  <c r="E35" i="31" l="1"/>
  <c r="I35" i="31"/>
  <c r="U39" i="30"/>
  <c r="AH39" i="30" s="1"/>
  <c r="I36" i="31"/>
  <c r="E36" i="31"/>
  <c r="J36" i="31" s="1"/>
  <c r="N36" i="31" s="1"/>
  <c r="Q41" i="30" s="1"/>
  <c r="R41" i="30" s="1"/>
  <c r="T41" i="30" s="1"/>
  <c r="E38" i="25"/>
  <c r="J38" i="25" s="1"/>
  <c r="N38" i="25" s="1"/>
  <c r="Q43" i="24" s="1"/>
  <c r="R43" i="24" s="1"/>
  <c r="T43" i="24" s="1"/>
  <c r="J37" i="25"/>
  <c r="N37" i="25" s="1"/>
  <c r="Q42" i="24" s="1"/>
  <c r="R42" i="24" s="1"/>
  <c r="T42" i="24" s="1"/>
  <c r="J35" i="31" l="1"/>
  <c r="N35" i="31" s="1"/>
  <c r="Q40" i="30" s="1"/>
  <c r="R40" i="30" s="1"/>
  <c r="T40" i="30" s="1"/>
  <c r="U42" i="24"/>
  <c r="U43" i="24"/>
  <c r="AE43" i="24" s="1"/>
  <c r="AG43" i="24" s="1"/>
  <c r="C40" i="25" l="1"/>
  <c r="E40" i="25" s="1"/>
  <c r="E27" i="4"/>
  <c r="U40" i="30"/>
  <c r="U41" i="30"/>
  <c r="AE42" i="24"/>
  <c r="AG42" i="24" s="1"/>
  <c r="AH42" i="24"/>
  <c r="AH43" i="24" s="1"/>
  <c r="C39" i="25" l="1"/>
  <c r="E39" i="25" s="1"/>
  <c r="E26" i="4"/>
  <c r="I40" i="25"/>
  <c r="AE40" i="30"/>
  <c r="AH40" i="30"/>
  <c r="AH41" i="30" s="1"/>
  <c r="J40" i="25"/>
  <c r="N40" i="25" s="1"/>
  <c r="Q45" i="24" s="1"/>
  <c r="R45" i="24" s="1"/>
  <c r="T45" i="24" s="1"/>
  <c r="I39" i="25" l="1"/>
  <c r="AE41" i="30"/>
  <c r="AG40" i="30"/>
  <c r="J39" i="25"/>
  <c r="N39" i="25" s="1"/>
  <c r="Q44" i="24" s="1"/>
  <c r="R44" i="24" s="1"/>
  <c r="T44" i="24" s="1"/>
  <c r="U45" i="24" s="1"/>
  <c r="AE45" i="24" s="1"/>
  <c r="AG45" i="24" s="1"/>
  <c r="C37" i="31" l="1"/>
  <c r="D24" i="4"/>
  <c r="U44" i="24"/>
  <c r="AG41" i="30"/>
  <c r="AE42" i="30"/>
  <c r="AG42" i="30" s="1"/>
  <c r="C42" i="25"/>
  <c r="I42" i="25" s="1"/>
  <c r="E29" i="4"/>
  <c r="E42" i="25"/>
  <c r="J42" i="25" s="1"/>
  <c r="N42" i="25" s="1"/>
  <c r="Q47" i="24" s="1"/>
  <c r="R47" i="24" s="1"/>
  <c r="T47" i="24" s="1"/>
  <c r="AE44" i="24"/>
  <c r="AG44" i="24" s="1"/>
  <c r="AH44" i="24"/>
  <c r="AH45" i="24" s="1"/>
  <c r="D26" i="4" l="1"/>
  <c r="C39" i="31"/>
  <c r="C38" i="31"/>
  <c r="D25" i="4"/>
  <c r="C41" i="25"/>
  <c r="E41" i="25" s="1"/>
  <c r="E28" i="4"/>
  <c r="E37" i="31"/>
  <c r="I37" i="31"/>
  <c r="J37" i="31" s="1"/>
  <c r="N37" i="31" s="1"/>
  <c r="Q42" i="30" s="1"/>
  <c r="R42" i="30" s="1"/>
  <c r="T42" i="30" s="1"/>
  <c r="E38" i="31" l="1"/>
  <c r="I38" i="31"/>
  <c r="U42" i="30"/>
  <c r="AH42" i="30" s="1"/>
  <c r="I41" i="25"/>
  <c r="J41" i="25" s="1"/>
  <c r="N41" i="25" s="1"/>
  <c r="Q46" i="24" s="1"/>
  <c r="R46" i="24" s="1"/>
  <c r="T46" i="24" s="1"/>
  <c r="U46" i="24" s="1"/>
  <c r="AE46" i="24" s="1"/>
  <c r="AG46" i="24" s="1"/>
  <c r="E39" i="31"/>
  <c r="I39" i="31"/>
  <c r="J39" i="31" l="1"/>
  <c r="N39" i="31" s="1"/>
  <c r="Q44" i="30" s="1"/>
  <c r="R44" i="30" s="1"/>
  <c r="T44" i="30" s="1"/>
  <c r="U44" i="30" s="1"/>
  <c r="J38" i="31"/>
  <c r="N38" i="31" s="1"/>
  <c r="Q43" i="30" s="1"/>
  <c r="R43" i="30" s="1"/>
  <c r="T43" i="30" s="1"/>
  <c r="U47" i="24"/>
  <c r="AE47" i="24" s="1"/>
  <c r="AG47" i="24" s="1"/>
  <c r="AH46" i="24"/>
  <c r="AH47" i="24" l="1"/>
  <c r="U43" i="30"/>
  <c r="AE43" i="30" l="1"/>
  <c r="AH43" i="30"/>
  <c r="AH44" i="30" s="1"/>
  <c r="AG43" i="30" l="1"/>
  <c r="AE44" i="30"/>
  <c r="AG44" i="30" l="1"/>
  <c r="AE45" i="30"/>
  <c r="AG45" i="30" s="1"/>
  <c r="C40" i="31"/>
  <c r="D27" i="4"/>
  <c r="E40" i="31" l="1"/>
  <c r="I40" i="31"/>
  <c r="C42" i="31"/>
  <c r="D29" i="4"/>
  <c r="D28" i="4"/>
  <c r="C41" i="31"/>
  <c r="I42" i="31" l="1"/>
  <c r="E42" i="31"/>
  <c r="J42" i="31" s="1"/>
  <c r="N42" i="31" s="1"/>
  <c r="Q47" i="30" s="1"/>
  <c r="R47" i="30" s="1"/>
  <c r="T47" i="30" s="1"/>
  <c r="J40" i="31"/>
  <c r="N40" i="31" s="1"/>
  <c r="Q45" i="30" s="1"/>
  <c r="R45" i="30" s="1"/>
  <c r="T45" i="30" s="1"/>
  <c r="I41" i="31"/>
  <c r="E41" i="31"/>
  <c r="J41" i="31" s="1"/>
  <c r="N41" i="31" s="1"/>
  <c r="Q46" i="30" s="1"/>
  <c r="R46" i="30" s="1"/>
  <c r="T46" i="30" s="1"/>
  <c r="U46" i="30" s="1"/>
  <c r="U45" i="30" l="1"/>
  <c r="AH45" i="30" s="1"/>
  <c r="U47" i="30"/>
  <c r="Q15" i="10" l="1"/>
  <c r="AC45" i="20" s="1"/>
  <c r="F42" i="21" s="1"/>
  <c r="H42" i="21" s="1"/>
  <c r="N15" i="10"/>
  <c r="AC33" i="20" s="1"/>
  <c r="F30" i="21" s="1"/>
  <c r="H30" i="21" s="1"/>
  <c r="Q14" i="10"/>
  <c r="AC44" i="20" s="1"/>
  <c r="F41" i="21" s="1"/>
  <c r="H41" i="21" s="1"/>
  <c r="N14" i="10"/>
  <c r="AC32" i="20" s="1"/>
  <c r="F29" i="21" s="1"/>
  <c r="H29" i="21" s="1"/>
  <c r="Q13" i="10"/>
  <c r="AC43" i="20" s="1"/>
  <c r="F40" i="21" s="1"/>
  <c r="H40" i="21" s="1"/>
  <c r="N13" i="10"/>
  <c r="AC31" i="20" s="1"/>
  <c r="F28" i="21" s="1"/>
  <c r="H28" i="21" s="1"/>
  <c r="Q12" i="10"/>
  <c r="AC42" i="20" s="1"/>
  <c r="F39" i="21" s="1"/>
  <c r="H39" i="21" s="1"/>
  <c r="N12" i="10"/>
  <c r="AC30" i="20" s="1"/>
  <c r="F27" i="21" s="1"/>
  <c r="H27" i="21" s="1"/>
  <c r="Q11" i="10"/>
  <c r="AC41" i="20" s="1"/>
  <c r="F38" i="21" s="1"/>
  <c r="H38" i="21" s="1"/>
  <c r="N11" i="10"/>
  <c r="AC29" i="20" s="1"/>
  <c r="F26" i="21" s="1"/>
  <c r="H26" i="21" s="1"/>
  <c r="Q10" i="10"/>
  <c r="AC40" i="20" s="1"/>
  <c r="F37" i="21" s="1"/>
  <c r="H37" i="21" s="1"/>
  <c r="N10" i="10"/>
  <c r="AC28" i="20" s="1"/>
  <c r="F25" i="21" s="1"/>
  <c r="H25" i="21" s="1"/>
  <c r="Q9" i="10"/>
  <c r="AC39" i="20" s="1"/>
  <c r="F36" i="21" s="1"/>
  <c r="H36" i="21" s="1"/>
  <c r="N9" i="10"/>
  <c r="AC27" i="20" s="1"/>
  <c r="F24" i="21" s="1"/>
  <c r="H24" i="21" s="1"/>
  <c r="Q8" i="10"/>
  <c r="AC38" i="20" s="1"/>
  <c r="F35" i="21" s="1"/>
  <c r="H35" i="21" s="1"/>
  <c r="N8" i="10"/>
  <c r="AC26" i="20" s="1"/>
  <c r="F23" i="21" s="1"/>
  <c r="H23" i="21" s="1"/>
  <c r="Q7" i="10"/>
  <c r="AC37" i="20" s="1"/>
  <c r="F34" i="21" s="1"/>
  <c r="H34" i="21" s="1"/>
  <c r="N7" i="10"/>
  <c r="AC25" i="20" s="1"/>
  <c r="F22" i="21" s="1"/>
  <c r="H22" i="21" s="1"/>
  <c r="Q6" i="10"/>
  <c r="AC36" i="20" s="1"/>
  <c r="F33" i="21" s="1"/>
  <c r="H33" i="21" s="1"/>
  <c r="N6" i="10"/>
  <c r="AC24" i="20" s="1"/>
  <c r="F21" i="21" s="1"/>
  <c r="H21" i="21" s="1"/>
  <c r="Q5" i="10"/>
  <c r="AC35" i="20" s="1"/>
  <c r="F32" i="21" s="1"/>
  <c r="H32" i="21" s="1"/>
  <c r="N5" i="10"/>
  <c r="AC23" i="20" s="1"/>
  <c r="Q4" i="10"/>
  <c r="AC34" i="20" s="1"/>
  <c r="F31" i="21" s="1"/>
  <c r="H31" i="21" s="1"/>
  <c r="N4" i="10"/>
  <c r="AC22" i="20" s="1"/>
  <c r="K15" i="10"/>
  <c r="H15" i="10"/>
  <c r="K14" i="10"/>
  <c r="H14" i="10"/>
  <c r="K13" i="10"/>
  <c r="H13" i="10"/>
  <c r="K12" i="10"/>
  <c r="H12" i="10"/>
  <c r="K11" i="10"/>
  <c r="H11" i="10"/>
  <c r="K10" i="10"/>
  <c r="H10" i="10"/>
  <c r="K9" i="10"/>
  <c r="H9" i="10"/>
  <c r="K8" i="10"/>
  <c r="H8" i="10"/>
  <c r="K7" i="10"/>
  <c r="H7" i="10"/>
  <c r="K6" i="10"/>
  <c r="H6" i="10"/>
  <c r="K5" i="10"/>
  <c r="H5" i="10"/>
  <c r="K4" i="10"/>
  <c r="H4" i="10"/>
  <c r="AF39" i="34" l="1"/>
  <c r="AD39" i="18"/>
  <c r="AF28" i="34"/>
  <c r="AD28" i="18"/>
  <c r="AF36" i="34"/>
  <c r="AD36" i="18"/>
  <c r="AF40" i="34"/>
  <c r="AD40" i="18"/>
  <c r="AF44" i="34"/>
  <c r="AD44" i="18"/>
  <c r="AF24" i="34"/>
  <c r="AD24" i="18"/>
  <c r="AF32" i="34"/>
  <c r="AD32" i="18"/>
  <c r="AF25" i="34"/>
  <c r="AD25" i="18"/>
  <c r="AF29" i="34"/>
  <c r="AD29" i="18"/>
  <c r="AF33" i="34"/>
  <c r="AD33" i="18"/>
  <c r="AF37" i="34"/>
  <c r="AD37" i="18"/>
  <c r="AF41" i="34"/>
  <c r="F40" i="36" s="1"/>
  <c r="AD41" i="18"/>
  <c r="F40" i="19" s="1"/>
  <c r="AF45" i="34"/>
  <c r="AD45" i="18"/>
  <c r="AF35" i="34"/>
  <c r="F34" i="36" s="1"/>
  <c r="AD35" i="18"/>
  <c r="AF43" i="34"/>
  <c r="AD43" i="18"/>
  <c r="AF22" i="34"/>
  <c r="AD22" i="18"/>
  <c r="AF26" i="34"/>
  <c r="AD26" i="18"/>
  <c r="AF30" i="34"/>
  <c r="AD30" i="18"/>
  <c r="F19" i="21"/>
  <c r="H19" i="21" s="1"/>
  <c r="AD22" i="20"/>
  <c r="AF22" i="20" s="1"/>
  <c r="AF34" i="34"/>
  <c r="AD34" i="18"/>
  <c r="AF38" i="34"/>
  <c r="AD38" i="18"/>
  <c r="AF42" i="34"/>
  <c r="AD42" i="18"/>
  <c r="AF23" i="34"/>
  <c r="AD23" i="18"/>
  <c r="AF27" i="34"/>
  <c r="AD27" i="18"/>
  <c r="AF31" i="34"/>
  <c r="AD31" i="18"/>
  <c r="F20" i="21"/>
  <c r="H20" i="21" s="1"/>
  <c r="AD23" i="20"/>
  <c r="AF23" i="20" s="1"/>
  <c r="R8" i="10"/>
  <c r="S8" i="10"/>
  <c r="S4" i="10"/>
  <c r="R4" i="10"/>
  <c r="S5" i="10"/>
  <c r="R5" i="10"/>
  <c r="R9" i="10"/>
  <c r="S9" i="10"/>
  <c r="R13" i="10"/>
  <c r="S13" i="10"/>
  <c r="R6" i="10"/>
  <c r="S6" i="10"/>
  <c r="S10" i="10"/>
  <c r="R10" i="10"/>
  <c r="R14" i="10"/>
  <c r="S14" i="10"/>
  <c r="S12" i="10"/>
  <c r="R12" i="10"/>
  <c r="R7" i="10"/>
  <c r="S7" i="10"/>
  <c r="S11" i="10"/>
  <c r="R11" i="10"/>
  <c r="R15" i="10"/>
  <c r="S15" i="10"/>
  <c r="L12" i="10"/>
  <c r="M12" i="10"/>
  <c r="M5" i="10"/>
  <c r="L5" i="10"/>
  <c r="M9" i="10"/>
  <c r="L9" i="10"/>
  <c r="M13" i="10"/>
  <c r="L13" i="10"/>
  <c r="M8" i="10"/>
  <c r="L8" i="10"/>
  <c r="M6" i="10"/>
  <c r="L6" i="10"/>
  <c r="M10" i="10"/>
  <c r="L10" i="10"/>
  <c r="M14" i="10"/>
  <c r="L14" i="10"/>
  <c r="M4" i="10"/>
  <c r="L4" i="10"/>
  <c r="M7" i="10"/>
  <c r="L7" i="10"/>
  <c r="M11" i="10"/>
  <c r="L11" i="10"/>
  <c r="M15" i="10"/>
  <c r="L15" i="10"/>
  <c r="O11" i="10"/>
  <c r="P11" i="10"/>
  <c r="O10" i="10"/>
  <c r="P10" i="10"/>
  <c r="O9" i="10"/>
  <c r="P9" i="10"/>
  <c r="O8" i="10"/>
  <c r="P8" i="10"/>
  <c r="O7" i="10"/>
  <c r="P7" i="10"/>
  <c r="O6" i="10"/>
  <c r="P6" i="10"/>
  <c r="O5" i="10"/>
  <c r="P5" i="10"/>
  <c r="O4" i="10"/>
  <c r="P4" i="10"/>
  <c r="O15" i="10"/>
  <c r="P15" i="10"/>
  <c r="O14" i="10"/>
  <c r="P14" i="10"/>
  <c r="O13" i="10"/>
  <c r="P13" i="10"/>
  <c r="O12" i="10"/>
  <c r="P12" i="10"/>
  <c r="I8" i="10"/>
  <c r="J8" i="10"/>
  <c r="I13" i="10"/>
  <c r="J13" i="10"/>
  <c r="I6" i="10"/>
  <c r="J6" i="10"/>
  <c r="I10" i="10"/>
  <c r="J10" i="10"/>
  <c r="I14" i="10"/>
  <c r="J14" i="10"/>
  <c r="I12" i="10"/>
  <c r="J12" i="10"/>
  <c r="I9" i="10"/>
  <c r="J9" i="10"/>
  <c r="I7" i="10"/>
  <c r="J7" i="10"/>
  <c r="I11" i="10"/>
  <c r="J11" i="10"/>
  <c r="I15" i="10"/>
  <c r="J15" i="10"/>
  <c r="I4" i="10"/>
  <c r="J4" i="10"/>
  <c r="I5" i="10"/>
  <c r="J5" i="10"/>
  <c r="F7" i="5"/>
  <c r="F8" i="5"/>
  <c r="F9" i="5"/>
  <c r="F6" i="4" l="1"/>
  <c r="C19" i="21"/>
  <c r="F31" i="19"/>
  <c r="F22" i="36"/>
  <c r="F31" i="36"/>
  <c r="F19" i="36"/>
  <c r="AG22" i="34"/>
  <c r="F34" i="19"/>
  <c r="F19" i="19"/>
  <c r="AE22" i="18"/>
  <c r="F7" i="4"/>
  <c r="C20" i="21"/>
  <c r="E20" i="21" s="1"/>
  <c r="I20" i="21"/>
  <c r="H34" i="36"/>
  <c r="F35" i="36"/>
  <c r="F41" i="19"/>
  <c r="H40" i="19"/>
  <c r="F41" i="36"/>
  <c r="H40" i="36"/>
  <c r="F22" i="19"/>
  <c r="F37" i="19"/>
  <c r="F25" i="19"/>
  <c r="F28" i="19"/>
  <c r="F37" i="36"/>
  <c r="F25" i="36"/>
  <c r="F28" i="36"/>
  <c r="F42" i="19" l="1"/>
  <c r="H42" i="19" s="1"/>
  <c r="H41" i="19"/>
  <c r="AG23" i="34"/>
  <c r="AI22" i="34"/>
  <c r="F35" i="19"/>
  <c r="H34" i="19"/>
  <c r="H35" i="36"/>
  <c r="F36" i="36"/>
  <c r="H36" i="36" s="1"/>
  <c r="F20" i="36"/>
  <c r="H19" i="36"/>
  <c r="H31" i="36"/>
  <c r="F32" i="36"/>
  <c r="F23" i="36"/>
  <c r="H22" i="36"/>
  <c r="F26" i="19"/>
  <c r="H25" i="19"/>
  <c r="F38" i="19"/>
  <c r="H37" i="19"/>
  <c r="F32" i="19"/>
  <c r="H31" i="19"/>
  <c r="F23" i="19"/>
  <c r="H22" i="19"/>
  <c r="H41" i="36"/>
  <c r="F42" i="36"/>
  <c r="H42" i="36" s="1"/>
  <c r="AE23" i="18"/>
  <c r="AG22" i="18"/>
  <c r="E19" i="21"/>
  <c r="J19" i="21" s="1"/>
  <c r="N19" i="21" s="1"/>
  <c r="Q24" i="20" s="1"/>
  <c r="R24" i="20" s="1"/>
  <c r="T24" i="20" s="1"/>
  <c r="AD24" i="20" s="1"/>
  <c r="AF24" i="20" s="1"/>
  <c r="I19" i="21"/>
  <c r="H37" i="36"/>
  <c r="F38" i="36"/>
  <c r="F29" i="19"/>
  <c r="H28" i="19"/>
  <c r="J20" i="21"/>
  <c r="N20" i="21" s="1"/>
  <c r="Q25" i="20" s="1"/>
  <c r="R25" i="20" s="1"/>
  <c r="T25" i="20" s="1"/>
  <c r="AD25" i="20" s="1"/>
  <c r="AF25" i="20" s="1"/>
  <c r="F29" i="36"/>
  <c r="H28" i="36"/>
  <c r="F26" i="36"/>
  <c r="H25" i="36"/>
  <c r="F20" i="19"/>
  <c r="H19" i="19"/>
  <c r="F30" i="19" l="1"/>
  <c r="H30" i="19" s="1"/>
  <c r="H29" i="19"/>
  <c r="H38" i="36"/>
  <c r="F39" i="36"/>
  <c r="H39" i="36" s="1"/>
  <c r="H23" i="36"/>
  <c r="F24" i="36"/>
  <c r="H24" i="36" s="1"/>
  <c r="F36" i="19"/>
  <c r="H36" i="19" s="1"/>
  <c r="H35" i="19"/>
  <c r="F21" i="19"/>
  <c r="H21" i="19" s="1"/>
  <c r="H20" i="19"/>
  <c r="H32" i="36"/>
  <c r="F33" i="36"/>
  <c r="H33" i="36" s="1"/>
  <c r="G6" i="4"/>
  <c r="C19" i="36"/>
  <c r="C21" i="21"/>
  <c r="F8" i="4"/>
  <c r="F33" i="19"/>
  <c r="H33" i="19" s="1"/>
  <c r="H32" i="19"/>
  <c r="AG24" i="34"/>
  <c r="AI24" i="34" s="1"/>
  <c r="AI23" i="34"/>
  <c r="F24" i="19"/>
  <c r="H24" i="19" s="1"/>
  <c r="H23" i="19"/>
  <c r="H26" i="36"/>
  <c r="F27" i="36"/>
  <c r="H27" i="36" s="1"/>
  <c r="H29" i="36"/>
  <c r="F30" i="36"/>
  <c r="H30" i="36" s="1"/>
  <c r="C19" i="19"/>
  <c r="C6" i="4"/>
  <c r="F27" i="19"/>
  <c r="H27" i="19" s="1"/>
  <c r="H26" i="19"/>
  <c r="C22" i="21"/>
  <c r="F9" i="4"/>
  <c r="AE24" i="18"/>
  <c r="AG24" i="18" s="1"/>
  <c r="AG23" i="18"/>
  <c r="F39" i="19"/>
  <c r="H39" i="19" s="1"/>
  <c r="H38" i="19"/>
  <c r="F21" i="36"/>
  <c r="H21" i="36" s="1"/>
  <c r="H20" i="36"/>
  <c r="C21" i="19" l="1"/>
  <c r="C8" i="4"/>
  <c r="I21" i="21"/>
  <c r="E21" i="21"/>
  <c r="J21" i="21" s="1"/>
  <c r="N21" i="21" s="1"/>
  <c r="Q26" i="20" s="1"/>
  <c r="R26" i="20" s="1"/>
  <c r="T26" i="20" s="1"/>
  <c r="AD26" i="20" s="1"/>
  <c r="AF26" i="20" s="1"/>
  <c r="I19" i="36"/>
  <c r="E19" i="36"/>
  <c r="J19" i="36" s="1"/>
  <c r="N19" i="36" s="1"/>
  <c r="G7" i="4"/>
  <c r="C20" i="36"/>
  <c r="I19" i="19"/>
  <c r="E19" i="19"/>
  <c r="J19" i="19" s="1"/>
  <c r="N19" i="19" s="1"/>
  <c r="G8" i="4"/>
  <c r="C21" i="36"/>
  <c r="I22" i="21"/>
  <c r="E22" i="21"/>
  <c r="C7" i="4"/>
  <c r="C20" i="19"/>
  <c r="E20" i="36" l="1"/>
  <c r="I20" i="36"/>
  <c r="J22" i="21"/>
  <c r="N22" i="21" s="1"/>
  <c r="Q27" i="20" s="1"/>
  <c r="R27" i="20" s="1"/>
  <c r="T27" i="20" s="1"/>
  <c r="AD27" i="20" s="1"/>
  <c r="AF27" i="20" s="1"/>
  <c r="I21" i="36"/>
  <c r="E21" i="36"/>
  <c r="J21" i="36" s="1"/>
  <c r="N21" i="36" s="1"/>
  <c r="I20" i="19"/>
  <c r="E20" i="19"/>
  <c r="J20" i="19" s="1"/>
  <c r="N20" i="19" s="1"/>
  <c r="C23" i="21"/>
  <c r="F10" i="4"/>
  <c r="Q24" i="18"/>
  <c r="R24" i="18" s="1"/>
  <c r="T24" i="18" s="1"/>
  <c r="Q24" i="34"/>
  <c r="R24" i="34" s="1"/>
  <c r="T24" i="34" s="1"/>
  <c r="E21" i="19"/>
  <c r="I21" i="19"/>
  <c r="J21" i="19" s="1"/>
  <c r="N21" i="19" s="1"/>
  <c r="Q26" i="18" l="1"/>
  <c r="R26" i="18" s="1"/>
  <c r="T26" i="18" s="1"/>
  <c r="Q26" i="34"/>
  <c r="R26" i="34" s="1"/>
  <c r="T26" i="34" s="1"/>
  <c r="I23" i="21"/>
  <c r="E23" i="21"/>
  <c r="J23" i="21" s="1"/>
  <c r="N23" i="21" s="1"/>
  <c r="Q28" i="20" s="1"/>
  <c r="R28" i="20" s="1"/>
  <c r="T28" i="20" s="1"/>
  <c r="AD28" i="20" s="1"/>
  <c r="AF28" i="20" s="1"/>
  <c r="C24" i="21"/>
  <c r="F11" i="4"/>
  <c r="Q25" i="18"/>
  <c r="R25" i="18" s="1"/>
  <c r="T25" i="18" s="1"/>
  <c r="Q25" i="34"/>
  <c r="R25" i="34" s="1"/>
  <c r="T25" i="34" s="1"/>
  <c r="U24" i="34"/>
  <c r="W24" i="34" s="1"/>
  <c r="U24" i="18"/>
  <c r="AH24" i="18" s="1"/>
  <c r="J20" i="36"/>
  <c r="N20" i="36" s="1"/>
  <c r="U25" i="34" l="1"/>
  <c r="V26" i="34" s="1"/>
  <c r="U25" i="18"/>
  <c r="E24" i="21"/>
  <c r="J24" i="21" s="1"/>
  <c r="N24" i="21" s="1"/>
  <c r="Q29" i="20" s="1"/>
  <c r="R29" i="20" s="1"/>
  <c r="T29" i="20" s="1"/>
  <c r="AD29" i="20" s="1"/>
  <c r="AF29" i="20" s="1"/>
  <c r="I24" i="21"/>
  <c r="C25" i="21"/>
  <c r="F12" i="4"/>
  <c r="U26" i="34"/>
  <c r="V25" i="34"/>
  <c r="W25" i="34" s="1"/>
  <c r="AG25" i="34" s="1"/>
  <c r="U26" i="18"/>
  <c r="W26" i="34" l="1"/>
  <c r="C26" i="21"/>
  <c r="F13" i="4"/>
  <c r="AH25" i="18"/>
  <c r="AH26" i="18" s="1"/>
  <c r="AE25" i="18"/>
  <c r="V27" i="34"/>
  <c r="AI25" i="34"/>
  <c r="AG26" i="34"/>
  <c r="E25" i="21"/>
  <c r="I25" i="21"/>
  <c r="I10" i="1"/>
  <c r="I9" i="1"/>
  <c r="M12" i="1"/>
  <c r="M11" i="1"/>
  <c r="M10" i="1"/>
  <c r="M9" i="1"/>
  <c r="AE26" i="18" l="1"/>
  <c r="AG25" i="18"/>
  <c r="I26" i="21"/>
  <c r="E26" i="21"/>
  <c r="J26" i="21" s="1"/>
  <c r="N26" i="21" s="1"/>
  <c r="Q31" i="20" s="1"/>
  <c r="R31" i="20" s="1"/>
  <c r="T31" i="20" s="1"/>
  <c r="AD31" i="20" s="1"/>
  <c r="AF31" i="20" s="1"/>
  <c r="AI26" i="34"/>
  <c r="AG27" i="34"/>
  <c r="AI27" i="34" s="1"/>
  <c r="G9" i="4"/>
  <c r="C22" i="36"/>
  <c r="O9" i="1"/>
  <c r="J25" i="21"/>
  <c r="N25" i="21" s="1"/>
  <c r="Q30" i="20" s="1"/>
  <c r="R30" i="20" s="1"/>
  <c r="T30" i="20" s="1"/>
  <c r="AD30" i="20" s="1"/>
  <c r="AF30" i="20" s="1"/>
  <c r="O10" i="1"/>
  <c r="R10" i="1" s="1"/>
  <c r="T10" i="1" s="1"/>
  <c r="AA10" i="1"/>
  <c r="AA9" i="1"/>
  <c r="AA8" i="1"/>
  <c r="AB8" i="1"/>
  <c r="W10" i="1"/>
  <c r="W9" i="1"/>
  <c r="W8" i="1"/>
  <c r="R9" i="1"/>
  <c r="T9" i="1" s="1"/>
  <c r="M8" i="1"/>
  <c r="I8" i="1"/>
  <c r="M7" i="5"/>
  <c r="H7" i="5"/>
  <c r="M6" i="5"/>
  <c r="H6" i="5"/>
  <c r="M5" i="5"/>
  <c r="H5" i="5"/>
  <c r="G11" i="4" l="1"/>
  <c r="C24" i="36"/>
  <c r="C23" i="36"/>
  <c r="G10" i="4"/>
  <c r="C28" i="21"/>
  <c r="F15" i="4"/>
  <c r="E22" i="36"/>
  <c r="J22" i="36" s="1"/>
  <c r="N22" i="36" s="1"/>
  <c r="I22" i="36"/>
  <c r="C27" i="21"/>
  <c r="F14" i="4"/>
  <c r="C9" i="4"/>
  <c r="C22" i="19"/>
  <c r="AE27" i="18"/>
  <c r="AG27" i="18" s="1"/>
  <c r="AG26" i="18"/>
  <c r="AB10" i="1"/>
  <c r="AC10" i="1" s="1"/>
  <c r="AE10" i="1" s="1"/>
  <c r="C7" i="5" s="1"/>
  <c r="I7" i="5" s="1"/>
  <c r="AB9" i="1"/>
  <c r="AC9" i="1"/>
  <c r="AE9" i="1" s="1"/>
  <c r="C6" i="5" s="1"/>
  <c r="I6" i="5" s="1"/>
  <c r="O8" i="1"/>
  <c r="R8" i="1" s="1"/>
  <c r="T8" i="1" s="1"/>
  <c r="AC8" i="1" s="1"/>
  <c r="AE8" i="1" s="1"/>
  <c r="C5" i="5" s="1"/>
  <c r="I28" i="21" l="1"/>
  <c r="E28" i="21"/>
  <c r="J28" i="21" s="1"/>
  <c r="N28" i="21" s="1"/>
  <c r="Q33" i="20" s="1"/>
  <c r="R33" i="20" s="1"/>
  <c r="T33" i="20" s="1"/>
  <c r="AD33" i="20" s="1"/>
  <c r="AF33" i="20" s="1"/>
  <c r="C10" i="4"/>
  <c r="C23" i="19"/>
  <c r="C24" i="19"/>
  <c r="C11" i="4"/>
  <c r="I22" i="19"/>
  <c r="E22" i="19"/>
  <c r="J22" i="19" s="1"/>
  <c r="N22" i="19" s="1"/>
  <c r="I23" i="36"/>
  <c r="E23" i="36"/>
  <c r="J23" i="36" s="1"/>
  <c r="N23" i="36" s="1"/>
  <c r="I24" i="36"/>
  <c r="E24" i="36"/>
  <c r="J24" i="36" s="1"/>
  <c r="N24" i="36" s="1"/>
  <c r="I27" i="21"/>
  <c r="E27" i="21"/>
  <c r="J27" i="21" s="1"/>
  <c r="N27" i="21" s="1"/>
  <c r="Q32" i="20" s="1"/>
  <c r="R32" i="20" s="1"/>
  <c r="T32" i="20" s="1"/>
  <c r="AD32" i="20" s="1"/>
  <c r="AF32" i="20" s="1"/>
  <c r="E7" i="5"/>
  <c r="J7" i="5" s="1"/>
  <c r="N7" i="5" s="1"/>
  <c r="E6" i="5"/>
  <c r="J6" i="5" s="1"/>
  <c r="N6" i="5" s="1"/>
  <c r="E5" i="5"/>
  <c r="I5" i="5"/>
  <c r="L44" i="5"/>
  <c r="L43" i="5"/>
  <c r="L42" i="5"/>
  <c r="L41" i="5"/>
  <c r="L40" i="5"/>
  <c r="L39" i="5"/>
  <c r="L38" i="5"/>
  <c r="L37" i="5"/>
  <c r="L36" i="5"/>
  <c r="C29" i="21" l="1"/>
  <c r="F16" i="4"/>
  <c r="E24" i="19"/>
  <c r="I24" i="19"/>
  <c r="Q27" i="34"/>
  <c r="R27" i="34" s="1"/>
  <c r="T27" i="34" s="1"/>
  <c r="Q27" i="18"/>
  <c r="R27" i="18" s="1"/>
  <c r="T27" i="18" s="1"/>
  <c r="I23" i="19"/>
  <c r="E23" i="19"/>
  <c r="J23" i="19" s="1"/>
  <c r="N23" i="19" s="1"/>
  <c r="C30" i="21"/>
  <c r="F17" i="4"/>
  <c r="J5" i="5"/>
  <c r="N5" i="5" s="1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U27" i="18" l="1"/>
  <c r="AH27" i="18" s="1"/>
  <c r="U27" i="34"/>
  <c r="W27" i="34" s="1"/>
  <c r="J24" i="19"/>
  <c r="N24" i="19" s="1"/>
  <c r="Q28" i="18"/>
  <c r="R28" i="18" s="1"/>
  <c r="T28" i="18" s="1"/>
  <c r="Q28" i="34"/>
  <c r="R28" i="34" s="1"/>
  <c r="T28" i="34" s="1"/>
  <c r="E30" i="21"/>
  <c r="I30" i="21"/>
  <c r="I29" i="21"/>
  <c r="E29" i="21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J30" i="21" l="1"/>
  <c r="N30" i="21" s="1"/>
  <c r="Q35" i="20" s="1"/>
  <c r="R35" i="20" s="1"/>
  <c r="T35" i="20" s="1"/>
  <c r="AD35" i="20" s="1"/>
  <c r="AF35" i="20" s="1"/>
  <c r="V28" i="34"/>
  <c r="U28" i="34"/>
  <c r="W28" i="34" s="1"/>
  <c r="AG28" i="34" s="1"/>
  <c r="U28" i="18"/>
  <c r="Q29" i="18"/>
  <c r="R29" i="18" s="1"/>
  <c r="T29" i="18" s="1"/>
  <c r="Q29" i="34"/>
  <c r="R29" i="34" s="1"/>
  <c r="T29" i="34" s="1"/>
  <c r="U29" i="34"/>
  <c r="J29" i="21"/>
  <c r="N29" i="21" s="1"/>
  <c r="Q34" i="20" s="1"/>
  <c r="R34" i="20" s="1"/>
  <c r="T34" i="20" s="1"/>
  <c r="AD34" i="20" s="1"/>
  <c r="AF34" i="20" s="1"/>
  <c r="M8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AA11" i="1"/>
  <c r="W11" i="1"/>
  <c r="I11" i="1"/>
  <c r="O11" i="1" s="1"/>
  <c r="AH28" i="18" l="1"/>
  <c r="AE28" i="18"/>
  <c r="AG29" i="34"/>
  <c r="AI28" i="34"/>
  <c r="V29" i="34"/>
  <c r="W29" i="34" s="1"/>
  <c r="V30" i="34"/>
  <c r="C32" i="21"/>
  <c r="F19" i="4"/>
  <c r="U29" i="18"/>
  <c r="C31" i="21"/>
  <c r="F18" i="4"/>
  <c r="AB11" i="1"/>
  <c r="R11" i="1"/>
  <c r="T11" i="1" s="1"/>
  <c r="G12" i="4" l="1"/>
  <c r="C25" i="36"/>
  <c r="AG30" i="34"/>
  <c r="AI30" i="34" s="1"/>
  <c r="AI29" i="34"/>
  <c r="AE29" i="18"/>
  <c r="AG28" i="18"/>
  <c r="I32" i="21"/>
  <c r="E32" i="21"/>
  <c r="J32" i="21" s="1"/>
  <c r="N32" i="21" s="1"/>
  <c r="Q37" i="20" s="1"/>
  <c r="R37" i="20" s="1"/>
  <c r="T37" i="20" s="1"/>
  <c r="AD37" i="20" s="1"/>
  <c r="AF37" i="20" s="1"/>
  <c r="I31" i="21"/>
  <c r="E31" i="21"/>
  <c r="J31" i="21" s="1"/>
  <c r="N31" i="21" s="1"/>
  <c r="Q36" i="20" s="1"/>
  <c r="R36" i="20" s="1"/>
  <c r="T36" i="20" s="1"/>
  <c r="AD36" i="20" s="1"/>
  <c r="AF36" i="20" s="1"/>
  <c r="AH29" i="18"/>
  <c r="AC11" i="1"/>
  <c r="AE11" i="1" s="1"/>
  <c r="C8" i="5" s="1"/>
  <c r="E8" i="5" s="1"/>
  <c r="C34" i="21" l="1"/>
  <c r="F21" i="4"/>
  <c r="C25" i="19"/>
  <c r="C12" i="4"/>
  <c r="G13" i="4"/>
  <c r="C26" i="36"/>
  <c r="AG29" i="18"/>
  <c r="AE30" i="18"/>
  <c r="AG30" i="18" s="1"/>
  <c r="C27" i="36"/>
  <c r="G14" i="4"/>
  <c r="C33" i="21"/>
  <c r="F20" i="4"/>
  <c r="I25" i="36"/>
  <c r="E25" i="36"/>
  <c r="J25" i="36" s="1"/>
  <c r="N25" i="36" s="1"/>
  <c r="I8" i="5"/>
  <c r="J8" i="5" s="1"/>
  <c r="N8" i="5" s="1"/>
  <c r="C26" i="19" l="1"/>
  <c r="C13" i="4"/>
  <c r="E25" i="19"/>
  <c r="I25" i="19"/>
  <c r="C27" i="19"/>
  <c r="C14" i="4"/>
  <c r="E26" i="36"/>
  <c r="I26" i="36"/>
  <c r="I33" i="21"/>
  <c r="E33" i="21"/>
  <c r="J33" i="21" s="1"/>
  <c r="N33" i="21" s="1"/>
  <c r="Q38" i="20" s="1"/>
  <c r="R38" i="20" s="1"/>
  <c r="T38" i="20" s="1"/>
  <c r="AD38" i="20" s="1"/>
  <c r="AF38" i="20" s="1"/>
  <c r="E27" i="36"/>
  <c r="I27" i="36"/>
  <c r="J27" i="36" s="1"/>
  <c r="N27" i="36" s="1"/>
  <c r="E34" i="21"/>
  <c r="I34" i="2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J26" i="36" l="1"/>
  <c r="N26" i="36" s="1"/>
  <c r="J34" i="21"/>
  <c r="N34" i="21" s="1"/>
  <c r="Q39" i="20" s="1"/>
  <c r="R39" i="20" s="1"/>
  <c r="T39" i="20" s="1"/>
  <c r="AD39" i="20" s="1"/>
  <c r="AF39" i="20" s="1"/>
  <c r="E27" i="19"/>
  <c r="I27" i="19"/>
  <c r="J25" i="19"/>
  <c r="N25" i="19" s="1"/>
  <c r="C35" i="21"/>
  <c r="F22" i="4"/>
  <c r="I26" i="19"/>
  <c r="E26" i="19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Q30" i="18" l="1"/>
  <c r="R30" i="18" s="1"/>
  <c r="T30" i="18" s="1"/>
  <c r="Q30" i="34"/>
  <c r="R30" i="34" s="1"/>
  <c r="T30" i="34" s="1"/>
  <c r="I35" i="21"/>
  <c r="E35" i="21"/>
  <c r="J35" i="21" s="1"/>
  <c r="N35" i="21" s="1"/>
  <c r="Q40" i="20" s="1"/>
  <c r="R40" i="20" s="1"/>
  <c r="T40" i="20" s="1"/>
  <c r="AD40" i="20" s="1"/>
  <c r="AF40" i="20" s="1"/>
  <c r="J27" i="19"/>
  <c r="N27" i="19" s="1"/>
  <c r="C36" i="21"/>
  <c r="F23" i="4"/>
  <c r="J26" i="19"/>
  <c r="N26" i="19" s="1"/>
  <c r="AB13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A12" i="1"/>
  <c r="W12" i="1"/>
  <c r="I12" i="1"/>
  <c r="M47" i="1"/>
  <c r="O47" i="1" s="1"/>
  <c r="R47" i="1" s="1"/>
  <c r="T47" i="1" s="1"/>
  <c r="M46" i="1"/>
  <c r="O46" i="1" s="1"/>
  <c r="R46" i="1" s="1"/>
  <c r="T46" i="1" s="1"/>
  <c r="M45" i="1"/>
  <c r="O45" i="1" s="1"/>
  <c r="R45" i="1" s="1"/>
  <c r="T45" i="1" s="1"/>
  <c r="M44" i="1"/>
  <c r="O44" i="1" s="1"/>
  <c r="R44" i="1" s="1"/>
  <c r="T44" i="1" s="1"/>
  <c r="M43" i="1"/>
  <c r="O43" i="1" s="1"/>
  <c r="R43" i="1" s="1"/>
  <c r="T43" i="1" s="1"/>
  <c r="M42" i="1"/>
  <c r="O42" i="1" s="1"/>
  <c r="R42" i="1" s="1"/>
  <c r="T42" i="1" s="1"/>
  <c r="M41" i="1"/>
  <c r="O41" i="1" s="1"/>
  <c r="R41" i="1" s="1"/>
  <c r="T41" i="1" s="1"/>
  <c r="M40" i="1"/>
  <c r="O40" i="1" s="1"/>
  <c r="R40" i="1" s="1"/>
  <c r="T40" i="1" s="1"/>
  <c r="M39" i="1"/>
  <c r="O39" i="1" s="1"/>
  <c r="R39" i="1" s="1"/>
  <c r="T39" i="1" s="1"/>
  <c r="M38" i="1"/>
  <c r="O38" i="1" s="1"/>
  <c r="R38" i="1" s="1"/>
  <c r="T38" i="1" s="1"/>
  <c r="M37" i="1"/>
  <c r="O37" i="1" s="1"/>
  <c r="R37" i="1" s="1"/>
  <c r="T37" i="1" s="1"/>
  <c r="M36" i="1"/>
  <c r="O36" i="1" s="1"/>
  <c r="R36" i="1" s="1"/>
  <c r="T36" i="1" s="1"/>
  <c r="M35" i="1"/>
  <c r="O35" i="1" s="1"/>
  <c r="R35" i="1" s="1"/>
  <c r="T35" i="1" s="1"/>
  <c r="M34" i="1"/>
  <c r="O34" i="1" s="1"/>
  <c r="R34" i="1" s="1"/>
  <c r="T34" i="1" s="1"/>
  <c r="M33" i="1"/>
  <c r="O33" i="1" s="1"/>
  <c r="R33" i="1" s="1"/>
  <c r="T33" i="1" s="1"/>
  <c r="M32" i="1"/>
  <c r="O32" i="1" s="1"/>
  <c r="R32" i="1" s="1"/>
  <c r="T32" i="1" s="1"/>
  <c r="M31" i="1"/>
  <c r="O31" i="1" s="1"/>
  <c r="R31" i="1" s="1"/>
  <c r="T31" i="1" s="1"/>
  <c r="M30" i="1"/>
  <c r="O30" i="1" s="1"/>
  <c r="R30" i="1" s="1"/>
  <c r="T30" i="1" s="1"/>
  <c r="M29" i="1"/>
  <c r="O29" i="1" s="1"/>
  <c r="R29" i="1" s="1"/>
  <c r="T29" i="1" s="1"/>
  <c r="M28" i="1"/>
  <c r="O28" i="1" s="1"/>
  <c r="R28" i="1" s="1"/>
  <c r="T28" i="1" s="1"/>
  <c r="M27" i="1"/>
  <c r="O27" i="1" s="1"/>
  <c r="R27" i="1" s="1"/>
  <c r="T27" i="1" s="1"/>
  <c r="M26" i="1"/>
  <c r="O26" i="1" s="1"/>
  <c r="R26" i="1" s="1"/>
  <c r="T26" i="1" s="1"/>
  <c r="M25" i="1"/>
  <c r="O25" i="1" s="1"/>
  <c r="R25" i="1" s="1"/>
  <c r="T25" i="1" s="1"/>
  <c r="M24" i="1"/>
  <c r="O24" i="1" s="1"/>
  <c r="R24" i="1" s="1"/>
  <c r="T24" i="1" s="1"/>
  <c r="M23" i="1"/>
  <c r="O23" i="1" s="1"/>
  <c r="R23" i="1" s="1"/>
  <c r="T23" i="1" s="1"/>
  <c r="M22" i="1"/>
  <c r="O22" i="1" s="1"/>
  <c r="R22" i="1" s="1"/>
  <c r="T22" i="1" s="1"/>
  <c r="M21" i="1"/>
  <c r="O21" i="1" s="1"/>
  <c r="R21" i="1" s="1"/>
  <c r="T21" i="1" s="1"/>
  <c r="M20" i="1"/>
  <c r="O20" i="1" s="1"/>
  <c r="R20" i="1" s="1"/>
  <c r="T20" i="1" s="1"/>
  <c r="M19" i="1"/>
  <c r="O19" i="1" s="1"/>
  <c r="R19" i="1" s="1"/>
  <c r="T19" i="1" s="1"/>
  <c r="M18" i="1"/>
  <c r="O18" i="1" s="1"/>
  <c r="R18" i="1" s="1"/>
  <c r="T18" i="1" s="1"/>
  <c r="M17" i="1"/>
  <c r="O17" i="1" s="1"/>
  <c r="R17" i="1" s="1"/>
  <c r="T17" i="1" s="1"/>
  <c r="M16" i="1"/>
  <c r="O16" i="1" s="1"/>
  <c r="R16" i="1" s="1"/>
  <c r="T16" i="1" s="1"/>
  <c r="M15" i="1"/>
  <c r="O15" i="1" s="1"/>
  <c r="R15" i="1" s="1"/>
  <c r="T15" i="1" s="1"/>
  <c r="M14" i="1"/>
  <c r="M13" i="1"/>
  <c r="O13" i="1" s="1"/>
  <c r="R13" i="1" s="1"/>
  <c r="T13" i="1" s="1"/>
  <c r="AC13" i="1" s="1"/>
  <c r="AE13" i="1" s="1"/>
  <c r="C10" i="5" s="1"/>
  <c r="I36" i="21" l="1"/>
  <c r="E36" i="21"/>
  <c r="J36" i="21" s="1"/>
  <c r="N36" i="21" s="1"/>
  <c r="Q41" i="20" s="1"/>
  <c r="R41" i="20" s="1"/>
  <c r="T41" i="20" s="1"/>
  <c r="AD41" i="20" s="1"/>
  <c r="AF41" i="20" s="1"/>
  <c r="Q31" i="18"/>
  <c r="R31" i="18" s="1"/>
  <c r="T31" i="18" s="1"/>
  <c r="U31" i="18" s="1"/>
  <c r="Q31" i="34"/>
  <c r="R31" i="34" s="1"/>
  <c r="T31" i="34" s="1"/>
  <c r="Q32" i="18"/>
  <c r="R32" i="18" s="1"/>
  <c r="T32" i="18" s="1"/>
  <c r="Q32" i="34"/>
  <c r="R32" i="34" s="1"/>
  <c r="T32" i="34" s="1"/>
  <c r="C37" i="21"/>
  <c r="F24" i="4"/>
  <c r="U30" i="34"/>
  <c r="W30" i="34" s="1"/>
  <c r="U31" i="34"/>
  <c r="U30" i="18"/>
  <c r="AH30" i="18" s="1"/>
  <c r="AC21" i="1"/>
  <c r="AE21" i="1" s="1"/>
  <c r="C18" i="5" s="1"/>
  <c r="AC38" i="1"/>
  <c r="AC46" i="1"/>
  <c r="AE46" i="1" s="1"/>
  <c r="C43" i="5" s="1"/>
  <c r="I43" i="5" s="1"/>
  <c r="AC37" i="1"/>
  <c r="AC30" i="1"/>
  <c r="AE30" i="1" s="1"/>
  <c r="AC39" i="1"/>
  <c r="AE39" i="1" s="1"/>
  <c r="AC29" i="1"/>
  <c r="AE29" i="1" s="1"/>
  <c r="AC22" i="1"/>
  <c r="AE22" i="1" s="1"/>
  <c r="AC31" i="1"/>
  <c r="AE31" i="1" s="1"/>
  <c r="AC45" i="1"/>
  <c r="AE45" i="1" s="1"/>
  <c r="O12" i="1"/>
  <c r="R12" i="1" s="1"/>
  <c r="T12" i="1" s="1"/>
  <c r="AC20" i="1"/>
  <c r="AE20" i="1" s="1"/>
  <c r="C17" i="5" s="1"/>
  <c r="E43" i="5"/>
  <c r="E10" i="5"/>
  <c r="I10" i="5"/>
  <c r="AE38" i="1"/>
  <c r="AE37" i="1"/>
  <c r="AC19" i="1"/>
  <c r="AE19" i="1" s="1"/>
  <c r="C16" i="5" s="1"/>
  <c r="AC27" i="1"/>
  <c r="AC43" i="1"/>
  <c r="AC35" i="1"/>
  <c r="AC34" i="1"/>
  <c r="AB12" i="1"/>
  <c r="AC12" i="1" s="1"/>
  <c r="AE12" i="1" s="1"/>
  <c r="C9" i="5" s="1"/>
  <c r="AC32" i="1"/>
  <c r="AC28" i="1"/>
  <c r="AC36" i="1"/>
  <c r="AC16" i="1"/>
  <c r="AE16" i="1" s="1"/>
  <c r="C13" i="5" s="1"/>
  <c r="AC47" i="1"/>
  <c r="AE47" i="1" s="1"/>
  <c r="C44" i="5" s="1"/>
  <c r="AC44" i="1"/>
  <c r="AC42" i="1"/>
  <c r="AC41" i="1"/>
  <c r="AC40" i="1"/>
  <c r="AC33" i="1"/>
  <c r="AC23" i="1"/>
  <c r="AC17" i="1"/>
  <c r="AE17" i="1" s="1"/>
  <c r="C14" i="5" s="1"/>
  <c r="AC18" i="1"/>
  <c r="AE18" i="1" s="1"/>
  <c r="C15" i="5" s="1"/>
  <c r="AC25" i="1"/>
  <c r="AC26" i="1"/>
  <c r="AC15" i="1"/>
  <c r="AE15" i="1" s="1"/>
  <c r="C12" i="5" s="1"/>
  <c r="AC24" i="1"/>
  <c r="O14" i="1"/>
  <c r="R14" i="1" s="1"/>
  <c r="T14" i="1" s="1"/>
  <c r="AC14" i="1" s="1"/>
  <c r="AE14" i="1" s="1"/>
  <c r="C11" i="5" s="1"/>
  <c r="C28" i="5" l="1"/>
  <c r="B15" i="4"/>
  <c r="C26" i="5"/>
  <c r="B13" i="4"/>
  <c r="C36" i="5"/>
  <c r="B23" i="4"/>
  <c r="C35" i="5"/>
  <c r="B22" i="4"/>
  <c r="C19" i="5"/>
  <c r="E19" i="5" s="1"/>
  <c r="B6" i="4"/>
  <c r="E37" i="21"/>
  <c r="I37" i="21"/>
  <c r="V33" i="34"/>
  <c r="U32" i="18"/>
  <c r="AH32" i="18" s="1"/>
  <c r="V32" i="34"/>
  <c r="U32" i="34"/>
  <c r="W32" i="34" s="1"/>
  <c r="AH31" i="18"/>
  <c r="AE31" i="18"/>
  <c r="C38" i="21"/>
  <c r="F25" i="4"/>
  <c r="C34" i="5"/>
  <c r="B21" i="4"/>
  <c r="C27" i="5"/>
  <c r="I27" i="5" s="1"/>
  <c r="B14" i="4"/>
  <c r="C42" i="5"/>
  <c r="E42" i="5" s="1"/>
  <c r="B29" i="4"/>
  <c r="V31" i="34"/>
  <c r="W31" i="34" s="1"/>
  <c r="AG31" i="34" s="1"/>
  <c r="E12" i="5"/>
  <c r="I12" i="5"/>
  <c r="E34" i="5"/>
  <c r="I34" i="5"/>
  <c r="E9" i="5"/>
  <c r="I9" i="5"/>
  <c r="I19" i="5"/>
  <c r="J10" i="5"/>
  <c r="N10" i="5" s="1"/>
  <c r="E28" i="5"/>
  <c r="I28" i="5"/>
  <c r="E44" i="5"/>
  <c r="I44" i="5"/>
  <c r="E15" i="5"/>
  <c r="I15" i="5"/>
  <c r="E14" i="5"/>
  <c r="I14" i="5"/>
  <c r="E35" i="5"/>
  <c r="I35" i="5"/>
  <c r="J43" i="5"/>
  <c r="N43" i="5" s="1"/>
  <c r="E11" i="5"/>
  <c r="I11" i="5"/>
  <c r="E26" i="5"/>
  <c r="I26" i="5"/>
  <c r="E36" i="5"/>
  <c r="I36" i="5"/>
  <c r="E13" i="5"/>
  <c r="I13" i="5"/>
  <c r="E18" i="5"/>
  <c r="I18" i="5"/>
  <c r="E17" i="5"/>
  <c r="I17" i="5"/>
  <c r="E16" i="5"/>
  <c r="I16" i="5"/>
  <c r="AE26" i="1"/>
  <c r="AE41" i="1"/>
  <c r="AE34" i="1"/>
  <c r="AE44" i="1"/>
  <c r="AE40" i="1"/>
  <c r="AE42" i="1"/>
  <c r="AE27" i="1"/>
  <c r="AE32" i="1"/>
  <c r="AE35" i="1"/>
  <c r="AE36" i="1"/>
  <c r="AE24" i="1"/>
  <c r="AE25" i="1"/>
  <c r="AE43" i="1"/>
  <c r="AE23" i="1"/>
  <c r="AE33" i="1"/>
  <c r="AE28" i="1"/>
  <c r="AI31" i="34" l="1"/>
  <c r="AG32" i="34"/>
  <c r="C25" i="5"/>
  <c r="B12" i="4"/>
  <c r="C29" i="5"/>
  <c r="B16" i="4"/>
  <c r="C23" i="5"/>
  <c r="B10" i="4"/>
  <c r="C24" i="5"/>
  <c r="B11" i="4"/>
  <c r="AG31" i="18"/>
  <c r="AE32" i="18"/>
  <c r="C32" i="5"/>
  <c r="B19" i="4"/>
  <c r="C37" i="5"/>
  <c r="B24" i="4"/>
  <c r="C40" i="5"/>
  <c r="B27" i="4"/>
  <c r="E27" i="5"/>
  <c r="C22" i="5"/>
  <c r="E22" i="5" s="1"/>
  <c r="B9" i="4"/>
  <c r="J37" i="21"/>
  <c r="N37" i="21" s="1"/>
  <c r="Q42" i="20" s="1"/>
  <c r="R42" i="20" s="1"/>
  <c r="T42" i="20" s="1"/>
  <c r="AD42" i="20" s="1"/>
  <c r="AF42" i="20" s="1"/>
  <c r="C20" i="5"/>
  <c r="I20" i="5" s="1"/>
  <c r="B7" i="4"/>
  <c r="C41" i="5"/>
  <c r="B28" i="4"/>
  <c r="C21" i="5"/>
  <c r="E21" i="5" s="1"/>
  <c r="B8" i="4"/>
  <c r="C31" i="5"/>
  <c r="B18" i="4"/>
  <c r="I42" i="5"/>
  <c r="J42" i="5" s="1"/>
  <c r="N42" i="5" s="1"/>
  <c r="C30" i="5"/>
  <c r="E30" i="5" s="1"/>
  <c r="B17" i="4"/>
  <c r="C39" i="5"/>
  <c r="B26" i="4"/>
  <c r="C33" i="5"/>
  <c r="I33" i="5" s="1"/>
  <c r="B20" i="4"/>
  <c r="C38" i="5"/>
  <c r="E38" i="5" s="1"/>
  <c r="B25" i="4"/>
  <c r="J11" i="5"/>
  <c r="N11" i="5" s="1"/>
  <c r="E38" i="21"/>
  <c r="I38" i="21"/>
  <c r="J38" i="21" s="1"/>
  <c r="N38" i="21" s="1"/>
  <c r="Q43" i="20" s="1"/>
  <c r="R43" i="20" s="1"/>
  <c r="T43" i="20" s="1"/>
  <c r="AD43" i="20" s="1"/>
  <c r="AF43" i="20" s="1"/>
  <c r="J17" i="5"/>
  <c r="N17" i="5" s="1"/>
  <c r="J15" i="5"/>
  <c r="N15" i="5" s="1"/>
  <c r="J26" i="5"/>
  <c r="N26" i="5" s="1"/>
  <c r="J19" i="5"/>
  <c r="N19" i="5" s="1"/>
  <c r="J44" i="5"/>
  <c r="N44" i="5" s="1"/>
  <c r="E40" i="5"/>
  <c r="I40" i="5"/>
  <c r="E23" i="5"/>
  <c r="I23" i="5"/>
  <c r="J18" i="5"/>
  <c r="N18" i="5" s="1"/>
  <c r="J9" i="5"/>
  <c r="N9" i="5" s="1"/>
  <c r="E20" i="5"/>
  <c r="E32" i="5"/>
  <c r="I32" i="5"/>
  <c r="J13" i="5"/>
  <c r="N13" i="5" s="1"/>
  <c r="E29" i="5"/>
  <c r="I29" i="5"/>
  <c r="J35" i="5"/>
  <c r="N35" i="5" s="1"/>
  <c r="J28" i="5"/>
  <c r="N28" i="5" s="1"/>
  <c r="J34" i="5"/>
  <c r="N34" i="5" s="1"/>
  <c r="I22" i="5"/>
  <c r="E24" i="5"/>
  <c r="I24" i="5"/>
  <c r="J36" i="5"/>
  <c r="N36" i="5" s="1"/>
  <c r="J14" i="5"/>
  <c r="N14" i="5" s="1"/>
  <c r="J12" i="5"/>
  <c r="N12" i="5" s="1"/>
  <c r="E39" i="5"/>
  <c r="I39" i="5"/>
  <c r="I38" i="5"/>
  <c r="E41" i="5"/>
  <c r="I41" i="5"/>
  <c r="I21" i="5"/>
  <c r="E37" i="5"/>
  <c r="I37" i="5"/>
  <c r="E31" i="5"/>
  <c r="I31" i="5"/>
  <c r="J27" i="5"/>
  <c r="N27" i="5" s="1"/>
  <c r="E25" i="5"/>
  <c r="I25" i="5"/>
  <c r="J16" i="5"/>
  <c r="N16" i="5" s="1"/>
  <c r="E33" i="5" l="1"/>
  <c r="C39" i="21"/>
  <c r="F26" i="4"/>
  <c r="AG32" i="18"/>
  <c r="AE33" i="18"/>
  <c r="AG33" i="18" s="1"/>
  <c r="I30" i="5"/>
  <c r="J30" i="5" s="1"/>
  <c r="N30" i="5" s="1"/>
  <c r="C15" i="4"/>
  <c r="C28" i="19"/>
  <c r="C40" i="21"/>
  <c r="F27" i="4"/>
  <c r="AG33" i="34"/>
  <c r="AI33" i="34" s="1"/>
  <c r="AI32" i="34"/>
  <c r="C28" i="36"/>
  <c r="G15" i="4"/>
  <c r="J41" i="5"/>
  <c r="N41" i="5" s="1"/>
  <c r="J29" i="5"/>
  <c r="N29" i="5" s="1"/>
  <c r="J23" i="5"/>
  <c r="N23" i="5" s="1"/>
  <c r="J24" i="5"/>
  <c r="N24" i="5" s="1"/>
  <c r="J38" i="5"/>
  <c r="N38" i="5" s="1"/>
  <c r="J39" i="5"/>
  <c r="N39" i="5" s="1"/>
  <c r="J32" i="5"/>
  <c r="N32" i="5" s="1"/>
  <c r="J22" i="5"/>
  <c r="N22" i="5" s="1"/>
  <c r="J40" i="5"/>
  <c r="N40" i="5" s="1"/>
  <c r="J21" i="5"/>
  <c r="N21" i="5" s="1"/>
  <c r="J25" i="5"/>
  <c r="N25" i="5" s="1"/>
  <c r="J20" i="5"/>
  <c r="N20" i="5" s="1"/>
  <c r="J33" i="5"/>
  <c r="N33" i="5" s="1"/>
  <c r="J37" i="5"/>
  <c r="N37" i="5" s="1"/>
  <c r="J31" i="5"/>
  <c r="N31" i="5" s="1"/>
  <c r="I28" i="19" l="1"/>
  <c r="E28" i="19"/>
  <c r="C17" i="4"/>
  <c r="C30" i="19"/>
  <c r="E28" i="36"/>
  <c r="I28" i="36"/>
  <c r="C16" i="4"/>
  <c r="C29" i="19"/>
  <c r="C29" i="36"/>
  <c r="G16" i="4"/>
  <c r="E39" i="21"/>
  <c r="I39" i="21"/>
  <c r="G17" i="4"/>
  <c r="C30" i="36"/>
  <c r="E40" i="21"/>
  <c r="I40" i="21"/>
  <c r="E29" i="19" l="1"/>
  <c r="I29" i="19"/>
  <c r="J29" i="19" s="1"/>
  <c r="N29" i="19" s="1"/>
  <c r="J40" i="21"/>
  <c r="N40" i="21" s="1"/>
  <c r="Q45" i="20" s="1"/>
  <c r="R45" i="20" s="1"/>
  <c r="T45" i="20" s="1"/>
  <c r="AD45" i="20" s="1"/>
  <c r="AF45" i="20" s="1"/>
  <c r="I30" i="36"/>
  <c r="E30" i="36"/>
  <c r="J28" i="36"/>
  <c r="N28" i="36" s="1"/>
  <c r="I30" i="19"/>
  <c r="E30" i="19"/>
  <c r="J39" i="21"/>
  <c r="N39" i="21" s="1"/>
  <c r="Q44" i="20" s="1"/>
  <c r="R44" i="20" s="1"/>
  <c r="T44" i="20" s="1"/>
  <c r="AD44" i="20" s="1"/>
  <c r="AF44" i="20" s="1"/>
  <c r="J28" i="19"/>
  <c r="N28" i="19" s="1"/>
  <c r="I29" i="36"/>
  <c r="E29" i="36"/>
  <c r="J29" i="36" s="1"/>
  <c r="N29" i="36" s="1"/>
  <c r="J30" i="36" l="1"/>
  <c r="N30" i="36" s="1"/>
  <c r="J30" i="19"/>
  <c r="N30" i="19" s="1"/>
  <c r="C42" i="21"/>
  <c r="F29" i="4"/>
  <c r="Q33" i="34"/>
  <c r="R33" i="34" s="1"/>
  <c r="T33" i="34" s="1"/>
  <c r="Q33" i="18"/>
  <c r="R33" i="18" s="1"/>
  <c r="T33" i="18" s="1"/>
  <c r="Q34" i="34"/>
  <c r="R34" i="34" s="1"/>
  <c r="T34" i="34" s="1"/>
  <c r="Q34" i="18"/>
  <c r="R34" i="18" s="1"/>
  <c r="T34" i="18" s="1"/>
  <c r="C41" i="21"/>
  <c r="F28" i="4"/>
  <c r="U33" i="18" l="1"/>
  <c r="AH33" i="18" s="1"/>
  <c r="V34" i="34"/>
  <c r="U33" i="34"/>
  <c r="W33" i="34" s="1"/>
  <c r="U34" i="34"/>
  <c r="W34" i="34" s="1"/>
  <c r="AG34" i="34" s="1"/>
  <c r="E42" i="21"/>
  <c r="I42" i="21"/>
  <c r="Q35" i="34"/>
  <c r="R35" i="34" s="1"/>
  <c r="T35" i="34" s="1"/>
  <c r="Q35" i="18"/>
  <c r="R35" i="18" s="1"/>
  <c r="T35" i="18" s="1"/>
  <c r="U35" i="18" s="1"/>
  <c r="U34" i="18"/>
  <c r="E41" i="21"/>
  <c r="I41" i="21"/>
  <c r="J41" i="21" l="1"/>
  <c r="N41" i="21" s="1"/>
  <c r="Q46" i="20" s="1"/>
  <c r="R46" i="20" s="1"/>
  <c r="T46" i="20" s="1"/>
  <c r="AI34" i="34"/>
  <c r="AG35" i="34"/>
  <c r="V35" i="34"/>
  <c r="W35" i="34" s="1"/>
  <c r="AH35" i="18"/>
  <c r="AE34" i="18"/>
  <c r="AH34" i="18"/>
  <c r="U35" i="34"/>
  <c r="V36" i="34" s="1"/>
  <c r="J42" i="21"/>
  <c r="N42" i="21" s="1"/>
  <c r="Q47" i="20" s="1"/>
  <c r="R47" i="20" s="1"/>
  <c r="T47" i="20" s="1"/>
  <c r="AI35" i="34" l="1"/>
  <c r="AG36" i="34"/>
  <c r="AI36" i="34" s="1"/>
  <c r="C31" i="36"/>
  <c r="G18" i="4"/>
  <c r="AG34" i="18"/>
  <c r="AE35" i="18"/>
  <c r="C31" i="19" l="1"/>
  <c r="C18" i="4"/>
  <c r="E31" i="36"/>
  <c r="I31" i="36"/>
  <c r="G20" i="4"/>
  <c r="C33" i="36"/>
  <c r="AG35" i="18"/>
  <c r="AE36" i="18"/>
  <c r="AG36" i="18" s="1"/>
  <c r="C32" i="36"/>
  <c r="G19" i="4"/>
  <c r="C33" i="19" l="1"/>
  <c r="C20" i="4"/>
  <c r="E33" i="36"/>
  <c r="I33" i="36"/>
  <c r="C19" i="4"/>
  <c r="C32" i="19"/>
  <c r="J31" i="36"/>
  <c r="N31" i="36" s="1"/>
  <c r="E32" i="36"/>
  <c r="J32" i="36" s="1"/>
  <c r="N32" i="36" s="1"/>
  <c r="I32" i="36"/>
  <c r="I31" i="19"/>
  <c r="E31" i="19"/>
  <c r="J31" i="19" s="1"/>
  <c r="N31" i="19" s="1"/>
  <c r="E32" i="19" l="1"/>
  <c r="I32" i="19"/>
  <c r="J32" i="19" s="1"/>
  <c r="N32" i="19" s="1"/>
  <c r="J33" i="36"/>
  <c r="N33" i="36" s="1"/>
  <c r="Q36" i="34"/>
  <c r="R36" i="34" s="1"/>
  <c r="T36" i="34" s="1"/>
  <c r="Q36" i="18"/>
  <c r="R36" i="18" s="1"/>
  <c r="T36" i="18" s="1"/>
  <c r="E33" i="19"/>
  <c r="I33" i="19"/>
  <c r="U36" i="18" l="1"/>
  <c r="AH36" i="18" s="1"/>
  <c r="J33" i="19"/>
  <c r="N33" i="19" s="1"/>
  <c r="Q37" i="34"/>
  <c r="R37" i="34" s="1"/>
  <c r="T37" i="34" s="1"/>
  <c r="Q37" i="18"/>
  <c r="R37" i="18" s="1"/>
  <c r="T37" i="18" s="1"/>
  <c r="U37" i="18" s="1"/>
  <c r="U36" i="34"/>
  <c r="W36" i="34" s="1"/>
  <c r="U37" i="34" l="1"/>
  <c r="Q38" i="18"/>
  <c r="R38" i="18" s="1"/>
  <c r="T38" i="18" s="1"/>
  <c r="U38" i="18" s="1"/>
  <c r="Q38" i="34"/>
  <c r="R38" i="34" s="1"/>
  <c r="T38" i="34" s="1"/>
  <c r="AE37" i="18"/>
  <c r="AH37" i="18"/>
  <c r="V37" i="34"/>
  <c r="AH38" i="18" l="1"/>
  <c r="AE38" i="18"/>
  <c r="AG37" i="18"/>
  <c r="W37" i="34"/>
  <c r="AG37" i="34" s="1"/>
  <c r="U38" i="34"/>
  <c r="W38" i="34" s="1"/>
  <c r="V38" i="34"/>
  <c r="V39" i="34" l="1"/>
  <c r="C34" i="19"/>
  <c r="C21" i="4"/>
  <c r="AE39" i="18"/>
  <c r="AG39" i="18" s="1"/>
  <c r="AG38" i="18"/>
  <c r="AI37" i="34"/>
  <c r="AG38" i="34"/>
  <c r="C36" i="19" l="1"/>
  <c r="C23" i="4"/>
  <c r="C34" i="36"/>
  <c r="G21" i="4"/>
  <c r="AI38" i="34"/>
  <c r="AG39" i="34"/>
  <c r="AI39" i="34" s="1"/>
  <c r="C22" i="4"/>
  <c r="C35" i="19"/>
  <c r="I34" i="19"/>
  <c r="E34" i="19"/>
  <c r="J34" i="19" s="1"/>
  <c r="N34" i="19" s="1"/>
  <c r="G22" i="4" l="1"/>
  <c r="C35" i="36"/>
  <c r="I34" i="36"/>
  <c r="E34" i="36"/>
  <c r="J34" i="36" s="1"/>
  <c r="N34" i="36" s="1"/>
  <c r="E35" i="19"/>
  <c r="I35" i="19"/>
  <c r="C36" i="36"/>
  <c r="G23" i="4"/>
  <c r="Q39" i="18"/>
  <c r="R39" i="18" s="1"/>
  <c r="T39" i="18" s="1"/>
  <c r="Q39" i="34"/>
  <c r="R39" i="34" s="1"/>
  <c r="T39" i="34" s="1"/>
  <c r="I36" i="19"/>
  <c r="E36" i="19"/>
  <c r="J36" i="19" s="1"/>
  <c r="N36" i="19" s="1"/>
  <c r="Q41" i="18" l="1"/>
  <c r="R41" i="18" s="1"/>
  <c r="T41" i="18" s="1"/>
  <c r="Q41" i="34"/>
  <c r="R41" i="34" s="1"/>
  <c r="T41" i="34" s="1"/>
  <c r="U39" i="34"/>
  <c r="W39" i="34" s="1"/>
  <c r="I36" i="36"/>
  <c r="E36" i="36"/>
  <c r="J35" i="19"/>
  <c r="N35" i="19" s="1"/>
  <c r="E35" i="36"/>
  <c r="I35" i="36"/>
  <c r="J35" i="36" s="1"/>
  <c r="N35" i="36" s="1"/>
  <c r="U39" i="18"/>
  <c r="AH39" i="18" s="1"/>
  <c r="Q40" i="34" l="1"/>
  <c r="R40" i="34" s="1"/>
  <c r="T40" i="34" s="1"/>
  <c r="Q40" i="18"/>
  <c r="R40" i="18" s="1"/>
  <c r="T40" i="18" s="1"/>
  <c r="U40" i="18" s="1"/>
  <c r="V42" i="34"/>
  <c r="U41" i="34"/>
  <c r="J36" i="36"/>
  <c r="N36" i="36" s="1"/>
  <c r="V40" i="34"/>
  <c r="U41" i="18"/>
  <c r="AH40" i="18" l="1"/>
  <c r="AE40" i="18"/>
  <c r="AH41" i="18"/>
  <c r="U40" i="34"/>
  <c r="V41" i="34" l="1"/>
  <c r="W41" i="34" s="1"/>
  <c r="W40" i="34"/>
  <c r="AG40" i="34" s="1"/>
  <c r="AE41" i="18"/>
  <c r="AG40" i="18"/>
  <c r="C37" i="19" l="1"/>
  <c r="C24" i="4"/>
  <c r="AG41" i="18"/>
  <c r="AE42" i="18"/>
  <c r="AG42" i="18" s="1"/>
  <c r="AI40" i="34"/>
  <c r="AG41" i="34"/>
  <c r="AI41" i="34" l="1"/>
  <c r="AG42" i="34"/>
  <c r="AI42" i="34" s="1"/>
  <c r="G24" i="4"/>
  <c r="C37" i="36"/>
  <c r="C39" i="19"/>
  <c r="C26" i="4"/>
  <c r="C25" i="4"/>
  <c r="C38" i="19"/>
  <c r="E37" i="19"/>
  <c r="I37" i="19"/>
  <c r="J37" i="19" s="1"/>
  <c r="N37" i="19" s="1"/>
  <c r="E39" i="19" l="1"/>
  <c r="I39" i="19"/>
  <c r="J39" i="19" s="1"/>
  <c r="N39" i="19" s="1"/>
  <c r="Q42" i="34"/>
  <c r="R42" i="34" s="1"/>
  <c r="T42" i="34" s="1"/>
  <c r="Q42" i="18"/>
  <c r="R42" i="18" s="1"/>
  <c r="T42" i="18" s="1"/>
  <c r="U42" i="18" s="1"/>
  <c r="AH42" i="18" s="1"/>
  <c r="C39" i="36"/>
  <c r="G26" i="4"/>
  <c r="I38" i="19"/>
  <c r="E38" i="19"/>
  <c r="J38" i="19" s="1"/>
  <c r="N38" i="19" s="1"/>
  <c r="I37" i="36"/>
  <c r="E37" i="36"/>
  <c r="J37" i="36" s="1"/>
  <c r="N37" i="36" s="1"/>
  <c r="C38" i="36"/>
  <c r="G25" i="4"/>
  <c r="I39" i="36" l="1"/>
  <c r="E39" i="36"/>
  <c r="J39" i="36" s="1"/>
  <c r="N39" i="36" s="1"/>
  <c r="U42" i="34"/>
  <c r="W42" i="34" s="1"/>
  <c r="V43" i="34"/>
  <c r="Q43" i="34"/>
  <c r="R43" i="34" s="1"/>
  <c r="T43" i="34" s="1"/>
  <c r="Q43" i="18"/>
  <c r="R43" i="18" s="1"/>
  <c r="T43" i="18" s="1"/>
  <c r="U43" i="18" s="1"/>
  <c r="I38" i="36"/>
  <c r="E38" i="36"/>
  <c r="J38" i="36" s="1"/>
  <c r="N38" i="36" s="1"/>
  <c r="Q44" i="18"/>
  <c r="R44" i="18" s="1"/>
  <c r="T44" i="18" s="1"/>
  <c r="Q44" i="34"/>
  <c r="R44" i="34" s="1"/>
  <c r="T44" i="34" s="1"/>
  <c r="AH43" i="18" l="1"/>
  <c r="AE43" i="18"/>
  <c r="U43" i="34"/>
  <c r="W43" i="34" s="1"/>
  <c r="AG43" i="34" s="1"/>
  <c r="U44" i="34"/>
  <c r="V45" i="34" s="1"/>
  <c r="U44" i="18"/>
  <c r="AH44" i="18" s="1"/>
  <c r="AG43" i="18" l="1"/>
  <c r="AE44" i="18"/>
  <c r="AG44" i="34"/>
  <c r="AI43" i="34"/>
  <c r="V44" i="34"/>
  <c r="W44" i="34" s="1"/>
  <c r="C40" i="36" l="1"/>
  <c r="G27" i="4"/>
  <c r="AG44" i="18"/>
  <c r="AE45" i="18"/>
  <c r="AG45" i="18" s="1"/>
  <c r="AI44" i="34"/>
  <c r="AG45" i="34"/>
  <c r="AI45" i="34" s="1"/>
  <c r="C27" i="4"/>
  <c r="C40" i="19"/>
  <c r="G28" i="4" l="1"/>
  <c r="C41" i="36"/>
  <c r="E40" i="19"/>
  <c r="I40" i="19"/>
  <c r="G29" i="4"/>
  <c r="C42" i="36"/>
  <c r="C42" i="19"/>
  <c r="C29" i="4"/>
  <c r="C28" i="4"/>
  <c r="C41" i="19"/>
  <c r="E40" i="36"/>
  <c r="I40" i="36"/>
  <c r="J40" i="36" s="1"/>
  <c r="N40" i="36" s="1"/>
  <c r="I42" i="19" l="1"/>
  <c r="E42" i="19"/>
  <c r="J42" i="19" s="1"/>
  <c r="N42" i="19" s="1"/>
  <c r="I42" i="36"/>
  <c r="E42" i="36"/>
  <c r="J42" i="36" s="1"/>
  <c r="N42" i="36" s="1"/>
  <c r="J40" i="19"/>
  <c r="N40" i="19" s="1"/>
  <c r="I41" i="19"/>
  <c r="E41" i="19"/>
  <c r="J41" i="19" s="1"/>
  <c r="N41" i="19" s="1"/>
  <c r="I41" i="36"/>
  <c r="E41" i="36"/>
  <c r="Q46" i="34" l="1"/>
  <c r="R46" i="34" s="1"/>
  <c r="T46" i="34" s="1"/>
  <c r="Q46" i="18"/>
  <c r="R46" i="18" s="1"/>
  <c r="T46" i="18" s="1"/>
  <c r="Q47" i="34"/>
  <c r="R47" i="34" s="1"/>
  <c r="T47" i="34" s="1"/>
  <c r="Q47" i="18"/>
  <c r="R47" i="18" s="1"/>
  <c r="T47" i="18" s="1"/>
  <c r="U47" i="18" s="1"/>
  <c r="Q45" i="18"/>
  <c r="R45" i="18" s="1"/>
  <c r="T45" i="18" s="1"/>
  <c r="U45" i="18" s="1"/>
  <c r="AH45" i="18" s="1"/>
  <c r="Q45" i="34"/>
  <c r="R45" i="34" s="1"/>
  <c r="T45" i="34" s="1"/>
  <c r="J41" i="36"/>
  <c r="N41" i="36" s="1"/>
  <c r="U45" i="34" l="1"/>
  <c r="W45" i="34" s="1"/>
  <c r="U46" i="18"/>
  <c r="U47" i="34"/>
  <c r="V47" i="34"/>
  <c r="W47" i="34" s="1"/>
  <c r="U46" i="34"/>
  <c r="V46" i="34" l="1"/>
  <c r="W46" i="34"/>
</calcChain>
</file>

<file path=xl/sharedStrings.xml><?xml version="1.0" encoding="utf-8"?>
<sst xmlns="http://schemas.openxmlformats.org/spreadsheetml/2006/main" count="575" uniqueCount="116">
  <si>
    <t>Expense Month</t>
  </si>
  <si>
    <t>Coal Burned</t>
  </si>
  <si>
    <t>Oil Burned</t>
  </si>
  <si>
    <t>Gas Burned</t>
  </si>
  <si>
    <t>Fuel (Joint Plant)</t>
  </si>
  <si>
    <t>Fuel (Assigned During FO)</t>
  </si>
  <si>
    <t>Fuel (Substitute for FO)</t>
  </si>
  <si>
    <t>A. Company Generation</t>
  </si>
  <si>
    <t>Net Energy Cost - Economy Purchases</t>
  </si>
  <si>
    <t>Identifiable Fuel Cost - Other</t>
  </si>
  <si>
    <t>Identifiable Fuel Cost (Substitute for FO)</t>
  </si>
  <si>
    <t>Subtotal</t>
  </si>
  <si>
    <t>(+)</t>
  </si>
  <si>
    <t>(-)</t>
  </si>
  <si>
    <t>B. Purchases</t>
  </si>
  <si>
    <t>C. Inter-System Fuel Costs</t>
  </si>
  <si>
    <t>Total</t>
  </si>
  <si>
    <t>A + B - C</t>
  </si>
  <si>
    <t>D. Total Fuel Costs</t>
  </si>
  <si>
    <t>E. Adjustment</t>
  </si>
  <si>
    <t>Actual vs. Estimated Fuel costs</t>
  </si>
  <si>
    <t>F. Over or (Under)</t>
  </si>
  <si>
    <t>Over / (Under) for Billing Period</t>
  </si>
  <si>
    <t>G. Total Fuel Costs</t>
  </si>
  <si>
    <t>D + E - F</t>
  </si>
  <si>
    <t>H. Fuel Related PJM BLIs</t>
  </si>
  <si>
    <t>I. Grand Total Fuel Costs</t>
  </si>
  <si>
    <t>G + H</t>
  </si>
  <si>
    <t>Page 2 of 5 (Numerator)</t>
  </si>
  <si>
    <t>Generation (Net)</t>
  </si>
  <si>
    <t>Purchases In</t>
  </si>
  <si>
    <t>A. Sales In</t>
  </si>
  <si>
    <t>B. Sales Out</t>
  </si>
  <si>
    <t>Pumped Storage</t>
  </si>
  <si>
    <t>Inter-System</t>
  </si>
  <si>
    <t>System Losses</t>
  </si>
  <si>
    <t>Total Sales</t>
  </si>
  <si>
    <t>A - B</t>
  </si>
  <si>
    <t>Page 3 of 5 (Denominator)</t>
  </si>
  <si>
    <t>Rate Calculation</t>
  </si>
  <si>
    <t>Page 1 of 5
(Rate Calculation)</t>
  </si>
  <si>
    <t>Base</t>
  </si>
  <si>
    <t>FAC</t>
  </si>
  <si>
    <t>Revenue / 
Billing Month</t>
  </si>
  <si>
    <t>Revenue /
Billing Month</t>
  </si>
  <si>
    <t>FAC Rate Billed</t>
  </si>
  <si>
    <t>Retail kWh Billed at Above Rate</t>
  </si>
  <si>
    <t>FAC Revenue / (Refund)</t>
  </si>
  <si>
    <t>KWH Used to Set Rate</t>
  </si>
  <si>
    <t>Recoverable FAC Revenue / (Refund)</t>
  </si>
  <si>
    <t>Over or (Under)</t>
  </si>
  <si>
    <t>Total Over or (Under)</t>
  </si>
  <si>
    <t>Billing Month</t>
  </si>
  <si>
    <t>KY Juris. Sales</t>
  </si>
  <si>
    <t>Non-Juris. kWh in (4)</t>
  </si>
  <si>
    <t>KY Juris. kWh</t>
  </si>
  <si>
    <t>Ratio of Total to KY Juris.</t>
  </si>
  <si>
    <t>Total Sales
(Pg 3)</t>
  </si>
  <si>
    <t>OH and VB</t>
  </si>
  <si>
    <t>J. 12 Mos Average</t>
  </si>
  <si>
    <t>Customer or (Company) Carried Amount</t>
  </si>
  <si>
    <t>X = As Filed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</si>
  <si>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</si>
  <si>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</si>
  <si>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</si>
  <si>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</si>
  <si>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</si>
  <si>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</si>
  <si>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</si>
  <si>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</si>
  <si>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</si>
  <si>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</si>
  <si>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</si>
  <si>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</si>
  <si>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2024-Avg</t>
  </si>
  <si>
    <t>2025-Avg</t>
  </si>
  <si>
    <t>Variance</t>
  </si>
  <si>
    <t>Variance %</t>
  </si>
  <si>
    <t>Variance to Actual</t>
  </si>
  <si>
    <t>Variance to Actual %</t>
  </si>
  <si>
    <t>Scenario (A): 2-Year Average</t>
  </si>
  <si>
    <t>Scenario Y: 3-Year Average</t>
  </si>
  <si>
    <t>2-Year Avg Sales</t>
  </si>
  <si>
    <t>For Billing Period</t>
  </si>
  <si>
    <t>3-Year Avg Sales</t>
  </si>
  <si>
    <t>Case No. 2022-00190</t>
  </si>
  <si>
    <t>Actuals</t>
  </si>
  <si>
    <t>12-Mos Average</t>
  </si>
  <si>
    <t>Comparative Analysis</t>
  </si>
  <si>
    <t>(B) = Rolling 12-Mos Numerator and Denominator</t>
  </si>
  <si>
    <t>(D) = 3-Year Average for Denominator</t>
  </si>
  <si>
    <t>Rate</t>
  </si>
  <si>
    <t>Charge</t>
  </si>
  <si>
    <t>Usage</t>
  </si>
  <si>
    <t>2023 Forecast for 2024 and 2025</t>
  </si>
  <si>
    <t>Variance to Actuals</t>
  </si>
  <si>
    <t>2024 Actuals</t>
  </si>
  <si>
    <t>2025 Actuals</t>
  </si>
  <si>
    <t>Projected Sales</t>
  </si>
  <si>
    <t>(A) = 12-Mos Average for Numerator, 2-Yr Avg Denominator, Quarterly Update</t>
  </si>
  <si>
    <t>(A) = 12-Mos Average for Numerator, Projected Denominator, Quarterly Update</t>
  </si>
  <si>
    <t>Revenue Month</t>
  </si>
  <si>
    <t>Billed Usage</t>
  </si>
  <si>
    <t>Bill Amount</t>
  </si>
  <si>
    <t>Actual AMP Customer - Bill Experience</t>
  </si>
  <si>
    <t>AMP (Total Due)</t>
  </si>
  <si>
    <t>Option:</t>
  </si>
  <si>
    <t>(1)</t>
  </si>
  <si>
    <t>(2)</t>
  </si>
  <si>
    <t>(3)</t>
  </si>
  <si>
    <t>(4)</t>
  </si>
  <si>
    <t>(A) = 12-Mos Average for Numerator, 2-Yr Avg Denominator, Quarterly Update with O/U after rolling average</t>
  </si>
  <si>
    <t>K. Avg to Actual O/U</t>
  </si>
  <si>
    <t>L. Numerator</t>
  </si>
  <si>
    <t>1a.</t>
  </si>
  <si>
    <t>Current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</si>
</sst>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* #,##0.00000_);_(* \(#,##0.00000\);_(* &quot;-&quot;??_);_(@_)"/>
    <numFmt numFmtId="167" formatCode="0.00000"/>
    <numFmt numFmtId="168" formatCode="_(* #,##0.0000_);_(* \(#,##0.0000\);_(* &quot;-&quot;??_);_(@_)"/>
    <numFmt numFmtId="169" formatCode="[$-409]mmm\-yy;@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sz val="12"/>
      <color theme="0"/>
      <name val="Times New Roman"/>
      <family val="1"/>
    </font>
    <font>
      <sz val="8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CC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4" xfId="0" quotePrefix="1" applyFont="1" applyBorder="1" applyAlignment="1">
      <alignment horizontal="center" vertical="center" wrapText="1"/>
    </xf>
    <xf numFmtId="0" fontId="3" fillId="0" borderId="0" xfId="0" quotePrefix="1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64" fontId="2" fillId="0" borderId="4" xfId="2" applyNumberFormat="1" applyFont="1" applyBorder="1"/>
    <xf numFmtId="164" fontId="2" fillId="0" borderId="0" xfId="2" applyNumberFormat="1" applyFont="1" applyBorder="1"/>
    <xf numFmtId="164" fontId="2" fillId="0" borderId="10" xfId="2" applyNumberFormat="1" applyFont="1" applyBorder="1"/>
    <xf numFmtId="164" fontId="2" fillId="0" borderId="6" xfId="2" applyNumberFormat="1" applyFont="1" applyBorder="1"/>
    <xf numFmtId="164" fontId="2" fillId="0" borderId="7" xfId="2" applyNumberFormat="1" applyFont="1" applyBorder="1"/>
    <xf numFmtId="164" fontId="2" fillId="0" borderId="11" xfId="2" applyNumberFormat="1" applyFont="1" applyBorder="1"/>
    <xf numFmtId="0" fontId="3" fillId="0" borderId="10" xfId="0" quotePrefix="1" applyFont="1" applyBorder="1" applyAlignment="1">
      <alignment horizontal="center" vertical="center" wrapText="1"/>
    </xf>
    <xf numFmtId="164" fontId="2" fillId="2" borderId="5" xfId="2" applyNumberFormat="1" applyFont="1" applyFill="1" applyBorder="1"/>
    <xf numFmtId="164" fontId="2" fillId="2" borderId="8" xfId="2" applyNumberFormat="1" applyFont="1" applyFill="1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7" fontId="2" fillId="0" borderId="0" xfId="0" applyNumberFormat="1" applyFont="1" applyAlignment="1">
      <alignment horizontal="center"/>
    </xf>
    <xf numFmtId="165" fontId="2" fillId="0" borderId="0" xfId="1" applyNumberFormat="1" applyFont="1"/>
    <xf numFmtId="165" fontId="2" fillId="0" borderId="4" xfId="1" applyNumberFormat="1" applyFont="1" applyBorder="1"/>
    <xf numFmtId="165" fontId="2" fillId="0" borderId="0" xfId="1" applyNumberFormat="1" applyFont="1" applyBorder="1"/>
    <xf numFmtId="165" fontId="2" fillId="0" borderId="6" xfId="1" applyNumberFormat="1" applyFont="1" applyBorder="1"/>
    <xf numFmtId="165" fontId="2" fillId="0" borderId="7" xfId="1" applyNumberFormat="1" applyFont="1" applyBorder="1"/>
    <xf numFmtId="165" fontId="2" fillId="2" borderId="5" xfId="1" applyNumberFormat="1" applyFont="1" applyFill="1" applyBorder="1"/>
    <xf numFmtId="165" fontId="2" fillId="2" borderId="8" xfId="1" applyNumberFormat="1" applyFont="1" applyFill="1" applyBorder="1"/>
    <xf numFmtId="0" fontId="3" fillId="0" borderId="9" xfId="0" applyFont="1" applyBorder="1" applyAlignment="1">
      <alignment horizontal="center" vertical="center" wrapText="1"/>
    </xf>
    <xf numFmtId="165" fontId="2" fillId="2" borderId="10" xfId="1" applyNumberFormat="1" applyFont="1" applyFill="1" applyBorder="1"/>
    <xf numFmtId="165" fontId="2" fillId="2" borderId="11" xfId="1" applyNumberFormat="1" applyFont="1" applyFill="1" applyBorder="1"/>
    <xf numFmtId="166" fontId="2" fillId="0" borderId="0" xfId="1" applyNumberFormat="1" applyFont="1" applyBorder="1"/>
    <xf numFmtId="166" fontId="2" fillId="2" borderId="5" xfId="1" applyNumberFormat="1" applyFont="1" applyFill="1" applyBorder="1"/>
    <xf numFmtId="166" fontId="2" fillId="2" borderId="8" xfId="1" applyNumberFormat="1" applyFont="1" applyFill="1" applyBorder="1"/>
    <xf numFmtId="166" fontId="2" fillId="2" borderId="4" xfId="1" applyNumberFormat="1" applyFont="1" applyFill="1" applyBorder="1"/>
    <xf numFmtId="164" fontId="2" fillId="2" borderId="10" xfId="2" applyNumberFormat="1" applyFont="1" applyFill="1" applyBorder="1"/>
    <xf numFmtId="164" fontId="2" fillId="2" borderId="11" xfId="2" applyNumberFormat="1" applyFont="1" applyFill="1" applyBorder="1"/>
    <xf numFmtId="166" fontId="2" fillId="2" borderId="6" xfId="1" applyNumberFormat="1" applyFont="1" applyFill="1" applyBorder="1"/>
    <xf numFmtId="166" fontId="2" fillId="0" borderId="7" xfId="1" applyNumberFormat="1" applyFont="1" applyBorder="1"/>
    <xf numFmtId="164" fontId="2" fillId="0" borderId="5" xfId="2" applyNumberFormat="1" applyFont="1" applyBorder="1"/>
    <xf numFmtId="164" fontId="2" fillId="0" borderId="8" xfId="2" applyNumberFormat="1" applyFont="1" applyBorder="1"/>
    <xf numFmtId="37" fontId="4" fillId="0" borderId="0" xfId="0" applyNumberFormat="1" applyFont="1"/>
    <xf numFmtId="37" fontId="2" fillId="0" borderId="0" xfId="1" applyNumberFormat="1" applyFont="1" applyBorder="1"/>
    <xf numFmtId="0" fontId="3" fillId="0" borderId="0" xfId="0" applyFont="1"/>
    <xf numFmtId="0" fontId="6" fillId="0" borderId="0" xfId="0" applyFont="1"/>
    <xf numFmtId="164" fontId="2" fillId="0" borderId="10" xfId="2" applyNumberFormat="1" applyFont="1" applyFill="1" applyBorder="1"/>
    <xf numFmtId="164" fontId="2" fillId="2" borderId="4" xfId="2" applyNumberFormat="1" applyFont="1" applyFill="1" applyBorder="1"/>
    <xf numFmtId="164" fontId="2" fillId="2" borderId="6" xfId="2" applyNumberFormat="1" applyFont="1" applyFill="1" applyBorder="1"/>
    <xf numFmtId="167" fontId="2" fillId="0" borderId="0" xfId="0" applyNumberFormat="1" applyFont="1"/>
    <xf numFmtId="17" fontId="3" fillId="0" borderId="0" xfId="0" applyNumberFormat="1" applyFont="1" applyAlignment="1">
      <alignment horizontal="center"/>
    </xf>
    <xf numFmtId="0" fontId="3" fillId="5" borderId="13" xfId="0" applyFont="1" applyFill="1" applyBorder="1" applyAlignment="1">
      <alignment horizontal="center" vertical="center" wrapText="1"/>
    </xf>
    <xf numFmtId="0" fontId="3" fillId="0" borderId="0" xfId="0" quotePrefix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2" fillId="2" borderId="0" xfId="2" applyNumberFormat="1" applyFont="1" applyFill="1"/>
    <xf numFmtId="165" fontId="2" fillId="0" borderId="0" xfId="1" applyNumberFormat="1" applyFont="1" applyFill="1"/>
    <xf numFmtId="165" fontId="2" fillId="0" borderId="0" xfId="0" applyNumberFormat="1" applyFont="1"/>
    <xf numFmtId="165" fontId="2" fillId="2" borderId="0" xfId="0" applyNumberFormat="1" applyFont="1" applyFill="1"/>
    <xf numFmtId="164" fontId="2" fillId="2" borderId="0" xfId="0" applyNumberFormat="1" applyFont="1" applyFill="1"/>
    <xf numFmtId="164" fontId="2" fillId="0" borderId="5" xfId="2" applyNumberFormat="1" applyFont="1" applyFill="1" applyBorder="1"/>
    <xf numFmtId="165" fontId="2" fillId="2" borderId="0" xfId="1" applyNumberFormat="1" applyFont="1" applyFill="1"/>
    <xf numFmtId="0" fontId="2" fillId="2" borderId="0" xfId="0" applyFont="1" applyFill="1" applyAlignment="1">
      <alignment horizontal="center"/>
    </xf>
    <xf numFmtId="167" fontId="2" fillId="2" borderId="0" xfId="0" applyNumberFormat="1" applyFont="1" applyFill="1" applyAlignment="1">
      <alignment horizontal="center"/>
    </xf>
    <xf numFmtId="0" fontId="7" fillId="6" borderId="0" xfId="0" applyFont="1" applyFill="1"/>
    <xf numFmtId="0" fontId="8" fillId="6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2" fillId="3" borderId="10" xfId="2" applyNumberFormat="1" applyFont="1" applyFill="1" applyBorder="1"/>
    <xf numFmtId="164" fontId="2" fillId="3" borderId="11" xfId="2" applyNumberFormat="1" applyFont="1" applyFill="1" applyBorder="1"/>
    <xf numFmtId="166" fontId="2" fillId="3" borderId="4" xfId="1" applyNumberFormat="1" applyFont="1" applyFill="1" applyBorder="1"/>
    <xf numFmtId="166" fontId="2" fillId="3" borderId="6" xfId="1" applyNumberFormat="1" applyFont="1" applyFill="1" applyBorder="1"/>
    <xf numFmtId="166" fontId="2" fillId="3" borderId="5" xfId="1" applyNumberFormat="1" applyFont="1" applyFill="1" applyBorder="1"/>
    <xf numFmtId="166" fontId="2" fillId="3" borderId="8" xfId="1" applyNumberFormat="1" applyFont="1" applyFill="1" applyBorder="1"/>
    <xf numFmtId="164" fontId="2" fillId="2" borderId="10" xfId="0" applyNumberFormat="1" applyFont="1" applyFill="1" applyBorder="1"/>
    <xf numFmtId="0" fontId="2" fillId="2" borderId="10" xfId="0" applyFont="1" applyFill="1" applyBorder="1"/>
    <xf numFmtId="0" fontId="2" fillId="3" borderId="9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167" fontId="2" fillId="3" borderId="0" xfId="0" applyNumberFormat="1" applyFont="1" applyFill="1"/>
    <xf numFmtId="9" fontId="2" fillId="0" borderId="0" xfId="0" applyNumberFormat="1" applyFont="1"/>
    <xf numFmtId="165" fontId="2" fillId="0" borderId="4" xfId="0" applyNumberFormat="1" applyFont="1" applyBorder="1"/>
    <xf numFmtId="9" fontId="2" fillId="2" borderId="5" xfId="7" applyFont="1" applyFill="1" applyBorder="1"/>
    <xf numFmtId="9" fontId="2" fillId="8" borderId="5" xfId="7" applyFont="1" applyFill="1" applyBorder="1"/>
    <xf numFmtId="9" fontId="2" fillId="5" borderId="5" xfId="7" applyFont="1" applyFill="1" applyBorder="1"/>
    <xf numFmtId="165" fontId="2" fillId="0" borderId="6" xfId="0" applyNumberFormat="1" applyFont="1" applyBorder="1"/>
    <xf numFmtId="165" fontId="2" fillId="0" borderId="7" xfId="0" applyNumberFormat="1" applyFont="1" applyBorder="1"/>
    <xf numFmtId="9" fontId="2" fillId="8" borderId="8" xfId="7" applyFont="1" applyFill="1" applyBorder="1"/>
    <xf numFmtId="9" fontId="2" fillId="5" borderId="8" xfId="7" applyFont="1" applyFill="1" applyBorder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/>
    <xf numFmtId="165" fontId="2" fillId="0" borderId="5" xfId="1" applyNumberFormat="1" applyFont="1" applyBorder="1"/>
    <xf numFmtId="0" fontId="3" fillId="0" borderId="6" xfId="0" applyFont="1" applyBorder="1"/>
    <xf numFmtId="165" fontId="2" fillId="0" borderId="8" xfId="1" applyNumberFormat="1" applyFont="1" applyBorder="1"/>
    <xf numFmtId="164" fontId="2" fillId="0" borderId="0" xfId="0" applyNumberFormat="1" applyFont="1"/>
    <xf numFmtId="0" fontId="3" fillId="0" borderId="4" xfId="0" applyFont="1" applyBorder="1" applyAlignment="1">
      <alignment horizontal="center" vertical="center" wrapText="1"/>
    </xf>
    <xf numFmtId="165" fontId="2" fillId="2" borderId="4" xfId="1" applyNumberFormat="1" applyFont="1" applyFill="1" applyBorder="1"/>
    <xf numFmtId="165" fontId="2" fillId="2" borderId="6" xfId="1" applyNumberFormat="1" applyFont="1" applyFill="1" applyBorder="1"/>
    <xf numFmtId="164" fontId="2" fillId="3" borderId="5" xfId="2" applyNumberFormat="1" applyFont="1" applyFill="1" applyBorder="1"/>
    <xf numFmtId="164" fontId="2" fillId="3" borderId="8" xfId="2" applyNumberFormat="1" applyFont="1" applyFill="1" applyBorder="1"/>
    <xf numFmtId="165" fontId="2" fillId="3" borderId="0" xfId="1" applyNumberFormat="1" applyFont="1" applyFill="1"/>
    <xf numFmtId="165" fontId="2" fillId="0" borderId="4" xfId="1" applyNumberFormat="1" applyFont="1" applyFill="1" applyBorder="1"/>
    <xf numFmtId="37" fontId="2" fillId="0" borderId="4" xfId="1" applyNumberFormat="1" applyFont="1" applyFill="1" applyBorder="1"/>
    <xf numFmtId="165" fontId="2" fillId="0" borderId="6" xfId="1" applyNumberFormat="1" applyFont="1" applyFill="1" applyBorder="1"/>
    <xf numFmtId="168" fontId="2" fillId="0" borderId="0" xfId="0" applyNumberFormat="1" applyFont="1"/>
    <xf numFmtId="165" fontId="2" fillId="0" borderId="0" xfId="1" applyNumberFormat="1" applyFont="1" applyAlignment="1">
      <alignment horizontal="center"/>
    </xf>
    <xf numFmtId="0" fontId="3" fillId="0" borderId="5" xfId="0" quotePrefix="1" applyFont="1" applyBorder="1" applyAlignment="1">
      <alignment horizontal="center" vertical="center" wrapText="1"/>
    </xf>
    <xf numFmtId="167" fontId="2" fillId="0" borderId="4" xfId="0" applyNumberFormat="1" applyFont="1" applyBorder="1"/>
    <xf numFmtId="167" fontId="2" fillId="0" borderId="5" xfId="0" applyNumberFormat="1" applyFont="1" applyBorder="1"/>
    <xf numFmtId="167" fontId="2" fillId="0" borderId="6" xfId="0" applyNumberFormat="1" applyFont="1" applyBorder="1"/>
    <xf numFmtId="167" fontId="2" fillId="0" borderId="7" xfId="0" applyNumberFormat="1" applyFont="1" applyBorder="1"/>
    <xf numFmtId="167" fontId="2" fillId="0" borderId="8" xfId="0" applyNumberFormat="1" applyFont="1" applyBorder="1"/>
    <xf numFmtId="44" fontId="2" fillId="0" borderId="4" xfId="2" applyFont="1" applyBorder="1"/>
    <xf numFmtId="44" fontId="2" fillId="0" borderId="0" xfId="2" applyFont="1" applyBorder="1"/>
    <xf numFmtId="44" fontId="2" fillId="0" borderId="5" xfId="2" applyFont="1" applyBorder="1"/>
    <xf numFmtId="44" fontId="2" fillId="0" borderId="6" xfId="2" applyFont="1" applyBorder="1"/>
    <xf numFmtId="44" fontId="2" fillId="0" borderId="7" xfId="2" applyFont="1" applyBorder="1"/>
    <xf numFmtId="44" fontId="2" fillId="0" borderId="8" xfId="2" applyFont="1" applyBorder="1"/>
    <xf numFmtId="44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5" fontId="2" fillId="0" borderId="5" xfId="0" applyNumberFormat="1" applyFont="1" applyBorder="1"/>
    <xf numFmtId="165" fontId="2" fillId="0" borderId="8" xfId="0" applyNumberFormat="1" applyFont="1" applyBorder="1"/>
    <xf numFmtId="0" fontId="2" fillId="0" borderId="4" xfId="0" applyFont="1" applyBorder="1"/>
    <xf numFmtId="165" fontId="2" fillId="0" borderId="0" xfId="1" applyNumberFormat="1" applyFont="1" applyBorder="1" applyAlignment="1">
      <alignment horizontal="center"/>
    </xf>
    <xf numFmtId="165" fontId="2" fillId="0" borderId="5" xfId="1" applyNumberFormat="1" applyFont="1" applyBorder="1" applyAlignment="1">
      <alignment horizontal="center"/>
    </xf>
    <xf numFmtId="0" fontId="2" fillId="0" borderId="6" xfId="0" applyFont="1" applyBorder="1"/>
    <xf numFmtId="165" fontId="2" fillId="0" borderId="7" xfId="1" applyNumberFormat="1" applyFont="1" applyBorder="1" applyAlignment="1">
      <alignment horizontal="center"/>
    </xf>
    <xf numFmtId="165" fontId="2" fillId="0" borderId="8" xfId="1" applyNumberFormat="1" applyFont="1" applyBorder="1" applyAlignment="1">
      <alignment horizontal="center"/>
    </xf>
    <xf numFmtId="169" fontId="2" fillId="0" borderId="0" xfId="0" applyNumberFormat="1" applyFont="1"/>
    <xf numFmtId="0" fontId="3" fillId="4" borderId="13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7" fontId="2" fillId="0" borderId="15" xfId="0" applyNumberFormat="1" applyFont="1" applyBorder="1" applyAlignment="1">
      <alignment horizontal="center"/>
    </xf>
    <xf numFmtId="167" fontId="2" fillId="0" borderId="15" xfId="0" applyNumberFormat="1" applyFont="1" applyBorder="1"/>
    <xf numFmtId="0" fontId="3" fillId="0" borderId="16" xfId="0" applyFont="1" applyBorder="1" applyAlignment="1">
      <alignment horizontal="center" vertical="center" wrapText="1"/>
    </xf>
    <xf numFmtId="167" fontId="2" fillId="0" borderId="16" xfId="0" applyNumberFormat="1" applyFont="1" applyBorder="1"/>
    <xf numFmtId="0" fontId="3" fillId="0" borderId="17" xfId="0" applyFont="1" applyBorder="1" applyAlignment="1">
      <alignment horizontal="center" vertical="center" wrapText="1"/>
    </xf>
    <xf numFmtId="0" fontId="3" fillId="0" borderId="18" xfId="0" quotePrefix="1" applyFont="1" applyBorder="1" applyAlignment="1">
      <alignment horizontal="center" vertical="center" wrapText="1"/>
    </xf>
    <xf numFmtId="167" fontId="2" fillId="0" borderId="17" xfId="0" applyNumberFormat="1" applyFont="1" applyBorder="1"/>
    <xf numFmtId="167" fontId="2" fillId="0" borderId="18" xfId="0" applyNumberFormat="1" applyFont="1" applyBorder="1"/>
    <xf numFmtId="167" fontId="2" fillId="0" borderId="19" xfId="0" applyNumberFormat="1" applyFont="1" applyBorder="1"/>
    <xf numFmtId="167" fontId="2" fillId="0" borderId="20" xfId="0" applyNumberFormat="1" applyFont="1" applyBorder="1"/>
    <xf numFmtId="167" fontId="2" fillId="0" borderId="21" xfId="0" applyNumberFormat="1" applyFont="1" applyBorder="1"/>
    <xf numFmtId="0" fontId="3" fillId="0" borderId="22" xfId="0" applyFont="1" applyBorder="1" applyAlignment="1">
      <alignment horizontal="center" vertical="center" wrapText="1"/>
    </xf>
    <xf numFmtId="167" fontId="2" fillId="0" borderId="22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5" fontId="3" fillId="0" borderId="12" xfId="1" applyNumberFormat="1" applyFont="1" applyFill="1" applyBorder="1" applyAlignment="1">
      <alignment horizontal="center"/>
    </xf>
    <xf numFmtId="165" fontId="3" fillId="0" borderId="13" xfId="1" applyNumberFormat="1" applyFont="1" applyFill="1" applyBorder="1" applyAlignment="1">
      <alignment horizontal="center"/>
    </xf>
    <xf numFmtId="165" fontId="3" fillId="0" borderId="14" xfId="1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8">
    <cellStyle name="Comma" xfId="1" builtinId="3"/>
    <cellStyle name="Comma 2" xfId="4" xr:uid="{C73236D0-63D1-4998-9EA2-1403B8294E72}"/>
    <cellStyle name="Comma 5" xfId="6" xr:uid="{CF87E628-E2E2-420E-AD2B-169666A6585D}"/>
    <cellStyle name="Currency" xfId="2" builtinId="4"/>
    <cellStyle name="Normal" xfId="0" builtinId="0"/>
    <cellStyle name="Normal 2" xfId="3" xr:uid="{59FFD6D1-DD5B-4EF3-909F-4A4018BB3329}"/>
    <cellStyle name="Percent" xfId="7" builtinId="5"/>
    <cellStyle name="Percent 2" xfId="5" xr:uid="{0C6363E6-1D2A-4F45-BDB7-02CE179EC18F}"/>
  </cellStyles>
  <dxfs count="0"/>
  <tableStyles count="0" defaultTableStyle="TableStyleMedium2" defaultPivotStyle="PivotStyleLight16"/>
  <colors>
    <mruColors>
      <color rgb="FFFFFFCC"/>
      <color rgb="FFCC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33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Summary!$B$5</c:f>
              <c:strCache>
                <c:ptCount val="1"/>
                <c:pt idx="0">
                  <c:v>Current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Summary!$A$6:$A$29</c:f>
              <c:numCache>
                <c:formatCode>mmm\-yy</c:formatCode>
                <c:ptCount val="24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</c:numCache>
            </c:numRef>
          </c:cat>
          <c:val>
            <c:numRef>
              <c:f>Summary!$B$6:$B$29</c:f>
              <c:numCache>
                <c:formatCode>0.00000</c:formatCode>
                <c:ptCount val="24"/>
                <c:pt idx="0">
                  <c:v>9.3486206784917057E-3</c:v>
                </c:pt>
                <c:pt idx="1">
                  <c:v>1.7663023817067077E-2</c:v>
                </c:pt>
                <c:pt idx="2">
                  <c:v>1.3964499075129869E-2</c:v>
                </c:pt>
                <c:pt idx="3">
                  <c:v>8.6754969074595324E-3</c:v>
                </c:pt>
                <c:pt idx="4">
                  <c:v>1.289877103147841E-2</c:v>
                </c:pt>
                <c:pt idx="5">
                  <c:v>7.1050966287420879E-3</c:v>
                </c:pt>
                <c:pt idx="6">
                  <c:v>2.1182767640450725E-3</c:v>
                </c:pt>
                <c:pt idx="7">
                  <c:v>1.2021200475964635E-2</c:v>
                </c:pt>
                <c:pt idx="8">
                  <c:v>1.3755154240120384E-2</c:v>
                </c:pt>
                <c:pt idx="9">
                  <c:v>1.0161669841443035E-2</c:v>
                </c:pt>
                <c:pt idx="10">
                  <c:v>1.249977395716147E-2</c:v>
                </c:pt>
                <c:pt idx="11">
                  <c:v>1.0261489566574373E-2</c:v>
                </c:pt>
                <c:pt idx="12">
                  <c:v>1.2060374523678554E-2</c:v>
                </c:pt>
                <c:pt idx="13">
                  <c:v>1.2688082141222894E-2</c:v>
                </c:pt>
                <c:pt idx="14">
                  <c:v>1.6767258172044289E-2</c:v>
                </c:pt>
                <c:pt idx="15">
                  <c:v>5.8663133189359243E-3</c:v>
                </c:pt>
                <c:pt idx="16">
                  <c:v>1.6255969761202589E-2</c:v>
                </c:pt>
                <c:pt idx="17">
                  <c:v>6.8925010530696551E-3</c:v>
                </c:pt>
                <c:pt idx="18">
                  <c:v>9.0876895181538839E-3</c:v>
                </c:pt>
                <c:pt idx="19">
                  <c:v>1.2204749218425195E-2</c:v>
                </c:pt>
                <c:pt idx="20">
                  <c:v>1.0088968007362746E-2</c:v>
                </c:pt>
                <c:pt idx="21">
                  <c:v>-4.3068870398075033E-3</c:v>
                </c:pt>
                <c:pt idx="22">
                  <c:v>1.1185648451653797E-2</c:v>
                </c:pt>
                <c:pt idx="23">
                  <c:v>5.8608615610117459E-3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F2-42ED-A160-CCBC919EA8C4}"/>
            </c:ext>
          </c:extLst>
        </c:ser>
        <c:ser>
          <c:idx val="1"/>
          <c:order val="1"/>
          <c:tx>
            <c:strRef>
              <c:f>Summary!$C$5</c:f>
              <c:strCache>
                <c:ptCount val="1"/>
                <c:pt idx="0">
                  <c:v>1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  <a:round/>
              </a:ln>
              <a:effectLst/>
            </c:spPr>
          </c:marker>
          <c:cat>
            <c:numRef>
              <c:f>Summary!$A$6:$A$29</c:f>
              <c:numCache>
                <c:formatCode>mmm\-yy</c:formatCode>
                <c:ptCount val="24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</c:numCache>
            </c:numRef>
          </c:cat>
          <c:val>
            <c:numRef>
              <c:f>Summary!$C$6:$C$29</c:f>
              <c:numCache>
                <c:formatCode>0.00000</c:formatCode>
                <c:ptCount val="24"/>
                <c:pt idx="0">
                  <c:v>8.3713927271717344E-3</c:v>
                </c:pt>
                <c:pt idx="1">
                  <c:v>8.3713927271717344E-3</c:v>
                </c:pt>
                <c:pt idx="2">
                  <c:v>8.3713927271717344E-3</c:v>
                </c:pt>
                <c:pt idx="3">
                  <c:v>9.7233697521510905E-3</c:v>
                </c:pt>
                <c:pt idx="4">
                  <c:v>9.7233697521510905E-3</c:v>
                </c:pt>
                <c:pt idx="5">
                  <c:v>9.7233697521510905E-3</c:v>
                </c:pt>
                <c:pt idx="6">
                  <c:v>9.9757053404441361E-3</c:v>
                </c:pt>
                <c:pt idx="7">
                  <c:v>9.9757053404441361E-3</c:v>
                </c:pt>
                <c:pt idx="8">
                  <c:v>9.9757053404441361E-3</c:v>
                </c:pt>
                <c:pt idx="9">
                  <c:v>1.2178148540397876E-2</c:v>
                </c:pt>
                <c:pt idx="10">
                  <c:v>1.2178148540397876E-2</c:v>
                </c:pt>
                <c:pt idx="11">
                  <c:v>1.2178148540397876E-2</c:v>
                </c:pt>
                <c:pt idx="12">
                  <c:v>6.7604218906680592E-3</c:v>
                </c:pt>
                <c:pt idx="13">
                  <c:v>6.7604218906680592E-3</c:v>
                </c:pt>
                <c:pt idx="14">
                  <c:v>-9.1957810933193662E-4</c:v>
                </c:pt>
                <c:pt idx="15">
                  <c:v>6.4805858596067648E-3</c:v>
                </c:pt>
                <c:pt idx="16">
                  <c:v>6.4805858596067648E-3</c:v>
                </c:pt>
                <c:pt idx="17">
                  <c:v>6.4805858596067648E-3</c:v>
                </c:pt>
                <c:pt idx="18">
                  <c:v>6.9898660229458787E-3</c:v>
                </c:pt>
                <c:pt idx="19">
                  <c:v>6.9898660229458787E-3</c:v>
                </c:pt>
                <c:pt idx="20">
                  <c:v>6.9898660229458787E-3</c:v>
                </c:pt>
                <c:pt idx="21">
                  <c:v>1.0330857681745478E-2</c:v>
                </c:pt>
                <c:pt idx="22">
                  <c:v>1.0330857681745478E-2</c:v>
                </c:pt>
                <c:pt idx="23">
                  <c:v>1.0330857681745478E-2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74F2-42ED-A160-CCBC919EA8C4}"/>
            </c:ext>
          </c:extLst>
        </c:ser>
        <c:ser>
          <c:idx val="2"/>
          <c:order val="2"/>
          <c:tx>
            <c:strRef>
              <c:f>Summary!$D$5</c:f>
              <c:strCache>
                <c:ptCount val="1"/>
                <c:pt idx="0">
                  <c:v>2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cat>
            <c:numRef>
              <c:f>Summary!$A$6:$A$29</c:f>
              <c:numCache>
                <c:formatCode>mmm\-yy</c:formatCode>
                <c:ptCount val="24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</c:numCache>
            </c:numRef>
          </c:cat>
          <c:val>
            <c:numRef>
              <c:f>Summary!$D$6:$D$29</c:f>
              <c:numCache>
                <c:formatCode>0.00000</c:formatCode>
                <c:ptCount val="24"/>
                <c:pt idx="0">
                  <c:v>4.4210207196444598E-3</c:v>
                </c:pt>
                <c:pt idx="1">
                  <c:v>4.4210207196444598E-3</c:v>
                </c:pt>
                <c:pt idx="2">
                  <c:v>4.4210207196444598E-3</c:v>
                </c:pt>
                <c:pt idx="3">
                  <c:v>8.1332490485310112E-3</c:v>
                </c:pt>
                <c:pt idx="4">
                  <c:v>8.1332490485310112E-3</c:v>
                </c:pt>
                <c:pt idx="5">
                  <c:v>8.1332490485310112E-3</c:v>
                </c:pt>
                <c:pt idx="6">
                  <c:v>6.5372750921020607E-3</c:v>
                </c:pt>
                <c:pt idx="7">
                  <c:v>6.5372750921020607E-3</c:v>
                </c:pt>
                <c:pt idx="8">
                  <c:v>6.5372750921020607E-3</c:v>
                </c:pt>
                <c:pt idx="9">
                  <c:v>7.1247099551072952E-3</c:v>
                </c:pt>
                <c:pt idx="10">
                  <c:v>7.1247099551072952E-3</c:v>
                </c:pt>
                <c:pt idx="11">
                  <c:v>7.1247099551072952E-3</c:v>
                </c:pt>
                <c:pt idx="12">
                  <c:v>1.9868771705684775E-3</c:v>
                </c:pt>
                <c:pt idx="13">
                  <c:v>1.9868771705684775E-3</c:v>
                </c:pt>
                <c:pt idx="14">
                  <c:v>-5.6931228294315184E-3</c:v>
                </c:pt>
                <c:pt idx="15">
                  <c:v>1.6662519425515998E-3</c:v>
                </c:pt>
                <c:pt idx="16">
                  <c:v>1.6662519425515998E-3</c:v>
                </c:pt>
                <c:pt idx="17">
                  <c:v>1.6662519425515998E-3</c:v>
                </c:pt>
                <c:pt idx="18">
                  <c:v>8.1211530998194503E-4</c:v>
                </c:pt>
                <c:pt idx="19">
                  <c:v>8.1211530998194503E-4</c:v>
                </c:pt>
                <c:pt idx="20">
                  <c:v>8.1211530998194503E-4</c:v>
                </c:pt>
                <c:pt idx="21">
                  <c:v>1.7543163167539413E-3</c:v>
                </c:pt>
                <c:pt idx="22">
                  <c:v>1.7543163167539413E-3</c:v>
                </c:pt>
                <c:pt idx="23">
                  <c:v>1.7543163167539413E-3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E6-4FFC-BF51-1414A4B4A0A6}"/>
            </c:ext>
          </c:extLst>
        </c:ser>
        <c:ser>
          <c:idx val="3"/>
          <c:order val="3"/>
          <c:tx>
            <c:strRef>
              <c:f>Summary!$E$5</c:f>
              <c:strCache>
                <c:ptCount val="1"/>
                <c:pt idx="0">
                  <c:v>3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4"/>
              </a:solidFill>
              <a:ln w="9525">
                <a:solidFill>
                  <a:schemeClr val="accent4"/>
                </a:solidFill>
                <a:round/>
              </a:ln>
              <a:effectLst/>
            </c:spPr>
          </c:marker>
          <c:cat>
            <c:numRef>
              <c:f>Summary!$A$6:$A$29</c:f>
              <c:numCache>
                <c:formatCode>mmm\-yy</c:formatCode>
                <c:ptCount val="24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</c:numCache>
            </c:numRef>
          </c:cat>
          <c:val>
            <c:numRef>
              <c:f>Summary!$E$6:$E$29</c:f>
              <c:numCache>
                <c:formatCode>0.00000</c:formatCode>
                <c:ptCount val="24"/>
                <c:pt idx="0">
                  <c:v>9.8956307202450085E-3</c:v>
                </c:pt>
                <c:pt idx="1">
                  <c:v>6.3966684888771934E-3</c:v>
                </c:pt>
                <c:pt idx="2">
                  <c:v>9.6182183508513354E-3</c:v>
                </c:pt>
                <c:pt idx="3">
                  <c:v>9.0096120373793602E-3</c:v>
                </c:pt>
                <c:pt idx="4">
                  <c:v>9.4388093303295166E-3</c:v>
                </c:pt>
                <c:pt idx="5">
                  <c:v>9.344828402111701E-3</c:v>
                </c:pt>
                <c:pt idx="6">
                  <c:v>9.1244129684572468E-3</c:v>
                </c:pt>
                <c:pt idx="7">
                  <c:v>9.6639834066559772E-3</c:v>
                </c:pt>
                <c:pt idx="8">
                  <c:v>9.9137471321205338E-3</c:v>
                </c:pt>
                <c:pt idx="9">
                  <c:v>9.9381372979022685E-3</c:v>
                </c:pt>
                <c:pt idx="10">
                  <c:v>1.0232412544681661E-2</c:v>
                </c:pt>
                <c:pt idx="11">
                  <c:v>1.043662148184368E-2</c:v>
                </c:pt>
                <c:pt idx="12">
                  <c:v>1.0703941722482489E-2</c:v>
                </c:pt>
                <c:pt idx="13">
                  <c:v>1.0382076174524347E-2</c:v>
                </c:pt>
                <c:pt idx="14">
                  <c:v>4.0668251728326332E-3</c:v>
                </c:pt>
                <c:pt idx="15">
                  <c:v>4.3756313721781265E-3</c:v>
                </c:pt>
                <c:pt idx="16">
                  <c:v>5.1860135796870724E-3</c:v>
                </c:pt>
                <c:pt idx="17">
                  <c:v>5.6618999024397182E-3</c:v>
                </c:pt>
                <c:pt idx="18">
                  <c:v>6.4113048006838105E-3</c:v>
                </c:pt>
                <c:pt idx="19">
                  <c:v>7.0500610257018051E-3</c:v>
                </c:pt>
                <c:pt idx="20">
                  <c:v>7.756602358061887E-3</c:v>
                </c:pt>
                <c:pt idx="21">
                  <c:v>7.2712406049497344E-3</c:v>
                </c:pt>
                <c:pt idx="22">
                  <c:v>7.6854154514822831E-3</c:v>
                </c:pt>
                <c:pt idx="23">
                  <c:v>8.1652137351026916E-3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E6-4FFC-BF51-1414A4B4A0A6}"/>
            </c:ext>
          </c:extLst>
        </c:ser>
        <c:ser>
          <c:idx val="4"/>
          <c:order val="4"/>
          <c:tx>
            <c:strRef>
              <c:f>Summary!$F$5</c:f>
              <c:strCache>
                <c:ptCount val="1"/>
                <c:pt idx="0">
                  <c:v>4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5"/>
                </a:solidFill>
                <a:round/>
              </a:ln>
              <a:effectLst/>
            </c:spPr>
          </c:marker>
          <c:cat>
            <c:numRef>
              <c:f>Summary!$A$6:$A$29</c:f>
              <c:numCache>
                <c:formatCode>mmm\-yy</c:formatCode>
                <c:ptCount val="24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</c:numCache>
            </c:numRef>
          </c:cat>
          <c:val>
            <c:numRef>
              <c:f>Summary!$F$6:$F$29</c:f>
              <c:numCache>
                <c:formatCode>0.00000</c:formatCode>
                <c:ptCount val="24"/>
                <c:pt idx="0">
                  <c:v>3.0974616210956846E-3</c:v>
                </c:pt>
                <c:pt idx="1">
                  <c:v>1.8073280443444546E-2</c:v>
                </c:pt>
                <c:pt idx="2">
                  <c:v>3.1954014315882517E-2</c:v>
                </c:pt>
                <c:pt idx="3">
                  <c:v>1.3043593693527481E-2</c:v>
                </c:pt>
                <c:pt idx="4">
                  <c:v>8.9931215402404181E-3</c:v>
                </c:pt>
                <c:pt idx="5">
                  <c:v>3.2516649896778757E-3</c:v>
                </c:pt>
                <c:pt idx="6">
                  <c:v>-2.3309049021260943E-3</c:v>
                </c:pt>
                <c:pt idx="7">
                  <c:v>1.1757930711085354E-2</c:v>
                </c:pt>
                <c:pt idx="8">
                  <c:v>1.9224167626394655E-2</c:v>
                </c:pt>
                <c:pt idx="9">
                  <c:v>1.8070870793534772E-2</c:v>
                </c:pt>
                <c:pt idx="10">
                  <c:v>6.4568134582724361E-3</c:v>
                </c:pt>
                <c:pt idx="11">
                  <c:v>1.7436749737605173E-3</c:v>
                </c:pt>
                <c:pt idx="12">
                  <c:v>1.2378033012163843E-3</c:v>
                </c:pt>
                <c:pt idx="13">
                  <c:v>1.9394344202372054E-2</c:v>
                </c:pt>
                <c:pt idx="14">
                  <c:v>4.2857954232019518E-2</c:v>
                </c:pt>
                <c:pt idx="15">
                  <c:v>1.1877514007144659E-2</c:v>
                </c:pt>
                <c:pt idx="16">
                  <c:v>1.1039858974448417E-2</c:v>
                </c:pt>
                <c:pt idx="17">
                  <c:v>1.0282526180341103E-3</c:v>
                </c:pt>
                <c:pt idx="18">
                  <c:v>-4.5882840595799189E-3</c:v>
                </c:pt>
                <c:pt idx="19">
                  <c:v>9.7104258885555295E-3</c:v>
                </c:pt>
                <c:pt idx="20">
                  <c:v>2.3482826910740218E-2</c:v>
                </c:pt>
                <c:pt idx="21">
                  <c:v>-6.1034370914081482E-4</c:v>
                </c:pt>
                <c:pt idx="22">
                  <c:v>1.7357198283461384E-3</c:v>
                </c:pt>
                <c:pt idx="23">
                  <c:v>-2.2204660658968547E-3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6E-4526-BB57-DD3E063E69B7}"/>
            </c:ext>
          </c:extLst>
        </c:ser>
        <c:ser>
          <c:idx val="5"/>
          <c:order val="5"/>
          <c:tx>
            <c:strRef>
              <c:f>Summary!$G$5</c:f>
              <c:strCache>
                <c:ptCount val="1"/>
                <c:pt idx="0">
                  <c:v>1a.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  <a:round/>
              </a:ln>
              <a:effectLst/>
            </c:spPr>
          </c:marker>
          <c:cat>
            <c:numRef>
              <c:f>Summary!$A$6:$A$29</c:f>
              <c:numCache>
                <c:formatCode>mmm\-yy</c:formatCode>
                <c:ptCount val="24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</c:numCache>
            </c:numRef>
          </c:cat>
          <c:val>
            <c:numRef>
              <c:f>Summary!$G$6:$G$29</c:f>
              <c:numCache>
                <c:formatCode>0.00000</c:formatCode>
                <c:ptCount val="24"/>
                <c:pt idx="0">
                  <c:v>3.2514731576268434E-3</c:v>
                </c:pt>
                <c:pt idx="1">
                  <c:v>3.2514731576268434E-3</c:v>
                </c:pt>
                <c:pt idx="2">
                  <c:v>3.2514731576268434E-3</c:v>
                </c:pt>
                <c:pt idx="3">
                  <c:v>2.1645206972456973E-2</c:v>
                </c:pt>
                <c:pt idx="4">
                  <c:v>2.1645206972456973E-2</c:v>
                </c:pt>
                <c:pt idx="5">
                  <c:v>2.1645206972456973E-2</c:v>
                </c:pt>
                <c:pt idx="6">
                  <c:v>6.8474371549928047E-3</c:v>
                </c:pt>
                <c:pt idx="7">
                  <c:v>6.8474371549928047E-3</c:v>
                </c:pt>
                <c:pt idx="8">
                  <c:v>6.8474371549928047E-3</c:v>
                </c:pt>
                <c:pt idx="9">
                  <c:v>1.1278399965751053E-2</c:v>
                </c:pt>
                <c:pt idx="10">
                  <c:v>1.1278399965751053E-2</c:v>
                </c:pt>
                <c:pt idx="11">
                  <c:v>1.1278399965751053E-2</c:v>
                </c:pt>
                <c:pt idx="12">
                  <c:v>4.4917603854366731E-3</c:v>
                </c:pt>
                <c:pt idx="13">
                  <c:v>4.4917603854366731E-3</c:v>
                </c:pt>
                <c:pt idx="14">
                  <c:v>-3.1882396145633228E-3</c:v>
                </c:pt>
                <c:pt idx="15">
                  <c:v>2.1041871247754654E-2</c:v>
                </c:pt>
                <c:pt idx="16">
                  <c:v>2.1041871247754654E-2</c:v>
                </c:pt>
                <c:pt idx="17">
                  <c:v>2.1041871247754654E-2</c:v>
                </c:pt>
                <c:pt idx="18">
                  <c:v>8.1457134340418361E-3</c:v>
                </c:pt>
                <c:pt idx="19">
                  <c:v>8.1457134340418361E-3</c:v>
                </c:pt>
                <c:pt idx="20">
                  <c:v>8.1457134340418361E-3</c:v>
                </c:pt>
                <c:pt idx="21">
                  <c:v>1.1857317933492047E-2</c:v>
                </c:pt>
                <c:pt idx="22">
                  <c:v>1.1857317933492047E-2</c:v>
                </c:pt>
                <c:pt idx="23">
                  <c:v>1.1857317933492047E-2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7E-413E-9AAA-D5CBC50AB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861711"/>
        <c:axId val="1230866031"/>
        <c:extLst/>
      </c:lineChart>
      <c:dateAx>
        <c:axId val="123086171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866031"/>
        <c:crosses val="autoZero"/>
        <c:auto val="1"/>
        <c:lblOffset val="100"/>
        <c:baseTimeUnit val="months"/>
      </c:dateAx>
      <c:valAx>
        <c:axId val="1230866031"/>
        <c:scaling>
          <c:orientation val="minMax"/>
        </c:scaling>
        <c:delete val="0"/>
        <c:axPos val="l"/>
        <c:numFmt formatCode="0.0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8617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FAC Bill Charge Using Actual Residential kWh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'FAC Charge Chart'!$L$3</c:f>
              <c:strCache>
                <c:ptCount val="1"/>
                <c:pt idx="0">
                  <c:v>Usage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9525" cap="flat" cmpd="sng" algn="ctr">
              <a:noFill/>
              <a:round/>
            </a:ln>
            <a:effectLst/>
          </c:spPr>
          <c:invertIfNegative val="0"/>
          <c:cat>
            <c:numRef>
              <c:f>'FAC Charge Chart'!$K$4:$K$27</c:f>
              <c:numCache>
                <c:formatCode>mmm\-yy</c:formatCode>
                <c:ptCount val="24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</c:numCache>
            </c:numRef>
          </c:cat>
          <c:val>
            <c:numRef>
              <c:f>'FAC Charge Chart'!$L$4:$L$27</c:f>
              <c:numCache>
                <c:formatCode>_(* #,##0_);_(* \(#,##0\);_(* "-"??_);_(@_)</c:formatCode>
                <c:ptCount val="24"/>
                <c:pt idx="0">
                  <c:v>1936.1066406369155</c:v>
                </c:pt>
                <c:pt idx="1">
                  <c:v>1424.4790845537505</c:v>
                </c:pt>
                <c:pt idx="2">
                  <c:v>1152.1886446606688</c:v>
                </c:pt>
                <c:pt idx="3">
                  <c:v>798.9561255303696</c:v>
                </c:pt>
                <c:pt idx="4">
                  <c:v>1007.203576456905</c:v>
                </c:pt>
                <c:pt idx="5">
                  <c:v>968.36616353068212</c:v>
                </c:pt>
                <c:pt idx="6">
                  <c:v>1347.7827656905047</c:v>
                </c:pt>
                <c:pt idx="7">
                  <c:v>1258.963298893384</c:v>
                </c:pt>
                <c:pt idx="8">
                  <c:v>864.9880971492787</c:v>
                </c:pt>
                <c:pt idx="9">
                  <c:v>858.31000863406098</c:v>
                </c:pt>
                <c:pt idx="10">
                  <c:v>1013.0035394847489</c:v>
                </c:pt>
                <c:pt idx="11">
                  <c:v>1567.0713936579702</c:v>
                </c:pt>
                <c:pt idx="12">
                  <c:v>2179.4770758439618</c:v>
                </c:pt>
                <c:pt idx="13">
                  <c:v>1448.096720523251</c:v>
                </c:pt>
                <c:pt idx="14">
                  <c:v>1412.5539653642566</c:v>
                </c:pt>
                <c:pt idx="15">
                  <c:v>810.86810972339288</c:v>
                </c:pt>
                <c:pt idx="16">
                  <c:v>668.91737865493712</c:v>
                </c:pt>
                <c:pt idx="17">
                  <c:v>1287.2863765308241</c:v>
                </c:pt>
                <c:pt idx="18">
                  <c:v>1384.9268551318205</c:v>
                </c:pt>
                <c:pt idx="19">
                  <c:v>1201.6772725525618</c:v>
                </c:pt>
                <c:pt idx="20">
                  <c:v>828.24005260162721</c:v>
                </c:pt>
                <c:pt idx="21">
                  <c:v>892.67732253893985</c:v>
                </c:pt>
                <c:pt idx="22">
                  <c:v>1051.1351087165672</c:v>
                </c:pt>
                <c:pt idx="23">
                  <c:v>1429.7812586466628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78-4EA2-A7FC-67AB58D38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02578735"/>
        <c:axId val="802574895"/>
      </c:barChart>
      <c:lineChart>
        <c:grouping val="standard"/>
        <c:varyColors val="0"/>
        <c:ser>
          <c:idx val="1"/>
          <c:order val="1"/>
          <c:tx>
            <c:strRef>
              <c:f>'FAC Charge Chart'!$M$3</c:f>
              <c:strCache>
                <c:ptCount val="1"/>
                <c:pt idx="0">
                  <c:v>Current</c:v>
                </c:pt>
              </c:strCache>
            </c:strRef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</c:marker>
          <c:cat>
            <c:numRef>
              <c:f>'FAC Charge Chart'!$K$4:$K$27</c:f>
              <c:numCache>
                <c:formatCode>mmm\-yy</c:formatCode>
                <c:ptCount val="24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</c:numCache>
            </c:numRef>
          </c:cat>
          <c:val>
            <c:numRef>
              <c:f>'FAC Charge Chart'!$M$4:$M$27</c:f>
              <c:numCache>
                <c:formatCode>_("$"* #,##0.00_);_("$"* \(#,##0.00\);_("$"* "-"??_);_(@_)</c:formatCode>
                <c:ptCount val="24"/>
                <c:pt idx="0">
                  <c:v>18.099926576423378</c:v>
                </c:pt>
                <c:pt idx="1">
                  <c:v>25.160607997386801</c:v>
                </c:pt>
                <c:pt idx="2">
                  <c:v>16.089737262739046</c:v>
                </c:pt>
                <c:pt idx="3">
                  <c:v>6.9313413962345711</c:v>
                </c:pt>
                <c:pt idx="4">
                  <c:v>12.991688314803776</c:v>
                </c:pt>
                <c:pt idx="5">
                  <c:v>6.8803351638897592</c:v>
                </c:pt>
                <c:pt idx="6">
                  <c:v>2.8549769155426006</c:v>
                </c:pt>
                <c:pt idx="7">
                  <c:v>15.134250207879155</c:v>
                </c:pt>
                <c:pt idx="8">
                  <c:v>11.898044692156564</c:v>
                </c:pt>
                <c:pt idx="9">
                  <c:v>8.7218629293454484</c:v>
                </c:pt>
                <c:pt idx="10">
                  <c:v>12.662315261363856</c:v>
                </c:pt>
                <c:pt idx="11">
                  <c:v>16.080486756098423</c:v>
                </c:pt>
                <c:pt idx="12">
                  <c:v>26.285309800449948</c:v>
                </c:pt>
                <c:pt idx="13">
                  <c:v>18.373570138434502</c:v>
                </c:pt>
                <c:pt idx="14">
                  <c:v>23.684657019207396</c:v>
                </c:pt>
                <c:pt idx="15">
                  <c:v>4.756806391970736</c:v>
                </c:pt>
                <c:pt idx="16">
                  <c:v>10.87390068015756</c:v>
                </c:pt>
                <c:pt idx="17">
                  <c:v>8.8726227058409251</c:v>
                </c:pt>
                <c:pt idx="18">
                  <c:v>12.585785264791268</c:v>
                </c:pt>
                <c:pt idx="19">
                  <c:v>14.6661697529852</c:v>
                </c:pt>
                <c:pt idx="20">
                  <c:v>8.3560873931142545</c:v>
                </c:pt>
                <c:pt idx="21">
                  <c:v>-3.8446603911730226</c:v>
                </c:pt>
                <c:pt idx="22">
                  <c:v>11.757627801294415</c:v>
                </c:pt>
                <c:pt idx="23">
                  <c:v>8.3797500194572194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78-4EA2-A7FC-67AB58D38F27}"/>
            </c:ext>
          </c:extLst>
        </c:ser>
        <c:ser>
          <c:idx val="2"/>
          <c:order val="2"/>
          <c:tx>
            <c:strRef>
              <c:f>'FAC Charge Chart'!$N$3</c:f>
              <c:strCache>
                <c:ptCount val="1"/>
                <c:pt idx="0">
                  <c:v>(1)</c:v>
                </c:pt>
              </c:strCache>
            </c:strRef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</c:marker>
          <c:cat>
            <c:numRef>
              <c:f>'FAC Charge Chart'!$K$4:$K$27</c:f>
              <c:numCache>
                <c:formatCode>mmm\-yy</c:formatCode>
                <c:ptCount val="24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</c:numCache>
            </c:numRef>
          </c:cat>
          <c:val>
            <c:numRef>
              <c:f>'FAC Charge Chart'!$N$4:$N$27</c:f>
              <c:numCache>
                <c:formatCode>_("$"* #,##0.00_);_("$"* \(#,##0.00\);_("$"* "-"??_);_(@_)</c:formatCode>
                <c:ptCount val="24"/>
                <c:pt idx="0">
                  <c:v>17.695083888415393</c:v>
                </c:pt>
                <c:pt idx="1">
                  <c:v>13.019053997035897</c:v>
                </c:pt>
                <c:pt idx="2">
                  <c:v>10.530450283380652</c:v>
                </c:pt>
                <c:pt idx="3">
                  <c:v>7.7849184110309464</c:v>
                </c:pt>
                <c:pt idx="4">
                  <c:v>9.8140528815778207</c:v>
                </c:pt>
                <c:pt idx="5">
                  <c:v>9.435626480847171</c:v>
                </c:pt>
                <c:pt idx="6">
                  <c:v>13.247821859814952</c:v>
                </c:pt>
                <c:pt idx="7">
                  <c:v>12.374784673284994</c:v>
                </c:pt>
                <c:pt idx="8">
                  <c:v>8.502266473205049</c:v>
                </c:pt>
                <c:pt idx="9">
                  <c:v>10.350737636772591</c:v>
                </c:pt>
                <c:pt idx="10">
                  <c:v>12.216254915884413</c:v>
                </c:pt>
                <c:pt idx="11">
                  <c:v>18.898002692126067</c:v>
                </c:pt>
                <c:pt idx="12">
                  <c:v>14.45704337919506</c:v>
                </c:pt>
                <c:pt idx="13">
                  <c:v>9.6056055546112962</c:v>
                </c:pt>
                <c:pt idx="14">
                  <c:v>-1.4785733214325703</c:v>
                </c:pt>
                <c:pt idx="15">
                  <c:v>5.2846836324142252</c:v>
                </c:pt>
                <c:pt idx="16">
                  <c:v>4.3595458743852387</c:v>
                </c:pt>
                <c:pt idx="17">
                  <c:v>8.389651982494291</c:v>
                </c:pt>
                <c:pt idx="18">
                  <c:v>9.888904515808365</c:v>
                </c:pt>
                <c:pt idx="19">
                  <c:v>8.5804327954621336</c:v>
                </c:pt>
                <c:pt idx="20">
                  <c:v>5.9139490045963541</c:v>
                </c:pt>
                <c:pt idx="21">
                  <c:v>9.3727351914638852</c:v>
                </c:pt>
                <c:pt idx="22">
                  <c:v>11.036475079741065</c:v>
                </c:pt>
                <c:pt idx="23">
                  <c:v>15.012099871539567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78-4EA2-A7FC-67AB58D38F27}"/>
            </c:ext>
          </c:extLst>
        </c:ser>
        <c:ser>
          <c:idx val="3"/>
          <c:order val="3"/>
          <c:tx>
            <c:strRef>
              <c:f>'FAC Charge Chart'!$O$3</c:f>
              <c:strCache>
                <c:ptCount val="1"/>
                <c:pt idx="0">
                  <c:v>(2)</c:v>
                </c:pt>
              </c:strCache>
            </c:strRef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</c:marker>
          <c:cat>
            <c:numRef>
              <c:f>'FAC Charge Chart'!$K$4:$K$27</c:f>
              <c:numCache>
                <c:formatCode>mmm\-yy</c:formatCode>
                <c:ptCount val="24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</c:numCache>
            </c:numRef>
          </c:cat>
          <c:val>
            <c:numRef>
              <c:f>'FAC Charge Chart'!$O$4:$O$27</c:f>
              <c:numCache>
                <c:formatCode>_("$"* #,##0.00_);_("$"* \(#,##0.00\);_("$"* "-"??_);_(@_)</c:formatCode>
                <c:ptCount val="24"/>
                <c:pt idx="0">
                  <c:v>8.5595675736970342</c:v>
                </c:pt>
                <c:pt idx="1">
                  <c:v>6.2976515475123032</c:v>
                </c:pt>
                <c:pt idx="2">
                  <c:v>5.0938498709838846</c:v>
                </c:pt>
                <c:pt idx="3">
                  <c:v>6.5236661642162419</c:v>
                </c:pt>
                <c:pt idx="4">
                  <c:v>8.22405596783892</c:v>
                </c:pt>
                <c:pt idx="5">
                  <c:v>7.906939284561342</c:v>
                </c:pt>
                <c:pt idx="6">
                  <c:v>8.7879472740181814</c:v>
                </c:pt>
                <c:pt idx="7">
                  <c:v>8.2088177503374027</c:v>
                </c:pt>
                <c:pt idx="8">
                  <c:v>5.6399814450118333</c:v>
                </c:pt>
                <c:pt idx="9">
                  <c:v>6.1362485268030476</c:v>
                </c:pt>
                <c:pt idx="10">
                  <c:v>7.2421868722024447</c:v>
                </c:pt>
                <c:pt idx="11">
                  <c:v>11.203340790621793</c:v>
                </c:pt>
                <c:pt idx="12">
                  <c:v>4.2351353377547181</c:v>
                </c:pt>
                <c:pt idx="13">
                  <c:v>2.8139252582869645</c:v>
                </c:pt>
                <c:pt idx="14">
                  <c:v>-8.1035554777299037</c:v>
                </c:pt>
                <c:pt idx="15">
                  <c:v>1.3394281352230171</c:v>
                </c:pt>
                <c:pt idx="16">
                  <c:v>1.10494758193868</c:v>
                </c:pt>
                <c:pt idx="17">
                  <c:v>2.1263970923740643</c:v>
                </c:pt>
                <c:pt idx="18">
                  <c:v>1.2208599127124911</c:v>
                </c:pt>
                <c:pt idx="19">
                  <c:v>1.0593192013288422</c:v>
                </c:pt>
                <c:pt idx="20">
                  <c:v>0.73012164835807636</c:v>
                </c:pt>
                <c:pt idx="21">
                  <c:v>1.5987180560674341</c:v>
                </c:pt>
                <c:pt idx="22">
                  <c:v>1.8825040529673329</c:v>
                </c:pt>
                <c:pt idx="23">
                  <c:v>2.5606308760302707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278-4EA2-A7FC-67AB58D38F27}"/>
            </c:ext>
          </c:extLst>
        </c:ser>
        <c:ser>
          <c:idx val="4"/>
          <c:order val="4"/>
          <c:tx>
            <c:strRef>
              <c:f>'FAC Charge Chart'!$P$3</c:f>
              <c:strCache>
                <c:ptCount val="1"/>
                <c:pt idx="0">
                  <c:v>(3)</c:v>
                </c:pt>
              </c:strCache>
            </c:strRef>
          </c:tx>
          <c:spPr>
            <a:ln w="158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5">
                    <a:shade val="95000"/>
                  </a:schemeClr>
                </a:solidFill>
                <a:round/>
              </a:ln>
              <a:effectLst/>
            </c:spPr>
          </c:marker>
          <c:cat>
            <c:numRef>
              <c:f>'FAC Charge Chart'!$K$4:$K$27</c:f>
              <c:numCache>
                <c:formatCode>mmm\-yy</c:formatCode>
                <c:ptCount val="24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</c:numCache>
            </c:numRef>
          </c:cat>
          <c:val>
            <c:numRef>
              <c:f>'FAC Charge Chart'!$P$4:$P$27</c:f>
              <c:numCache>
                <c:formatCode>_("$"* #,##0.00_);_("$"* \(#,##0.00\);_("$"* "-"??_);_(@_)</c:formatCode>
                <c:ptCount val="24"/>
                <c:pt idx="0">
                  <c:v>19.158996350757025</c:v>
                </c:pt>
                <c:pt idx="1">
                  <c:v>9.1119204732296062</c:v>
                </c:pt>
                <c:pt idx="2">
                  <c:v>11.082001965717774</c:v>
                </c:pt>
                <c:pt idx="3">
                  <c:v>7.1982847259163929</c:v>
                </c:pt>
                <c:pt idx="4">
                  <c:v>9.5068025150026934</c:v>
                </c:pt>
                <c:pt idx="5">
                  <c:v>9.049215628605463</c:v>
                </c:pt>
                <c:pt idx="6">
                  <c:v>12.297726545929615</c:v>
                </c:pt>
                <c:pt idx="7">
                  <c:v>12.166600430094533</c:v>
                </c:pt>
                <c:pt idx="8">
                  <c:v>8.5752732674320598</c:v>
                </c:pt>
                <c:pt idx="9">
                  <c:v>8.5300027099689792</c:v>
                </c:pt>
                <c:pt idx="10">
                  <c:v>10.365470125230669</c:v>
                </c:pt>
                <c:pt idx="11">
                  <c:v>16.354930970633486</c:v>
                </c:pt>
                <c:pt idx="12">
                  <c:v>23.328995605320312</c:v>
                </c:pt>
                <c:pt idx="13">
                  <c:v>15.034250460551286</c:v>
                </c:pt>
                <c:pt idx="14">
                  <c:v>5.7446100243279137</c:v>
                </c:pt>
                <c:pt idx="15">
                  <c:v>3.5480599396044532</c:v>
                </c:pt>
                <c:pt idx="16">
                  <c:v>3.4690146093931835</c:v>
                </c:pt>
                <c:pt idx="17">
                  <c:v>7.2884866096918515</c:v>
                </c:pt>
                <c:pt idx="18">
                  <c:v>8.8791881949025733</c:v>
                </c:pt>
                <c:pt idx="19">
                  <c:v>8.4718981046944624</c:v>
                </c:pt>
                <c:pt idx="20">
                  <c:v>6.4243287450510831</c:v>
                </c:pt>
                <c:pt idx="21">
                  <c:v>6.4908715947629503</c:v>
                </c:pt>
                <c:pt idx="22">
                  <c:v>8.0784100061258144</c:v>
                </c:pt>
                <c:pt idx="23">
                  <c:v>11.674469571294145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278-4EA2-A7FC-67AB58D38F27}"/>
            </c:ext>
          </c:extLst>
        </c:ser>
        <c:ser>
          <c:idx val="5"/>
          <c:order val="5"/>
          <c:tx>
            <c:strRef>
              <c:f>'FAC Charge Chart'!$Q$3</c:f>
              <c:strCache>
                <c:ptCount val="1"/>
                <c:pt idx="0">
                  <c:v>(4)</c:v>
                </c:pt>
              </c:strCache>
            </c:strRef>
          </c:tx>
          <c:spPr>
            <a:ln w="158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6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6">
                    <a:shade val="95000"/>
                  </a:schemeClr>
                </a:solidFill>
                <a:round/>
              </a:ln>
              <a:effectLst/>
            </c:spPr>
          </c:marker>
          <c:cat>
            <c:numRef>
              <c:f>'FAC Charge Chart'!$K$4:$K$27</c:f>
              <c:numCache>
                <c:formatCode>mmm\-yy</c:formatCode>
                <c:ptCount val="24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</c:numCache>
            </c:numRef>
          </c:cat>
          <c:val>
            <c:numRef>
              <c:f>'FAC Charge Chart'!$Q$4:$Q$27</c:f>
              <c:numCache>
                <c:formatCode>_("$"* #,##0.00_);_("$"* \(#,##0.00\);_("$"* "-"??_);_(@_)</c:formatCode>
                <c:ptCount val="24"/>
                <c:pt idx="0">
                  <c:v>5.99701601372134</c:v>
                </c:pt>
                <c:pt idx="1">
                  <c:v>25.745009980961086</c:v>
                </c:pt>
                <c:pt idx="2">
                  <c:v>36.81705244608429</c:v>
                </c:pt>
                <c:pt idx="3">
                  <c:v>10.42125908037308</c:v>
                </c:pt>
                <c:pt idx="4">
                  <c:v>9.0579041788417793</c:v>
                </c:pt>
                <c:pt idx="5">
                  <c:v>3.1488023511413994</c:v>
                </c:pt>
                <c:pt idx="6">
                  <c:v>-3.1415534555490625</c:v>
                </c:pt>
                <c:pt idx="7">
                  <c:v>14.802803236187849</c:v>
                </c:pt>
                <c:pt idx="8">
                  <c:v>16.628676174433878</c:v>
                </c:pt>
                <c:pt idx="9">
                  <c:v>15.51040926682383</c:v>
                </c:pt>
                <c:pt idx="10">
                  <c:v>6.5407748870227396</c:v>
                </c:pt>
                <c:pt idx="11">
                  <c:v>2.7324631712174186</c:v>
                </c:pt>
                <c:pt idx="12">
                  <c:v>2.6977639194050878</c:v>
                </c:pt>
                <c:pt idx="13">
                  <c:v>28.084886236154098</c:v>
                </c:pt>
                <c:pt idx="14">
                  <c:v>60.539173197838991</c:v>
                </c:pt>
                <c:pt idx="15">
                  <c:v>9.6310973311865116</c:v>
                </c:pt>
                <c:pt idx="16">
                  <c:v>7.3847535259082182</c:v>
                </c:pt>
                <c:pt idx="17">
                  <c:v>1.3236555868274633</c:v>
                </c:pt>
                <c:pt idx="18">
                  <c:v>-6.3544378130854797</c:v>
                </c:pt>
                <c:pt idx="19">
                  <c:v>11.668798097083195</c:v>
                </c:pt>
                <c:pt idx="20">
                  <c:v>19.449417795786385</c:v>
                </c:pt>
                <c:pt idx="21">
                  <c:v>-0.544839988104308</c:v>
                </c:pt>
                <c:pt idx="22">
                  <c:v>1.8244760504701194</c:v>
                </c:pt>
                <c:pt idx="23">
                  <c:v>-3.1747807664802088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18-4FF6-9D21-8E79DF6AB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2571055"/>
        <c:axId val="802581135"/>
      </c:lineChart>
      <c:dateAx>
        <c:axId val="802571055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2581135"/>
        <c:crosses val="autoZero"/>
        <c:auto val="1"/>
        <c:lblOffset val="100"/>
        <c:baseTimeUnit val="months"/>
      </c:dateAx>
      <c:valAx>
        <c:axId val="802581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2571055"/>
        <c:crosses val="autoZero"/>
        <c:crossBetween val="between"/>
      </c:valAx>
      <c:valAx>
        <c:axId val="802574895"/>
        <c:scaling>
          <c:orientation val="minMax"/>
        </c:scaling>
        <c:delete val="0"/>
        <c:axPos val="r"/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2578735"/>
        <c:crosses val="max"/>
        <c:crossBetween val="between"/>
      </c:valAx>
      <c:dateAx>
        <c:axId val="802578735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802574895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AMP</a:t>
            </a:r>
            <a:r>
              <a:rPr lang="en-US" baseline="0"/>
              <a:t> - Customer Bill Experience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'AMP Chart'!$B$2</c:f>
              <c:strCache>
                <c:ptCount val="1"/>
                <c:pt idx="0">
                  <c:v>Billed Usage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numRef>
              <c:f>'AMP Chart'!$A$3:$A$26</c:f>
              <c:numCache>
                <c:formatCode>[$-409]mmm\-yy;@</c:formatCode>
                <c:ptCount val="24"/>
                <c:pt idx="0">
                  <c:v>45992</c:v>
                </c:pt>
                <c:pt idx="1">
                  <c:v>45962</c:v>
                </c:pt>
                <c:pt idx="2">
                  <c:v>45931</c:v>
                </c:pt>
                <c:pt idx="3">
                  <c:v>45901</c:v>
                </c:pt>
                <c:pt idx="4">
                  <c:v>45870</c:v>
                </c:pt>
                <c:pt idx="5">
                  <c:v>45839</c:v>
                </c:pt>
                <c:pt idx="6">
                  <c:v>45809</c:v>
                </c:pt>
                <c:pt idx="7">
                  <c:v>45778</c:v>
                </c:pt>
                <c:pt idx="8">
                  <c:v>45748</c:v>
                </c:pt>
                <c:pt idx="9">
                  <c:v>45717</c:v>
                </c:pt>
                <c:pt idx="10">
                  <c:v>45689</c:v>
                </c:pt>
                <c:pt idx="11">
                  <c:v>45658</c:v>
                </c:pt>
                <c:pt idx="12">
                  <c:v>45627</c:v>
                </c:pt>
                <c:pt idx="13">
                  <c:v>45597</c:v>
                </c:pt>
                <c:pt idx="14">
                  <c:v>45566</c:v>
                </c:pt>
                <c:pt idx="15">
                  <c:v>45536</c:v>
                </c:pt>
                <c:pt idx="16">
                  <c:v>45505</c:v>
                </c:pt>
                <c:pt idx="17">
                  <c:v>45474</c:v>
                </c:pt>
                <c:pt idx="18">
                  <c:v>45444</c:v>
                </c:pt>
                <c:pt idx="19">
                  <c:v>45413</c:v>
                </c:pt>
                <c:pt idx="20">
                  <c:v>45383</c:v>
                </c:pt>
                <c:pt idx="21">
                  <c:v>45352</c:v>
                </c:pt>
                <c:pt idx="22">
                  <c:v>45323</c:v>
                </c:pt>
                <c:pt idx="23">
                  <c:v>45292</c:v>
                </c:pt>
              </c:numCache>
            </c:numRef>
          </c:cat>
          <c:val>
            <c:numRef>
              <c:f>'AMP Chart'!$B$3:$B$26</c:f>
              <c:numCache>
                <c:formatCode>General</c:formatCode>
                <c:ptCount val="24"/>
                <c:pt idx="0">
                  <c:v>2825</c:v>
                </c:pt>
                <c:pt idx="1">
                  <c:v>1733</c:v>
                </c:pt>
                <c:pt idx="2">
                  <c:v>1292</c:v>
                </c:pt>
                <c:pt idx="3">
                  <c:v>1301</c:v>
                </c:pt>
                <c:pt idx="4">
                  <c:v>1653</c:v>
                </c:pt>
                <c:pt idx="5">
                  <c:v>1975</c:v>
                </c:pt>
                <c:pt idx="6">
                  <c:v>1800</c:v>
                </c:pt>
                <c:pt idx="7">
                  <c:v>1694</c:v>
                </c:pt>
                <c:pt idx="8">
                  <c:v>2065</c:v>
                </c:pt>
                <c:pt idx="9">
                  <c:v>5451</c:v>
                </c:pt>
                <c:pt idx="10">
                  <c:v>2792</c:v>
                </c:pt>
                <c:pt idx="11">
                  <c:v>3137</c:v>
                </c:pt>
                <c:pt idx="12">
                  <c:v>2994</c:v>
                </c:pt>
                <c:pt idx="13">
                  <c:v>2001</c:v>
                </c:pt>
                <c:pt idx="14">
                  <c:v>1284</c:v>
                </c:pt>
                <c:pt idx="15">
                  <c:v>1649</c:v>
                </c:pt>
                <c:pt idx="16">
                  <c:v>1911</c:v>
                </c:pt>
                <c:pt idx="17">
                  <c:v>2114</c:v>
                </c:pt>
                <c:pt idx="18">
                  <c:v>1811</c:v>
                </c:pt>
                <c:pt idx="19">
                  <c:v>2029</c:v>
                </c:pt>
                <c:pt idx="20">
                  <c:v>2121</c:v>
                </c:pt>
                <c:pt idx="21">
                  <c:v>2518</c:v>
                </c:pt>
                <c:pt idx="22">
                  <c:v>2992</c:v>
                </c:pt>
                <c:pt idx="23">
                  <c:v>3425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E0-4A7F-ABDD-00E6AE036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2990511"/>
        <c:axId val="1312988591"/>
      </c:barChart>
      <c:lineChart>
        <c:grouping val="standard"/>
        <c:varyColors val="0"/>
        <c:ser>
          <c:idx val="1"/>
          <c:order val="1"/>
          <c:tx>
            <c:strRef>
              <c:f>'AMP Chart'!$C$2</c:f>
              <c:strCache>
                <c:ptCount val="1"/>
                <c:pt idx="0">
                  <c:v>Bill Amount</c:v>
                </c:pt>
              </c:strCache>
            </c:strRef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</c:marker>
          <c:cat>
            <c:numRef>
              <c:f>'AMP Chart'!$A$3:$A$26</c:f>
              <c:numCache>
                <c:formatCode>[$-409]mmm\-yy;@</c:formatCode>
                <c:ptCount val="24"/>
                <c:pt idx="0">
                  <c:v>45992</c:v>
                </c:pt>
                <c:pt idx="1">
                  <c:v>45962</c:v>
                </c:pt>
                <c:pt idx="2">
                  <c:v>45931</c:v>
                </c:pt>
                <c:pt idx="3">
                  <c:v>45901</c:v>
                </c:pt>
                <c:pt idx="4">
                  <c:v>45870</c:v>
                </c:pt>
                <c:pt idx="5">
                  <c:v>45839</c:v>
                </c:pt>
                <c:pt idx="6">
                  <c:v>45809</c:v>
                </c:pt>
                <c:pt idx="7">
                  <c:v>45778</c:v>
                </c:pt>
                <c:pt idx="8">
                  <c:v>45748</c:v>
                </c:pt>
                <c:pt idx="9">
                  <c:v>45717</c:v>
                </c:pt>
                <c:pt idx="10">
                  <c:v>45689</c:v>
                </c:pt>
                <c:pt idx="11">
                  <c:v>45658</c:v>
                </c:pt>
                <c:pt idx="12">
                  <c:v>45627</c:v>
                </c:pt>
                <c:pt idx="13">
                  <c:v>45597</c:v>
                </c:pt>
                <c:pt idx="14">
                  <c:v>45566</c:v>
                </c:pt>
                <c:pt idx="15">
                  <c:v>45536</c:v>
                </c:pt>
                <c:pt idx="16">
                  <c:v>45505</c:v>
                </c:pt>
                <c:pt idx="17">
                  <c:v>45474</c:v>
                </c:pt>
                <c:pt idx="18">
                  <c:v>45444</c:v>
                </c:pt>
                <c:pt idx="19">
                  <c:v>45413</c:v>
                </c:pt>
                <c:pt idx="20">
                  <c:v>45383</c:v>
                </c:pt>
                <c:pt idx="21">
                  <c:v>45352</c:v>
                </c:pt>
                <c:pt idx="22">
                  <c:v>45323</c:v>
                </c:pt>
                <c:pt idx="23">
                  <c:v>45292</c:v>
                </c:pt>
              </c:numCache>
            </c:numRef>
          </c:cat>
          <c:val>
            <c:numRef>
              <c:f>'AMP Chart'!$C$3:$C$26</c:f>
              <c:numCache>
                <c:formatCode>General</c:formatCode>
                <c:ptCount val="24"/>
                <c:pt idx="0">
                  <c:v>474.76</c:v>
                </c:pt>
                <c:pt idx="1">
                  <c:v>309.63</c:v>
                </c:pt>
                <c:pt idx="2">
                  <c:v>205.38</c:v>
                </c:pt>
                <c:pt idx="3">
                  <c:v>233.09</c:v>
                </c:pt>
                <c:pt idx="4">
                  <c:v>293.24</c:v>
                </c:pt>
                <c:pt idx="5">
                  <c:v>338.61</c:v>
                </c:pt>
                <c:pt idx="6">
                  <c:v>292.61</c:v>
                </c:pt>
                <c:pt idx="7">
                  <c:v>278.45</c:v>
                </c:pt>
                <c:pt idx="8">
                  <c:v>312.68</c:v>
                </c:pt>
                <c:pt idx="9">
                  <c:v>837.76</c:v>
                </c:pt>
                <c:pt idx="10">
                  <c:v>416.24</c:v>
                </c:pt>
                <c:pt idx="11">
                  <c:v>463.84</c:v>
                </c:pt>
                <c:pt idx="12">
                  <c:v>432.5</c:v>
                </c:pt>
                <c:pt idx="13">
                  <c:v>293.56</c:v>
                </c:pt>
                <c:pt idx="14">
                  <c:v>192.86</c:v>
                </c:pt>
                <c:pt idx="15">
                  <c:v>253.62</c:v>
                </c:pt>
                <c:pt idx="16">
                  <c:v>288.17</c:v>
                </c:pt>
                <c:pt idx="17">
                  <c:v>295.69</c:v>
                </c:pt>
                <c:pt idx="18">
                  <c:v>266.01</c:v>
                </c:pt>
                <c:pt idx="19">
                  <c:v>307.45999999999998</c:v>
                </c:pt>
                <c:pt idx="20">
                  <c:v>308.22000000000003</c:v>
                </c:pt>
                <c:pt idx="21">
                  <c:v>372.63</c:v>
                </c:pt>
                <c:pt idx="22">
                  <c:v>433.27</c:v>
                </c:pt>
                <c:pt idx="23">
                  <c:v>428.04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E0-4A7F-ABDD-00E6AE03654C}"/>
            </c:ext>
          </c:extLst>
        </c:ser>
        <c:ser>
          <c:idx val="2"/>
          <c:order val="2"/>
          <c:tx>
            <c:strRef>
              <c:f>'AMP Chart'!$D$2</c:f>
              <c:strCache>
                <c:ptCount val="1"/>
                <c:pt idx="0">
                  <c:v>AMP (Total Due)</c:v>
                </c:pt>
              </c:strCache>
            </c:strRef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</c:marker>
          <c:cat>
            <c:numRef>
              <c:f>'AMP Chart'!$A$3:$A$26</c:f>
              <c:numCache>
                <c:formatCode>[$-409]mmm\-yy;@</c:formatCode>
                <c:ptCount val="24"/>
                <c:pt idx="0">
                  <c:v>45992</c:v>
                </c:pt>
                <c:pt idx="1">
                  <c:v>45962</c:v>
                </c:pt>
                <c:pt idx="2">
                  <c:v>45931</c:v>
                </c:pt>
                <c:pt idx="3">
                  <c:v>45901</c:v>
                </c:pt>
                <c:pt idx="4">
                  <c:v>45870</c:v>
                </c:pt>
                <c:pt idx="5">
                  <c:v>45839</c:v>
                </c:pt>
                <c:pt idx="6">
                  <c:v>45809</c:v>
                </c:pt>
                <c:pt idx="7">
                  <c:v>45778</c:v>
                </c:pt>
                <c:pt idx="8">
                  <c:v>45748</c:v>
                </c:pt>
                <c:pt idx="9">
                  <c:v>45717</c:v>
                </c:pt>
                <c:pt idx="10">
                  <c:v>45689</c:v>
                </c:pt>
                <c:pt idx="11">
                  <c:v>45658</c:v>
                </c:pt>
                <c:pt idx="12">
                  <c:v>45627</c:v>
                </c:pt>
                <c:pt idx="13">
                  <c:v>45597</c:v>
                </c:pt>
                <c:pt idx="14">
                  <c:v>45566</c:v>
                </c:pt>
                <c:pt idx="15">
                  <c:v>45536</c:v>
                </c:pt>
                <c:pt idx="16">
                  <c:v>45505</c:v>
                </c:pt>
                <c:pt idx="17">
                  <c:v>45474</c:v>
                </c:pt>
                <c:pt idx="18">
                  <c:v>45444</c:v>
                </c:pt>
                <c:pt idx="19">
                  <c:v>45413</c:v>
                </c:pt>
                <c:pt idx="20">
                  <c:v>45383</c:v>
                </c:pt>
                <c:pt idx="21">
                  <c:v>45352</c:v>
                </c:pt>
                <c:pt idx="22">
                  <c:v>45323</c:v>
                </c:pt>
                <c:pt idx="23">
                  <c:v>45292</c:v>
                </c:pt>
              </c:numCache>
            </c:numRef>
          </c:cat>
          <c:val>
            <c:numRef>
              <c:f>'AMP Chart'!$D$3:$D$26</c:f>
              <c:numCache>
                <c:formatCode>General</c:formatCode>
                <c:ptCount val="24"/>
                <c:pt idx="0">
                  <c:v>342</c:v>
                </c:pt>
                <c:pt idx="1">
                  <c:v>314</c:v>
                </c:pt>
                <c:pt idx="2">
                  <c:v>312</c:v>
                </c:pt>
                <c:pt idx="3">
                  <c:v>311</c:v>
                </c:pt>
                <c:pt idx="4">
                  <c:v>313</c:v>
                </c:pt>
                <c:pt idx="5">
                  <c:v>311</c:v>
                </c:pt>
                <c:pt idx="6">
                  <c:v>309</c:v>
                </c:pt>
                <c:pt idx="7">
                  <c:v>307</c:v>
                </c:pt>
                <c:pt idx="8">
                  <c:v>307</c:v>
                </c:pt>
                <c:pt idx="9">
                  <c:v>309</c:v>
                </c:pt>
                <c:pt idx="10">
                  <c:v>305</c:v>
                </c:pt>
                <c:pt idx="11">
                  <c:v>306</c:v>
                </c:pt>
                <c:pt idx="12">
                  <c:v>301</c:v>
                </c:pt>
                <c:pt idx="13">
                  <c:v>275</c:v>
                </c:pt>
                <c:pt idx="14">
                  <c:v>283</c:v>
                </c:pt>
                <c:pt idx="15">
                  <c:v>288</c:v>
                </c:pt>
                <c:pt idx="16">
                  <c:v>286</c:v>
                </c:pt>
                <c:pt idx="17">
                  <c:v>286</c:v>
                </c:pt>
                <c:pt idx="18">
                  <c:v>288</c:v>
                </c:pt>
                <c:pt idx="19">
                  <c:v>297</c:v>
                </c:pt>
                <c:pt idx="20">
                  <c:v>302</c:v>
                </c:pt>
                <c:pt idx="21">
                  <c:v>310</c:v>
                </c:pt>
                <c:pt idx="22">
                  <c:v>298</c:v>
                </c:pt>
                <c:pt idx="23">
                  <c:v>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E0-4A7F-ABDD-00E6AE036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91439"/>
        <c:axId val="72798159"/>
      </c:lineChart>
      <c:dateAx>
        <c:axId val="72791439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798159"/>
        <c:crosses val="autoZero"/>
        <c:auto val="1"/>
        <c:lblOffset val="100"/>
        <c:baseTimeUnit val="months"/>
      </c:dateAx>
      <c:valAx>
        <c:axId val="72798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791439"/>
        <c:crosses val="autoZero"/>
        <c:crossBetween val="between"/>
      </c:valAx>
      <c:valAx>
        <c:axId val="1312988591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2990511"/>
        <c:crosses val="max"/>
        <c:crossBetween val="between"/>
      </c:valAx>
      <c:dateAx>
        <c:axId val="1312990511"/>
        <c:scaling>
          <c:orientation val="minMax"/>
        </c:scaling>
        <c:delete val="1"/>
        <c:axPos val="b"/>
        <c:numFmt formatCode="[$-409]mmm\-yy;@" sourceLinked="1"/>
        <c:majorTickMark val="out"/>
        <c:minorTickMark val="none"/>
        <c:tickLblPos val="nextTo"/>
        <c:crossAx val="1312988591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45508</xdr:colOff>
      <xdr:row>3</xdr:row>
      <xdr:rowOff>84138</xdr:rowOff>
    </xdr:from>
    <xdr:to>
      <xdr:col>32</xdr:col>
      <xdr:colOff>338666</xdr:colOff>
      <xdr:row>39</xdr:row>
      <xdr:rowOff>148167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183074D-8081-B408-AE38-074652EA0E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333374</xdr:colOff>
      <xdr:row>1</xdr:row>
      <xdr:rowOff>176211</xdr:rowOff>
    </xdr:from>
    <xdr:to>
      <xdr:col>35</xdr:col>
      <xdr:colOff>247650</xdr:colOff>
      <xdr:row>27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2327486-D1B9-05ED-C7D3-008E35F602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390524</xdr:colOff>
      <xdr:row>1</xdr:row>
      <xdr:rowOff>109536</xdr:rowOff>
    </xdr:from>
    <xdr:to>
      <xdr:col>22</xdr:col>
      <xdr:colOff>152399</xdr:colOff>
      <xdr:row>34</xdr:row>
      <xdr:rowOff>19049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DE5DE7-B25F-ADFC-BCD6-10887F4799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78B68-DE06-4890-A0FB-AEBC8B086012}">
  <dimension ref="A1:J44"/>
  <sheetViews>
    <sheetView showGridLines="0" zoomScale="90" zoomScaleNormal="90" workbookViewId="0">
      <selection activeCell="AL10" sqref="AL10"/>
    </sheetView>
  </sheetViews>
  <sheetFormatPr defaultRowHeight="12.75" x14ac:dyDescent="0.2"/>
  <cols>
    <col min="1" max="1" width="17.5703125" style="1" customWidth="1"/>
    <col min="2" max="2" width="8.42578125" style="1" customWidth="1"/>
    <col min="3" max="3" width="10" style="1" bestFit="1" customWidth="1"/>
    <col min="4" max="4" width="10" style="1" customWidth="1"/>
    <col min="5" max="6" width="9.140625" style="1"/>
    <col min="7" max="7" width="8.42578125" style="1" customWidth="1"/>
    <col min="8" max="8" width="9.42578125" style="1" customWidth="1"/>
    <col min="9" max="16384" width="9.140625" style="1"/>
  </cols>
  <sheetData>
    <row r="1" spans="1:9" s="45" customFormat="1" x14ac:dyDescent="0.2">
      <c r="A1" s="45" t="s">
        <v>85</v>
      </c>
    </row>
    <row r="2" spans="1:9" s="45" customFormat="1" x14ac:dyDescent="0.2">
      <c r="A2" s="45" t="s">
        <v>88</v>
      </c>
    </row>
    <row r="3" spans="1:9" ht="13.5" thickBot="1" x14ac:dyDescent="0.25"/>
    <row r="4" spans="1:9" x14ac:dyDescent="0.2">
      <c r="C4" s="152" t="s">
        <v>106</v>
      </c>
      <c r="D4" s="153"/>
      <c r="E4" s="153"/>
      <c r="F4" s="154"/>
    </row>
    <row r="5" spans="1:9" s="2" customFormat="1" ht="25.5" x14ac:dyDescent="0.25">
      <c r="A5" s="138" t="s">
        <v>44</v>
      </c>
      <c r="B5" s="141" t="s">
        <v>115</v>
      </c>
      <c r="C5" s="143">
        <v>1</v>
      </c>
      <c r="D5" s="138">
        <v>2</v>
      </c>
      <c r="E5" s="138">
        <v>3</v>
      </c>
      <c r="F5" s="144">
        <v>4</v>
      </c>
      <c r="G5" s="150" t="s">
        <v>114</v>
      </c>
      <c r="H5" s="4"/>
    </row>
    <row r="6" spans="1:9" x14ac:dyDescent="0.2">
      <c r="A6" s="139">
        <v>45292</v>
      </c>
      <c r="B6" s="142">
        <f>'0. Rate Calc'!AE22</f>
        <v>9.3486206784917057E-3</v>
      </c>
      <c r="C6" s="145">
        <f>'1. Rate Calc'!AG22</f>
        <v>8.3713927271717344E-3</v>
      </c>
      <c r="D6" s="140">
        <f>'2. Rate Calc'!AG22</f>
        <v>4.4210207196444598E-3</v>
      </c>
      <c r="E6" s="140">
        <f>'3. Rate Calc'!AG22</f>
        <v>9.8956307202450085E-3</v>
      </c>
      <c r="F6" s="146">
        <f>'4. Rate Calc'!AF22</f>
        <v>3.0974616210956846E-3</v>
      </c>
      <c r="G6" s="151">
        <f>'1a. Rate Calc'!AI22</f>
        <v>3.2514731576268434E-3</v>
      </c>
      <c r="H6" s="50"/>
      <c r="I6" s="50"/>
    </row>
    <row r="7" spans="1:9" x14ac:dyDescent="0.2">
      <c r="A7" s="139">
        <v>45323</v>
      </c>
      <c r="B7" s="142">
        <f>'0. Rate Calc'!AE23</f>
        <v>1.7663023817067077E-2</v>
      </c>
      <c r="C7" s="145">
        <f>'1. Rate Calc'!AG23</f>
        <v>8.3713927271717344E-3</v>
      </c>
      <c r="D7" s="140">
        <f>'2. Rate Calc'!AG23</f>
        <v>4.4210207196444598E-3</v>
      </c>
      <c r="E7" s="140">
        <f>'3. Rate Calc'!AG23</f>
        <v>6.3966684888771934E-3</v>
      </c>
      <c r="F7" s="146">
        <f>'4. Rate Calc'!AF23</f>
        <v>1.8073280443444546E-2</v>
      </c>
      <c r="G7" s="151">
        <f>'1a. Rate Calc'!AI23</f>
        <v>3.2514731576268434E-3</v>
      </c>
      <c r="H7" s="50"/>
      <c r="I7" s="50"/>
    </row>
    <row r="8" spans="1:9" x14ac:dyDescent="0.2">
      <c r="A8" s="139">
        <v>45352</v>
      </c>
      <c r="B8" s="142">
        <f>'0. Rate Calc'!AE24</f>
        <v>1.3964499075129869E-2</v>
      </c>
      <c r="C8" s="145">
        <f>'1. Rate Calc'!AG24</f>
        <v>8.3713927271717344E-3</v>
      </c>
      <c r="D8" s="140">
        <f>'2. Rate Calc'!AG24</f>
        <v>4.4210207196444598E-3</v>
      </c>
      <c r="E8" s="140">
        <f>'3. Rate Calc'!AG24</f>
        <v>9.6182183508513354E-3</v>
      </c>
      <c r="F8" s="146">
        <f>'4. Rate Calc'!AF24</f>
        <v>3.1954014315882517E-2</v>
      </c>
      <c r="G8" s="151">
        <f>'1a. Rate Calc'!AI24</f>
        <v>3.2514731576268434E-3</v>
      </c>
      <c r="H8" s="50"/>
      <c r="I8" s="50"/>
    </row>
    <row r="9" spans="1:9" x14ac:dyDescent="0.2">
      <c r="A9" s="139">
        <v>45383</v>
      </c>
      <c r="B9" s="142">
        <f>'0. Rate Calc'!AE25</f>
        <v>8.6754969074595324E-3</v>
      </c>
      <c r="C9" s="145">
        <f>'1. Rate Calc'!AG25</f>
        <v>9.7233697521510905E-3</v>
      </c>
      <c r="D9" s="140">
        <f>'2. Rate Calc'!AG25</f>
        <v>8.1332490485310112E-3</v>
      </c>
      <c r="E9" s="140">
        <f>'3. Rate Calc'!AG25</f>
        <v>9.0096120373793602E-3</v>
      </c>
      <c r="F9" s="146">
        <f>'4. Rate Calc'!AF25</f>
        <v>1.3043593693527481E-2</v>
      </c>
      <c r="G9" s="151">
        <f>'1a. Rate Calc'!AI25</f>
        <v>2.1645206972456973E-2</v>
      </c>
      <c r="H9" s="50"/>
      <c r="I9" s="50"/>
    </row>
    <row r="10" spans="1:9" x14ac:dyDescent="0.2">
      <c r="A10" s="139">
        <v>45413</v>
      </c>
      <c r="B10" s="142">
        <f>'0. Rate Calc'!AE26</f>
        <v>1.289877103147841E-2</v>
      </c>
      <c r="C10" s="145">
        <f>'1. Rate Calc'!AG26</f>
        <v>9.7233697521510905E-3</v>
      </c>
      <c r="D10" s="140">
        <f>'2. Rate Calc'!AG26</f>
        <v>8.1332490485310112E-3</v>
      </c>
      <c r="E10" s="140">
        <f>'3. Rate Calc'!AG26</f>
        <v>9.4388093303295166E-3</v>
      </c>
      <c r="F10" s="146">
        <f>'4. Rate Calc'!AF26</f>
        <v>8.9931215402404181E-3</v>
      </c>
      <c r="G10" s="151">
        <f>'1a. Rate Calc'!AI26</f>
        <v>2.1645206972456973E-2</v>
      </c>
      <c r="H10" s="50"/>
      <c r="I10" s="50"/>
    </row>
    <row r="11" spans="1:9" x14ac:dyDescent="0.2">
      <c r="A11" s="139">
        <v>45444</v>
      </c>
      <c r="B11" s="142">
        <f>'0. Rate Calc'!AE27</f>
        <v>7.1050966287420879E-3</v>
      </c>
      <c r="C11" s="145">
        <f>'1. Rate Calc'!AG27</f>
        <v>9.7233697521510905E-3</v>
      </c>
      <c r="D11" s="140">
        <f>'2. Rate Calc'!AG27</f>
        <v>8.1332490485310112E-3</v>
      </c>
      <c r="E11" s="140">
        <f>'3. Rate Calc'!AG27</f>
        <v>9.344828402111701E-3</v>
      </c>
      <c r="F11" s="146">
        <f>'4. Rate Calc'!AF27</f>
        <v>3.2516649896778757E-3</v>
      </c>
      <c r="G11" s="151">
        <f>'1a. Rate Calc'!AI27</f>
        <v>2.1645206972456973E-2</v>
      </c>
      <c r="H11" s="50"/>
      <c r="I11" s="50"/>
    </row>
    <row r="12" spans="1:9" x14ac:dyDescent="0.2">
      <c r="A12" s="139">
        <v>45474</v>
      </c>
      <c r="B12" s="142">
        <f>'0. Rate Calc'!AE28</f>
        <v>2.1182767640450725E-3</v>
      </c>
      <c r="C12" s="145">
        <f>'1. Rate Calc'!AG28</f>
        <v>9.9757053404441361E-3</v>
      </c>
      <c r="D12" s="140">
        <f>'2. Rate Calc'!AG28</f>
        <v>6.5372750921020607E-3</v>
      </c>
      <c r="E12" s="140">
        <f>'3. Rate Calc'!AG28</f>
        <v>9.1244129684572468E-3</v>
      </c>
      <c r="F12" s="146">
        <f>'4. Rate Calc'!AF28</f>
        <v>-2.3309049021260943E-3</v>
      </c>
      <c r="G12" s="151">
        <f>'1a. Rate Calc'!AI28</f>
        <v>6.8474371549928047E-3</v>
      </c>
      <c r="H12" s="50"/>
      <c r="I12" s="50"/>
    </row>
    <row r="13" spans="1:9" x14ac:dyDescent="0.2">
      <c r="A13" s="139">
        <v>45505</v>
      </c>
      <c r="B13" s="142">
        <f>'0. Rate Calc'!AE29</f>
        <v>1.2021200475964635E-2</v>
      </c>
      <c r="C13" s="145">
        <f>'1. Rate Calc'!AG29</f>
        <v>9.9757053404441361E-3</v>
      </c>
      <c r="D13" s="140">
        <f>'2. Rate Calc'!AG29</f>
        <v>6.5372750921020607E-3</v>
      </c>
      <c r="E13" s="140">
        <f>'3. Rate Calc'!AG29</f>
        <v>9.6639834066559772E-3</v>
      </c>
      <c r="F13" s="146">
        <f>'4. Rate Calc'!AF29</f>
        <v>1.1757930711085354E-2</v>
      </c>
      <c r="G13" s="151">
        <f>'1a. Rate Calc'!AI29</f>
        <v>6.8474371549928047E-3</v>
      </c>
      <c r="H13" s="50"/>
      <c r="I13" s="50"/>
    </row>
    <row r="14" spans="1:9" x14ac:dyDescent="0.2">
      <c r="A14" s="139">
        <v>45536</v>
      </c>
      <c r="B14" s="142">
        <f>'0. Rate Calc'!AE30</f>
        <v>1.3755154240120384E-2</v>
      </c>
      <c r="C14" s="145">
        <f>'1. Rate Calc'!AG30</f>
        <v>9.9757053404441361E-3</v>
      </c>
      <c r="D14" s="140">
        <f>'2. Rate Calc'!AG30</f>
        <v>6.5372750921020607E-3</v>
      </c>
      <c r="E14" s="140">
        <f>'3. Rate Calc'!AG30</f>
        <v>9.9137471321205338E-3</v>
      </c>
      <c r="F14" s="146">
        <f>'4. Rate Calc'!AF30</f>
        <v>1.9224167626394655E-2</v>
      </c>
      <c r="G14" s="151">
        <f>'1a. Rate Calc'!AI30</f>
        <v>6.8474371549928047E-3</v>
      </c>
      <c r="H14" s="50"/>
      <c r="I14" s="50"/>
    </row>
    <row r="15" spans="1:9" x14ac:dyDescent="0.2">
      <c r="A15" s="139">
        <v>45566</v>
      </c>
      <c r="B15" s="142">
        <f>'0. Rate Calc'!AE31</f>
        <v>1.0161669841443035E-2</v>
      </c>
      <c r="C15" s="145">
        <f>'1. Rate Calc'!AG31</f>
        <v>1.2178148540397876E-2</v>
      </c>
      <c r="D15" s="140">
        <f>'2. Rate Calc'!AG31</f>
        <v>7.1247099551072952E-3</v>
      </c>
      <c r="E15" s="140">
        <f>'3. Rate Calc'!AG31</f>
        <v>9.9381372979022685E-3</v>
      </c>
      <c r="F15" s="146">
        <f>'4. Rate Calc'!AF31</f>
        <v>1.8070870793534772E-2</v>
      </c>
      <c r="G15" s="151">
        <f>'1a. Rate Calc'!AI31</f>
        <v>1.1278399965751053E-2</v>
      </c>
      <c r="H15" s="50"/>
      <c r="I15" s="50"/>
    </row>
    <row r="16" spans="1:9" x14ac:dyDescent="0.2">
      <c r="A16" s="139">
        <v>45597</v>
      </c>
      <c r="B16" s="142">
        <f>'0. Rate Calc'!AE32</f>
        <v>1.249977395716147E-2</v>
      </c>
      <c r="C16" s="145">
        <f>'1. Rate Calc'!AG32</f>
        <v>1.2178148540397876E-2</v>
      </c>
      <c r="D16" s="140">
        <f>'2. Rate Calc'!AG32</f>
        <v>7.1247099551072952E-3</v>
      </c>
      <c r="E16" s="140">
        <f>'3. Rate Calc'!AG32</f>
        <v>1.0232412544681661E-2</v>
      </c>
      <c r="F16" s="146">
        <f>'4. Rate Calc'!AF32</f>
        <v>6.4568134582724361E-3</v>
      </c>
      <c r="G16" s="151">
        <f>'1a. Rate Calc'!AI32</f>
        <v>1.1278399965751053E-2</v>
      </c>
      <c r="H16" s="50"/>
      <c r="I16" s="50"/>
    </row>
    <row r="17" spans="1:9" x14ac:dyDescent="0.2">
      <c r="A17" s="139">
        <v>45627</v>
      </c>
      <c r="B17" s="142">
        <f>'0. Rate Calc'!AE33</f>
        <v>1.0261489566574373E-2</v>
      </c>
      <c r="C17" s="145">
        <f>'1. Rate Calc'!AG33</f>
        <v>1.2178148540397876E-2</v>
      </c>
      <c r="D17" s="140">
        <f>'2. Rate Calc'!AG33</f>
        <v>7.1247099551072952E-3</v>
      </c>
      <c r="E17" s="140">
        <f>'3. Rate Calc'!AG33</f>
        <v>1.043662148184368E-2</v>
      </c>
      <c r="F17" s="146">
        <f>'4. Rate Calc'!AF33</f>
        <v>1.7436749737605173E-3</v>
      </c>
      <c r="G17" s="151">
        <f>'1a. Rate Calc'!AI33</f>
        <v>1.1278399965751053E-2</v>
      </c>
      <c r="H17" s="50"/>
      <c r="I17" s="50"/>
    </row>
    <row r="18" spans="1:9" x14ac:dyDescent="0.2">
      <c r="A18" s="139">
        <v>45658</v>
      </c>
      <c r="B18" s="142">
        <f>'0. Rate Calc'!AE34</f>
        <v>1.2060374523678554E-2</v>
      </c>
      <c r="C18" s="145">
        <f>'1. Rate Calc'!AG34</f>
        <v>6.7604218906680592E-3</v>
      </c>
      <c r="D18" s="140">
        <f>'2. Rate Calc'!AG34</f>
        <v>1.9868771705684775E-3</v>
      </c>
      <c r="E18" s="140">
        <f>'3. Rate Calc'!AG34</f>
        <v>1.0703941722482489E-2</v>
      </c>
      <c r="F18" s="146">
        <f>'4. Rate Calc'!AF34</f>
        <v>1.2378033012163843E-3</v>
      </c>
      <c r="G18" s="151">
        <f>'1a. Rate Calc'!AI34</f>
        <v>4.4917603854366731E-3</v>
      </c>
      <c r="H18" s="50"/>
      <c r="I18" s="50"/>
    </row>
    <row r="19" spans="1:9" x14ac:dyDescent="0.2">
      <c r="A19" s="139">
        <v>45689</v>
      </c>
      <c r="B19" s="142">
        <f>'0. Rate Calc'!AE35</f>
        <v>1.2688082141222894E-2</v>
      </c>
      <c r="C19" s="145">
        <f>'1. Rate Calc'!AG35</f>
        <v>6.7604218906680592E-3</v>
      </c>
      <c r="D19" s="140">
        <f>'2. Rate Calc'!AG35</f>
        <v>1.9868771705684775E-3</v>
      </c>
      <c r="E19" s="140">
        <f>'3. Rate Calc'!AG35</f>
        <v>1.0382076174524347E-2</v>
      </c>
      <c r="F19" s="146">
        <f>'4. Rate Calc'!AF35</f>
        <v>1.9394344202372054E-2</v>
      </c>
      <c r="G19" s="151">
        <f>'1a. Rate Calc'!AI35</f>
        <v>4.4917603854366731E-3</v>
      </c>
      <c r="H19" s="50"/>
      <c r="I19" s="50"/>
    </row>
    <row r="20" spans="1:9" x14ac:dyDescent="0.2">
      <c r="A20" s="139">
        <v>45717</v>
      </c>
      <c r="B20" s="142">
        <f>'0. Rate Calc'!AE36</f>
        <v>1.6767258172044289E-2</v>
      </c>
      <c r="C20" s="145">
        <f>'1. Rate Calc'!AG36</f>
        <v>-9.1957810933193662E-4</v>
      </c>
      <c r="D20" s="140">
        <f>'2. Rate Calc'!AG36</f>
        <v>-5.6931228294315184E-3</v>
      </c>
      <c r="E20" s="140">
        <f>'3. Rate Calc'!AG36</f>
        <v>4.0668251728326332E-3</v>
      </c>
      <c r="F20" s="146">
        <f>'4. Rate Calc'!AF36</f>
        <v>4.2857954232019518E-2</v>
      </c>
      <c r="G20" s="151">
        <f>'1a. Rate Calc'!AI36</f>
        <v>-3.1882396145633228E-3</v>
      </c>
      <c r="H20" s="50"/>
      <c r="I20" s="50"/>
    </row>
    <row r="21" spans="1:9" x14ac:dyDescent="0.2">
      <c r="A21" s="139">
        <v>45748</v>
      </c>
      <c r="B21" s="142">
        <f>'0. Rate Calc'!AE37</f>
        <v>5.8663133189359243E-3</v>
      </c>
      <c r="C21" s="145">
        <f>'1. Rate Calc'!AG37</f>
        <v>6.4805858596067648E-3</v>
      </c>
      <c r="D21" s="140">
        <f>'2. Rate Calc'!AG37</f>
        <v>1.6662519425515998E-3</v>
      </c>
      <c r="E21" s="140">
        <f>'3. Rate Calc'!AG37</f>
        <v>4.3756313721781265E-3</v>
      </c>
      <c r="F21" s="146">
        <f>'4. Rate Calc'!AF37</f>
        <v>1.1877514007144659E-2</v>
      </c>
      <c r="G21" s="151">
        <f>'1a. Rate Calc'!AI37</f>
        <v>2.1041871247754654E-2</v>
      </c>
      <c r="H21" s="50"/>
      <c r="I21" s="50"/>
    </row>
    <row r="22" spans="1:9" x14ac:dyDescent="0.2">
      <c r="A22" s="139">
        <v>45778</v>
      </c>
      <c r="B22" s="142">
        <f>'0. Rate Calc'!AE38</f>
        <v>1.6255969761202589E-2</v>
      </c>
      <c r="C22" s="145">
        <f>'1. Rate Calc'!AG38</f>
        <v>6.4805858596067648E-3</v>
      </c>
      <c r="D22" s="140">
        <f>'2. Rate Calc'!AG38</f>
        <v>1.6662519425515998E-3</v>
      </c>
      <c r="E22" s="140">
        <f>'3. Rate Calc'!AG38</f>
        <v>5.1860135796870724E-3</v>
      </c>
      <c r="F22" s="146">
        <f>'4. Rate Calc'!AF38</f>
        <v>1.1039858974448417E-2</v>
      </c>
      <c r="G22" s="151">
        <f>'1a. Rate Calc'!AI38</f>
        <v>2.1041871247754654E-2</v>
      </c>
      <c r="H22" s="50"/>
      <c r="I22" s="50"/>
    </row>
    <row r="23" spans="1:9" x14ac:dyDescent="0.2">
      <c r="A23" s="139">
        <v>45809</v>
      </c>
      <c r="B23" s="142">
        <f>'0. Rate Calc'!AE39</f>
        <v>6.8925010530696551E-3</v>
      </c>
      <c r="C23" s="145">
        <f>'1. Rate Calc'!AG39</f>
        <v>6.4805858596067648E-3</v>
      </c>
      <c r="D23" s="140">
        <f>'2. Rate Calc'!AG39</f>
        <v>1.6662519425515998E-3</v>
      </c>
      <c r="E23" s="140">
        <f>'3. Rate Calc'!AG39</f>
        <v>5.6618999024397182E-3</v>
      </c>
      <c r="F23" s="146">
        <f>'4. Rate Calc'!AF39</f>
        <v>1.0282526180341103E-3</v>
      </c>
      <c r="G23" s="151">
        <f>'1a. Rate Calc'!AI39</f>
        <v>2.1041871247754654E-2</v>
      </c>
      <c r="H23" s="50"/>
      <c r="I23" s="50"/>
    </row>
    <row r="24" spans="1:9" x14ac:dyDescent="0.2">
      <c r="A24" s="139">
        <v>45839</v>
      </c>
      <c r="B24" s="142">
        <f>'0. Rate Calc'!AE40</f>
        <v>9.0876895181538839E-3</v>
      </c>
      <c r="C24" s="145">
        <f>'1. Rate Calc'!AG40</f>
        <v>6.9898660229458787E-3</v>
      </c>
      <c r="D24" s="140">
        <f>'2. Rate Calc'!AG40</f>
        <v>8.1211530998194503E-4</v>
      </c>
      <c r="E24" s="140">
        <f>'3. Rate Calc'!AG40</f>
        <v>6.4113048006838105E-3</v>
      </c>
      <c r="F24" s="146">
        <f>'4. Rate Calc'!AF40</f>
        <v>-4.5882840595799189E-3</v>
      </c>
      <c r="G24" s="151">
        <f>'1a. Rate Calc'!AI40</f>
        <v>8.1457134340418361E-3</v>
      </c>
      <c r="H24" s="50"/>
      <c r="I24" s="50"/>
    </row>
    <row r="25" spans="1:9" x14ac:dyDescent="0.2">
      <c r="A25" s="139">
        <v>45870</v>
      </c>
      <c r="B25" s="142">
        <f>'0. Rate Calc'!AE41</f>
        <v>1.2204749218425195E-2</v>
      </c>
      <c r="C25" s="145">
        <f>'1. Rate Calc'!AG41</f>
        <v>6.9898660229458787E-3</v>
      </c>
      <c r="D25" s="140">
        <f>'2. Rate Calc'!AG41</f>
        <v>8.1211530998194503E-4</v>
      </c>
      <c r="E25" s="140">
        <f>'3. Rate Calc'!AG41</f>
        <v>7.0500610257018051E-3</v>
      </c>
      <c r="F25" s="146">
        <f>'4. Rate Calc'!AF41</f>
        <v>9.7104258885555295E-3</v>
      </c>
      <c r="G25" s="151">
        <f>'1a. Rate Calc'!AI41</f>
        <v>8.1457134340418361E-3</v>
      </c>
      <c r="H25" s="50"/>
      <c r="I25" s="50"/>
    </row>
    <row r="26" spans="1:9" x14ac:dyDescent="0.2">
      <c r="A26" s="139">
        <v>45901</v>
      </c>
      <c r="B26" s="142">
        <f>'0. Rate Calc'!AE42</f>
        <v>1.0088968007362746E-2</v>
      </c>
      <c r="C26" s="145">
        <f>'1. Rate Calc'!AG42</f>
        <v>6.9898660229458787E-3</v>
      </c>
      <c r="D26" s="140">
        <f>'2. Rate Calc'!AG42</f>
        <v>8.1211530998194503E-4</v>
      </c>
      <c r="E26" s="140">
        <f>'3. Rate Calc'!AG42</f>
        <v>7.756602358061887E-3</v>
      </c>
      <c r="F26" s="146">
        <f>'4. Rate Calc'!AF42</f>
        <v>2.3482826910740218E-2</v>
      </c>
      <c r="G26" s="151">
        <f>'1a. Rate Calc'!AI42</f>
        <v>8.1457134340418361E-3</v>
      </c>
      <c r="H26" s="50"/>
      <c r="I26" s="50"/>
    </row>
    <row r="27" spans="1:9" x14ac:dyDescent="0.2">
      <c r="A27" s="139">
        <v>45931</v>
      </c>
      <c r="B27" s="142">
        <f>'0. Rate Calc'!AE43</f>
        <v>-4.3068870398075033E-3</v>
      </c>
      <c r="C27" s="145">
        <f>'1. Rate Calc'!AG43</f>
        <v>1.0330857681745478E-2</v>
      </c>
      <c r="D27" s="140">
        <f>'2. Rate Calc'!AG43</f>
        <v>1.7543163167539413E-3</v>
      </c>
      <c r="E27" s="140">
        <f>'3. Rate Calc'!AG43</f>
        <v>7.2712406049497344E-3</v>
      </c>
      <c r="F27" s="146">
        <f>'4. Rate Calc'!AF43</f>
        <v>-6.1034370914081482E-4</v>
      </c>
      <c r="G27" s="151">
        <f>'1a. Rate Calc'!AI43</f>
        <v>1.1857317933492047E-2</v>
      </c>
      <c r="H27" s="50"/>
      <c r="I27" s="50"/>
    </row>
    <row r="28" spans="1:9" x14ac:dyDescent="0.2">
      <c r="A28" s="139">
        <v>45962</v>
      </c>
      <c r="B28" s="142">
        <f>'0. Rate Calc'!AE44</f>
        <v>1.1185648451653797E-2</v>
      </c>
      <c r="C28" s="145">
        <f>'1. Rate Calc'!AG44</f>
        <v>1.0330857681745478E-2</v>
      </c>
      <c r="D28" s="140">
        <f>'2. Rate Calc'!AG44</f>
        <v>1.7543163167539413E-3</v>
      </c>
      <c r="E28" s="140">
        <f>'3. Rate Calc'!AG44</f>
        <v>7.6854154514822831E-3</v>
      </c>
      <c r="F28" s="146">
        <f>'4. Rate Calc'!AF44</f>
        <v>1.7357198283461384E-3</v>
      </c>
      <c r="G28" s="151">
        <f>'1a. Rate Calc'!AI44</f>
        <v>1.1857317933492047E-2</v>
      </c>
      <c r="H28" s="50"/>
      <c r="I28" s="50"/>
    </row>
    <row r="29" spans="1:9" ht="13.5" thickBot="1" x14ac:dyDescent="0.25">
      <c r="A29" s="139">
        <v>45992</v>
      </c>
      <c r="B29" s="142">
        <f>'0. Rate Calc'!AE45</f>
        <v>5.8608615610117459E-3</v>
      </c>
      <c r="C29" s="147">
        <f>'1. Rate Calc'!AG45</f>
        <v>1.0330857681745478E-2</v>
      </c>
      <c r="D29" s="148">
        <f>'2. Rate Calc'!AG45</f>
        <v>1.7543163167539413E-3</v>
      </c>
      <c r="E29" s="148">
        <f>'3. Rate Calc'!AG45</f>
        <v>8.1652137351026916E-3</v>
      </c>
      <c r="F29" s="149">
        <f>'4. Rate Calc'!AF45</f>
        <v>-2.2204660658968547E-3</v>
      </c>
      <c r="G29" s="151">
        <f>'1a. Rate Calc'!AI45</f>
        <v>1.1857317933492047E-2</v>
      </c>
      <c r="H29" s="50"/>
      <c r="I29" s="50"/>
    </row>
    <row r="31" spans="1:9" x14ac:dyDescent="0.2">
      <c r="B31" s="90"/>
      <c r="C31" s="90"/>
      <c r="D31" s="90"/>
      <c r="E31" s="90"/>
      <c r="F31" s="90"/>
      <c r="G31" s="90"/>
    </row>
    <row r="32" spans="1:9" x14ac:dyDescent="0.2">
      <c r="B32" s="90"/>
      <c r="C32" s="90"/>
      <c r="D32" s="90"/>
      <c r="E32" s="90"/>
      <c r="F32" s="90"/>
      <c r="G32" s="90"/>
    </row>
    <row r="33" spans="2:10" x14ac:dyDescent="0.2">
      <c r="B33" s="90"/>
      <c r="C33" s="90"/>
      <c r="D33" s="90"/>
      <c r="E33" s="90"/>
      <c r="F33" s="90"/>
      <c r="G33" s="90"/>
    </row>
    <row r="42" spans="2:10" x14ac:dyDescent="0.2">
      <c r="J42" s="90"/>
    </row>
    <row r="43" spans="2:10" x14ac:dyDescent="0.2">
      <c r="J43" s="90"/>
    </row>
    <row r="44" spans="2:10" x14ac:dyDescent="0.2">
      <c r="J44" s="90"/>
    </row>
  </sheetData>
  <mergeCells count="1">
    <mergeCell ref="C4:F4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AA3BC-2DE1-4C8B-A6C3-36A4EB6FC69D}">
  <dimension ref="A3:U48"/>
  <sheetViews>
    <sheetView zoomScale="80" zoomScaleNormal="80" workbookViewId="0">
      <selection activeCell="F43" sqref="F43"/>
    </sheetView>
  </sheetViews>
  <sheetFormatPr defaultRowHeight="12.75" x14ac:dyDescent="0.2"/>
  <cols>
    <col min="1" max="3" width="9.140625" style="1"/>
    <col min="4" max="4" width="14.28515625" style="1" customWidth="1"/>
    <col min="5" max="5" width="13.85546875" style="1" bestFit="1" customWidth="1"/>
    <col min="6" max="6" width="13.42578125" style="1" bestFit="1" customWidth="1"/>
    <col min="7" max="7" width="12" style="1" bestFit="1" customWidth="1"/>
    <col min="8" max="8" width="13.42578125" style="1" bestFit="1" customWidth="1"/>
    <col min="9" max="9" width="15.5703125" style="1" customWidth="1"/>
    <col min="10" max="10" width="13" style="1" bestFit="1" customWidth="1"/>
    <col min="11" max="12" width="13.42578125" style="1" bestFit="1" customWidth="1"/>
    <col min="13" max="13" width="9.140625" style="1"/>
    <col min="14" max="14" width="13" style="1" bestFit="1" customWidth="1"/>
    <col min="15" max="15" width="10.7109375" style="1" bestFit="1" customWidth="1"/>
    <col min="16" max="16384" width="9.140625" style="1"/>
  </cols>
  <sheetData>
    <row r="3" spans="1:21" ht="38.25" x14ac:dyDescent="0.2">
      <c r="A3" s="2" t="s">
        <v>0</v>
      </c>
      <c r="B3" s="2" t="s">
        <v>52</v>
      </c>
      <c r="C3" s="2" t="s">
        <v>45</v>
      </c>
      <c r="D3" s="2" t="s">
        <v>46</v>
      </c>
      <c r="E3" s="2" t="s">
        <v>47</v>
      </c>
      <c r="F3" s="2" t="s">
        <v>48</v>
      </c>
      <c r="G3" s="2" t="s">
        <v>54</v>
      </c>
      <c r="H3" s="2" t="s">
        <v>55</v>
      </c>
      <c r="I3" s="2" t="s">
        <v>49</v>
      </c>
      <c r="J3" s="2" t="s">
        <v>50</v>
      </c>
      <c r="K3" s="2" t="s">
        <v>57</v>
      </c>
      <c r="L3" s="2" t="s">
        <v>53</v>
      </c>
      <c r="M3" s="2" t="s">
        <v>56</v>
      </c>
      <c r="N3" s="2" t="s">
        <v>51</v>
      </c>
      <c r="O3" s="2"/>
      <c r="P3" s="2"/>
      <c r="Q3" s="2"/>
      <c r="R3" s="2"/>
      <c r="S3" s="2"/>
      <c r="T3" s="2"/>
      <c r="U3" s="2"/>
    </row>
    <row r="4" spans="1:21" s="54" customFormat="1" x14ac:dyDescent="0.25">
      <c r="A4" s="2"/>
      <c r="B4" s="4"/>
      <c r="C4" s="53"/>
      <c r="D4" s="53"/>
      <c r="E4" s="4"/>
      <c r="F4" s="4"/>
      <c r="G4" s="53" t="s">
        <v>58</v>
      </c>
      <c r="H4" s="53"/>
      <c r="I4" s="53"/>
      <c r="J4" s="53"/>
    </row>
    <row r="5" spans="1:21" s="54" customFormat="1" x14ac:dyDescent="0.2">
      <c r="A5" s="51">
        <v>44805</v>
      </c>
      <c r="B5" s="51">
        <v>44866</v>
      </c>
      <c r="C5" s="50">
        <f>ROUND('2. Rate Calc'!AG8,5)</f>
        <v>4.1300000000000003E-2</v>
      </c>
      <c r="D5" s="23">
        <v>389522664</v>
      </c>
      <c r="E5" s="55">
        <f t="shared" ref="E5:E7" si="0">ROUND(C5*D5,0)</f>
        <v>16087286</v>
      </c>
      <c r="F5" s="56">
        <v>404267144</v>
      </c>
      <c r="G5" s="23">
        <v>5579291</v>
      </c>
      <c r="H5" s="58">
        <f t="shared" ref="H5:H7" si="1">F5-G5</f>
        <v>398687853</v>
      </c>
      <c r="I5" s="55">
        <f t="shared" ref="I5:I7" si="2">C5*H5</f>
        <v>16465808.328900002</v>
      </c>
      <c r="J5" s="59">
        <f t="shared" ref="J5:J7" si="3">E5-I5</f>
        <v>-378522.32890000194</v>
      </c>
      <c r="K5" s="23">
        <v>440706130</v>
      </c>
      <c r="L5" s="23">
        <v>434496172</v>
      </c>
      <c r="M5" s="62">
        <f t="shared" ref="M5:M7" si="4">ROUND(K5/L5,5)</f>
        <v>1.0142899999999999</v>
      </c>
      <c r="N5" s="59">
        <f t="shared" ref="N5:N7" si="5">ROUND(J5*M5,0)</f>
        <v>-383931</v>
      </c>
    </row>
    <row r="6" spans="1:21" s="54" customFormat="1" x14ac:dyDescent="0.2">
      <c r="A6" s="51">
        <v>44835</v>
      </c>
      <c r="B6" s="51">
        <v>44896</v>
      </c>
      <c r="C6" s="50">
        <f>ROUND('2. Rate Calc'!AG9,5)</f>
        <v>4.1939999999999998E-2</v>
      </c>
      <c r="D6" s="23">
        <v>495513800</v>
      </c>
      <c r="E6" s="55">
        <f t="shared" si="0"/>
        <v>20781849</v>
      </c>
      <c r="F6" s="56">
        <v>405052299</v>
      </c>
      <c r="G6" s="23">
        <v>5389072</v>
      </c>
      <c r="H6" s="58">
        <f t="shared" si="1"/>
        <v>399663227</v>
      </c>
      <c r="I6" s="55">
        <f t="shared" si="2"/>
        <v>16761875.740379998</v>
      </c>
      <c r="J6" s="59">
        <f t="shared" si="3"/>
        <v>4019973.2596200015</v>
      </c>
      <c r="K6" s="23">
        <v>530871212</v>
      </c>
      <c r="L6" s="23">
        <v>523234196</v>
      </c>
      <c r="M6" s="62">
        <f t="shared" si="4"/>
        <v>1.0145999999999999</v>
      </c>
      <c r="N6" s="59">
        <f t="shared" si="5"/>
        <v>4078665</v>
      </c>
    </row>
    <row r="7" spans="1:21" s="54" customFormat="1" x14ac:dyDescent="0.2">
      <c r="A7" s="51">
        <v>44866</v>
      </c>
      <c r="B7" s="51">
        <v>44927</v>
      </c>
      <c r="C7" s="50">
        <f>ROUND('2. Rate Calc'!AG10,5)</f>
        <v>3.7830000000000003E-2</v>
      </c>
      <c r="D7" s="23">
        <v>550260592</v>
      </c>
      <c r="E7" s="55">
        <f t="shared" si="0"/>
        <v>20816358</v>
      </c>
      <c r="F7" s="61">
        <f>K5</f>
        <v>440706130</v>
      </c>
      <c r="G7" s="23">
        <v>6209958</v>
      </c>
      <c r="H7" s="58">
        <f t="shared" si="1"/>
        <v>434496172</v>
      </c>
      <c r="I7" s="55">
        <f t="shared" si="2"/>
        <v>16436990.186760001</v>
      </c>
      <c r="J7" s="59">
        <f t="shared" si="3"/>
        <v>4379367.8132399991</v>
      </c>
      <c r="K7" s="23">
        <v>499846850</v>
      </c>
      <c r="L7" s="23">
        <v>492610248</v>
      </c>
      <c r="M7" s="62">
        <f t="shared" si="4"/>
        <v>1.0146900000000001</v>
      </c>
      <c r="N7" s="59">
        <f t="shared" si="5"/>
        <v>4443701</v>
      </c>
    </row>
    <row r="8" spans="1:21" x14ac:dyDescent="0.2">
      <c r="A8" s="51">
        <v>44896</v>
      </c>
      <c r="B8" s="51">
        <v>44958</v>
      </c>
      <c r="C8" s="50">
        <f>ROUND('2. Rate Calc'!AG11,5)</f>
        <v>5.1130000000000002E-2</v>
      </c>
      <c r="D8" s="23">
        <v>461611640</v>
      </c>
      <c r="E8" s="55">
        <f>ROUND(C8*D8,0)</f>
        <v>23602203</v>
      </c>
      <c r="F8" s="61">
        <f>K6</f>
        <v>530871212</v>
      </c>
      <c r="G8" s="23">
        <v>7637016</v>
      </c>
      <c r="H8" s="58">
        <f>F8-G8</f>
        <v>523234196</v>
      </c>
      <c r="I8" s="55">
        <f>C8*H8</f>
        <v>26752964.44148</v>
      </c>
      <c r="J8" s="59">
        <f>E8-I8</f>
        <v>-3150761.4414799996</v>
      </c>
      <c r="K8" s="23">
        <v>421121053</v>
      </c>
      <c r="L8" s="23">
        <v>415109658</v>
      </c>
      <c r="M8" s="62">
        <f>ROUND(K8/L8,5)</f>
        <v>1.01448</v>
      </c>
      <c r="N8" s="59">
        <f>ROUND(J8*M8,0)</f>
        <v>-3196384</v>
      </c>
    </row>
    <row r="9" spans="1:21" x14ac:dyDescent="0.2">
      <c r="A9" s="51">
        <v>44927</v>
      </c>
      <c r="B9" s="51">
        <v>44986</v>
      </c>
      <c r="C9" s="50">
        <f>ROUND('2. Rate Calc'!AG12,5)</f>
        <v>-1.8880000000000001E-2</v>
      </c>
      <c r="D9" s="23">
        <v>431163653</v>
      </c>
      <c r="E9" s="55">
        <f>ROUND(C9*D9,0)</f>
        <v>-8140370</v>
      </c>
      <c r="F9" s="61">
        <f>K7</f>
        <v>499846850</v>
      </c>
      <c r="G9" s="23">
        <v>7236602</v>
      </c>
      <c r="H9" s="58">
        <f t="shared" ref="H9:H42" si="6">F9-G9</f>
        <v>492610248</v>
      </c>
      <c r="I9" s="55">
        <f t="shared" ref="I9:I42" si="7">C9*H9</f>
        <v>-9300481.4822400007</v>
      </c>
      <c r="J9" s="59">
        <f t="shared" ref="J9:J42" si="8">E9-I9</f>
        <v>1160111.4822400007</v>
      </c>
      <c r="K9" s="23">
        <v>451733027</v>
      </c>
      <c r="L9" s="23">
        <v>445486178</v>
      </c>
      <c r="M9" s="62">
        <f t="shared" ref="M9:M42" si="9">ROUND(K9/L9,5)</f>
        <v>1.0140199999999999</v>
      </c>
      <c r="N9" s="59">
        <f t="shared" ref="N9:N42" si="10">ROUND(J9*M9,0)</f>
        <v>1176376</v>
      </c>
    </row>
    <row r="10" spans="1:21" x14ac:dyDescent="0.2">
      <c r="A10" s="51">
        <v>44958</v>
      </c>
      <c r="B10" s="51">
        <v>45017</v>
      </c>
      <c r="C10" s="50">
        <f>ROUND('2. Rate Calc'!AG13,5)</f>
        <v>1.6830000000000001E-2</v>
      </c>
      <c r="D10" s="23">
        <v>418054513</v>
      </c>
      <c r="E10" s="55">
        <f t="shared" ref="E10:E42" si="11">ROUND(C10*D10,0)</f>
        <v>7035857</v>
      </c>
      <c r="F10" s="61">
        <f>K8</f>
        <v>421121053</v>
      </c>
      <c r="G10" s="23">
        <v>6011395</v>
      </c>
      <c r="H10" s="58">
        <f t="shared" si="6"/>
        <v>415109658</v>
      </c>
      <c r="I10" s="55">
        <f t="shared" si="7"/>
        <v>6986295.5441400008</v>
      </c>
      <c r="J10" s="59">
        <f t="shared" si="8"/>
        <v>49561.455859999172</v>
      </c>
      <c r="K10" s="23">
        <v>388944272</v>
      </c>
      <c r="L10" s="23">
        <v>383942498</v>
      </c>
      <c r="M10" s="62">
        <f t="shared" si="9"/>
        <v>1.0130300000000001</v>
      </c>
      <c r="N10" s="59">
        <f t="shared" si="10"/>
        <v>50207</v>
      </c>
    </row>
    <row r="11" spans="1:21" x14ac:dyDescent="0.2">
      <c r="A11" s="51">
        <v>44986</v>
      </c>
      <c r="B11" s="51">
        <v>45047</v>
      </c>
      <c r="C11" s="50">
        <f>ROUND('2. Rate Calc'!AG14,5)</f>
        <v>2.2899999999999999E-3</v>
      </c>
      <c r="D11" s="23">
        <v>392087302</v>
      </c>
      <c r="E11" s="55">
        <f t="shared" si="11"/>
        <v>897880</v>
      </c>
      <c r="F11" s="61">
        <f t="shared" ref="F11:F18" si="12">K9</f>
        <v>451733027</v>
      </c>
      <c r="G11" s="23">
        <v>6246849</v>
      </c>
      <c r="H11" s="58">
        <f t="shared" si="6"/>
        <v>445486178</v>
      </c>
      <c r="I11" s="55">
        <f t="shared" si="7"/>
        <v>1020163.34762</v>
      </c>
      <c r="J11" s="59">
        <f t="shared" si="8"/>
        <v>-122283.34762000002</v>
      </c>
      <c r="K11" s="23">
        <v>398514364</v>
      </c>
      <c r="L11" s="23">
        <v>393305168</v>
      </c>
      <c r="M11" s="62">
        <f t="shared" si="9"/>
        <v>1.0132399999999999</v>
      </c>
      <c r="N11" s="59">
        <f t="shared" si="10"/>
        <v>-123902</v>
      </c>
      <c r="O11" s="57"/>
    </row>
    <row r="12" spans="1:21" x14ac:dyDescent="0.2">
      <c r="A12" s="51">
        <v>45017</v>
      </c>
      <c r="B12" s="51">
        <v>45078</v>
      </c>
      <c r="C12" s="50">
        <f>ROUND('2. Rate Calc'!AG15,5)</f>
        <v>8.6E-3</v>
      </c>
      <c r="D12" s="23">
        <v>399620595</v>
      </c>
      <c r="E12" s="55">
        <f t="shared" si="11"/>
        <v>3436737</v>
      </c>
      <c r="F12" s="61">
        <f t="shared" si="12"/>
        <v>388944272</v>
      </c>
      <c r="G12" s="23">
        <v>5001774</v>
      </c>
      <c r="H12" s="58">
        <f t="shared" si="6"/>
        <v>383942498</v>
      </c>
      <c r="I12" s="55">
        <f t="shared" si="7"/>
        <v>3301905.4827999999</v>
      </c>
      <c r="J12" s="59">
        <f t="shared" si="8"/>
        <v>134831.51720000012</v>
      </c>
      <c r="K12" s="23">
        <v>417684971</v>
      </c>
      <c r="L12" s="23">
        <v>412226079</v>
      </c>
      <c r="M12" s="62">
        <f t="shared" si="9"/>
        <v>1.0132399999999999</v>
      </c>
      <c r="N12" s="59">
        <f t="shared" si="10"/>
        <v>136617</v>
      </c>
    </row>
    <row r="13" spans="1:21" x14ac:dyDescent="0.2">
      <c r="A13" s="51">
        <v>45047</v>
      </c>
      <c r="B13" s="51">
        <v>45108</v>
      </c>
      <c r="C13" s="50">
        <f>ROUND('2. Rate Calc'!AG16,5)</f>
        <v>4.8900000000000002E-3</v>
      </c>
      <c r="D13" s="23">
        <v>431455321</v>
      </c>
      <c r="E13" s="55">
        <f t="shared" si="11"/>
        <v>2109817</v>
      </c>
      <c r="F13" s="61">
        <f t="shared" si="12"/>
        <v>398514364</v>
      </c>
      <c r="G13" s="23">
        <v>5209196</v>
      </c>
      <c r="H13" s="58">
        <f t="shared" si="6"/>
        <v>393305168</v>
      </c>
      <c r="I13" s="55">
        <f t="shared" si="7"/>
        <v>1923262.2715200002</v>
      </c>
      <c r="J13" s="59">
        <f t="shared" si="8"/>
        <v>186554.72847999982</v>
      </c>
      <c r="K13" s="23">
        <v>478933865</v>
      </c>
      <c r="L13" s="23">
        <v>472342583</v>
      </c>
      <c r="M13" s="62">
        <f t="shared" si="9"/>
        <v>1.0139499999999999</v>
      </c>
      <c r="N13" s="59">
        <f t="shared" si="10"/>
        <v>189157</v>
      </c>
    </row>
    <row r="14" spans="1:21" x14ac:dyDescent="0.2">
      <c r="A14" s="51">
        <v>45078</v>
      </c>
      <c r="B14" s="51">
        <v>45139</v>
      </c>
      <c r="C14" s="50">
        <f>ROUND('2. Rate Calc'!AG17,5)</f>
        <v>6.2500000000000003E-3</v>
      </c>
      <c r="D14" s="23">
        <v>457300706</v>
      </c>
      <c r="E14" s="55">
        <f t="shared" si="11"/>
        <v>2858129</v>
      </c>
      <c r="F14" s="61">
        <f t="shared" si="12"/>
        <v>417684971</v>
      </c>
      <c r="G14" s="23">
        <v>5458892</v>
      </c>
      <c r="H14" s="58">
        <f t="shared" si="6"/>
        <v>412226079</v>
      </c>
      <c r="I14" s="55">
        <f t="shared" si="7"/>
        <v>2576412.9937500004</v>
      </c>
      <c r="J14" s="59">
        <f t="shared" si="8"/>
        <v>281716.00624999963</v>
      </c>
      <c r="K14" s="23">
        <v>467128731</v>
      </c>
      <c r="L14" s="23">
        <v>460678769</v>
      </c>
      <c r="M14" s="63">
        <f t="shared" si="9"/>
        <v>1.014</v>
      </c>
      <c r="N14" s="59">
        <f t="shared" si="10"/>
        <v>285660</v>
      </c>
    </row>
    <row r="15" spans="1:21" x14ac:dyDescent="0.2">
      <c r="A15" s="51">
        <v>45108</v>
      </c>
      <c r="B15" s="51">
        <v>45170</v>
      </c>
      <c r="C15" s="50">
        <f>ROUND('2. Rate Calc'!AG18,5)</f>
        <v>8.7799999999999996E-3</v>
      </c>
      <c r="D15" s="23">
        <v>443924653</v>
      </c>
      <c r="E15" s="55">
        <f t="shared" si="11"/>
        <v>3897658</v>
      </c>
      <c r="F15" s="61">
        <f t="shared" si="12"/>
        <v>478933865</v>
      </c>
      <c r="G15" s="23">
        <v>6591282</v>
      </c>
      <c r="H15" s="58">
        <f t="shared" si="6"/>
        <v>472342583</v>
      </c>
      <c r="I15" s="55">
        <f t="shared" si="7"/>
        <v>4147167.8787399996</v>
      </c>
      <c r="J15" s="59">
        <f t="shared" si="8"/>
        <v>-249509.87873999961</v>
      </c>
      <c r="K15" s="23">
        <v>411034614</v>
      </c>
      <c r="L15" s="23">
        <v>405662012</v>
      </c>
      <c r="M15" s="62">
        <f t="shared" si="9"/>
        <v>1.0132399999999999</v>
      </c>
      <c r="N15" s="59">
        <f t="shared" si="10"/>
        <v>-252813</v>
      </c>
    </row>
    <row r="16" spans="1:21" x14ac:dyDescent="0.2">
      <c r="A16" s="51">
        <v>45139</v>
      </c>
      <c r="B16" s="51">
        <v>45200</v>
      </c>
      <c r="C16" s="50">
        <f>ROUND('2. Rate Calc'!AG19,5)</f>
        <v>9.7400000000000004E-3</v>
      </c>
      <c r="D16" s="23">
        <v>382542719</v>
      </c>
      <c r="E16" s="55">
        <f t="shared" si="11"/>
        <v>3725966</v>
      </c>
      <c r="F16" s="61">
        <f t="shared" si="12"/>
        <v>467128731</v>
      </c>
      <c r="G16" s="23">
        <v>6449962</v>
      </c>
      <c r="H16" s="58">
        <f t="shared" si="6"/>
        <v>460678769</v>
      </c>
      <c r="I16" s="55">
        <f t="shared" si="7"/>
        <v>4487011.2100600004</v>
      </c>
      <c r="J16" s="59">
        <f t="shared" si="8"/>
        <v>-761045.21006000042</v>
      </c>
      <c r="K16" s="23">
        <v>385659292</v>
      </c>
      <c r="L16" s="23">
        <v>380499296</v>
      </c>
      <c r="M16" s="62">
        <f t="shared" si="9"/>
        <v>1.01356</v>
      </c>
      <c r="N16" s="59">
        <f t="shared" si="10"/>
        <v>-771365</v>
      </c>
    </row>
    <row r="17" spans="1:14" x14ac:dyDescent="0.2">
      <c r="A17" s="51">
        <v>45170</v>
      </c>
      <c r="B17" s="51">
        <v>45231</v>
      </c>
      <c r="C17" s="50">
        <f>ROUND('2. Rate Calc'!AG20,5)</f>
        <v>7.45E-3</v>
      </c>
      <c r="D17" s="23">
        <v>390469701</v>
      </c>
      <c r="E17" s="55">
        <f t="shared" si="11"/>
        <v>2908999</v>
      </c>
      <c r="F17" s="61">
        <f t="shared" si="12"/>
        <v>411034614</v>
      </c>
      <c r="G17" s="23">
        <v>5372602</v>
      </c>
      <c r="H17" s="58">
        <f t="shared" si="6"/>
        <v>405662012</v>
      </c>
      <c r="I17" s="55">
        <f t="shared" si="7"/>
        <v>3022181.9893999998</v>
      </c>
      <c r="J17" s="59">
        <f t="shared" si="8"/>
        <v>-113182.98939999985</v>
      </c>
      <c r="K17" s="23">
        <v>443997586</v>
      </c>
      <c r="L17" s="23">
        <v>437927110</v>
      </c>
      <c r="M17" s="62">
        <f t="shared" si="9"/>
        <v>1.01386</v>
      </c>
      <c r="N17" s="59">
        <f t="shared" si="10"/>
        <v>-114752</v>
      </c>
    </row>
    <row r="18" spans="1:14" x14ac:dyDescent="0.2">
      <c r="A18" s="51">
        <v>45200</v>
      </c>
      <c r="B18" s="51">
        <v>45261</v>
      </c>
      <c r="C18" s="50">
        <f>ROUND('2. Rate Calc'!AG21,5)</f>
        <v>7.0200000000000002E-3</v>
      </c>
      <c r="D18" s="23">
        <v>486349190</v>
      </c>
      <c r="E18" s="55">
        <f t="shared" si="11"/>
        <v>3414171</v>
      </c>
      <c r="F18" s="61">
        <f t="shared" si="12"/>
        <v>385659292</v>
      </c>
      <c r="G18" s="23">
        <v>5159996</v>
      </c>
      <c r="H18" s="58">
        <f t="shared" si="6"/>
        <v>380499296</v>
      </c>
      <c r="I18" s="55">
        <f t="shared" si="7"/>
        <v>2671105.0579200001</v>
      </c>
      <c r="J18" s="59">
        <f t="shared" si="8"/>
        <v>743065.94207999995</v>
      </c>
      <c r="K18" s="23">
        <v>463175334</v>
      </c>
      <c r="L18" s="23">
        <v>456366124</v>
      </c>
      <c r="M18" s="62">
        <f t="shared" si="9"/>
        <v>1.01492</v>
      </c>
      <c r="N18" s="59">
        <f t="shared" si="10"/>
        <v>754152</v>
      </c>
    </row>
    <row r="19" spans="1:14" x14ac:dyDescent="0.2">
      <c r="A19" s="51">
        <v>45231</v>
      </c>
      <c r="B19" s="51">
        <v>45292</v>
      </c>
      <c r="C19" s="80">
        <f>ROUND('2. Rate Calc'!AG22,5)</f>
        <v>4.4200000000000003E-3</v>
      </c>
      <c r="D19" s="23">
        <v>546889251</v>
      </c>
      <c r="E19" s="55">
        <f t="shared" si="11"/>
        <v>2417250</v>
      </c>
      <c r="F19" s="105">
        <f>AVERAGE('2. Rate Calc'!AD22:AD24)</f>
        <v>556461666.66666663</v>
      </c>
      <c r="G19" s="23">
        <v>6070476</v>
      </c>
      <c r="H19" s="58">
        <f t="shared" si="6"/>
        <v>550391190.66666663</v>
      </c>
      <c r="I19" s="55">
        <f t="shared" si="7"/>
        <v>2432729.0627466668</v>
      </c>
      <c r="J19" s="59">
        <f t="shared" si="8"/>
        <v>-15479.062746666837</v>
      </c>
      <c r="K19" s="23">
        <v>617468853</v>
      </c>
      <c r="L19" s="23">
        <v>609228451</v>
      </c>
      <c r="M19" s="62">
        <f t="shared" si="9"/>
        <v>1.01353</v>
      </c>
      <c r="N19" s="59">
        <f t="shared" si="10"/>
        <v>-15688</v>
      </c>
    </row>
    <row r="20" spans="1:14" x14ac:dyDescent="0.2">
      <c r="A20" s="51">
        <v>45261</v>
      </c>
      <c r="B20" s="51">
        <v>45323</v>
      </c>
      <c r="C20" s="80">
        <f>ROUND('2. Rate Calc'!AG23,5)</f>
        <v>4.4200000000000003E-3</v>
      </c>
      <c r="D20" s="23">
        <v>488138208</v>
      </c>
      <c r="E20" s="55">
        <f t="shared" si="11"/>
        <v>2157571</v>
      </c>
      <c r="F20" s="105">
        <f>F19</f>
        <v>556461666.66666663</v>
      </c>
      <c r="G20" s="23">
        <v>6809210</v>
      </c>
      <c r="H20" s="58">
        <f t="shared" si="6"/>
        <v>549652456.66666663</v>
      </c>
      <c r="I20" s="55">
        <f t="shared" si="7"/>
        <v>2429463.8584666667</v>
      </c>
      <c r="J20" s="59">
        <f t="shared" si="8"/>
        <v>-271892.85846666666</v>
      </c>
      <c r="K20" s="23">
        <v>436331073</v>
      </c>
      <c r="L20" s="23">
        <v>430039328</v>
      </c>
      <c r="M20" s="62">
        <f t="shared" si="9"/>
        <v>1.0146299999999999</v>
      </c>
      <c r="N20" s="59">
        <f t="shared" si="10"/>
        <v>-275871</v>
      </c>
    </row>
    <row r="21" spans="1:14" x14ac:dyDescent="0.2">
      <c r="A21" s="51">
        <v>45292</v>
      </c>
      <c r="B21" s="51">
        <v>45352</v>
      </c>
      <c r="C21" s="80">
        <f>ROUND('2. Rate Calc'!AG24,5)</f>
        <v>4.4200000000000003E-3</v>
      </c>
      <c r="D21" s="23">
        <v>444721245</v>
      </c>
      <c r="E21" s="55">
        <f t="shared" si="11"/>
        <v>1965668</v>
      </c>
      <c r="F21" s="105">
        <f>F20</f>
        <v>556461666.66666663</v>
      </c>
      <c r="G21" s="23">
        <v>8240402</v>
      </c>
      <c r="H21" s="58">
        <f t="shared" si="6"/>
        <v>548221264.66666663</v>
      </c>
      <c r="I21" s="55">
        <f t="shared" si="7"/>
        <v>2423137.9898266667</v>
      </c>
      <c r="J21" s="59">
        <f t="shared" si="8"/>
        <v>-457469.98982666666</v>
      </c>
      <c r="K21" s="23">
        <v>425311577</v>
      </c>
      <c r="L21" s="23">
        <v>419402259</v>
      </c>
      <c r="M21" s="62">
        <f t="shared" si="9"/>
        <v>1.0140899999999999</v>
      </c>
      <c r="N21" s="59">
        <f t="shared" si="10"/>
        <v>-463916</v>
      </c>
    </row>
    <row r="22" spans="1:14" x14ac:dyDescent="0.2">
      <c r="A22" s="51">
        <v>45323</v>
      </c>
      <c r="B22" s="51">
        <v>45383</v>
      </c>
      <c r="C22" s="80">
        <f>ROUND('2. Rate Calc'!AG25,5)</f>
        <v>8.1300000000000001E-3</v>
      </c>
      <c r="D22" s="23">
        <v>422497434</v>
      </c>
      <c r="E22" s="55">
        <f t="shared" si="11"/>
        <v>3434904</v>
      </c>
      <c r="F22" s="105">
        <f>AVERAGE('2. Rate Calc'!AD25:AD27)</f>
        <v>447868333.33333331</v>
      </c>
      <c r="G22" s="23">
        <v>6291745</v>
      </c>
      <c r="H22" s="58">
        <f t="shared" si="6"/>
        <v>441576588.33333331</v>
      </c>
      <c r="I22" s="55">
        <f t="shared" si="7"/>
        <v>3590017.6631499999</v>
      </c>
      <c r="J22" s="59">
        <f t="shared" si="8"/>
        <v>-155113.66314999992</v>
      </c>
      <c r="K22" s="23">
        <v>397483028</v>
      </c>
      <c r="L22" s="23">
        <v>392283874</v>
      </c>
      <c r="M22" s="62">
        <f t="shared" si="9"/>
        <v>1.01325</v>
      </c>
      <c r="N22" s="59">
        <f t="shared" si="10"/>
        <v>-157169</v>
      </c>
    </row>
    <row r="23" spans="1:14" x14ac:dyDescent="0.2">
      <c r="A23" s="51">
        <v>45352</v>
      </c>
      <c r="B23" s="51">
        <v>45413</v>
      </c>
      <c r="C23" s="80">
        <f>ROUND('2. Rate Calc'!AG26,5)</f>
        <v>8.1300000000000001E-3</v>
      </c>
      <c r="D23" s="23">
        <v>373320238</v>
      </c>
      <c r="E23" s="55">
        <f t="shared" si="11"/>
        <v>3035094</v>
      </c>
      <c r="F23" s="105">
        <f>F22</f>
        <v>447868333.33333331</v>
      </c>
      <c r="G23" s="23">
        <v>5909318</v>
      </c>
      <c r="H23" s="58">
        <f t="shared" si="6"/>
        <v>441959015.33333331</v>
      </c>
      <c r="I23" s="55">
        <f t="shared" si="7"/>
        <v>3593126.7946599997</v>
      </c>
      <c r="J23" s="59">
        <f t="shared" si="8"/>
        <v>-558032.79465999966</v>
      </c>
      <c r="K23" s="23">
        <v>411878407</v>
      </c>
      <c r="L23" s="23">
        <v>406409628</v>
      </c>
      <c r="M23" s="62">
        <f t="shared" si="9"/>
        <v>1.01346</v>
      </c>
      <c r="N23" s="59">
        <f t="shared" si="10"/>
        <v>-565544</v>
      </c>
    </row>
    <row r="24" spans="1:14" x14ac:dyDescent="0.2">
      <c r="A24" s="51">
        <v>45383</v>
      </c>
      <c r="B24" s="51">
        <v>45444</v>
      </c>
      <c r="C24" s="80">
        <f>ROUND('2. Rate Calc'!AG27,5)</f>
        <v>8.1300000000000001E-3</v>
      </c>
      <c r="D24" s="23">
        <v>421782222</v>
      </c>
      <c r="E24" s="55">
        <f t="shared" si="11"/>
        <v>3429089</v>
      </c>
      <c r="F24" s="105">
        <f>F23</f>
        <v>447868333.33333331</v>
      </c>
      <c r="G24" s="23">
        <v>5199154</v>
      </c>
      <c r="H24" s="58">
        <f t="shared" si="6"/>
        <v>442669179.33333331</v>
      </c>
      <c r="I24" s="55">
        <f t="shared" si="7"/>
        <v>3598900.4279799997</v>
      </c>
      <c r="J24" s="59">
        <f t="shared" si="8"/>
        <v>-169811.42797999969</v>
      </c>
      <c r="K24" s="23">
        <v>457765100</v>
      </c>
      <c r="L24" s="23">
        <v>451375457</v>
      </c>
      <c r="M24" s="62">
        <f t="shared" si="9"/>
        <v>1.01416</v>
      </c>
      <c r="N24" s="59">
        <f t="shared" si="10"/>
        <v>-172216</v>
      </c>
    </row>
    <row r="25" spans="1:14" x14ac:dyDescent="0.2">
      <c r="A25" s="51">
        <v>45413</v>
      </c>
      <c r="B25" s="51">
        <v>45474</v>
      </c>
      <c r="C25" s="80">
        <f>ROUND('2. Rate Calc'!AG28,5)</f>
        <v>6.5399999999999998E-3</v>
      </c>
      <c r="D25" s="23">
        <v>467867039</v>
      </c>
      <c r="E25" s="55">
        <f t="shared" si="11"/>
        <v>3059850</v>
      </c>
      <c r="F25" s="105">
        <f>AVERAGE('2. Rate Calc'!AD28:AD30)</f>
        <v>488966333.33333331</v>
      </c>
      <c r="G25" s="23">
        <v>5468779</v>
      </c>
      <c r="H25" s="58">
        <f t="shared" si="6"/>
        <v>483497554.33333331</v>
      </c>
      <c r="I25" s="55">
        <f t="shared" si="7"/>
        <v>3162074.0053399997</v>
      </c>
      <c r="J25" s="59">
        <f t="shared" si="8"/>
        <v>-102224.00533999968</v>
      </c>
      <c r="K25" s="23">
        <v>477823165</v>
      </c>
      <c r="L25" s="23">
        <v>470747151</v>
      </c>
      <c r="M25" s="62">
        <f t="shared" si="9"/>
        <v>1.0150300000000001</v>
      </c>
      <c r="N25" s="59">
        <f t="shared" si="10"/>
        <v>-103760</v>
      </c>
    </row>
    <row r="26" spans="1:14" x14ac:dyDescent="0.2">
      <c r="A26" s="51">
        <v>45444</v>
      </c>
      <c r="B26" s="51">
        <v>45505</v>
      </c>
      <c r="C26" s="80">
        <f>ROUND('2. Rate Calc'!AG29,5)</f>
        <v>6.5399999999999998E-3</v>
      </c>
      <c r="D26" s="23">
        <v>457517498</v>
      </c>
      <c r="E26" s="55">
        <f t="shared" si="11"/>
        <v>2992164</v>
      </c>
      <c r="F26" s="105">
        <f>F25</f>
        <v>488966333.33333331</v>
      </c>
      <c r="G26" s="23">
        <v>6389643</v>
      </c>
      <c r="H26" s="58">
        <f t="shared" si="6"/>
        <v>482576690.33333331</v>
      </c>
      <c r="I26" s="55">
        <f t="shared" si="7"/>
        <v>3156051.5547799999</v>
      </c>
      <c r="J26" s="59">
        <f t="shared" si="8"/>
        <v>-163887.55477999989</v>
      </c>
      <c r="K26" s="23">
        <v>463052563</v>
      </c>
      <c r="L26" s="23">
        <v>456304749</v>
      </c>
      <c r="M26" s="62">
        <f t="shared" si="9"/>
        <v>1.0147900000000001</v>
      </c>
      <c r="N26" s="59">
        <f t="shared" si="10"/>
        <v>-166311</v>
      </c>
    </row>
    <row r="27" spans="1:14" x14ac:dyDescent="0.2">
      <c r="A27" s="51">
        <v>45474</v>
      </c>
      <c r="B27" s="51">
        <v>45536</v>
      </c>
      <c r="C27" s="80">
        <f>ROUND('2. Rate Calc'!AG30,5)</f>
        <v>6.5399999999999998E-3</v>
      </c>
      <c r="D27" s="23">
        <v>424929712</v>
      </c>
      <c r="E27" s="55">
        <f t="shared" si="11"/>
        <v>2779040</v>
      </c>
      <c r="F27" s="105">
        <f>F26</f>
        <v>488966333.33333331</v>
      </c>
      <c r="G27" s="23">
        <v>7076014</v>
      </c>
      <c r="H27" s="58">
        <f t="shared" si="6"/>
        <v>481890319.33333331</v>
      </c>
      <c r="I27" s="55">
        <f t="shared" si="7"/>
        <v>3151562.6884399997</v>
      </c>
      <c r="J27" s="59">
        <f t="shared" si="8"/>
        <v>-372522.68843999971</v>
      </c>
      <c r="K27" s="23">
        <v>399193129</v>
      </c>
      <c r="L27" s="23">
        <v>393778375</v>
      </c>
      <c r="M27" s="62">
        <f t="shared" si="9"/>
        <v>1.0137499999999999</v>
      </c>
      <c r="N27" s="59">
        <f t="shared" si="10"/>
        <v>-377645</v>
      </c>
    </row>
    <row r="28" spans="1:14" x14ac:dyDescent="0.2">
      <c r="A28" s="51">
        <v>45505</v>
      </c>
      <c r="B28" s="51">
        <v>45566</v>
      </c>
      <c r="C28" s="80">
        <f>ROUND('2. Rate Calc'!AG31,5)</f>
        <v>7.1199999999999996E-3</v>
      </c>
      <c r="D28" s="23">
        <v>403312019</v>
      </c>
      <c r="E28" s="55">
        <f t="shared" si="11"/>
        <v>2871582</v>
      </c>
      <c r="F28" s="105">
        <f>AVERAGE('2. Rate Calc'!AD31:AD33)</f>
        <v>492732333.33333331</v>
      </c>
      <c r="G28" s="23">
        <v>6747814</v>
      </c>
      <c r="H28" s="58">
        <f t="shared" si="6"/>
        <v>485984519.33333331</v>
      </c>
      <c r="I28" s="55">
        <f t="shared" si="7"/>
        <v>3460209.7776533328</v>
      </c>
      <c r="J28" s="59">
        <f t="shared" si="8"/>
        <v>-588627.7776533328</v>
      </c>
      <c r="K28" s="23">
        <v>399930296</v>
      </c>
      <c r="L28" s="23">
        <v>394800757</v>
      </c>
      <c r="M28" s="62">
        <f t="shared" si="9"/>
        <v>1.0129900000000001</v>
      </c>
      <c r="N28" s="59">
        <f t="shared" si="10"/>
        <v>-596274</v>
      </c>
    </row>
    <row r="29" spans="1:14" x14ac:dyDescent="0.2">
      <c r="A29" s="51">
        <v>45536</v>
      </c>
      <c r="B29" s="51">
        <v>45597</v>
      </c>
      <c r="C29" s="80">
        <f>ROUND('2. Rate Calc'!AG32,5)</f>
        <v>7.1199999999999996E-3</v>
      </c>
      <c r="D29" s="23">
        <v>373355279</v>
      </c>
      <c r="E29" s="55">
        <f t="shared" si="11"/>
        <v>2658290</v>
      </c>
      <c r="F29" s="105">
        <f>F28</f>
        <v>492732333.33333331</v>
      </c>
      <c r="G29" s="23">
        <v>5414754</v>
      </c>
      <c r="H29" s="58">
        <f t="shared" si="6"/>
        <v>487317579.33333331</v>
      </c>
      <c r="I29" s="55">
        <f t="shared" si="7"/>
        <v>3469701.164853333</v>
      </c>
      <c r="J29" s="59">
        <f t="shared" si="8"/>
        <v>-811411.16485333303</v>
      </c>
      <c r="K29" s="23">
        <v>406295923</v>
      </c>
      <c r="L29" s="23">
        <v>400861124</v>
      </c>
      <c r="M29" s="62">
        <f t="shared" si="9"/>
        <v>1.01356</v>
      </c>
      <c r="N29" s="59">
        <f t="shared" si="10"/>
        <v>-822414</v>
      </c>
    </row>
    <row r="30" spans="1:14" x14ac:dyDescent="0.2">
      <c r="A30" s="51">
        <v>45566</v>
      </c>
      <c r="B30" s="51">
        <v>45627</v>
      </c>
      <c r="C30" s="80">
        <f>ROUND('2. Rate Calc'!AG33,5)</f>
        <v>7.1199999999999996E-3</v>
      </c>
      <c r="D30" s="23">
        <v>484891850</v>
      </c>
      <c r="E30" s="55">
        <f t="shared" si="11"/>
        <v>3452430</v>
      </c>
      <c r="F30" s="105">
        <f>F29</f>
        <v>492732333.33333331</v>
      </c>
      <c r="G30" s="23">
        <v>5129539</v>
      </c>
      <c r="H30" s="58">
        <f t="shared" si="6"/>
        <v>487602794.33333331</v>
      </c>
      <c r="I30" s="55">
        <f t="shared" si="7"/>
        <v>3471731.895653333</v>
      </c>
      <c r="J30" s="59">
        <f t="shared" si="8"/>
        <v>-19301.895653333049</v>
      </c>
      <c r="K30" s="23">
        <v>494553500</v>
      </c>
      <c r="L30" s="23">
        <v>487431491</v>
      </c>
      <c r="M30" s="62">
        <f t="shared" si="9"/>
        <v>1.01461</v>
      </c>
      <c r="N30" s="59">
        <f t="shared" si="10"/>
        <v>-19584</v>
      </c>
    </row>
    <row r="31" spans="1:14" x14ac:dyDescent="0.2">
      <c r="A31" s="51">
        <v>45597</v>
      </c>
      <c r="B31" s="51">
        <v>45658</v>
      </c>
      <c r="C31" s="80">
        <f>ROUND('2. Rate Calc'!AG34,5)</f>
        <v>1.99E-3</v>
      </c>
      <c r="D31" s="23">
        <v>559647068</v>
      </c>
      <c r="E31" s="55">
        <f t="shared" si="11"/>
        <v>1113698</v>
      </c>
      <c r="F31" s="105">
        <f>AVERAGE('2. Rate Calc'!AD34:AD36)</f>
        <v>592795666.66666663</v>
      </c>
      <c r="G31" s="23">
        <v>5434799</v>
      </c>
      <c r="H31" s="58">
        <f t="shared" si="6"/>
        <v>587360867.66666663</v>
      </c>
      <c r="I31" s="55">
        <f t="shared" si="7"/>
        <v>1168848.1266566666</v>
      </c>
      <c r="J31" s="59">
        <f t="shared" si="8"/>
        <v>-55150.126656666631</v>
      </c>
      <c r="K31" s="23">
        <v>628318548</v>
      </c>
      <c r="L31" s="23">
        <v>619242322</v>
      </c>
      <c r="M31" s="62">
        <f t="shared" si="9"/>
        <v>1.0146599999999999</v>
      </c>
      <c r="N31" s="59">
        <f t="shared" si="10"/>
        <v>-55959</v>
      </c>
    </row>
    <row r="32" spans="1:14" x14ac:dyDescent="0.2">
      <c r="A32" s="51">
        <v>45627</v>
      </c>
      <c r="B32" s="51">
        <v>45689</v>
      </c>
      <c r="C32" s="80">
        <f>ROUND('2. Rate Calc'!AG35,5)</f>
        <v>1.99E-3</v>
      </c>
      <c r="D32" s="23">
        <v>543430929</v>
      </c>
      <c r="E32" s="55">
        <f t="shared" si="11"/>
        <v>1081428</v>
      </c>
      <c r="F32" s="105">
        <f>F31</f>
        <v>592795666.66666663</v>
      </c>
      <c r="G32" s="23">
        <v>7122009</v>
      </c>
      <c r="H32" s="58">
        <f t="shared" si="6"/>
        <v>585673657.66666663</v>
      </c>
      <c r="I32" s="55">
        <f t="shared" si="7"/>
        <v>1165490.5787566665</v>
      </c>
      <c r="J32" s="59">
        <f t="shared" si="8"/>
        <v>-84062.578756666509</v>
      </c>
      <c r="K32" s="23">
        <v>486703753</v>
      </c>
      <c r="L32" s="23">
        <v>479804054</v>
      </c>
      <c r="M32" s="62">
        <f t="shared" si="9"/>
        <v>1.0143800000000001</v>
      </c>
      <c r="N32" s="59">
        <f t="shared" si="10"/>
        <v>-85271</v>
      </c>
    </row>
    <row r="33" spans="1:14" x14ac:dyDescent="0.2">
      <c r="A33" s="51">
        <v>45658</v>
      </c>
      <c r="B33" s="51">
        <v>45717</v>
      </c>
      <c r="C33" s="80">
        <f>ROUND('2. Rate Calc'!AG36,5)</f>
        <v>-5.6899999999999997E-3</v>
      </c>
      <c r="D33" s="23">
        <v>453592183</v>
      </c>
      <c r="E33" s="55">
        <f t="shared" si="11"/>
        <v>-2580940</v>
      </c>
      <c r="F33" s="105">
        <f>F32</f>
        <v>592795666.66666663</v>
      </c>
      <c r="G33" s="23">
        <v>9076226</v>
      </c>
      <c r="H33" s="58">
        <f t="shared" si="6"/>
        <v>583719440.66666663</v>
      </c>
      <c r="I33" s="55">
        <f t="shared" si="7"/>
        <v>-3321363.617393333</v>
      </c>
      <c r="J33" s="59">
        <f t="shared" si="8"/>
        <v>740423.617393333</v>
      </c>
      <c r="K33" s="23">
        <v>442249970</v>
      </c>
      <c r="L33" s="23">
        <v>436317969</v>
      </c>
      <c r="M33" s="63">
        <f t="shared" si="9"/>
        <v>1.0136000000000001</v>
      </c>
      <c r="N33" s="59">
        <f t="shared" si="10"/>
        <v>750493</v>
      </c>
    </row>
    <row r="34" spans="1:14" x14ac:dyDescent="0.2">
      <c r="A34" s="51">
        <v>45689</v>
      </c>
      <c r="B34" s="51">
        <v>45748</v>
      </c>
      <c r="C34" s="80">
        <f>ROUND('2. Rate Calc'!AG37,5)</f>
        <v>1.67E-3</v>
      </c>
      <c r="D34" s="23">
        <v>399706746</v>
      </c>
      <c r="E34" s="55">
        <f t="shared" si="11"/>
        <v>667510</v>
      </c>
      <c r="F34" s="105">
        <f>AVERAGE('2. Rate Calc'!AD37:AD39)</f>
        <v>486842000</v>
      </c>
      <c r="G34" s="23">
        <v>6899699</v>
      </c>
      <c r="H34" s="58">
        <f t="shared" si="6"/>
        <v>479942301</v>
      </c>
      <c r="I34" s="55">
        <f t="shared" si="7"/>
        <v>801503.64266999997</v>
      </c>
      <c r="J34" s="59">
        <f t="shared" si="8"/>
        <v>-133993.64266999997</v>
      </c>
      <c r="K34" s="23">
        <v>394135849</v>
      </c>
      <c r="L34" s="23">
        <v>389099149</v>
      </c>
      <c r="M34" s="62">
        <f t="shared" si="9"/>
        <v>1.01294</v>
      </c>
      <c r="N34" s="59">
        <f t="shared" si="10"/>
        <v>-135728</v>
      </c>
    </row>
    <row r="35" spans="1:14" x14ac:dyDescent="0.2">
      <c r="A35" s="51">
        <v>45717</v>
      </c>
      <c r="B35" s="51">
        <v>45778</v>
      </c>
      <c r="C35" s="80">
        <f>ROUND('2. Rate Calc'!AG38,5)</f>
        <v>1.67E-3</v>
      </c>
      <c r="D35" s="23">
        <v>390727869</v>
      </c>
      <c r="E35" s="55">
        <f t="shared" si="11"/>
        <v>652516</v>
      </c>
      <c r="F35" s="105">
        <f>F34</f>
        <v>486842000</v>
      </c>
      <c r="G35" s="23">
        <v>5932001</v>
      </c>
      <c r="H35" s="58">
        <f t="shared" si="6"/>
        <v>480909999</v>
      </c>
      <c r="I35" s="55">
        <f t="shared" si="7"/>
        <v>803119.69833000004</v>
      </c>
      <c r="J35" s="59">
        <f t="shared" si="8"/>
        <v>-150603.69833000004</v>
      </c>
      <c r="K35" s="23">
        <v>372175164</v>
      </c>
      <c r="L35" s="23">
        <v>367129626</v>
      </c>
      <c r="M35" s="62">
        <f t="shared" si="9"/>
        <v>1.0137400000000001</v>
      </c>
      <c r="N35" s="59">
        <f t="shared" si="10"/>
        <v>-152673</v>
      </c>
    </row>
    <row r="36" spans="1:14" x14ac:dyDescent="0.2">
      <c r="A36" s="51">
        <v>45748</v>
      </c>
      <c r="B36" s="51">
        <v>45809</v>
      </c>
      <c r="C36" s="80">
        <f>ROUND('2. Rate Calc'!AG39,5)</f>
        <v>1.67E-3</v>
      </c>
      <c r="D36" s="23">
        <v>379889945</v>
      </c>
      <c r="E36" s="55">
        <f t="shared" si="11"/>
        <v>634416</v>
      </c>
      <c r="F36" s="105">
        <f>F35</f>
        <v>486842000</v>
      </c>
      <c r="G36" s="23">
        <v>5036700</v>
      </c>
      <c r="H36" s="58">
        <f t="shared" si="6"/>
        <v>481805300</v>
      </c>
      <c r="I36" s="55">
        <f t="shared" si="7"/>
        <v>804614.85100000002</v>
      </c>
      <c r="J36" s="59">
        <f t="shared" si="8"/>
        <v>-170198.85100000002</v>
      </c>
      <c r="K36" s="43">
        <v>441328196</v>
      </c>
      <c r="L36" s="61">
        <f>K36</f>
        <v>441328196</v>
      </c>
      <c r="M36" s="63">
        <f t="shared" si="9"/>
        <v>1</v>
      </c>
      <c r="N36" s="59">
        <f t="shared" si="10"/>
        <v>-170199</v>
      </c>
    </row>
    <row r="37" spans="1:14" x14ac:dyDescent="0.2">
      <c r="A37" s="51">
        <v>45778</v>
      </c>
      <c r="B37" s="51">
        <v>45839</v>
      </c>
      <c r="C37" s="80">
        <f>ROUND('2. Rate Calc'!AG40,5)</f>
        <v>8.0999999999999996E-4</v>
      </c>
      <c r="D37" s="23">
        <v>478545953</v>
      </c>
      <c r="E37" s="55">
        <f t="shared" si="11"/>
        <v>387622</v>
      </c>
      <c r="F37" s="105">
        <f>AVERAGE('2. Rate Calc'!AD40:AD42)</f>
        <v>526835666.66666669</v>
      </c>
      <c r="G37" s="23">
        <v>5045538</v>
      </c>
      <c r="H37" s="58">
        <f t="shared" si="6"/>
        <v>521790128.66666669</v>
      </c>
      <c r="I37" s="55">
        <f t="shared" si="7"/>
        <v>422650.00422</v>
      </c>
      <c r="J37" s="59">
        <f t="shared" si="8"/>
        <v>-35028.004220000003</v>
      </c>
      <c r="K37" s="23">
        <v>504760607</v>
      </c>
      <c r="L37" s="61">
        <f t="shared" ref="L37:L42" si="13">K37</f>
        <v>504760607</v>
      </c>
      <c r="M37" s="63">
        <f t="shared" si="9"/>
        <v>1</v>
      </c>
      <c r="N37" s="59">
        <f t="shared" si="10"/>
        <v>-35028</v>
      </c>
    </row>
    <row r="38" spans="1:14" x14ac:dyDescent="0.2">
      <c r="A38" s="51">
        <v>45809</v>
      </c>
      <c r="B38" s="51">
        <v>45870</v>
      </c>
      <c r="C38" s="80">
        <f>ROUND('2. Rate Calc'!AG41,5)</f>
        <v>8.0999999999999996E-4</v>
      </c>
      <c r="D38" s="23">
        <v>456237701</v>
      </c>
      <c r="E38" s="55">
        <f t="shared" si="11"/>
        <v>369553</v>
      </c>
      <c r="F38" s="105">
        <f>F37</f>
        <v>526835666.66666669</v>
      </c>
      <c r="G38" s="23">
        <v>0</v>
      </c>
      <c r="H38" s="58">
        <f t="shared" si="6"/>
        <v>526835666.66666669</v>
      </c>
      <c r="I38" s="55">
        <f t="shared" si="7"/>
        <v>426736.89</v>
      </c>
      <c r="J38" s="59">
        <f t="shared" si="8"/>
        <v>-57183.890000000014</v>
      </c>
      <c r="K38" s="23">
        <v>437073485</v>
      </c>
      <c r="L38" s="61">
        <f t="shared" si="13"/>
        <v>437073485</v>
      </c>
      <c r="M38" s="63">
        <f t="shared" si="9"/>
        <v>1</v>
      </c>
      <c r="N38" s="59">
        <f t="shared" si="10"/>
        <v>-57184</v>
      </c>
    </row>
    <row r="39" spans="1:14" x14ac:dyDescent="0.2">
      <c r="A39" s="51">
        <v>45839</v>
      </c>
      <c r="B39" s="51">
        <v>45901</v>
      </c>
      <c r="C39" s="80">
        <f>ROUND('2. Rate Calc'!AG42,5)</f>
        <v>8.0999999999999996E-4</v>
      </c>
      <c r="D39" s="23">
        <v>405197373</v>
      </c>
      <c r="E39" s="55">
        <f t="shared" si="11"/>
        <v>328210</v>
      </c>
      <c r="F39" s="105">
        <f>F38</f>
        <v>526835666.66666669</v>
      </c>
      <c r="G39" s="23">
        <v>0</v>
      </c>
      <c r="H39" s="58">
        <f t="shared" si="6"/>
        <v>526835666.66666669</v>
      </c>
      <c r="I39" s="55">
        <f t="shared" si="7"/>
        <v>426736.89</v>
      </c>
      <c r="J39" s="59">
        <f t="shared" si="8"/>
        <v>-98526.890000000014</v>
      </c>
      <c r="K39" s="23">
        <v>362457407</v>
      </c>
      <c r="L39" s="61">
        <f t="shared" si="13"/>
        <v>362457407</v>
      </c>
      <c r="M39" s="63">
        <f t="shared" si="9"/>
        <v>1</v>
      </c>
      <c r="N39" s="59">
        <f t="shared" si="10"/>
        <v>-98527</v>
      </c>
    </row>
    <row r="40" spans="1:14" x14ac:dyDescent="0.2">
      <c r="A40" s="51">
        <v>45870</v>
      </c>
      <c r="B40" s="51">
        <v>45931</v>
      </c>
      <c r="C40" s="80">
        <f>ROUND('2. Rate Calc'!AG43,5)</f>
        <v>1.75E-3</v>
      </c>
      <c r="D40" s="23">
        <v>351989135</v>
      </c>
      <c r="E40" s="55">
        <f t="shared" si="11"/>
        <v>615981</v>
      </c>
      <c r="F40" s="105">
        <f>AVERAGE('2. Rate Calc'!AD43:AD45)</f>
        <v>528992333.33333331</v>
      </c>
      <c r="G40" s="23">
        <v>0</v>
      </c>
      <c r="H40" s="58">
        <f t="shared" si="6"/>
        <v>528992333.33333331</v>
      </c>
      <c r="I40" s="55">
        <f t="shared" si="7"/>
        <v>925736.58333333337</v>
      </c>
      <c r="J40" s="59">
        <f t="shared" si="8"/>
        <v>-309755.58333333337</v>
      </c>
      <c r="K40" s="23">
        <v>386538129</v>
      </c>
      <c r="L40" s="61">
        <f t="shared" si="13"/>
        <v>386538129</v>
      </c>
      <c r="M40" s="63">
        <f t="shared" si="9"/>
        <v>1</v>
      </c>
      <c r="N40" s="59">
        <f t="shared" si="10"/>
        <v>-309756</v>
      </c>
    </row>
    <row r="41" spans="1:14" x14ac:dyDescent="0.2">
      <c r="A41" s="51">
        <v>45901</v>
      </c>
      <c r="B41" s="51">
        <v>45962</v>
      </c>
      <c r="C41" s="80">
        <f>ROUND('2. Rate Calc'!AG44,5)</f>
        <v>1.75E-3</v>
      </c>
      <c r="D41" s="23">
        <v>374909918</v>
      </c>
      <c r="E41" s="55">
        <f t="shared" si="11"/>
        <v>656092</v>
      </c>
      <c r="F41" s="105">
        <f>F40</f>
        <v>528992333.33333331</v>
      </c>
      <c r="G41" s="23">
        <v>0</v>
      </c>
      <c r="H41" s="58">
        <f t="shared" si="6"/>
        <v>528992333.33333331</v>
      </c>
      <c r="I41" s="55">
        <f t="shared" si="7"/>
        <v>925736.58333333337</v>
      </c>
      <c r="J41" s="59">
        <f t="shared" si="8"/>
        <v>-269644.58333333337</v>
      </c>
      <c r="K41" s="23">
        <v>409375243</v>
      </c>
      <c r="L41" s="61">
        <f t="shared" si="13"/>
        <v>409375243</v>
      </c>
      <c r="M41" s="63">
        <f t="shared" si="9"/>
        <v>1</v>
      </c>
      <c r="N41" s="59">
        <f t="shared" si="10"/>
        <v>-269645</v>
      </c>
    </row>
    <row r="42" spans="1:14" x14ac:dyDescent="0.2">
      <c r="A42" s="51">
        <v>45931</v>
      </c>
      <c r="B42" s="51">
        <v>45992</v>
      </c>
      <c r="C42" s="80">
        <f>ROUND('2. Rate Calc'!AG45,5)</f>
        <v>1.75E-3</v>
      </c>
      <c r="D42" s="23">
        <v>445893578</v>
      </c>
      <c r="E42" s="55">
        <f t="shared" si="11"/>
        <v>780314</v>
      </c>
      <c r="F42" s="105">
        <f>F41</f>
        <v>528992333.33333331</v>
      </c>
      <c r="G42" s="23">
        <v>0</v>
      </c>
      <c r="H42" s="58">
        <f t="shared" si="6"/>
        <v>528992333.33333331</v>
      </c>
      <c r="I42" s="55">
        <f t="shared" si="7"/>
        <v>925736.58333333337</v>
      </c>
      <c r="J42" s="59">
        <f t="shared" si="8"/>
        <v>-145422.58333333337</v>
      </c>
      <c r="K42" s="23">
        <v>506994775</v>
      </c>
      <c r="L42" s="61">
        <f t="shared" si="13"/>
        <v>506994775</v>
      </c>
      <c r="M42" s="63">
        <f t="shared" si="9"/>
        <v>1</v>
      </c>
      <c r="N42" s="59">
        <f t="shared" si="10"/>
        <v>-145423</v>
      </c>
    </row>
    <row r="43" spans="1:14" x14ac:dyDescent="0.2">
      <c r="A43" s="51">
        <v>45962</v>
      </c>
      <c r="B43" s="51">
        <v>46023</v>
      </c>
      <c r="C43" s="23"/>
      <c r="D43" s="23"/>
      <c r="E43" s="55"/>
      <c r="F43" s="61"/>
      <c r="G43" s="23"/>
      <c r="H43" s="58"/>
      <c r="I43" s="55"/>
      <c r="J43" s="59"/>
      <c r="K43" s="23"/>
      <c r="L43" s="61"/>
      <c r="M43" s="63"/>
      <c r="N43" s="59"/>
    </row>
    <row r="44" spans="1:14" x14ac:dyDescent="0.2">
      <c r="A44" s="51">
        <v>45992</v>
      </c>
      <c r="B44" s="51">
        <v>46054</v>
      </c>
      <c r="C44" s="23"/>
      <c r="D44" s="23"/>
      <c r="E44" s="55"/>
      <c r="F44" s="61"/>
      <c r="G44" s="23"/>
      <c r="H44" s="58"/>
      <c r="I44" s="55"/>
      <c r="J44" s="59"/>
      <c r="K44" s="23"/>
      <c r="L44" s="61"/>
      <c r="M44" s="63"/>
      <c r="N44" s="59"/>
    </row>
    <row r="45" spans="1:14" x14ac:dyDescent="0.2">
      <c r="F45" s="56"/>
    </row>
    <row r="46" spans="1:14" x14ac:dyDescent="0.2">
      <c r="F46" s="56"/>
    </row>
    <row r="47" spans="1:14" x14ac:dyDescent="0.2">
      <c r="F47" s="56"/>
    </row>
    <row r="48" spans="1:14" x14ac:dyDescent="0.2">
      <c r="F48" s="5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D7575-3772-4C66-9E44-E230AE8E7200}">
  <sheetPr>
    <tabColor theme="1"/>
  </sheetPr>
  <dimension ref="A1"/>
  <sheetViews>
    <sheetView workbookViewId="0">
      <selection activeCell="O42" sqref="O42"/>
    </sheetView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7D1E9-A4CA-45F9-BCC1-4F4C98FA74BB}">
  <dimension ref="A1:AI53"/>
  <sheetViews>
    <sheetView zoomScale="80" zoomScaleNormal="80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AD22" sqref="AD22"/>
    </sheetView>
  </sheetViews>
  <sheetFormatPr defaultRowHeight="12.75" x14ac:dyDescent="0.2"/>
  <cols>
    <col min="1" max="2" width="14" style="1" customWidth="1"/>
    <col min="3" max="3" width="13.42578125" style="1" bestFit="1" customWidth="1"/>
    <col min="4" max="5" width="12.28515625" style="1" bestFit="1" customWidth="1"/>
    <col min="6" max="6" width="9" style="1" bestFit="1" customWidth="1"/>
    <col min="7" max="7" width="10.5703125" style="1" bestFit="1" customWidth="1"/>
    <col min="8" max="8" width="9.42578125" style="1" customWidth="1"/>
    <col min="9" max="9" width="13.42578125" style="1" bestFit="1" customWidth="1"/>
    <col min="10" max="10" width="15" style="1" bestFit="1" customWidth="1"/>
    <col min="11" max="11" width="13.42578125" style="1" bestFit="1" customWidth="1"/>
    <col min="12" max="12" width="14.5703125" style="1" bestFit="1" customWidth="1"/>
    <col min="13" max="13" width="13.42578125" style="1" bestFit="1" customWidth="1"/>
    <col min="14" max="14" width="16.28515625" style="1" customWidth="1"/>
    <col min="15" max="15" width="13.42578125" style="1" customWidth="1"/>
    <col min="16" max="16" width="17" style="1" customWidth="1"/>
    <col min="17" max="17" width="13" style="1" bestFit="1" customWidth="1"/>
    <col min="18" max="18" width="13.42578125" style="1" bestFit="1" customWidth="1"/>
    <col min="19" max="19" width="12.85546875" style="1" customWidth="1"/>
    <col min="20" max="20" width="13.42578125" style="1" bestFit="1" customWidth="1"/>
    <col min="21" max="21" width="14.42578125" style="1" customWidth="1"/>
    <col min="22" max="24" width="13.42578125" style="1" bestFit="1" customWidth="1"/>
    <col min="25" max="25" width="7.85546875" style="1" bestFit="1" customWidth="1"/>
    <col min="26" max="26" width="13.42578125" style="1" bestFit="1" customWidth="1"/>
    <col min="27" max="27" width="12.28515625" style="1" bestFit="1" customWidth="1"/>
    <col min="28" max="29" width="13.42578125" style="1" bestFit="1" customWidth="1"/>
    <col min="30" max="30" width="14.5703125" style="1" bestFit="1" customWidth="1"/>
    <col min="31" max="32" width="9.5703125" style="1" bestFit="1" customWidth="1"/>
    <col min="33" max="33" width="10.28515625" style="1" bestFit="1" customWidth="1"/>
    <col min="34" max="34" width="14.42578125" style="1" customWidth="1"/>
    <col min="35" max="35" width="12.5703125" style="1" bestFit="1" customWidth="1"/>
    <col min="36" max="16384" width="9.140625" style="1"/>
  </cols>
  <sheetData>
    <row r="1" spans="1:34" s="46" customFormat="1" ht="15.75" x14ac:dyDescent="0.25">
      <c r="A1" s="64" t="s">
        <v>89</v>
      </c>
      <c r="B1" s="64"/>
      <c r="C1" s="64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</row>
    <row r="3" spans="1:34" ht="13.5" thickBot="1" x14ac:dyDescent="0.25"/>
    <row r="4" spans="1:34" s="6" customFormat="1" ht="30.75" customHeight="1" thickBot="1" x14ac:dyDescent="0.3">
      <c r="C4" s="161" t="s">
        <v>28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3"/>
      <c r="V4" s="164" t="s">
        <v>38</v>
      </c>
      <c r="W4" s="165"/>
      <c r="X4" s="165"/>
      <c r="Y4" s="165"/>
      <c r="Z4" s="165"/>
      <c r="AA4" s="165"/>
      <c r="AB4" s="165"/>
      <c r="AC4" s="165"/>
      <c r="AD4" s="52"/>
      <c r="AE4" s="158" t="s">
        <v>40</v>
      </c>
      <c r="AF4" s="159"/>
      <c r="AG4" s="160"/>
      <c r="AH4" s="77"/>
    </row>
    <row r="5" spans="1:34" s="19" customFormat="1" ht="51.75" customHeight="1" x14ac:dyDescent="0.25">
      <c r="C5" s="155" t="s">
        <v>7</v>
      </c>
      <c r="D5" s="156"/>
      <c r="E5" s="156"/>
      <c r="F5" s="156"/>
      <c r="G5" s="156"/>
      <c r="H5" s="156"/>
      <c r="I5" s="157"/>
      <c r="J5" s="155" t="s">
        <v>14</v>
      </c>
      <c r="K5" s="156"/>
      <c r="L5" s="156"/>
      <c r="M5" s="157"/>
      <c r="N5" s="30" t="s">
        <v>15</v>
      </c>
      <c r="O5" s="30" t="s">
        <v>18</v>
      </c>
      <c r="P5" s="30" t="s">
        <v>19</v>
      </c>
      <c r="Q5" s="30" t="s">
        <v>21</v>
      </c>
      <c r="R5" s="30" t="s">
        <v>23</v>
      </c>
      <c r="S5" s="30" t="s">
        <v>25</v>
      </c>
      <c r="T5" s="30" t="s">
        <v>26</v>
      </c>
      <c r="U5" s="66" t="s">
        <v>59</v>
      </c>
      <c r="V5" s="155" t="s">
        <v>31</v>
      </c>
      <c r="W5" s="156"/>
      <c r="X5" s="157"/>
      <c r="Y5" s="155" t="s">
        <v>32</v>
      </c>
      <c r="Z5" s="156"/>
      <c r="AA5" s="156"/>
      <c r="AB5" s="157"/>
      <c r="AC5" s="30" t="s">
        <v>36</v>
      </c>
      <c r="AD5" s="66" t="s">
        <v>87</v>
      </c>
      <c r="AE5" s="155" t="s">
        <v>39</v>
      </c>
      <c r="AF5" s="156"/>
      <c r="AG5" s="157"/>
      <c r="AH5" s="78" t="s">
        <v>60</v>
      </c>
    </row>
    <row r="6" spans="1:34" s="19" customFormat="1" ht="39" customHeight="1" x14ac:dyDescent="0.25">
      <c r="A6" s="2" t="s">
        <v>0</v>
      </c>
      <c r="B6" s="2" t="s">
        <v>43</v>
      </c>
      <c r="C6" s="18" t="s">
        <v>1</v>
      </c>
      <c r="D6" s="19" t="s">
        <v>2</v>
      </c>
      <c r="E6" s="19" t="s">
        <v>3</v>
      </c>
      <c r="F6" s="19" t="s">
        <v>4</v>
      </c>
      <c r="G6" s="19" t="s">
        <v>5</v>
      </c>
      <c r="H6" s="19" t="s">
        <v>6</v>
      </c>
      <c r="I6" s="20" t="s">
        <v>11</v>
      </c>
      <c r="J6" s="18" t="s">
        <v>8</v>
      </c>
      <c r="K6" s="19" t="s">
        <v>9</v>
      </c>
      <c r="L6" s="19" t="s">
        <v>10</v>
      </c>
      <c r="M6" s="20" t="s">
        <v>11</v>
      </c>
      <c r="N6" s="21" t="s">
        <v>16</v>
      </c>
      <c r="O6" s="21" t="s">
        <v>17</v>
      </c>
      <c r="P6" s="21" t="s">
        <v>20</v>
      </c>
      <c r="Q6" s="21" t="s">
        <v>22</v>
      </c>
      <c r="R6" s="21" t="s">
        <v>24</v>
      </c>
      <c r="S6" s="21" t="s">
        <v>16</v>
      </c>
      <c r="T6" s="21" t="s">
        <v>27</v>
      </c>
      <c r="U6" s="67"/>
      <c r="V6" s="18" t="s">
        <v>29</v>
      </c>
      <c r="W6" s="19" t="s">
        <v>30</v>
      </c>
      <c r="X6" s="20" t="s">
        <v>11</v>
      </c>
      <c r="Y6" s="18" t="s">
        <v>33</v>
      </c>
      <c r="Z6" s="19" t="s">
        <v>34</v>
      </c>
      <c r="AA6" s="19" t="s">
        <v>35</v>
      </c>
      <c r="AB6" s="20" t="s">
        <v>11</v>
      </c>
      <c r="AC6" s="21" t="s">
        <v>37</v>
      </c>
      <c r="AD6" s="67"/>
      <c r="AE6" s="18" t="s">
        <v>16</v>
      </c>
      <c r="AF6" s="19" t="s">
        <v>41</v>
      </c>
      <c r="AG6" s="20" t="s">
        <v>42</v>
      </c>
      <c r="AH6" s="78"/>
    </row>
    <row r="7" spans="1:34" s="2" customFormat="1" x14ac:dyDescent="0.2">
      <c r="C7" s="3" t="s">
        <v>12</v>
      </c>
      <c r="D7" s="4" t="s">
        <v>12</v>
      </c>
      <c r="E7" s="4" t="s">
        <v>12</v>
      </c>
      <c r="F7" s="4" t="s">
        <v>12</v>
      </c>
      <c r="G7" s="4" t="s">
        <v>12</v>
      </c>
      <c r="H7" s="4" t="s">
        <v>13</v>
      </c>
      <c r="I7" s="5"/>
      <c r="J7" s="3" t="s">
        <v>12</v>
      </c>
      <c r="K7" s="4" t="s">
        <v>12</v>
      </c>
      <c r="L7" s="4" t="s">
        <v>13</v>
      </c>
      <c r="M7" s="5"/>
      <c r="N7" s="15" t="s">
        <v>13</v>
      </c>
      <c r="O7" s="8"/>
      <c r="P7" s="15" t="s">
        <v>12</v>
      </c>
      <c r="Q7" s="15" t="s">
        <v>13</v>
      </c>
      <c r="R7" s="8"/>
      <c r="S7" s="15" t="s">
        <v>12</v>
      </c>
      <c r="T7" s="8"/>
      <c r="U7" s="68"/>
      <c r="V7" s="3" t="s">
        <v>12</v>
      </c>
      <c r="W7" s="4" t="s">
        <v>12</v>
      </c>
      <c r="X7" s="5"/>
      <c r="Y7" s="3" t="s">
        <v>12</v>
      </c>
      <c r="Z7" s="4" t="s">
        <v>12</v>
      </c>
      <c r="AA7" s="4" t="s">
        <v>12</v>
      </c>
      <c r="AB7" s="5"/>
      <c r="AC7" s="8"/>
      <c r="AD7" s="100"/>
      <c r="AE7" s="24"/>
      <c r="AF7" s="25"/>
      <c r="AG7" s="20"/>
      <c r="AH7" s="79"/>
    </row>
    <row r="8" spans="1:34" x14ac:dyDescent="0.2">
      <c r="A8" s="51">
        <v>44805</v>
      </c>
      <c r="B8" s="51">
        <v>44866</v>
      </c>
      <c r="C8" s="9">
        <v>2857098.77</v>
      </c>
      <c r="D8" s="10">
        <v>21793.8</v>
      </c>
      <c r="E8" s="10">
        <v>214750.49</v>
      </c>
      <c r="F8" s="10">
        <v>0</v>
      </c>
      <c r="G8" s="10">
        <v>0</v>
      </c>
      <c r="H8" s="10">
        <v>0</v>
      </c>
      <c r="I8" s="16">
        <f t="shared" ref="I8:I10" si="0">C8+D8+E8+F8+G8-H8</f>
        <v>3093643.0599999996</v>
      </c>
      <c r="J8" s="9">
        <v>0</v>
      </c>
      <c r="K8" s="10">
        <v>23989817</v>
      </c>
      <c r="L8" s="10">
        <v>0</v>
      </c>
      <c r="M8" s="16">
        <f t="shared" ref="M8:M12" si="1">+J8+K8-L8</f>
        <v>23989817</v>
      </c>
      <c r="N8" s="11">
        <v>561120</v>
      </c>
      <c r="O8" s="37">
        <f t="shared" ref="O8:O11" si="2">I8+M8-N8</f>
        <v>26522340.059999999</v>
      </c>
      <c r="P8" s="11">
        <v>-753922.16999999806</v>
      </c>
      <c r="Q8" s="11">
        <v>-546153</v>
      </c>
      <c r="R8" s="37">
        <f t="shared" ref="R8:R47" si="3">+O8+P8-Q8</f>
        <v>26314570.890000001</v>
      </c>
      <c r="S8" s="11">
        <v>942328.33000000007</v>
      </c>
      <c r="T8" s="37">
        <f t="shared" ref="T8:T10" si="4">R8+S8</f>
        <v>27256899.219999999</v>
      </c>
      <c r="U8" s="48"/>
      <c r="V8" s="24">
        <v>128018000</v>
      </c>
      <c r="W8" s="25">
        <v>307650000</v>
      </c>
      <c r="X8" s="28">
        <f t="shared" ref="X8:X10" si="5">V8+W8</f>
        <v>435668000</v>
      </c>
      <c r="Y8" s="24">
        <v>0</v>
      </c>
      <c r="Z8" s="25">
        <v>7069000</v>
      </c>
      <c r="AA8" s="25">
        <v>24331856</v>
      </c>
      <c r="AB8" s="28">
        <f t="shared" ref="AB8:AB10" si="6">Y8+Z8+AA8</f>
        <v>31400856</v>
      </c>
      <c r="AC8" s="31">
        <f t="shared" ref="AC8:AC10" si="7">X8-AB8</f>
        <v>404267144</v>
      </c>
      <c r="AD8" s="101"/>
      <c r="AE8" s="36">
        <f t="shared" ref="AE8:AE21" si="8">T8/AC8</f>
        <v>6.742298904211716E-2</v>
      </c>
      <c r="AF8" s="33">
        <v>2.6120000000000001E-2</v>
      </c>
      <c r="AG8" s="34">
        <f t="shared" ref="AG8:AG10" si="9">+AE8-AF8</f>
        <v>4.1302989042117155E-2</v>
      </c>
      <c r="AH8" s="76"/>
    </row>
    <row r="9" spans="1:34" x14ac:dyDescent="0.2">
      <c r="A9" s="51">
        <v>44835</v>
      </c>
      <c r="B9" s="51">
        <v>44896</v>
      </c>
      <c r="C9" s="9">
        <v>0</v>
      </c>
      <c r="D9" s="10">
        <v>0</v>
      </c>
      <c r="E9" s="10">
        <v>504601.2</v>
      </c>
      <c r="F9" s="10">
        <v>0</v>
      </c>
      <c r="G9" s="10">
        <v>0</v>
      </c>
      <c r="H9" s="10">
        <v>0</v>
      </c>
      <c r="I9" s="16">
        <f t="shared" si="0"/>
        <v>504601.2</v>
      </c>
      <c r="J9" s="9">
        <v>0</v>
      </c>
      <c r="K9" s="10">
        <v>25535944</v>
      </c>
      <c r="L9" s="10">
        <v>0</v>
      </c>
      <c r="M9" s="16">
        <f t="shared" si="1"/>
        <v>25535944</v>
      </c>
      <c r="N9" s="11">
        <v>486786</v>
      </c>
      <c r="O9" s="37">
        <f t="shared" si="2"/>
        <v>25553759.199999999</v>
      </c>
      <c r="P9" s="41">
        <v>-901832.16999999806</v>
      </c>
      <c r="Q9" s="11">
        <v>-1682915</v>
      </c>
      <c r="R9" s="37">
        <f t="shared" si="3"/>
        <v>26334842.030000001</v>
      </c>
      <c r="S9" s="11">
        <v>1231254.0400000003</v>
      </c>
      <c r="T9" s="37">
        <f t="shared" si="4"/>
        <v>27566096.07</v>
      </c>
      <c r="U9" s="48"/>
      <c r="V9" s="24">
        <v>0</v>
      </c>
      <c r="W9" s="25">
        <v>437101000</v>
      </c>
      <c r="X9" s="28">
        <f t="shared" si="5"/>
        <v>437101000</v>
      </c>
      <c r="Y9" s="24">
        <v>0</v>
      </c>
      <c r="Z9" s="25">
        <v>8431000</v>
      </c>
      <c r="AA9" s="25">
        <v>23617701</v>
      </c>
      <c r="AB9" s="28">
        <f t="shared" si="6"/>
        <v>32048701</v>
      </c>
      <c r="AC9" s="31">
        <f t="shared" si="7"/>
        <v>405052299</v>
      </c>
      <c r="AD9" s="101"/>
      <c r="AE9" s="36">
        <f t="shared" si="8"/>
        <v>6.8055646488257557E-2</v>
      </c>
      <c r="AF9" s="33">
        <v>2.6120000000000001E-2</v>
      </c>
      <c r="AG9" s="34">
        <f t="shared" si="9"/>
        <v>4.1935646488257552E-2</v>
      </c>
      <c r="AH9" s="76"/>
    </row>
    <row r="10" spans="1:34" x14ac:dyDescent="0.2">
      <c r="A10" s="51">
        <v>44866</v>
      </c>
      <c r="B10" s="51">
        <v>44927</v>
      </c>
      <c r="C10" s="9">
        <v>1122582.51</v>
      </c>
      <c r="D10" s="10">
        <v>343157.88</v>
      </c>
      <c r="E10" s="10">
        <v>490104.03</v>
      </c>
      <c r="F10" s="10">
        <v>0</v>
      </c>
      <c r="G10" s="10">
        <v>0</v>
      </c>
      <c r="H10" s="10">
        <v>0</v>
      </c>
      <c r="I10" s="16">
        <f t="shared" si="0"/>
        <v>1955844.4200000002</v>
      </c>
      <c r="J10" s="9">
        <v>0</v>
      </c>
      <c r="K10" s="10">
        <v>26299506</v>
      </c>
      <c r="L10" s="10">
        <v>0</v>
      </c>
      <c r="M10" s="16">
        <f t="shared" si="1"/>
        <v>26299506</v>
      </c>
      <c r="N10" s="11">
        <v>847309</v>
      </c>
      <c r="O10" s="37">
        <f t="shared" si="2"/>
        <v>27408041.420000002</v>
      </c>
      <c r="P10" s="11">
        <v>-259372.94999999925</v>
      </c>
      <c r="Q10" s="11">
        <v>-383931</v>
      </c>
      <c r="R10" s="37">
        <f t="shared" si="3"/>
        <v>27532599.470000003</v>
      </c>
      <c r="S10" s="11">
        <v>650679.95000000019</v>
      </c>
      <c r="T10" s="37">
        <f t="shared" si="4"/>
        <v>28183279.420000002</v>
      </c>
      <c r="U10" s="48"/>
      <c r="V10" s="24">
        <v>4982000</v>
      </c>
      <c r="W10" s="25">
        <v>479292000</v>
      </c>
      <c r="X10" s="28">
        <f t="shared" si="5"/>
        <v>484274000</v>
      </c>
      <c r="Y10" s="24">
        <v>0</v>
      </c>
      <c r="Z10" s="44">
        <v>17615000</v>
      </c>
      <c r="AA10" s="25">
        <v>25952870</v>
      </c>
      <c r="AB10" s="28">
        <f t="shared" si="6"/>
        <v>43567870</v>
      </c>
      <c r="AC10" s="31">
        <f t="shared" si="7"/>
        <v>440706130</v>
      </c>
      <c r="AD10" s="101"/>
      <c r="AE10" s="36">
        <f t="shared" si="8"/>
        <v>6.3950277750844997E-2</v>
      </c>
      <c r="AF10" s="33">
        <v>2.6120000000000001E-2</v>
      </c>
      <c r="AG10" s="34">
        <f t="shared" si="9"/>
        <v>3.7830277750844993E-2</v>
      </c>
      <c r="AH10" s="76"/>
    </row>
    <row r="11" spans="1:34" x14ac:dyDescent="0.2">
      <c r="A11" s="51">
        <v>44896</v>
      </c>
      <c r="B11" s="51">
        <v>44958</v>
      </c>
      <c r="C11" s="9">
        <v>7046750.1299999999</v>
      </c>
      <c r="D11" s="10">
        <v>1077343.8</v>
      </c>
      <c r="E11" s="10">
        <v>503491.9</v>
      </c>
      <c r="F11" s="10">
        <v>0</v>
      </c>
      <c r="G11" s="10">
        <v>0</v>
      </c>
      <c r="H11" s="10">
        <v>0</v>
      </c>
      <c r="I11" s="16">
        <f>C11+D11+E11+F11+G11-H11</f>
        <v>8627585.8300000001</v>
      </c>
      <c r="J11" s="9">
        <v>0</v>
      </c>
      <c r="K11" s="10">
        <v>37013497</v>
      </c>
      <c r="L11" s="10">
        <v>0</v>
      </c>
      <c r="M11" s="16">
        <f t="shared" si="1"/>
        <v>37013497</v>
      </c>
      <c r="N11" s="11">
        <v>1859181</v>
      </c>
      <c r="O11" s="37">
        <f t="shared" si="2"/>
        <v>43781901.829999998</v>
      </c>
      <c r="P11" s="11">
        <v>3525.0200000032783</v>
      </c>
      <c r="Q11" s="11">
        <v>4078665</v>
      </c>
      <c r="R11" s="37">
        <f t="shared" si="3"/>
        <v>39706761.850000001</v>
      </c>
      <c r="S11" s="11">
        <v>1302348.2099999995</v>
      </c>
      <c r="T11" s="37">
        <f>R11+S11</f>
        <v>41009110.060000002</v>
      </c>
      <c r="U11" s="48"/>
      <c r="V11" s="24">
        <v>189231000</v>
      </c>
      <c r="W11" s="25">
        <v>400310000</v>
      </c>
      <c r="X11" s="28">
        <f>V11+W11</f>
        <v>589541000</v>
      </c>
      <c r="Y11" s="24">
        <v>0</v>
      </c>
      <c r="Z11" s="25">
        <v>28200000</v>
      </c>
      <c r="AA11" s="25">
        <v>30469788</v>
      </c>
      <c r="AB11" s="28">
        <f>Y11+Z11+AA11</f>
        <v>58669788</v>
      </c>
      <c r="AC11" s="31">
        <f>X11-AB11</f>
        <v>530871212</v>
      </c>
      <c r="AD11" s="101"/>
      <c r="AE11" s="36">
        <f t="shared" si="8"/>
        <v>7.7248698239828467E-2</v>
      </c>
      <c r="AF11" s="33">
        <v>2.6120000000000001E-2</v>
      </c>
      <c r="AG11" s="34">
        <f>+AE11-AF11</f>
        <v>5.1128698239828463E-2</v>
      </c>
      <c r="AH11" s="76"/>
    </row>
    <row r="12" spans="1:34" x14ac:dyDescent="0.2">
      <c r="A12" s="51">
        <v>44927</v>
      </c>
      <c r="B12" s="51">
        <v>44986</v>
      </c>
      <c r="C12" s="9">
        <v>518411.2</v>
      </c>
      <c r="D12" s="10">
        <v>828922.64</v>
      </c>
      <c r="E12" s="10">
        <v>2371054.9300000002</v>
      </c>
      <c r="F12" s="10">
        <v>0</v>
      </c>
      <c r="G12" s="10">
        <v>0</v>
      </c>
      <c r="H12" s="10">
        <v>0</v>
      </c>
      <c r="I12" s="16">
        <f>C12+D12+E12+F12+G12-H12</f>
        <v>3718388.7700000005</v>
      </c>
      <c r="J12" s="9">
        <v>0</v>
      </c>
      <c r="K12" s="10">
        <v>18050357</v>
      </c>
      <c r="L12" s="10">
        <v>0</v>
      </c>
      <c r="M12" s="16">
        <f t="shared" si="1"/>
        <v>18050357</v>
      </c>
      <c r="N12" s="11">
        <v>1428737</v>
      </c>
      <c r="O12" s="37">
        <f>I12+M12-N12</f>
        <v>20340008.77</v>
      </c>
      <c r="P12" s="11">
        <v>-12787708.145126998</v>
      </c>
      <c r="Q12" s="11">
        <v>4443701</v>
      </c>
      <c r="R12" s="37">
        <f t="shared" si="3"/>
        <v>3108599.6248730011</v>
      </c>
      <c r="S12" s="11">
        <v>509277.74000000057</v>
      </c>
      <c r="T12" s="37">
        <f t="shared" ref="T12:T47" si="10">R12+S12</f>
        <v>3617877.3648730018</v>
      </c>
      <c r="U12" s="48"/>
      <c r="V12" s="24">
        <v>77204000</v>
      </c>
      <c r="W12" s="25">
        <v>487037000</v>
      </c>
      <c r="X12" s="28">
        <f>V12+W12</f>
        <v>564241000</v>
      </c>
      <c r="Y12" s="24">
        <v>0</v>
      </c>
      <c r="Z12" s="25">
        <v>36825000</v>
      </c>
      <c r="AA12" s="25">
        <v>27569150</v>
      </c>
      <c r="AB12" s="28">
        <f>Y12+Z12+AA12</f>
        <v>64394150</v>
      </c>
      <c r="AC12" s="31">
        <f>X12-AB12</f>
        <v>499846850</v>
      </c>
      <c r="AD12" s="101"/>
      <c r="AE12" s="36">
        <f t="shared" si="8"/>
        <v>7.2379717204839877E-3</v>
      </c>
      <c r="AF12" s="33">
        <v>2.6120000000000001E-2</v>
      </c>
      <c r="AG12" s="34">
        <f>+AE12-AF12</f>
        <v>-1.8882028279516013E-2</v>
      </c>
      <c r="AH12" s="76"/>
    </row>
    <row r="13" spans="1:34" x14ac:dyDescent="0.2">
      <c r="A13" s="51">
        <v>44958</v>
      </c>
      <c r="B13" s="51">
        <v>45017</v>
      </c>
      <c r="C13" s="9">
        <v>6587292.4900000002</v>
      </c>
      <c r="D13" s="10">
        <v>-36639.75</v>
      </c>
      <c r="E13" s="10">
        <v>4383285.93</v>
      </c>
      <c r="F13" s="10">
        <v>0</v>
      </c>
      <c r="G13" s="10">
        <v>0</v>
      </c>
      <c r="H13" s="10">
        <v>0</v>
      </c>
      <c r="I13" s="16">
        <f t="shared" ref="I13:I47" si="11">C13+D13+E13+F13+G13-H13</f>
        <v>10933938.67</v>
      </c>
      <c r="J13" s="9">
        <v>0</v>
      </c>
      <c r="K13" s="10">
        <v>4599403</v>
      </c>
      <c r="L13" s="10">
        <v>0</v>
      </c>
      <c r="M13" s="16">
        <f t="shared" ref="M13:M47" si="12">SUM(J13:L13)</f>
        <v>4599403</v>
      </c>
      <c r="N13" s="11">
        <v>552709</v>
      </c>
      <c r="O13" s="37">
        <f t="shared" ref="O13:O47" si="13">I13+M13-N13</f>
        <v>14980632.67</v>
      </c>
      <c r="P13" s="11">
        <v>13765.860000003129</v>
      </c>
      <c r="Q13" s="47">
        <v>-3196384</v>
      </c>
      <c r="R13" s="37">
        <f t="shared" si="3"/>
        <v>18190782.530000001</v>
      </c>
      <c r="S13" s="11">
        <v>-105272.40000000037</v>
      </c>
      <c r="T13" s="37">
        <f t="shared" si="10"/>
        <v>18085510.130000003</v>
      </c>
      <c r="U13" s="48"/>
      <c r="V13" s="24">
        <v>317934000</v>
      </c>
      <c r="W13" s="25">
        <v>140551000</v>
      </c>
      <c r="X13" s="28">
        <f t="shared" ref="X13:X47" si="14">V13+W13</f>
        <v>458485000</v>
      </c>
      <c r="Y13" s="24">
        <v>0</v>
      </c>
      <c r="Z13" s="25">
        <v>14970000</v>
      </c>
      <c r="AA13" s="25">
        <v>22393947</v>
      </c>
      <c r="AB13" s="28">
        <f t="shared" ref="AB13:AB47" si="15">Y13+Z13+AA13</f>
        <v>37363947</v>
      </c>
      <c r="AC13" s="31">
        <f t="shared" ref="AC13:AC47" si="16">X13-AB13</f>
        <v>421121053</v>
      </c>
      <c r="AD13" s="101"/>
      <c r="AE13" s="36">
        <f t="shared" si="8"/>
        <v>4.2946107778658128E-2</v>
      </c>
      <c r="AF13" s="33">
        <v>2.6120000000000001E-2</v>
      </c>
      <c r="AG13" s="34">
        <f t="shared" ref="AG13:AG47" si="17">+AE13-AF13</f>
        <v>1.6826107778658127E-2</v>
      </c>
      <c r="AH13" s="76"/>
    </row>
    <row r="14" spans="1:34" x14ac:dyDescent="0.2">
      <c r="A14" s="51">
        <v>44986</v>
      </c>
      <c r="B14" s="51">
        <v>45047</v>
      </c>
      <c r="C14" s="9">
        <v>6740326.6299999999</v>
      </c>
      <c r="D14" s="10">
        <v>160547.45000000001</v>
      </c>
      <c r="E14" s="10">
        <v>3391902.43</v>
      </c>
      <c r="F14" s="10">
        <v>0</v>
      </c>
      <c r="G14" s="10">
        <v>0</v>
      </c>
      <c r="H14" s="10">
        <v>0</v>
      </c>
      <c r="I14" s="16">
        <f t="shared" si="11"/>
        <v>10292776.51</v>
      </c>
      <c r="J14" s="9">
        <v>0</v>
      </c>
      <c r="K14" s="10">
        <v>4073187.29</v>
      </c>
      <c r="L14" s="10">
        <v>0</v>
      </c>
      <c r="M14" s="16">
        <f t="shared" si="12"/>
        <v>4073187.29</v>
      </c>
      <c r="N14" s="11">
        <v>855780.98400000005</v>
      </c>
      <c r="O14" s="37">
        <f t="shared" si="13"/>
        <v>13510182.816000002</v>
      </c>
      <c r="P14" s="11">
        <v>-286579.11926597543</v>
      </c>
      <c r="Q14" s="47">
        <v>1176376</v>
      </c>
      <c r="R14" s="37">
        <f t="shared" si="3"/>
        <v>12047227.696734026</v>
      </c>
      <c r="S14" s="41">
        <v>784504.06999999948</v>
      </c>
      <c r="T14" s="37">
        <f t="shared" si="10"/>
        <v>12831731.766734026</v>
      </c>
      <c r="U14" s="48"/>
      <c r="V14" s="24">
        <v>362421000</v>
      </c>
      <c r="W14" s="25">
        <v>144299000</v>
      </c>
      <c r="X14" s="28">
        <f t="shared" si="14"/>
        <v>506720000</v>
      </c>
      <c r="Y14" s="24">
        <v>0</v>
      </c>
      <c r="Z14" s="25">
        <v>31841000</v>
      </c>
      <c r="AA14" s="25">
        <v>23145973</v>
      </c>
      <c r="AB14" s="28">
        <f t="shared" si="15"/>
        <v>54986973</v>
      </c>
      <c r="AC14" s="31">
        <f t="shared" si="16"/>
        <v>451733027</v>
      </c>
      <c r="AD14" s="101"/>
      <c r="AE14" s="36">
        <f t="shared" si="8"/>
        <v>2.840556479111284E-2</v>
      </c>
      <c r="AF14" s="33">
        <v>2.6120000000000001E-2</v>
      </c>
      <c r="AG14" s="34">
        <f t="shared" si="17"/>
        <v>2.2855647911128388E-3</v>
      </c>
      <c r="AH14" s="76"/>
    </row>
    <row r="15" spans="1:34" x14ac:dyDescent="0.2">
      <c r="A15" s="51">
        <v>45017</v>
      </c>
      <c r="B15" s="51">
        <v>45078</v>
      </c>
      <c r="C15" s="9">
        <v>2008819.49</v>
      </c>
      <c r="D15" s="10">
        <v>288388.32</v>
      </c>
      <c r="E15" s="10">
        <v>1257326.02</v>
      </c>
      <c r="F15" s="10">
        <v>0</v>
      </c>
      <c r="G15" s="10">
        <v>0</v>
      </c>
      <c r="H15" s="10">
        <v>0</v>
      </c>
      <c r="I15" s="16">
        <f t="shared" si="11"/>
        <v>3554533.83</v>
      </c>
      <c r="J15" s="9">
        <v>0</v>
      </c>
      <c r="K15" s="10">
        <v>9498651</v>
      </c>
      <c r="L15" s="10">
        <v>0</v>
      </c>
      <c r="M15" s="16">
        <f t="shared" si="12"/>
        <v>9498651</v>
      </c>
      <c r="N15" s="11">
        <v>272262</v>
      </c>
      <c r="O15" s="37">
        <f t="shared" si="13"/>
        <v>12780922.83</v>
      </c>
      <c r="P15" s="11">
        <v>-33425.769120000303</v>
      </c>
      <c r="Q15" s="47">
        <v>50207</v>
      </c>
      <c r="R15" s="37">
        <f t="shared" si="3"/>
        <v>12697290.06088</v>
      </c>
      <c r="S15" s="11">
        <v>804948.04999999946</v>
      </c>
      <c r="T15" s="37">
        <f t="shared" si="10"/>
        <v>13502238.110879999</v>
      </c>
      <c r="U15" s="48"/>
      <c r="V15" s="24">
        <v>102677000</v>
      </c>
      <c r="W15" s="25">
        <v>314286000</v>
      </c>
      <c r="X15" s="28">
        <f t="shared" si="14"/>
        <v>416963000</v>
      </c>
      <c r="Y15" s="24">
        <v>0</v>
      </c>
      <c r="Z15" s="25">
        <v>8411000</v>
      </c>
      <c r="AA15" s="25">
        <v>19607728</v>
      </c>
      <c r="AB15" s="28">
        <f t="shared" si="15"/>
        <v>28018728</v>
      </c>
      <c r="AC15" s="31">
        <f t="shared" si="16"/>
        <v>388944272</v>
      </c>
      <c r="AD15" s="101"/>
      <c r="AE15" s="36">
        <f t="shared" si="8"/>
        <v>3.4715096950650039E-2</v>
      </c>
      <c r="AF15" s="33">
        <v>2.6120000000000001E-2</v>
      </c>
      <c r="AG15" s="34">
        <f t="shared" si="17"/>
        <v>8.5950969506500378E-3</v>
      </c>
      <c r="AH15" s="76"/>
    </row>
    <row r="16" spans="1:34" x14ac:dyDescent="0.2">
      <c r="A16" s="51">
        <v>45047</v>
      </c>
      <c r="B16" s="51">
        <v>45108</v>
      </c>
      <c r="C16" s="9">
        <v>3677601.31</v>
      </c>
      <c r="D16" s="10">
        <v>423217.89</v>
      </c>
      <c r="E16" s="10">
        <v>1656522.68</v>
      </c>
      <c r="F16" s="10">
        <v>0</v>
      </c>
      <c r="G16" s="10">
        <v>0</v>
      </c>
      <c r="H16" s="10">
        <v>0</v>
      </c>
      <c r="I16" s="16">
        <f t="shared" si="11"/>
        <v>5757341.8799999999</v>
      </c>
      <c r="J16" s="9">
        <v>0</v>
      </c>
      <c r="K16" s="10">
        <v>7798248</v>
      </c>
      <c r="L16" s="10">
        <v>0</v>
      </c>
      <c r="M16" s="16">
        <f t="shared" si="12"/>
        <v>7798248</v>
      </c>
      <c r="N16" s="11">
        <v>559930</v>
      </c>
      <c r="O16" s="37">
        <f t="shared" si="13"/>
        <v>12995659.879999999</v>
      </c>
      <c r="P16" s="11">
        <v>12127.689999999478</v>
      </c>
      <c r="Q16" s="47">
        <v>-123902</v>
      </c>
      <c r="R16" s="37">
        <f t="shared" si="3"/>
        <v>13131689.569999998</v>
      </c>
      <c r="S16" s="11">
        <v>-772208.30000000051</v>
      </c>
      <c r="T16" s="37">
        <f t="shared" si="10"/>
        <v>12359481.269999998</v>
      </c>
      <c r="U16" s="48"/>
      <c r="V16" s="24">
        <v>162915000</v>
      </c>
      <c r="W16" s="25">
        <v>281388000</v>
      </c>
      <c r="X16" s="28">
        <f t="shared" si="14"/>
        <v>444303000</v>
      </c>
      <c r="Y16" s="24">
        <v>0</v>
      </c>
      <c r="Z16" s="25">
        <v>22433000</v>
      </c>
      <c r="AA16" s="25">
        <v>23355636</v>
      </c>
      <c r="AB16" s="28">
        <f t="shared" si="15"/>
        <v>45788636</v>
      </c>
      <c r="AC16" s="31">
        <f t="shared" si="16"/>
        <v>398514364</v>
      </c>
      <c r="AD16" s="101"/>
      <c r="AE16" s="36">
        <f t="shared" si="8"/>
        <v>3.1013891559502228E-2</v>
      </c>
      <c r="AF16" s="33">
        <v>2.6120000000000001E-2</v>
      </c>
      <c r="AG16" s="34">
        <f t="shared" si="17"/>
        <v>4.8938915595022267E-3</v>
      </c>
      <c r="AH16" s="76"/>
    </row>
    <row r="17" spans="1:35" x14ac:dyDescent="0.2">
      <c r="A17" s="51">
        <v>45078</v>
      </c>
      <c r="B17" s="51">
        <v>45139</v>
      </c>
      <c r="C17" s="9">
        <v>7832659.96</v>
      </c>
      <c r="D17" s="10">
        <v>371915.22</v>
      </c>
      <c r="E17" s="10">
        <v>2183171.44</v>
      </c>
      <c r="F17" s="10">
        <v>0</v>
      </c>
      <c r="G17" s="10">
        <v>0</v>
      </c>
      <c r="H17" s="10">
        <v>0</v>
      </c>
      <c r="I17" s="16">
        <f t="shared" si="11"/>
        <v>10387746.619999999</v>
      </c>
      <c r="J17" s="9">
        <v>0</v>
      </c>
      <c r="K17" s="10">
        <v>4265257</v>
      </c>
      <c r="L17" s="10">
        <v>0</v>
      </c>
      <c r="M17" s="16">
        <f t="shared" si="12"/>
        <v>4265257</v>
      </c>
      <c r="N17" s="11">
        <v>1745540</v>
      </c>
      <c r="O17" s="37">
        <f t="shared" si="13"/>
        <v>12907463.619999999</v>
      </c>
      <c r="P17" s="11">
        <v>112701.44070900045</v>
      </c>
      <c r="Q17" s="47">
        <v>136617</v>
      </c>
      <c r="R17" s="37">
        <f t="shared" si="3"/>
        <v>12883548.060709</v>
      </c>
      <c r="S17" s="11">
        <v>637479.33000000007</v>
      </c>
      <c r="T17" s="37">
        <f t="shared" si="10"/>
        <v>13521027.390709</v>
      </c>
      <c r="U17" s="48"/>
      <c r="V17" s="24">
        <v>322868000</v>
      </c>
      <c r="W17" s="25">
        <v>170792000</v>
      </c>
      <c r="X17" s="28">
        <f t="shared" si="14"/>
        <v>493660000</v>
      </c>
      <c r="Y17" s="24">
        <v>0</v>
      </c>
      <c r="Z17" s="25">
        <v>53798000</v>
      </c>
      <c r="AA17" s="25">
        <v>22177029</v>
      </c>
      <c r="AB17" s="28">
        <f t="shared" si="15"/>
        <v>75975029</v>
      </c>
      <c r="AC17" s="31">
        <f t="shared" si="16"/>
        <v>417684971</v>
      </c>
      <c r="AD17" s="101"/>
      <c r="AE17" s="36">
        <f t="shared" si="8"/>
        <v>3.2371352405468762E-2</v>
      </c>
      <c r="AF17" s="33">
        <v>2.6120000000000001E-2</v>
      </c>
      <c r="AG17" s="34">
        <f t="shared" si="17"/>
        <v>6.2513524054687609E-3</v>
      </c>
      <c r="AH17" s="76"/>
    </row>
    <row r="18" spans="1:35" x14ac:dyDescent="0.2">
      <c r="A18" s="51">
        <v>45108</v>
      </c>
      <c r="B18" s="51">
        <v>45170</v>
      </c>
      <c r="C18" s="9">
        <v>12253057.66</v>
      </c>
      <c r="D18" s="10">
        <v>269148.78000000003</v>
      </c>
      <c r="E18" s="10">
        <v>3195400.7</v>
      </c>
      <c r="F18" s="10">
        <v>0</v>
      </c>
      <c r="G18" s="10">
        <v>0</v>
      </c>
      <c r="H18" s="10">
        <v>0</v>
      </c>
      <c r="I18" s="16">
        <f t="shared" si="11"/>
        <v>15717607.140000001</v>
      </c>
      <c r="J18" s="9">
        <v>0</v>
      </c>
      <c r="K18" s="10">
        <v>5072967</v>
      </c>
      <c r="L18" s="10">
        <v>0</v>
      </c>
      <c r="M18" s="16">
        <f t="shared" si="12"/>
        <v>5072967</v>
      </c>
      <c r="N18" s="11">
        <v>4986720</v>
      </c>
      <c r="O18" s="37">
        <f t="shared" si="13"/>
        <v>15803854.140000001</v>
      </c>
      <c r="P18" s="11">
        <v>-87098.171222999692</v>
      </c>
      <c r="Q18" s="47">
        <v>189157</v>
      </c>
      <c r="R18" s="37">
        <f t="shared" si="3"/>
        <v>15527598.968777001</v>
      </c>
      <c r="S18" s="11">
        <v>1188567.4799999997</v>
      </c>
      <c r="T18" s="37">
        <f t="shared" si="10"/>
        <v>16716166.448777001</v>
      </c>
      <c r="U18" s="48"/>
      <c r="V18" s="24">
        <v>511463000</v>
      </c>
      <c r="W18" s="25">
        <v>128348000</v>
      </c>
      <c r="X18" s="28">
        <f t="shared" si="14"/>
        <v>639811000</v>
      </c>
      <c r="Y18" s="24">
        <v>0</v>
      </c>
      <c r="Z18" s="25">
        <v>136516000</v>
      </c>
      <c r="AA18" s="25">
        <v>24361135</v>
      </c>
      <c r="AB18" s="28">
        <f t="shared" si="15"/>
        <v>160877135</v>
      </c>
      <c r="AC18" s="31">
        <f t="shared" si="16"/>
        <v>478933865</v>
      </c>
      <c r="AD18" s="101"/>
      <c r="AE18" s="36">
        <f t="shared" si="8"/>
        <v>3.4902870041935749E-2</v>
      </c>
      <c r="AF18" s="33">
        <v>2.6120000000000001E-2</v>
      </c>
      <c r="AG18" s="34">
        <f t="shared" si="17"/>
        <v>8.7828700419357482E-3</v>
      </c>
      <c r="AH18" s="76"/>
      <c r="AI18" s="99"/>
    </row>
    <row r="19" spans="1:35" x14ac:dyDescent="0.2">
      <c r="A19" s="51">
        <v>45139</v>
      </c>
      <c r="B19" s="51">
        <v>45200</v>
      </c>
      <c r="C19" s="9">
        <v>9555066.0399999991</v>
      </c>
      <c r="D19" s="10">
        <v>227693.73</v>
      </c>
      <c r="E19" s="10">
        <v>2829870.17</v>
      </c>
      <c r="F19" s="10">
        <v>0</v>
      </c>
      <c r="G19" s="10">
        <v>0</v>
      </c>
      <c r="H19" s="10">
        <v>0</v>
      </c>
      <c r="I19" s="16">
        <f t="shared" si="11"/>
        <v>12612629.939999999</v>
      </c>
      <c r="J19" s="9">
        <v>0</v>
      </c>
      <c r="K19" s="10">
        <v>5362326</v>
      </c>
      <c r="L19" s="10">
        <v>0</v>
      </c>
      <c r="M19" s="16">
        <f t="shared" si="12"/>
        <v>5362326</v>
      </c>
      <c r="N19" s="11">
        <v>1317062</v>
      </c>
      <c r="O19" s="37">
        <f t="shared" si="13"/>
        <v>16657893.939999998</v>
      </c>
      <c r="P19" s="47">
        <v>-648422.7833849974</v>
      </c>
      <c r="Q19" s="11">
        <v>285660</v>
      </c>
      <c r="R19" s="37">
        <f t="shared" si="3"/>
        <v>15723811.156615</v>
      </c>
      <c r="S19" s="11">
        <v>1027359.7500000005</v>
      </c>
      <c r="T19" s="37">
        <f t="shared" si="10"/>
        <v>16751170.906615</v>
      </c>
      <c r="U19" s="48"/>
      <c r="V19" s="24">
        <v>381388000</v>
      </c>
      <c r="W19" s="25">
        <v>154089000</v>
      </c>
      <c r="X19" s="28">
        <f t="shared" si="14"/>
        <v>535477000</v>
      </c>
      <c r="Y19" s="24">
        <v>0</v>
      </c>
      <c r="Z19" s="43">
        <v>44066000</v>
      </c>
      <c r="AA19" s="25">
        <v>24282269</v>
      </c>
      <c r="AB19" s="28">
        <f t="shared" si="15"/>
        <v>68348269</v>
      </c>
      <c r="AC19" s="31">
        <f t="shared" si="16"/>
        <v>467128731</v>
      </c>
      <c r="AD19" s="101"/>
      <c r="AE19" s="36">
        <f t="shared" si="8"/>
        <v>3.5859860023499605E-2</v>
      </c>
      <c r="AF19" s="33">
        <v>2.6120000000000001E-2</v>
      </c>
      <c r="AG19" s="34">
        <f t="shared" si="17"/>
        <v>9.7398600234996045E-3</v>
      </c>
      <c r="AH19" s="76"/>
      <c r="AI19" s="57"/>
    </row>
    <row r="20" spans="1:35" x14ac:dyDescent="0.2">
      <c r="A20" s="51">
        <v>45170</v>
      </c>
      <c r="B20" s="51">
        <v>45231</v>
      </c>
      <c r="C20" s="9">
        <v>3047271.52</v>
      </c>
      <c r="D20" s="10">
        <v>52501.77</v>
      </c>
      <c r="E20" s="10">
        <v>1494555.02</v>
      </c>
      <c r="F20" s="10">
        <v>0</v>
      </c>
      <c r="G20" s="10">
        <v>0</v>
      </c>
      <c r="H20" s="10">
        <v>0</v>
      </c>
      <c r="I20" s="16">
        <f t="shared" si="11"/>
        <v>4594328.3100000005</v>
      </c>
      <c r="J20" s="9">
        <v>0</v>
      </c>
      <c r="K20" s="10">
        <v>10000868</v>
      </c>
      <c r="L20" s="10">
        <v>0</v>
      </c>
      <c r="M20" s="16">
        <f t="shared" si="12"/>
        <v>10000868</v>
      </c>
      <c r="N20" s="11">
        <v>992568</v>
      </c>
      <c r="O20" s="37">
        <f t="shared" si="13"/>
        <v>13602628.310000001</v>
      </c>
      <c r="P20" s="11">
        <v>-977113.27900000103</v>
      </c>
      <c r="Q20" s="11">
        <v>-252813</v>
      </c>
      <c r="R20" s="37">
        <f t="shared" si="3"/>
        <v>12878328.030999999</v>
      </c>
      <c r="S20" s="11">
        <v>919975.7799999998</v>
      </c>
      <c r="T20" s="37">
        <f t="shared" si="10"/>
        <v>13798303.810999999</v>
      </c>
      <c r="U20" s="48"/>
      <c r="V20" s="24">
        <v>142262000</v>
      </c>
      <c r="W20" s="25">
        <v>305021000</v>
      </c>
      <c r="X20" s="28">
        <f t="shared" si="14"/>
        <v>447283000</v>
      </c>
      <c r="Y20" s="24">
        <v>0</v>
      </c>
      <c r="Z20" s="25">
        <v>13956000</v>
      </c>
      <c r="AA20" s="25">
        <v>22292386</v>
      </c>
      <c r="AB20" s="28">
        <f t="shared" si="15"/>
        <v>36248386</v>
      </c>
      <c r="AC20" s="31">
        <f t="shared" si="16"/>
        <v>411034614</v>
      </c>
      <c r="AD20" s="101"/>
      <c r="AE20" s="36">
        <f t="shared" si="8"/>
        <v>3.3569688150399908E-2</v>
      </c>
      <c r="AF20" s="33">
        <v>2.6120000000000001E-2</v>
      </c>
      <c r="AG20" s="34">
        <f t="shared" si="17"/>
        <v>7.4496881503999073E-3</v>
      </c>
      <c r="AH20" s="76"/>
      <c r="AI20" s="109"/>
    </row>
    <row r="21" spans="1:35" x14ac:dyDescent="0.2">
      <c r="A21" s="51">
        <v>45200</v>
      </c>
      <c r="B21" s="51">
        <v>45261</v>
      </c>
      <c r="C21" s="9">
        <v>0</v>
      </c>
      <c r="D21" s="10">
        <v>0</v>
      </c>
      <c r="E21" s="10">
        <v>2026821.48</v>
      </c>
      <c r="F21" s="10">
        <v>0</v>
      </c>
      <c r="G21" s="10">
        <v>0</v>
      </c>
      <c r="H21" s="10">
        <v>0</v>
      </c>
      <c r="I21" s="16">
        <f t="shared" si="11"/>
        <v>2026821.48</v>
      </c>
      <c r="J21" s="9">
        <v>0</v>
      </c>
      <c r="K21" s="10">
        <v>9857847</v>
      </c>
      <c r="L21" s="10">
        <v>0</v>
      </c>
      <c r="M21" s="16">
        <f t="shared" si="12"/>
        <v>9857847</v>
      </c>
      <c r="N21" s="11">
        <v>600889</v>
      </c>
      <c r="O21" s="37">
        <f t="shared" si="13"/>
        <v>11283779.48</v>
      </c>
      <c r="P21" s="11">
        <v>-861016.22000000067</v>
      </c>
      <c r="Q21" s="11">
        <v>-771365</v>
      </c>
      <c r="R21" s="37">
        <f t="shared" si="3"/>
        <v>11194128.26</v>
      </c>
      <c r="S21" s="11">
        <v>1584958.66</v>
      </c>
      <c r="T21" s="37">
        <f t="shared" si="10"/>
        <v>12779086.92</v>
      </c>
      <c r="U21" s="48"/>
      <c r="V21" s="24">
        <v>101407000</v>
      </c>
      <c r="W21" s="25">
        <v>321651000</v>
      </c>
      <c r="X21" s="28">
        <f t="shared" si="14"/>
        <v>423058000</v>
      </c>
      <c r="Y21" s="24">
        <v>0</v>
      </c>
      <c r="Z21" s="25">
        <v>17792000</v>
      </c>
      <c r="AA21" s="25">
        <v>19606708</v>
      </c>
      <c r="AB21" s="28">
        <f t="shared" si="15"/>
        <v>37398708</v>
      </c>
      <c r="AC21" s="31">
        <f t="shared" si="16"/>
        <v>385659292</v>
      </c>
      <c r="AD21" s="101"/>
      <c r="AE21" s="36">
        <f t="shared" si="8"/>
        <v>3.3135690452908886E-2</v>
      </c>
      <c r="AF21" s="33">
        <v>2.6120000000000001E-2</v>
      </c>
      <c r="AG21" s="34">
        <f t="shared" si="17"/>
        <v>7.0156904529088855E-3</v>
      </c>
      <c r="AH21" s="76"/>
    </row>
    <row r="22" spans="1:35" x14ac:dyDescent="0.2">
      <c r="A22" s="51">
        <v>45231</v>
      </c>
      <c r="B22" s="51">
        <v>45292</v>
      </c>
      <c r="C22" s="9">
        <v>2029176.94</v>
      </c>
      <c r="D22" s="10">
        <v>325357.28000000003</v>
      </c>
      <c r="E22" s="10">
        <v>2404692.9300000002</v>
      </c>
      <c r="F22" s="10">
        <v>0</v>
      </c>
      <c r="G22" s="10">
        <v>0</v>
      </c>
      <c r="H22" s="10">
        <v>0</v>
      </c>
      <c r="I22" s="16">
        <f t="shared" si="11"/>
        <v>4759227.1500000004</v>
      </c>
      <c r="J22" s="9">
        <v>0</v>
      </c>
      <c r="K22" s="10">
        <v>9831389</v>
      </c>
      <c r="L22" s="10">
        <v>0</v>
      </c>
      <c r="M22" s="16">
        <f t="shared" si="12"/>
        <v>9831389</v>
      </c>
      <c r="N22" s="11">
        <v>394932</v>
      </c>
      <c r="O22" s="37">
        <f t="shared" si="13"/>
        <v>14195684.15</v>
      </c>
      <c r="P22" s="11">
        <v>583114.22000000067</v>
      </c>
      <c r="Q22" s="47">
        <v>-114752</v>
      </c>
      <c r="R22" s="37">
        <f t="shared" si="3"/>
        <v>14893550.370000001</v>
      </c>
      <c r="S22" s="11">
        <v>854431.58999999985</v>
      </c>
      <c r="T22" s="37">
        <f t="shared" si="10"/>
        <v>15747981.960000001</v>
      </c>
      <c r="U22" s="48">
        <f t="shared" ref="U22:U47" si="18">AVERAGE(T11:T22)</f>
        <v>15893307.178299</v>
      </c>
      <c r="V22" s="24">
        <v>130632000</v>
      </c>
      <c r="W22" s="25">
        <v>349965000</v>
      </c>
      <c r="X22" s="28">
        <f t="shared" si="14"/>
        <v>480597000</v>
      </c>
      <c r="Y22" s="24">
        <v>0</v>
      </c>
      <c r="Z22" s="25">
        <v>13786000</v>
      </c>
      <c r="AA22" s="25">
        <v>22813414</v>
      </c>
      <c r="AB22" s="28">
        <f t="shared" si="15"/>
        <v>36599414</v>
      </c>
      <c r="AC22" s="31">
        <f t="shared" si="16"/>
        <v>443997586</v>
      </c>
      <c r="AD22" s="101">
        <f t="shared" ref="AD22:AD47" si="19">AVERAGE(AC11:AC22)</f>
        <v>441289153.08333331</v>
      </c>
      <c r="AE22" s="71">
        <f t="shared" ref="AE22:AE47" si="20">U22/AD22</f>
        <v>3.6015630720245009E-2</v>
      </c>
      <c r="AF22" s="33">
        <v>2.6120000000000001E-2</v>
      </c>
      <c r="AG22" s="73">
        <f t="shared" si="17"/>
        <v>9.8956307202450085E-3</v>
      </c>
      <c r="AH22" s="75">
        <f>U22-T22</f>
        <v>145325.21829899959</v>
      </c>
    </row>
    <row r="23" spans="1:35" x14ac:dyDescent="0.2">
      <c r="A23" s="51">
        <v>45261</v>
      </c>
      <c r="B23" s="51">
        <v>45323</v>
      </c>
      <c r="C23" s="9">
        <v>5926775.2199999997</v>
      </c>
      <c r="D23" s="10">
        <v>445710.76</v>
      </c>
      <c r="E23" s="10">
        <v>2781792.96</v>
      </c>
      <c r="F23" s="10">
        <v>0</v>
      </c>
      <c r="G23" s="10">
        <v>0</v>
      </c>
      <c r="H23" s="10">
        <v>0</v>
      </c>
      <c r="I23" s="16">
        <f t="shared" si="11"/>
        <v>9154278.9399999995</v>
      </c>
      <c r="J23" s="9">
        <v>0</v>
      </c>
      <c r="K23" s="10">
        <v>11363822</v>
      </c>
      <c r="L23" s="10">
        <v>0</v>
      </c>
      <c r="M23" s="16">
        <f t="shared" si="12"/>
        <v>11363822</v>
      </c>
      <c r="N23" s="11">
        <v>1302545</v>
      </c>
      <c r="O23" s="37">
        <f t="shared" si="13"/>
        <v>19215555.939999998</v>
      </c>
      <c r="P23" s="11">
        <v>1215496.5500000007</v>
      </c>
      <c r="Q23" s="47">
        <v>754152</v>
      </c>
      <c r="R23" s="37">
        <f t="shared" si="3"/>
        <v>19676900.489999998</v>
      </c>
      <c r="S23" s="11">
        <v>602316.19000000018</v>
      </c>
      <c r="T23" s="37">
        <f t="shared" si="10"/>
        <v>20279216.68</v>
      </c>
      <c r="U23" s="48">
        <f t="shared" si="18"/>
        <v>14165816.063299006</v>
      </c>
      <c r="V23" s="24">
        <v>223088000</v>
      </c>
      <c r="W23" s="25">
        <v>314318000</v>
      </c>
      <c r="X23" s="28">
        <f t="shared" si="14"/>
        <v>537406000</v>
      </c>
      <c r="Y23" s="24">
        <v>0</v>
      </c>
      <c r="Z23" s="44">
        <v>52216000</v>
      </c>
      <c r="AA23" s="25">
        <v>22014666</v>
      </c>
      <c r="AB23" s="28">
        <f t="shared" si="15"/>
        <v>74230666</v>
      </c>
      <c r="AC23" s="31">
        <f t="shared" si="16"/>
        <v>463175334</v>
      </c>
      <c r="AD23" s="101">
        <f t="shared" si="19"/>
        <v>435647829.91666669</v>
      </c>
      <c r="AE23" s="71">
        <f t="shared" si="20"/>
        <v>3.2516668488877194E-2</v>
      </c>
      <c r="AF23" s="33">
        <v>2.6120000000000001E-2</v>
      </c>
      <c r="AG23" s="73">
        <f t="shared" si="17"/>
        <v>6.3966684888771934E-3</v>
      </c>
      <c r="AH23" s="37">
        <f t="shared" ref="AH23:AH47" si="21">(U23-T23)+AH22</f>
        <v>-5968075.3984019943</v>
      </c>
    </row>
    <row r="24" spans="1:35" x14ac:dyDescent="0.2">
      <c r="A24" s="51">
        <v>45292</v>
      </c>
      <c r="B24" s="51">
        <v>45352</v>
      </c>
      <c r="C24" s="9">
        <v>6815301.1100000003</v>
      </c>
      <c r="D24" s="10">
        <v>209165.03</v>
      </c>
      <c r="E24" s="10">
        <v>3597123.5</v>
      </c>
      <c r="F24" s="10">
        <v>0</v>
      </c>
      <c r="G24" s="10">
        <v>0</v>
      </c>
      <c r="H24" s="10">
        <v>0</v>
      </c>
      <c r="I24" s="16">
        <f t="shared" si="11"/>
        <v>10621589.640000001</v>
      </c>
      <c r="J24" s="9">
        <v>0</v>
      </c>
      <c r="K24" s="10">
        <v>17226102</v>
      </c>
      <c r="L24" s="10">
        <v>0</v>
      </c>
      <c r="M24" s="16">
        <f t="shared" si="12"/>
        <v>17226102</v>
      </c>
      <c r="N24" s="11">
        <v>451514</v>
      </c>
      <c r="O24" s="37">
        <f t="shared" si="13"/>
        <v>27396177.640000001</v>
      </c>
      <c r="P24" s="11">
        <v>-2022209.6829999983</v>
      </c>
      <c r="Q24" s="69">
        <f>'3. Pg4'!N19</f>
        <v>1120497</v>
      </c>
      <c r="R24" s="37">
        <f t="shared" si="3"/>
        <v>24253470.957000002</v>
      </c>
      <c r="S24" s="11">
        <v>409541.7100000002</v>
      </c>
      <c r="T24" s="37">
        <f t="shared" si="10"/>
        <v>24663012.667000003</v>
      </c>
      <c r="U24" s="48">
        <f t="shared" si="18"/>
        <v>15919577.338476254</v>
      </c>
      <c r="V24" s="24">
        <v>279510000</v>
      </c>
      <c r="W24" s="25">
        <v>344816000</v>
      </c>
      <c r="X24" s="28">
        <f t="shared" si="14"/>
        <v>624326000</v>
      </c>
      <c r="Y24" s="24">
        <v>0</v>
      </c>
      <c r="Z24" s="25">
        <v>-29247000</v>
      </c>
      <c r="AA24" s="25">
        <v>36104147</v>
      </c>
      <c r="AB24" s="28">
        <f t="shared" si="15"/>
        <v>6857147</v>
      </c>
      <c r="AC24" s="31">
        <f t="shared" si="16"/>
        <v>617468853</v>
      </c>
      <c r="AD24" s="101">
        <f t="shared" si="19"/>
        <v>445449663.5</v>
      </c>
      <c r="AE24" s="71">
        <f t="shared" si="20"/>
        <v>3.5738218350851336E-2</v>
      </c>
      <c r="AF24" s="33">
        <v>2.6120000000000001E-2</v>
      </c>
      <c r="AG24" s="73">
        <f t="shared" si="17"/>
        <v>9.6182183508513354E-3</v>
      </c>
      <c r="AH24" s="37">
        <f t="shared" si="21"/>
        <v>-14711510.726925744</v>
      </c>
    </row>
    <row r="25" spans="1:35" x14ac:dyDescent="0.2">
      <c r="A25" s="51">
        <v>45323</v>
      </c>
      <c r="B25" s="51">
        <v>45383</v>
      </c>
      <c r="C25" s="9">
        <v>8255204.3300000001</v>
      </c>
      <c r="D25" s="10">
        <v>532032.34</v>
      </c>
      <c r="E25" s="10">
        <v>4473680.71</v>
      </c>
      <c r="F25" s="10">
        <v>0</v>
      </c>
      <c r="G25" s="10">
        <v>0</v>
      </c>
      <c r="H25" s="10">
        <v>0</v>
      </c>
      <c r="I25" s="16">
        <f t="shared" si="11"/>
        <v>13260917.379999999</v>
      </c>
      <c r="J25" s="9">
        <v>0</v>
      </c>
      <c r="K25" s="10">
        <v>6519881</v>
      </c>
      <c r="L25" s="10">
        <v>0</v>
      </c>
      <c r="M25" s="16">
        <f t="shared" si="12"/>
        <v>6519881</v>
      </c>
      <c r="N25" s="11">
        <v>842803</v>
      </c>
      <c r="O25" s="37">
        <f t="shared" si="13"/>
        <v>18937995.379999999</v>
      </c>
      <c r="P25" s="11">
        <v>-3620640.9087999985</v>
      </c>
      <c r="Q25" s="69">
        <f>'3. Pg4'!N20</f>
        <v>385070</v>
      </c>
      <c r="R25" s="37">
        <f t="shared" si="3"/>
        <v>14932284.4712</v>
      </c>
      <c r="S25" s="11">
        <v>434306.02999999968</v>
      </c>
      <c r="T25" s="37">
        <f t="shared" si="10"/>
        <v>15366590.5012</v>
      </c>
      <c r="U25" s="48">
        <f t="shared" si="18"/>
        <v>15693000.702742919</v>
      </c>
      <c r="V25" s="24">
        <v>265685000</v>
      </c>
      <c r="W25" s="25">
        <v>233686000</v>
      </c>
      <c r="X25" s="28">
        <f t="shared" si="14"/>
        <v>499371000</v>
      </c>
      <c r="Y25" s="24">
        <v>0</v>
      </c>
      <c r="Z25" s="25">
        <v>38386000</v>
      </c>
      <c r="AA25" s="25">
        <v>24653927</v>
      </c>
      <c r="AB25" s="28">
        <f t="shared" si="15"/>
        <v>63039927</v>
      </c>
      <c r="AC25" s="31">
        <f t="shared" si="16"/>
        <v>436331073</v>
      </c>
      <c r="AD25" s="101">
        <f t="shared" si="19"/>
        <v>446717165.16666669</v>
      </c>
      <c r="AE25" s="71">
        <f t="shared" si="20"/>
        <v>3.5129612037379361E-2</v>
      </c>
      <c r="AF25" s="33">
        <v>2.6120000000000001E-2</v>
      </c>
      <c r="AG25" s="73">
        <f t="shared" si="17"/>
        <v>9.0096120373793602E-3</v>
      </c>
      <c r="AH25" s="37">
        <f t="shared" si="21"/>
        <v>-14385100.525382824</v>
      </c>
    </row>
    <row r="26" spans="1:35" x14ac:dyDescent="0.2">
      <c r="A26" s="51">
        <v>45352</v>
      </c>
      <c r="B26" s="51">
        <v>45413</v>
      </c>
      <c r="C26" s="9">
        <v>8366721.7599999998</v>
      </c>
      <c r="D26" s="10">
        <v>328573.78999999998</v>
      </c>
      <c r="E26" s="10">
        <v>3403959.6</v>
      </c>
      <c r="F26" s="10">
        <v>0</v>
      </c>
      <c r="G26" s="10">
        <v>0</v>
      </c>
      <c r="H26" s="10">
        <v>0</v>
      </c>
      <c r="I26" s="16">
        <f t="shared" si="11"/>
        <v>12099255.149999999</v>
      </c>
      <c r="J26" s="9">
        <v>0</v>
      </c>
      <c r="K26" s="10">
        <v>3985476</v>
      </c>
      <c r="L26" s="10">
        <v>0</v>
      </c>
      <c r="M26" s="16">
        <f t="shared" si="12"/>
        <v>3985476</v>
      </c>
      <c r="N26" s="11">
        <v>1023450</v>
      </c>
      <c r="O26" s="37">
        <f t="shared" si="13"/>
        <v>15061281.149999999</v>
      </c>
      <c r="P26" s="11">
        <v>-869352.8900000006</v>
      </c>
      <c r="Q26" s="69">
        <f>'3. Pg4'!N21</f>
        <v>73283</v>
      </c>
      <c r="R26" s="37">
        <f t="shared" si="3"/>
        <v>14118645.259999998</v>
      </c>
      <c r="S26" s="11">
        <v>74328.780000000261</v>
      </c>
      <c r="T26" s="37">
        <f t="shared" si="10"/>
        <v>14192974.039999999</v>
      </c>
      <c r="U26" s="48">
        <f t="shared" si="18"/>
        <v>15806437.558848416</v>
      </c>
      <c r="V26" s="24">
        <v>313806000</v>
      </c>
      <c r="W26" s="25">
        <v>180524000</v>
      </c>
      <c r="X26" s="28">
        <f t="shared" si="14"/>
        <v>494330000</v>
      </c>
      <c r="Y26" s="24">
        <v>0</v>
      </c>
      <c r="Z26" s="25">
        <v>45936000</v>
      </c>
      <c r="AA26" s="25">
        <v>23082423</v>
      </c>
      <c r="AB26" s="28">
        <f t="shared" si="15"/>
        <v>69018423</v>
      </c>
      <c r="AC26" s="31">
        <f t="shared" si="16"/>
        <v>425311577</v>
      </c>
      <c r="AD26" s="101">
        <f t="shared" si="19"/>
        <v>444515377.66666669</v>
      </c>
      <c r="AE26" s="71">
        <f t="shared" si="20"/>
        <v>3.5558809330329517E-2</v>
      </c>
      <c r="AF26" s="33">
        <v>2.6120000000000001E-2</v>
      </c>
      <c r="AG26" s="73">
        <f t="shared" si="17"/>
        <v>9.4388093303295166E-3</v>
      </c>
      <c r="AH26" s="37">
        <f t="shared" si="21"/>
        <v>-12771637.006534407</v>
      </c>
    </row>
    <row r="27" spans="1:35" x14ac:dyDescent="0.2">
      <c r="A27" s="51">
        <v>45383</v>
      </c>
      <c r="B27" s="51">
        <v>45444</v>
      </c>
      <c r="C27" s="9">
        <v>2942490.88</v>
      </c>
      <c r="D27" s="10">
        <v>52688.09</v>
      </c>
      <c r="E27" s="10">
        <v>3071456.95</v>
      </c>
      <c r="F27" s="10">
        <v>0</v>
      </c>
      <c r="G27" s="10">
        <v>0</v>
      </c>
      <c r="H27" s="10">
        <v>0</v>
      </c>
      <c r="I27" s="16">
        <f t="shared" si="11"/>
        <v>6066635.9199999999</v>
      </c>
      <c r="J27" s="9">
        <v>0</v>
      </c>
      <c r="K27" s="10">
        <v>7341757</v>
      </c>
      <c r="L27" s="10">
        <v>0</v>
      </c>
      <c r="M27" s="16">
        <f t="shared" si="12"/>
        <v>7341757</v>
      </c>
      <c r="N27" s="11">
        <v>618931</v>
      </c>
      <c r="O27" s="37">
        <f t="shared" si="13"/>
        <v>12789461.92</v>
      </c>
      <c r="P27" s="11">
        <v>-11541.726415002719</v>
      </c>
      <c r="Q27" s="69">
        <f>'3. Pg4'!N22</f>
        <v>-163671</v>
      </c>
      <c r="R27" s="37">
        <f t="shared" si="3"/>
        <v>12941591.193584997</v>
      </c>
      <c r="S27" s="11">
        <v>362160.82000000007</v>
      </c>
      <c r="T27" s="37">
        <f t="shared" si="10"/>
        <v>13303752.013584998</v>
      </c>
      <c r="U27" s="48">
        <f t="shared" si="18"/>
        <v>15789897.050740501</v>
      </c>
      <c r="V27" s="24">
        <v>163927000</v>
      </c>
      <c r="W27" s="25">
        <v>249081000</v>
      </c>
      <c r="X27" s="28">
        <f t="shared" si="14"/>
        <v>413008000</v>
      </c>
      <c r="Y27" s="24">
        <v>0</v>
      </c>
      <c r="Z27" s="25">
        <v>-7042000</v>
      </c>
      <c r="AA27" s="25">
        <v>22566972</v>
      </c>
      <c r="AB27" s="28">
        <f t="shared" si="15"/>
        <v>15524972</v>
      </c>
      <c r="AC27" s="31">
        <f t="shared" si="16"/>
        <v>397483028</v>
      </c>
      <c r="AD27" s="101">
        <f t="shared" si="19"/>
        <v>445226940.66666669</v>
      </c>
      <c r="AE27" s="71">
        <f t="shared" si="20"/>
        <v>3.5464828402111702E-2</v>
      </c>
      <c r="AF27" s="33">
        <v>2.6120000000000001E-2</v>
      </c>
      <c r="AG27" s="73">
        <f t="shared" si="17"/>
        <v>9.344828402111701E-3</v>
      </c>
      <c r="AH27" s="37">
        <f t="shared" si="21"/>
        <v>-10285491.969378904</v>
      </c>
    </row>
    <row r="28" spans="1:35" x14ac:dyDescent="0.2">
      <c r="A28" s="51">
        <v>45413</v>
      </c>
      <c r="B28" s="51">
        <v>45474</v>
      </c>
      <c r="C28" s="9">
        <v>1353750.64</v>
      </c>
      <c r="D28" s="10">
        <v>347955.04</v>
      </c>
      <c r="E28" s="10">
        <v>3085398</v>
      </c>
      <c r="F28" s="10">
        <v>0</v>
      </c>
      <c r="G28" s="10">
        <v>0</v>
      </c>
      <c r="H28" s="10">
        <v>0</v>
      </c>
      <c r="I28" s="16">
        <f t="shared" si="11"/>
        <v>4787103.68</v>
      </c>
      <c r="J28" s="9">
        <v>0</v>
      </c>
      <c r="K28" s="10">
        <v>8636530</v>
      </c>
      <c r="L28" s="10">
        <v>0</v>
      </c>
      <c r="M28" s="16">
        <f t="shared" si="12"/>
        <v>8636530</v>
      </c>
      <c r="N28" s="11">
        <v>686391</v>
      </c>
      <c r="O28" s="37">
        <f t="shared" si="13"/>
        <v>12737242.68</v>
      </c>
      <c r="P28" s="47">
        <v>-1358851.5700000003</v>
      </c>
      <c r="Q28" s="69">
        <f>'3. Pg4'!N23</f>
        <v>-624594</v>
      </c>
      <c r="R28" s="37">
        <f t="shared" si="3"/>
        <v>12002985.109999999</v>
      </c>
      <c r="S28" s="11">
        <v>-350114.66000000009</v>
      </c>
      <c r="T28" s="37">
        <f t="shared" si="10"/>
        <v>11652870.449999999</v>
      </c>
      <c r="U28" s="48">
        <f t="shared" si="18"/>
        <v>15731012.815740498</v>
      </c>
      <c r="V28" s="24">
        <v>161071000</v>
      </c>
      <c r="W28" s="25">
        <v>292269000</v>
      </c>
      <c r="X28" s="28">
        <f t="shared" si="14"/>
        <v>453340000</v>
      </c>
      <c r="Y28" s="24">
        <v>0</v>
      </c>
      <c r="Z28" s="25">
        <v>20799000</v>
      </c>
      <c r="AA28" s="25">
        <v>20662593</v>
      </c>
      <c r="AB28" s="28">
        <f t="shared" si="15"/>
        <v>41461593</v>
      </c>
      <c r="AC28" s="31">
        <f t="shared" si="16"/>
        <v>411878407</v>
      </c>
      <c r="AD28" s="101">
        <f t="shared" si="19"/>
        <v>446340610.91666669</v>
      </c>
      <c r="AE28" s="71">
        <f t="shared" si="20"/>
        <v>3.5244412968457248E-2</v>
      </c>
      <c r="AF28" s="33">
        <v>2.6120000000000001E-2</v>
      </c>
      <c r="AG28" s="73">
        <f t="shared" si="17"/>
        <v>9.1244129684572468E-3</v>
      </c>
      <c r="AH28" s="37">
        <f t="shared" si="21"/>
        <v>-6207349.603638405</v>
      </c>
    </row>
    <row r="29" spans="1:35" x14ac:dyDescent="0.2">
      <c r="A29" s="51">
        <v>45444</v>
      </c>
      <c r="B29" s="51">
        <v>45505</v>
      </c>
      <c r="C29" s="9">
        <v>10602993.08</v>
      </c>
      <c r="D29" s="10">
        <v>342138.33</v>
      </c>
      <c r="E29" s="10">
        <v>3166493.66</v>
      </c>
      <c r="F29" s="10">
        <v>0</v>
      </c>
      <c r="G29" s="10">
        <v>0</v>
      </c>
      <c r="H29" s="10">
        <v>0</v>
      </c>
      <c r="I29" s="16">
        <f t="shared" si="11"/>
        <v>14111625.07</v>
      </c>
      <c r="J29" s="9">
        <v>0</v>
      </c>
      <c r="K29" s="10">
        <v>5152879.82</v>
      </c>
      <c r="L29" s="10">
        <v>0</v>
      </c>
      <c r="M29" s="16">
        <f t="shared" si="12"/>
        <v>5152879.82</v>
      </c>
      <c r="N29" s="11">
        <v>2812137.43</v>
      </c>
      <c r="O29" s="37">
        <f t="shared" si="13"/>
        <v>16452367.460000001</v>
      </c>
      <c r="P29" s="11">
        <v>179358.58000000007</v>
      </c>
      <c r="Q29" s="69">
        <f>'3. Pg4'!N24</f>
        <v>-172827</v>
      </c>
      <c r="R29" s="37">
        <f t="shared" si="3"/>
        <v>16804553.039999999</v>
      </c>
      <c r="S29" s="11">
        <v>1040687.4099999993</v>
      </c>
      <c r="T29" s="37">
        <f t="shared" si="10"/>
        <v>17845240.449999999</v>
      </c>
      <c r="U29" s="48">
        <f t="shared" si="18"/>
        <v>16091363.904014746</v>
      </c>
      <c r="V29" s="24">
        <v>393618000</v>
      </c>
      <c r="W29" s="25">
        <v>181007000</v>
      </c>
      <c r="X29" s="28">
        <f t="shared" si="14"/>
        <v>574625000</v>
      </c>
      <c r="Y29" s="24">
        <v>0</v>
      </c>
      <c r="Z29" s="25">
        <v>92654000</v>
      </c>
      <c r="AA29" s="25">
        <v>24205900</v>
      </c>
      <c r="AB29" s="28">
        <f t="shared" si="15"/>
        <v>116859900</v>
      </c>
      <c r="AC29" s="31">
        <f t="shared" si="16"/>
        <v>457765100</v>
      </c>
      <c r="AD29" s="101">
        <f t="shared" si="19"/>
        <v>449680621.66666669</v>
      </c>
      <c r="AE29" s="71">
        <f t="shared" si="20"/>
        <v>3.5783983406655978E-2</v>
      </c>
      <c r="AF29" s="33">
        <v>2.6120000000000001E-2</v>
      </c>
      <c r="AG29" s="73">
        <f t="shared" si="17"/>
        <v>9.6639834066559772E-3</v>
      </c>
      <c r="AH29" s="37">
        <f t="shared" si="21"/>
        <v>-7961226.1496236585</v>
      </c>
    </row>
    <row r="30" spans="1:35" x14ac:dyDescent="0.2">
      <c r="A30" s="51">
        <v>45474</v>
      </c>
      <c r="B30" s="51">
        <v>45536</v>
      </c>
      <c r="C30" s="9">
        <v>10399040</v>
      </c>
      <c r="D30" s="10">
        <v>348835.01</v>
      </c>
      <c r="E30" s="10">
        <v>3737506.03</v>
      </c>
      <c r="F30" s="10">
        <v>0</v>
      </c>
      <c r="G30" s="10">
        <v>0</v>
      </c>
      <c r="H30" s="10">
        <v>0</v>
      </c>
      <c r="I30" s="16">
        <f t="shared" si="11"/>
        <v>14485381.039999999</v>
      </c>
      <c r="J30" s="9">
        <v>0</v>
      </c>
      <c r="K30" s="10">
        <v>6090275.1200000001</v>
      </c>
      <c r="L30" s="10">
        <v>0</v>
      </c>
      <c r="M30" s="16">
        <f t="shared" si="12"/>
        <v>6090275.1200000001</v>
      </c>
      <c r="N30" s="11">
        <v>3136941.8289999999</v>
      </c>
      <c r="O30" s="37">
        <f t="shared" si="13"/>
        <v>17438714.331</v>
      </c>
      <c r="P30" s="11">
        <v>-668773.56712250784</v>
      </c>
      <c r="Q30" s="69">
        <f>'3. Pg4'!N25</f>
        <v>249896</v>
      </c>
      <c r="R30" s="37">
        <f t="shared" si="3"/>
        <v>16520044.763877492</v>
      </c>
      <c r="S30" s="11">
        <v>1503865.8900000006</v>
      </c>
      <c r="T30" s="37">
        <f t="shared" si="10"/>
        <v>18023910.653877493</v>
      </c>
      <c r="U30" s="48">
        <f t="shared" si="18"/>
        <v>16200342.587773124</v>
      </c>
      <c r="V30" s="24">
        <v>429775000</v>
      </c>
      <c r="W30" s="25">
        <v>128951000</v>
      </c>
      <c r="X30" s="28">
        <f t="shared" si="14"/>
        <v>558726000</v>
      </c>
      <c r="Y30" s="24">
        <v>0</v>
      </c>
      <c r="Z30" s="25">
        <v>55537000</v>
      </c>
      <c r="AA30" s="25">
        <v>25365835</v>
      </c>
      <c r="AB30" s="28">
        <f t="shared" si="15"/>
        <v>80902835</v>
      </c>
      <c r="AC30" s="31">
        <f t="shared" si="16"/>
        <v>477823165</v>
      </c>
      <c r="AD30" s="101">
        <f t="shared" si="19"/>
        <v>449588063.33333331</v>
      </c>
      <c r="AE30" s="71">
        <f t="shared" si="20"/>
        <v>3.6033747132120535E-2</v>
      </c>
      <c r="AF30" s="33">
        <v>2.6120000000000001E-2</v>
      </c>
      <c r="AG30" s="73">
        <f t="shared" si="17"/>
        <v>9.9137471321205338E-3</v>
      </c>
      <c r="AH30" s="37">
        <f t="shared" si="21"/>
        <v>-9784794.2157280277</v>
      </c>
    </row>
    <row r="31" spans="1:35" x14ac:dyDescent="0.2">
      <c r="A31" s="51">
        <v>45505</v>
      </c>
      <c r="B31" s="51">
        <v>45566</v>
      </c>
      <c r="C31" s="9">
        <v>8665987.1099999994</v>
      </c>
      <c r="D31" s="10">
        <v>213404.01</v>
      </c>
      <c r="E31" s="10">
        <v>4114423.72</v>
      </c>
      <c r="F31" s="10">
        <v>0</v>
      </c>
      <c r="G31" s="10">
        <v>0</v>
      </c>
      <c r="H31" s="10">
        <v>0</v>
      </c>
      <c r="I31" s="16">
        <f t="shared" si="11"/>
        <v>12993814.84</v>
      </c>
      <c r="J31" s="9">
        <v>0</v>
      </c>
      <c r="K31" s="10">
        <v>6342733</v>
      </c>
      <c r="L31" s="10">
        <v>0</v>
      </c>
      <c r="M31" s="16">
        <f t="shared" si="12"/>
        <v>6342733</v>
      </c>
      <c r="N31" s="11">
        <v>2122386</v>
      </c>
      <c r="O31" s="37">
        <f t="shared" si="13"/>
        <v>17214161.84</v>
      </c>
      <c r="P31" s="11">
        <v>-365940.1099999994</v>
      </c>
      <c r="Q31" s="69">
        <f>'3. Pg4'!N26</f>
        <v>139461</v>
      </c>
      <c r="R31" s="37">
        <f t="shared" si="3"/>
        <v>16708760.73</v>
      </c>
      <c r="S31" s="11">
        <v>27017.479999999981</v>
      </c>
      <c r="T31" s="37">
        <f t="shared" si="10"/>
        <v>16735778.210000001</v>
      </c>
      <c r="U31" s="48">
        <f t="shared" si="18"/>
        <v>16199059.863055207</v>
      </c>
      <c r="V31" s="24">
        <v>361535000</v>
      </c>
      <c r="W31" s="25">
        <v>174651000</v>
      </c>
      <c r="X31" s="28">
        <f t="shared" si="14"/>
        <v>536186000</v>
      </c>
      <c r="Y31" s="24">
        <v>0</v>
      </c>
      <c r="Z31" s="25">
        <v>49751000</v>
      </c>
      <c r="AA31" s="25">
        <v>23382437</v>
      </c>
      <c r="AB31" s="28">
        <f t="shared" si="15"/>
        <v>73133437</v>
      </c>
      <c r="AC31" s="31">
        <f t="shared" si="16"/>
        <v>463052563</v>
      </c>
      <c r="AD31" s="101">
        <f t="shared" si="19"/>
        <v>449248382.66666669</v>
      </c>
      <c r="AE31" s="71">
        <f t="shared" si="20"/>
        <v>3.6058137297902269E-2</v>
      </c>
      <c r="AF31" s="33">
        <v>2.6120000000000001E-2</v>
      </c>
      <c r="AG31" s="73">
        <f t="shared" si="17"/>
        <v>9.9381372979022685E-3</v>
      </c>
      <c r="AH31" s="37">
        <f t="shared" si="21"/>
        <v>-10321512.562672822</v>
      </c>
    </row>
    <row r="32" spans="1:35" x14ac:dyDescent="0.2">
      <c r="A32" s="51">
        <v>45536</v>
      </c>
      <c r="B32" s="51">
        <v>45597</v>
      </c>
      <c r="C32" s="9">
        <v>1065990.32</v>
      </c>
      <c r="D32" s="10">
        <v>339748.07</v>
      </c>
      <c r="E32" s="10">
        <v>1321540.5899999994</v>
      </c>
      <c r="F32" s="10">
        <v>0</v>
      </c>
      <c r="G32" s="10">
        <v>0</v>
      </c>
      <c r="H32" s="10">
        <v>0</v>
      </c>
      <c r="I32" s="16">
        <f t="shared" si="11"/>
        <v>2727278.9799999995</v>
      </c>
      <c r="J32" s="9">
        <v>0</v>
      </c>
      <c r="K32" s="10">
        <v>13218989</v>
      </c>
      <c r="L32" s="10">
        <v>0</v>
      </c>
      <c r="M32" s="16">
        <f t="shared" si="12"/>
        <v>13218989</v>
      </c>
      <c r="N32" s="11">
        <v>604551</v>
      </c>
      <c r="O32" s="37">
        <f t="shared" si="13"/>
        <v>15341716.98</v>
      </c>
      <c r="P32" s="11">
        <v>-656352.84276800044</v>
      </c>
      <c r="Q32" s="69">
        <f>'3. Pg4'!N27</f>
        <v>-176637</v>
      </c>
      <c r="R32" s="37">
        <f t="shared" si="3"/>
        <v>14862001.137232</v>
      </c>
      <c r="S32" s="11">
        <v>92268.269999999669</v>
      </c>
      <c r="T32" s="37">
        <f t="shared" si="10"/>
        <v>14954269.407232</v>
      </c>
      <c r="U32" s="48">
        <f t="shared" si="18"/>
        <v>16295390.329407876</v>
      </c>
      <c r="V32" s="24">
        <v>73064000</v>
      </c>
      <c r="W32" s="25">
        <v>356825000</v>
      </c>
      <c r="X32" s="28">
        <f t="shared" si="14"/>
        <v>429889000</v>
      </c>
      <c r="Y32" s="24">
        <v>0</v>
      </c>
      <c r="Z32" s="25">
        <v>10901000</v>
      </c>
      <c r="AA32" s="25">
        <v>19794871</v>
      </c>
      <c r="AB32" s="28">
        <f t="shared" si="15"/>
        <v>30695871</v>
      </c>
      <c r="AC32" s="31">
        <f t="shared" si="16"/>
        <v>399193129</v>
      </c>
      <c r="AD32" s="101">
        <f t="shared" si="19"/>
        <v>448261592.25</v>
      </c>
      <c r="AE32" s="71">
        <f t="shared" si="20"/>
        <v>3.6352412544681661E-2</v>
      </c>
      <c r="AF32" s="33">
        <v>2.6120000000000001E-2</v>
      </c>
      <c r="AG32" s="73">
        <f t="shared" si="17"/>
        <v>1.0232412544681661E-2</v>
      </c>
      <c r="AH32" s="37">
        <f t="shared" si="21"/>
        <v>-8980391.640496945</v>
      </c>
    </row>
    <row r="33" spans="1:35" x14ac:dyDescent="0.2">
      <c r="A33" s="51">
        <v>45566</v>
      </c>
      <c r="B33" s="51">
        <v>45627</v>
      </c>
      <c r="C33" s="9">
        <v>5748106</v>
      </c>
      <c r="D33" s="10">
        <v>712071</v>
      </c>
      <c r="E33" s="10">
        <v>615648</v>
      </c>
      <c r="F33" s="10">
        <v>0</v>
      </c>
      <c r="G33" s="10">
        <v>0</v>
      </c>
      <c r="H33" s="10">
        <v>0</v>
      </c>
      <c r="I33" s="16">
        <f t="shared" si="11"/>
        <v>7075825</v>
      </c>
      <c r="J33" s="9">
        <v>0</v>
      </c>
      <c r="K33" s="10">
        <v>9837745</v>
      </c>
      <c r="L33" s="10">
        <v>0</v>
      </c>
      <c r="M33" s="16">
        <f t="shared" si="12"/>
        <v>9837745</v>
      </c>
      <c r="N33" s="11">
        <v>1026754</v>
      </c>
      <c r="O33" s="37">
        <f t="shared" si="13"/>
        <v>15886816</v>
      </c>
      <c r="P33" s="11">
        <v>-2035385.928718999</v>
      </c>
      <c r="Q33" s="69">
        <f>'3. Pg4'!N28</f>
        <v>-394595</v>
      </c>
      <c r="R33" s="37">
        <f t="shared" si="3"/>
        <v>14246025.071281001</v>
      </c>
      <c r="S33" s="11">
        <v>153229.8200000003</v>
      </c>
      <c r="T33" s="37">
        <f t="shared" si="10"/>
        <v>14399254.891281001</v>
      </c>
      <c r="U33" s="48">
        <f t="shared" si="18"/>
        <v>16430404.327014625</v>
      </c>
      <c r="V33" s="24">
        <v>152494000</v>
      </c>
      <c r="W33" s="25">
        <v>297185000</v>
      </c>
      <c r="X33" s="28">
        <f t="shared" si="14"/>
        <v>449679000</v>
      </c>
      <c r="Y33" s="24">
        <v>0</v>
      </c>
      <c r="Z33" s="25">
        <v>28730000</v>
      </c>
      <c r="AA33" s="25">
        <v>21018704</v>
      </c>
      <c r="AB33" s="28">
        <f t="shared" si="15"/>
        <v>49748704</v>
      </c>
      <c r="AC33" s="31">
        <f t="shared" si="16"/>
        <v>399930296</v>
      </c>
      <c r="AD33" s="101">
        <f t="shared" si="19"/>
        <v>449450842.58333331</v>
      </c>
      <c r="AE33" s="71">
        <f t="shared" si="20"/>
        <v>3.655662148184368E-2</v>
      </c>
      <c r="AF33" s="33">
        <v>2.6120000000000001E-2</v>
      </c>
      <c r="AG33" s="73">
        <f t="shared" si="17"/>
        <v>1.043662148184368E-2</v>
      </c>
      <c r="AH33" s="37">
        <f t="shared" si="21"/>
        <v>-6949242.2047633212</v>
      </c>
    </row>
    <row r="34" spans="1:35" x14ac:dyDescent="0.2">
      <c r="A34" s="51">
        <v>45597</v>
      </c>
      <c r="B34" s="51">
        <v>45658</v>
      </c>
      <c r="C34" s="9">
        <v>8015514.6299999999</v>
      </c>
      <c r="D34" s="10">
        <v>142901.43999999994</v>
      </c>
      <c r="E34" s="10">
        <v>442578.1</v>
      </c>
      <c r="F34" s="10">
        <v>0</v>
      </c>
      <c r="G34" s="10">
        <v>0</v>
      </c>
      <c r="H34" s="10">
        <v>0</v>
      </c>
      <c r="I34" s="16">
        <f t="shared" si="11"/>
        <v>8600994.1699999999</v>
      </c>
      <c r="J34" s="9">
        <v>0</v>
      </c>
      <c r="K34" s="10">
        <v>8381013.4598200005</v>
      </c>
      <c r="L34" s="10">
        <v>0</v>
      </c>
      <c r="M34" s="16">
        <f t="shared" si="12"/>
        <v>8381013.4598200005</v>
      </c>
      <c r="N34" s="11">
        <v>1593671.5960000001</v>
      </c>
      <c r="O34" s="37">
        <f t="shared" si="13"/>
        <v>15388336.03382</v>
      </c>
      <c r="P34" s="11">
        <v>-603897.49623633362</v>
      </c>
      <c r="Q34" s="69">
        <f>'3. Pg4'!N29</f>
        <v>-720538</v>
      </c>
      <c r="R34" s="37">
        <f t="shared" si="3"/>
        <v>15504976.537583666</v>
      </c>
      <c r="S34" s="11">
        <v>296449.27</v>
      </c>
      <c r="T34" s="37">
        <f t="shared" si="10"/>
        <v>15801425.807583665</v>
      </c>
      <c r="U34" s="48">
        <f t="shared" si="18"/>
        <v>16434857.980979929</v>
      </c>
      <c r="V34" s="24">
        <v>207643000</v>
      </c>
      <c r="W34" s="25">
        <v>262120000</v>
      </c>
      <c r="X34" s="28">
        <f t="shared" si="14"/>
        <v>469763000</v>
      </c>
      <c r="Y34" s="24">
        <v>0</v>
      </c>
      <c r="Z34" s="25">
        <v>44723000</v>
      </c>
      <c r="AA34" s="25">
        <v>18744077</v>
      </c>
      <c r="AB34" s="28">
        <f t="shared" si="15"/>
        <v>63467077</v>
      </c>
      <c r="AC34" s="31">
        <f t="shared" si="16"/>
        <v>406295923</v>
      </c>
      <c r="AD34" s="101">
        <f t="shared" si="19"/>
        <v>446309037.33333331</v>
      </c>
      <c r="AE34" s="71">
        <f t="shared" si="20"/>
        <v>3.6823941722482489E-2</v>
      </c>
      <c r="AF34" s="33">
        <v>2.6120000000000001E-2</v>
      </c>
      <c r="AG34" s="73">
        <f t="shared" si="17"/>
        <v>1.0703941722482489E-2</v>
      </c>
      <c r="AH34" s="37">
        <f t="shared" si="21"/>
        <v>-6315810.0313670579</v>
      </c>
    </row>
    <row r="35" spans="1:35" x14ac:dyDescent="0.2">
      <c r="A35" s="51">
        <v>45627</v>
      </c>
      <c r="B35" s="51">
        <v>45689</v>
      </c>
      <c r="C35" s="9">
        <v>10015105.620000001</v>
      </c>
      <c r="D35" s="10">
        <v>159819.37000000002</v>
      </c>
      <c r="E35" s="10">
        <v>3597973.61</v>
      </c>
      <c r="F35" s="10">
        <v>0</v>
      </c>
      <c r="G35" s="10">
        <v>0</v>
      </c>
      <c r="H35" s="10">
        <v>0</v>
      </c>
      <c r="I35" s="16">
        <f t="shared" si="11"/>
        <v>13772898.6</v>
      </c>
      <c r="J35" s="9">
        <v>0</v>
      </c>
      <c r="K35" s="10">
        <v>8658526.8800000008</v>
      </c>
      <c r="L35" s="10">
        <v>0</v>
      </c>
      <c r="M35" s="16">
        <f t="shared" si="12"/>
        <v>8658526.8800000008</v>
      </c>
      <c r="N35" s="11">
        <v>2258286.3640000001</v>
      </c>
      <c r="O35" s="37">
        <f t="shared" si="13"/>
        <v>20173139.116</v>
      </c>
      <c r="P35" s="11">
        <v>-570659.91477072239</v>
      </c>
      <c r="Q35" s="69">
        <f>'3. Pg4'!N30</f>
        <v>429745</v>
      </c>
      <c r="R35" s="37">
        <f t="shared" si="3"/>
        <v>19172734.201229278</v>
      </c>
      <c r="S35" s="11">
        <v>528032.65000000026</v>
      </c>
      <c r="T35" s="37">
        <f t="shared" si="10"/>
        <v>19700766.851229277</v>
      </c>
      <c r="U35" s="48">
        <f t="shared" si="18"/>
        <v>16386653.828582369</v>
      </c>
      <c r="V35" s="24">
        <v>338297000</v>
      </c>
      <c r="W35" s="25">
        <v>220054000</v>
      </c>
      <c r="X35" s="28">
        <f t="shared" si="14"/>
        <v>558351000</v>
      </c>
      <c r="Y35" s="24">
        <v>0</v>
      </c>
      <c r="Z35" s="25">
        <v>39662000</v>
      </c>
      <c r="AA35" s="25">
        <v>24135500</v>
      </c>
      <c r="AB35" s="28">
        <f t="shared" si="15"/>
        <v>63797500</v>
      </c>
      <c r="AC35" s="31">
        <f t="shared" si="16"/>
        <v>494553500</v>
      </c>
      <c r="AD35" s="101">
        <f t="shared" si="19"/>
        <v>448923884.5</v>
      </c>
      <c r="AE35" s="71">
        <f t="shared" si="20"/>
        <v>3.6502076174524348E-2</v>
      </c>
      <c r="AF35" s="33">
        <v>2.6120000000000001E-2</v>
      </c>
      <c r="AG35" s="73">
        <f t="shared" si="17"/>
        <v>1.0382076174524347E-2</v>
      </c>
      <c r="AH35" s="37">
        <f t="shared" si="21"/>
        <v>-9629923.0540139657</v>
      </c>
    </row>
    <row r="36" spans="1:35" x14ac:dyDescent="0.2">
      <c r="A36" s="51">
        <v>45658</v>
      </c>
      <c r="B36" s="51">
        <v>45717</v>
      </c>
      <c r="C36" s="9">
        <v>12290393.289999999</v>
      </c>
      <c r="D36" s="10">
        <v>170057.37</v>
      </c>
      <c r="E36" s="10">
        <v>5396975.4099999983</v>
      </c>
      <c r="F36" s="10">
        <v>0</v>
      </c>
      <c r="G36" s="10">
        <v>0</v>
      </c>
      <c r="H36" s="10">
        <v>0</v>
      </c>
      <c r="I36" s="16">
        <f t="shared" si="11"/>
        <v>17857426.069999997</v>
      </c>
      <c r="J36" s="9">
        <v>0</v>
      </c>
      <c r="K36" s="10">
        <v>15955926.759999998</v>
      </c>
      <c r="L36" s="10">
        <v>0</v>
      </c>
      <c r="M36" s="16">
        <f t="shared" si="12"/>
        <v>15955926.759999998</v>
      </c>
      <c r="N36" s="11">
        <v>1347987.8419999999</v>
      </c>
      <c r="O36" s="37">
        <f t="shared" si="13"/>
        <v>32465364.987999998</v>
      </c>
      <c r="P36" s="11">
        <v>137183.28299999982</v>
      </c>
      <c r="Q36" s="69">
        <f>'3. Pg4'!N31</f>
        <v>1289501</v>
      </c>
      <c r="R36" s="37">
        <f t="shared" si="3"/>
        <v>31313047.270999998</v>
      </c>
      <c r="S36" s="11">
        <v>1112829.96</v>
      </c>
      <c r="T36" s="37">
        <f t="shared" si="10"/>
        <v>32425877.230999999</v>
      </c>
      <c r="U36" s="48">
        <f t="shared" si="18"/>
        <v>17033559.208915703</v>
      </c>
      <c r="V36" s="24">
        <v>406089000</v>
      </c>
      <c r="W36" s="25">
        <v>275391000</v>
      </c>
      <c r="X36" s="28">
        <f t="shared" si="14"/>
        <v>681480000</v>
      </c>
      <c r="Y36" s="24">
        <v>0</v>
      </c>
      <c r="Z36" s="25">
        <v>26900000</v>
      </c>
      <c r="AA36" s="25">
        <v>26261452</v>
      </c>
      <c r="AB36" s="28">
        <f t="shared" si="15"/>
        <v>53161452</v>
      </c>
      <c r="AC36" s="31">
        <f t="shared" si="16"/>
        <v>628318548</v>
      </c>
      <c r="AD36" s="101">
        <f t="shared" si="19"/>
        <v>449828025.75</v>
      </c>
      <c r="AE36" s="71">
        <f t="shared" si="20"/>
        <v>3.786682517283263E-2</v>
      </c>
      <c r="AF36" s="33">
        <v>3.3799999999999997E-2</v>
      </c>
      <c r="AG36" s="73">
        <f t="shared" si="17"/>
        <v>4.0668251728326332E-3</v>
      </c>
      <c r="AH36" s="37">
        <f t="shared" si="21"/>
        <v>-25022241.076098263</v>
      </c>
    </row>
    <row r="37" spans="1:35" x14ac:dyDescent="0.2">
      <c r="A37" s="51">
        <v>45689</v>
      </c>
      <c r="B37" s="51">
        <v>45748</v>
      </c>
      <c r="C37" s="9">
        <v>3464421.5</v>
      </c>
      <c r="D37" s="10">
        <v>269009.71999999997</v>
      </c>
      <c r="E37" s="10">
        <v>5554232.0300000003</v>
      </c>
      <c r="F37" s="10">
        <v>0</v>
      </c>
      <c r="G37" s="10">
        <v>0</v>
      </c>
      <c r="H37" s="10">
        <v>0</v>
      </c>
      <c r="I37" s="16">
        <f t="shared" si="11"/>
        <v>9287663.25</v>
      </c>
      <c r="J37" s="9">
        <v>0</v>
      </c>
      <c r="K37" s="10">
        <v>14684475</v>
      </c>
      <c r="L37" s="10">
        <v>0</v>
      </c>
      <c r="M37" s="16">
        <f t="shared" si="12"/>
        <v>14684475</v>
      </c>
      <c r="N37" s="11">
        <v>1062602</v>
      </c>
      <c r="O37" s="37">
        <f t="shared" si="13"/>
        <v>22909536.25</v>
      </c>
      <c r="P37" s="11">
        <v>-3547089.8900000006</v>
      </c>
      <c r="Q37" s="69">
        <f>'3. Pg4'!N32</f>
        <v>1070079</v>
      </c>
      <c r="R37" s="37">
        <f t="shared" si="3"/>
        <v>18292367.359999999</v>
      </c>
      <c r="S37" s="11">
        <v>664148.19999999984</v>
      </c>
      <c r="T37" s="37">
        <f t="shared" si="10"/>
        <v>18956515.559999999</v>
      </c>
      <c r="U37" s="48">
        <f t="shared" si="18"/>
        <v>17332719.630482372</v>
      </c>
      <c r="V37" s="24">
        <v>197875000</v>
      </c>
      <c r="W37" s="25">
        <v>330819000</v>
      </c>
      <c r="X37" s="28">
        <f t="shared" si="14"/>
        <v>528694000</v>
      </c>
      <c r="Y37" s="24">
        <v>0</v>
      </c>
      <c r="Z37" s="25">
        <v>18116000</v>
      </c>
      <c r="AA37" s="25">
        <v>23874247</v>
      </c>
      <c r="AB37" s="28">
        <f t="shared" si="15"/>
        <v>41990247</v>
      </c>
      <c r="AC37" s="31">
        <f t="shared" si="16"/>
        <v>486703753</v>
      </c>
      <c r="AD37" s="101">
        <f t="shared" si="19"/>
        <v>454025749.08333331</v>
      </c>
      <c r="AE37" s="71">
        <f t="shared" si="20"/>
        <v>3.8175631372178123E-2</v>
      </c>
      <c r="AF37" s="33">
        <v>3.3799999999999997E-2</v>
      </c>
      <c r="AG37" s="73">
        <f t="shared" si="17"/>
        <v>4.3756313721781265E-3</v>
      </c>
      <c r="AH37" s="37">
        <f t="shared" si="21"/>
        <v>-26646037.00561589</v>
      </c>
    </row>
    <row r="38" spans="1:35" x14ac:dyDescent="0.2">
      <c r="A38" s="51">
        <v>45717</v>
      </c>
      <c r="B38" s="51">
        <v>45778</v>
      </c>
      <c r="C38" s="9">
        <v>1240119.1299999999</v>
      </c>
      <c r="D38" s="10">
        <v>666930.93000000005</v>
      </c>
      <c r="E38" s="10">
        <v>3686406.49</v>
      </c>
      <c r="F38" s="10">
        <v>0</v>
      </c>
      <c r="G38" s="10">
        <v>0</v>
      </c>
      <c r="H38" s="10">
        <v>0</v>
      </c>
      <c r="I38" s="16">
        <f t="shared" si="11"/>
        <v>5593456.5500000007</v>
      </c>
      <c r="J38" s="9">
        <v>0</v>
      </c>
      <c r="K38" s="10">
        <v>14708709</v>
      </c>
      <c r="L38" s="10">
        <v>0</v>
      </c>
      <c r="M38" s="16">
        <f t="shared" si="12"/>
        <v>14708709</v>
      </c>
      <c r="N38" s="11">
        <v>781349</v>
      </c>
      <c r="O38" s="37">
        <f t="shared" si="13"/>
        <v>19520816.550000001</v>
      </c>
      <c r="P38" s="11">
        <v>-1054863.3747872487</v>
      </c>
      <c r="Q38" s="69">
        <f>'3. Pg4'!N33</f>
        <v>52971</v>
      </c>
      <c r="R38" s="37">
        <f t="shared" si="3"/>
        <v>18412982.175212752</v>
      </c>
      <c r="S38" s="11">
        <v>855564.9499999996</v>
      </c>
      <c r="T38" s="37">
        <f t="shared" si="10"/>
        <v>19268547.125212751</v>
      </c>
      <c r="U38" s="48">
        <f t="shared" si="18"/>
        <v>17755684.054250099</v>
      </c>
      <c r="V38" s="24">
        <v>108933000</v>
      </c>
      <c r="W38" s="25">
        <v>377638000</v>
      </c>
      <c r="X38" s="28">
        <f t="shared" si="14"/>
        <v>486571000</v>
      </c>
      <c r="Y38" s="24">
        <v>0</v>
      </c>
      <c r="Z38" s="25">
        <v>22926000</v>
      </c>
      <c r="AA38" s="25">
        <v>21395030</v>
      </c>
      <c r="AB38" s="28">
        <f t="shared" si="15"/>
        <v>44321030</v>
      </c>
      <c r="AC38" s="31">
        <f t="shared" si="16"/>
        <v>442249970</v>
      </c>
      <c r="AD38" s="101">
        <f t="shared" si="19"/>
        <v>455437281.83333331</v>
      </c>
      <c r="AE38" s="71">
        <f t="shared" si="20"/>
        <v>3.8986013579687069E-2</v>
      </c>
      <c r="AF38" s="33">
        <v>3.3799999999999997E-2</v>
      </c>
      <c r="AG38" s="73">
        <f t="shared" si="17"/>
        <v>5.1860135796870724E-3</v>
      </c>
      <c r="AH38" s="37">
        <f t="shared" si="21"/>
        <v>-28158900.076578543</v>
      </c>
    </row>
    <row r="39" spans="1:35" x14ac:dyDescent="0.2">
      <c r="A39" s="51">
        <v>45748</v>
      </c>
      <c r="B39" s="51">
        <v>45809</v>
      </c>
      <c r="C39" s="9">
        <v>5166295.41</v>
      </c>
      <c r="D39" s="10">
        <v>96647.53</v>
      </c>
      <c r="E39" s="10">
        <v>2538611.89</v>
      </c>
      <c r="F39" s="10">
        <v>0</v>
      </c>
      <c r="G39" s="10">
        <v>0</v>
      </c>
      <c r="H39" s="10">
        <v>0</v>
      </c>
      <c r="I39" s="16">
        <f t="shared" si="11"/>
        <v>7801554.8300000001</v>
      </c>
      <c r="J39" s="9">
        <v>0</v>
      </c>
      <c r="K39" s="10">
        <v>8191897</v>
      </c>
      <c r="L39" s="10">
        <v>0</v>
      </c>
      <c r="M39" s="16">
        <f t="shared" si="12"/>
        <v>8191897</v>
      </c>
      <c r="N39" s="11">
        <v>1000169</v>
      </c>
      <c r="O39" s="37">
        <f t="shared" si="13"/>
        <v>14993282.83</v>
      </c>
      <c r="P39" s="11">
        <v>-15281.219514999539</v>
      </c>
      <c r="Q39" s="69">
        <f>'3. Pg4'!N34</f>
        <v>-210384</v>
      </c>
      <c r="R39" s="37">
        <f t="shared" si="3"/>
        <v>15188385.610485001</v>
      </c>
      <c r="S39" s="11">
        <v>584116.8399999995</v>
      </c>
      <c r="T39" s="37">
        <f t="shared" si="10"/>
        <v>15772502.450485</v>
      </c>
      <c r="U39" s="48">
        <f t="shared" si="18"/>
        <v>17961413.257325098</v>
      </c>
      <c r="V39" s="24">
        <v>222436000</v>
      </c>
      <c r="W39" s="25">
        <v>215967000</v>
      </c>
      <c r="X39" s="28">
        <f t="shared" si="14"/>
        <v>438403000</v>
      </c>
      <c r="Y39" s="24">
        <v>0</v>
      </c>
      <c r="Z39" s="25">
        <v>25077000</v>
      </c>
      <c r="AA39" s="25">
        <v>19190151</v>
      </c>
      <c r="AB39" s="28">
        <f t="shared" si="15"/>
        <v>44267151</v>
      </c>
      <c r="AC39" s="31">
        <f t="shared" si="16"/>
        <v>394135849</v>
      </c>
      <c r="AD39" s="101">
        <f t="shared" si="19"/>
        <v>455158350.25</v>
      </c>
      <c r="AE39" s="71">
        <f t="shared" si="20"/>
        <v>3.9461899902439715E-2</v>
      </c>
      <c r="AF39" s="33">
        <v>3.3799999999999997E-2</v>
      </c>
      <c r="AG39" s="73">
        <f t="shared" si="17"/>
        <v>5.6618999024397182E-3</v>
      </c>
      <c r="AH39" s="37">
        <f t="shared" si="21"/>
        <v>-25969989.269738443</v>
      </c>
    </row>
    <row r="40" spans="1:35" x14ac:dyDescent="0.2">
      <c r="A40" s="51">
        <v>45778</v>
      </c>
      <c r="B40" s="51">
        <v>45839</v>
      </c>
      <c r="C40" s="9">
        <v>1362557.52</v>
      </c>
      <c r="D40" s="10">
        <v>160652.59</v>
      </c>
      <c r="E40" s="10">
        <v>2950457.55</v>
      </c>
      <c r="F40" s="10">
        <v>0</v>
      </c>
      <c r="G40" s="10">
        <v>0</v>
      </c>
      <c r="H40" s="10">
        <v>0</v>
      </c>
      <c r="I40" s="16">
        <f t="shared" si="11"/>
        <v>4473667.66</v>
      </c>
      <c r="J40" s="9">
        <v>0</v>
      </c>
      <c r="K40" s="10">
        <v>11327156</v>
      </c>
      <c r="L40" s="10">
        <v>0</v>
      </c>
      <c r="M40" s="16">
        <f t="shared" si="12"/>
        <v>11327156</v>
      </c>
      <c r="N40" s="11">
        <v>931449</v>
      </c>
      <c r="O40" s="37">
        <f t="shared" si="13"/>
        <v>14869374.66</v>
      </c>
      <c r="P40" s="11">
        <v>-258432.84999999963</v>
      </c>
      <c r="Q40" s="69">
        <f>'3. Pg4'!N35</f>
        <v>-309246</v>
      </c>
      <c r="R40" s="37">
        <f t="shared" si="3"/>
        <v>14920187.810000001</v>
      </c>
      <c r="S40" s="11">
        <v>-770661.8</v>
      </c>
      <c r="T40" s="37">
        <f t="shared" si="10"/>
        <v>14149526.01</v>
      </c>
      <c r="U40" s="48">
        <f t="shared" si="18"/>
        <v>18169467.887325097</v>
      </c>
      <c r="V40" s="24">
        <v>121032000</v>
      </c>
      <c r="W40" s="25">
        <v>299205000</v>
      </c>
      <c r="X40" s="28">
        <f t="shared" si="14"/>
        <v>420237000</v>
      </c>
      <c r="Y40" s="24">
        <v>0</v>
      </c>
      <c r="Z40" s="25">
        <v>26745000</v>
      </c>
      <c r="AA40" s="25">
        <v>21316836</v>
      </c>
      <c r="AB40" s="28">
        <f t="shared" si="15"/>
        <v>48061836</v>
      </c>
      <c r="AC40" s="31">
        <f t="shared" si="16"/>
        <v>372175164</v>
      </c>
      <c r="AD40" s="101">
        <f t="shared" si="19"/>
        <v>451849746.66666669</v>
      </c>
      <c r="AE40" s="71">
        <f t="shared" si="20"/>
        <v>4.0211304800683807E-2</v>
      </c>
      <c r="AF40" s="33">
        <v>3.3799999999999997E-2</v>
      </c>
      <c r="AG40" s="73">
        <f t="shared" si="17"/>
        <v>6.4113048006838105E-3</v>
      </c>
      <c r="AH40" s="37">
        <f t="shared" si="21"/>
        <v>-21950047.392413348</v>
      </c>
    </row>
    <row r="41" spans="1:35" x14ac:dyDescent="0.2">
      <c r="A41" s="51">
        <v>45809</v>
      </c>
      <c r="B41" s="51">
        <v>45870</v>
      </c>
      <c r="C41" s="9">
        <v>9601209.5500000007</v>
      </c>
      <c r="D41" s="10">
        <v>1026257.44</v>
      </c>
      <c r="E41" s="10">
        <v>4199683.7</v>
      </c>
      <c r="F41" s="10">
        <v>0</v>
      </c>
      <c r="G41" s="10">
        <v>0</v>
      </c>
      <c r="H41" s="10">
        <v>0</v>
      </c>
      <c r="I41" s="16">
        <f t="shared" si="11"/>
        <v>14827150.690000001</v>
      </c>
      <c r="J41" s="9">
        <v>0</v>
      </c>
      <c r="K41" s="10">
        <v>10322046</v>
      </c>
      <c r="L41" s="10">
        <v>0</v>
      </c>
      <c r="M41" s="16">
        <f t="shared" si="12"/>
        <v>10322046</v>
      </c>
      <c r="N41" s="11">
        <v>4577542</v>
      </c>
      <c r="O41" s="37">
        <f t="shared" si="13"/>
        <v>20571654.690000001</v>
      </c>
      <c r="P41" s="11">
        <v>-2104483.2800000012</v>
      </c>
      <c r="Q41" s="69">
        <f>'3. Pg4'!N36</f>
        <v>-397512</v>
      </c>
      <c r="R41" s="37">
        <f t="shared" si="3"/>
        <v>18864683.41</v>
      </c>
      <c r="S41" s="11">
        <v>1772570.5700000005</v>
      </c>
      <c r="T41" s="37">
        <f t="shared" si="10"/>
        <v>20637253.98</v>
      </c>
      <c r="U41" s="48">
        <f t="shared" si="18"/>
        <v>18402135.681491766</v>
      </c>
      <c r="V41" s="24">
        <v>293362000</v>
      </c>
      <c r="W41" s="25">
        <v>255678000</v>
      </c>
      <c r="X41" s="28">
        <f t="shared" si="14"/>
        <v>549040000</v>
      </c>
      <c r="Y41" s="24">
        <v>0</v>
      </c>
      <c r="Z41" s="25">
        <v>90341000</v>
      </c>
      <c r="AA41" s="25">
        <v>17370804</v>
      </c>
      <c r="AB41" s="28">
        <f t="shared" si="15"/>
        <v>107711804</v>
      </c>
      <c r="AC41" s="31">
        <f t="shared" si="16"/>
        <v>441328196</v>
      </c>
      <c r="AD41" s="101">
        <f t="shared" si="19"/>
        <v>450480004.66666669</v>
      </c>
      <c r="AE41" s="71">
        <f t="shared" si="20"/>
        <v>4.0850061025701802E-2</v>
      </c>
      <c r="AF41" s="33">
        <v>3.3799999999999997E-2</v>
      </c>
      <c r="AG41" s="73">
        <f t="shared" si="17"/>
        <v>7.0500610257018051E-3</v>
      </c>
      <c r="AH41" s="37">
        <f t="shared" si="21"/>
        <v>-24185165.690921582</v>
      </c>
    </row>
    <row r="42" spans="1:35" x14ac:dyDescent="0.2">
      <c r="A42" s="51">
        <v>45839</v>
      </c>
      <c r="B42" s="51">
        <v>45901</v>
      </c>
      <c r="C42" s="9">
        <v>9639698.9399999995</v>
      </c>
      <c r="D42" s="10">
        <v>310596.71999999997</v>
      </c>
      <c r="E42" s="10">
        <v>5005996.97</v>
      </c>
      <c r="F42" s="10">
        <v>0</v>
      </c>
      <c r="G42" s="10">
        <v>0</v>
      </c>
      <c r="H42" s="10">
        <v>0</v>
      </c>
      <c r="I42" s="16">
        <f t="shared" si="11"/>
        <v>14956292.629999999</v>
      </c>
      <c r="J42" s="9">
        <v>0</v>
      </c>
      <c r="K42" s="10">
        <v>10472232.41</v>
      </c>
      <c r="L42" s="10">
        <v>0</v>
      </c>
      <c r="M42" s="16">
        <f t="shared" si="12"/>
        <v>10472232.41</v>
      </c>
      <c r="N42" s="11">
        <v>3555853.0819999999</v>
      </c>
      <c r="O42" s="37">
        <f t="shared" si="13"/>
        <v>21872671.958000001</v>
      </c>
      <c r="P42" s="11">
        <v>-164316.07600000128</v>
      </c>
      <c r="Q42" s="69">
        <f>'3. Pg4'!N37</f>
        <v>203465</v>
      </c>
      <c r="R42" s="37">
        <f t="shared" si="3"/>
        <v>21504890.881999999</v>
      </c>
      <c r="S42" s="11">
        <v>1457841.25</v>
      </c>
      <c r="T42" s="37">
        <f t="shared" si="10"/>
        <v>22962732.131999999</v>
      </c>
      <c r="U42" s="48">
        <f t="shared" si="18"/>
        <v>18813704.138001975</v>
      </c>
      <c r="V42" s="24">
        <v>410518000</v>
      </c>
      <c r="W42" s="25">
        <v>162349000</v>
      </c>
      <c r="X42" s="28">
        <f t="shared" si="14"/>
        <v>572867000</v>
      </c>
      <c r="Y42" s="24">
        <v>0</v>
      </c>
      <c r="Z42" s="25">
        <v>45144000</v>
      </c>
      <c r="AA42" s="25">
        <v>22962393</v>
      </c>
      <c r="AB42" s="28">
        <f t="shared" si="15"/>
        <v>68106393</v>
      </c>
      <c r="AC42" s="31">
        <f t="shared" si="16"/>
        <v>504760607</v>
      </c>
      <c r="AD42" s="101">
        <f t="shared" si="19"/>
        <v>452724791.5</v>
      </c>
      <c r="AE42" s="71">
        <f t="shared" si="20"/>
        <v>4.1556602358061884E-2</v>
      </c>
      <c r="AF42" s="33">
        <v>3.3799999999999997E-2</v>
      </c>
      <c r="AG42" s="73">
        <f t="shared" si="17"/>
        <v>7.756602358061887E-3</v>
      </c>
      <c r="AH42" s="37">
        <f t="shared" si="21"/>
        <v>-28334193.684919607</v>
      </c>
    </row>
    <row r="43" spans="1:35" x14ac:dyDescent="0.2">
      <c r="A43" s="51">
        <v>45870</v>
      </c>
      <c r="B43" s="51">
        <v>45931</v>
      </c>
      <c r="C43" s="9">
        <v>7211243.7999999998</v>
      </c>
      <c r="D43" s="10">
        <v>229206.49</v>
      </c>
      <c r="E43" s="10">
        <v>4478586.49</v>
      </c>
      <c r="F43" s="10">
        <v>0</v>
      </c>
      <c r="G43" s="10">
        <v>0</v>
      </c>
      <c r="H43" s="10">
        <v>0</v>
      </c>
      <c r="I43" s="16">
        <f t="shared" si="11"/>
        <v>11919036.780000001</v>
      </c>
      <c r="J43" s="9">
        <v>0</v>
      </c>
      <c r="K43" s="10">
        <v>5494884</v>
      </c>
      <c r="L43" s="10">
        <v>0</v>
      </c>
      <c r="M43" s="16">
        <f t="shared" si="12"/>
        <v>5494884</v>
      </c>
      <c r="N43" s="11">
        <v>2117358</v>
      </c>
      <c r="O43" s="37">
        <f t="shared" si="13"/>
        <v>15296562.780000001</v>
      </c>
      <c r="P43" s="11">
        <v>-2691105.2349900007</v>
      </c>
      <c r="Q43" s="69">
        <f>'3. Pg4'!N38</f>
        <v>40592</v>
      </c>
      <c r="R43" s="37">
        <f t="shared" si="3"/>
        <v>12564865.54501</v>
      </c>
      <c r="S43" s="11">
        <v>467096.12</v>
      </c>
      <c r="T43" s="37">
        <f t="shared" si="10"/>
        <v>13031961.66501</v>
      </c>
      <c r="U43" s="48">
        <f t="shared" si="18"/>
        <v>18505052.759252805</v>
      </c>
      <c r="V43" s="24">
        <v>350400000</v>
      </c>
      <c r="W43" s="25">
        <v>169471000</v>
      </c>
      <c r="X43" s="28">
        <f t="shared" si="14"/>
        <v>519871000</v>
      </c>
      <c r="Y43" s="24">
        <v>0</v>
      </c>
      <c r="Z43" s="25">
        <v>61334000</v>
      </c>
      <c r="AA43" s="25">
        <v>21463515</v>
      </c>
      <c r="AB43" s="28">
        <f t="shared" si="15"/>
        <v>82797515</v>
      </c>
      <c r="AC43" s="31">
        <f t="shared" si="16"/>
        <v>437073485</v>
      </c>
      <c r="AD43" s="101">
        <f t="shared" si="19"/>
        <v>450559868.33333331</v>
      </c>
      <c r="AE43" s="71">
        <f t="shared" si="20"/>
        <v>4.1071240604949731E-2</v>
      </c>
      <c r="AF43" s="33">
        <v>3.3799999999999997E-2</v>
      </c>
      <c r="AG43" s="73">
        <f t="shared" si="17"/>
        <v>7.2712406049497344E-3</v>
      </c>
      <c r="AH43" s="37">
        <f t="shared" si="21"/>
        <v>-22861102.590676799</v>
      </c>
    </row>
    <row r="44" spans="1:35" x14ac:dyDescent="0.2">
      <c r="A44" s="51">
        <v>45901</v>
      </c>
      <c r="B44" s="51">
        <v>45962</v>
      </c>
      <c r="C44" s="9">
        <v>2473641.0099999998</v>
      </c>
      <c r="D44" s="10">
        <v>191928.15</v>
      </c>
      <c r="E44" s="10">
        <v>2137023.79</v>
      </c>
      <c r="F44" s="10">
        <v>0</v>
      </c>
      <c r="G44" s="10">
        <v>0</v>
      </c>
      <c r="H44" s="10">
        <v>0</v>
      </c>
      <c r="I44" s="16">
        <f t="shared" si="11"/>
        <v>4802592.9499999993</v>
      </c>
      <c r="J44" s="9">
        <v>0</v>
      </c>
      <c r="K44" s="10">
        <v>11149256</v>
      </c>
      <c r="L44" s="10">
        <v>0</v>
      </c>
      <c r="M44" s="16">
        <f t="shared" si="12"/>
        <v>11149256</v>
      </c>
      <c r="N44" s="11">
        <v>1018688</v>
      </c>
      <c r="O44" s="37">
        <f t="shared" si="13"/>
        <v>14933160.949999999</v>
      </c>
      <c r="P44" s="11">
        <v>-366791.87999999896</v>
      </c>
      <c r="Q44" s="69">
        <f>'3. Pg4'!N39</f>
        <v>-368812</v>
      </c>
      <c r="R44" s="37">
        <f t="shared" si="3"/>
        <v>14935181.07</v>
      </c>
      <c r="S44" s="11">
        <v>734418.41999999993</v>
      </c>
      <c r="T44" s="37">
        <f t="shared" si="10"/>
        <v>15669599.49</v>
      </c>
      <c r="U44" s="48">
        <f t="shared" si="18"/>
        <v>18564663.599483475</v>
      </c>
      <c r="V44" s="24">
        <v>135750000</v>
      </c>
      <c r="W44" s="25">
        <v>276022000</v>
      </c>
      <c r="X44" s="28">
        <f t="shared" si="14"/>
        <v>411772000</v>
      </c>
      <c r="Y44" s="24">
        <v>0</v>
      </c>
      <c r="Z44" s="25">
        <v>32495000</v>
      </c>
      <c r="AA44" s="25">
        <v>16819593</v>
      </c>
      <c r="AB44" s="28">
        <f t="shared" si="15"/>
        <v>49314593</v>
      </c>
      <c r="AC44" s="31">
        <f t="shared" si="16"/>
        <v>362457407</v>
      </c>
      <c r="AD44" s="101">
        <f t="shared" si="19"/>
        <v>447498558.16666669</v>
      </c>
      <c r="AE44" s="71">
        <f t="shared" si="20"/>
        <v>4.148541545148228E-2</v>
      </c>
      <c r="AF44" s="33">
        <v>3.3799999999999997E-2</v>
      </c>
      <c r="AG44" s="73">
        <f t="shared" si="17"/>
        <v>7.6854154514822831E-3</v>
      </c>
      <c r="AH44" s="37">
        <f t="shared" si="21"/>
        <v>-19966038.481193326</v>
      </c>
    </row>
    <row r="45" spans="1:35" x14ac:dyDescent="0.2">
      <c r="A45" s="51">
        <v>45931</v>
      </c>
      <c r="B45" s="51">
        <v>45992</v>
      </c>
      <c r="C45" s="9">
        <v>9776000.9299999997</v>
      </c>
      <c r="D45" s="10">
        <v>299158.57000000007</v>
      </c>
      <c r="E45" s="10">
        <v>618586.98</v>
      </c>
      <c r="F45" s="10">
        <v>0</v>
      </c>
      <c r="G45" s="10">
        <v>0</v>
      </c>
      <c r="H45" s="10">
        <v>0</v>
      </c>
      <c r="I45" s="16">
        <f t="shared" si="11"/>
        <v>10693746.48</v>
      </c>
      <c r="J45" s="9">
        <v>0</v>
      </c>
      <c r="K45" s="10">
        <v>10013201.297</v>
      </c>
      <c r="L45" s="10">
        <v>0</v>
      </c>
      <c r="M45" s="16">
        <f t="shared" si="12"/>
        <v>10013201.297</v>
      </c>
      <c r="N45" s="11">
        <v>2824145.1169999996</v>
      </c>
      <c r="O45" s="37">
        <f t="shared" si="13"/>
        <v>17882802.660000004</v>
      </c>
      <c r="P45" s="11">
        <v>-1697616.4776785076</v>
      </c>
      <c r="Q45" s="69">
        <f>'3. Pg4'!N40</f>
        <v>-716609</v>
      </c>
      <c r="R45" s="37">
        <f t="shared" si="3"/>
        <v>16901795.182321496</v>
      </c>
      <c r="S45" s="11">
        <v>-488036.95999999979</v>
      </c>
      <c r="T45" s="37">
        <f t="shared" si="10"/>
        <v>16413758.222321497</v>
      </c>
      <c r="U45" s="48">
        <f t="shared" si="18"/>
        <v>18732538.877070185</v>
      </c>
      <c r="V45" s="24">
        <v>253108000</v>
      </c>
      <c r="W45" s="25">
        <v>207166000</v>
      </c>
      <c r="X45" s="28">
        <f t="shared" si="14"/>
        <v>460274000</v>
      </c>
      <c r="Y45" s="24">
        <v>0</v>
      </c>
      <c r="Z45" s="25">
        <v>53883000</v>
      </c>
      <c r="AA45" s="25">
        <v>19852871</v>
      </c>
      <c r="AB45" s="28">
        <f t="shared" si="15"/>
        <v>73735871</v>
      </c>
      <c r="AC45" s="31">
        <f t="shared" si="16"/>
        <v>386538129</v>
      </c>
      <c r="AD45" s="101">
        <f t="shared" si="19"/>
        <v>446382544.25</v>
      </c>
      <c r="AE45" s="71">
        <f t="shared" si="20"/>
        <v>4.1965213735102688E-2</v>
      </c>
      <c r="AF45" s="33">
        <v>3.3799999999999997E-2</v>
      </c>
      <c r="AG45" s="73">
        <f t="shared" si="17"/>
        <v>8.1652137351026916E-3</v>
      </c>
      <c r="AH45" s="37">
        <f t="shared" si="21"/>
        <v>-17647257.826444641</v>
      </c>
    </row>
    <row r="46" spans="1:35" x14ac:dyDescent="0.2">
      <c r="A46" s="51">
        <v>45962</v>
      </c>
      <c r="B46" s="51">
        <v>46023</v>
      </c>
      <c r="C46" s="9">
        <v>8506193.7199999988</v>
      </c>
      <c r="D46" s="10">
        <v>295059.15999999992</v>
      </c>
      <c r="E46" s="10">
        <v>3778212.0999999996</v>
      </c>
      <c r="F46" s="10">
        <v>0</v>
      </c>
      <c r="G46" s="10">
        <v>0</v>
      </c>
      <c r="H46" s="10">
        <v>0</v>
      </c>
      <c r="I46" s="16">
        <f t="shared" si="11"/>
        <v>12579464.979999999</v>
      </c>
      <c r="J46" s="9">
        <v>0</v>
      </c>
      <c r="K46" s="10">
        <v>10549355</v>
      </c>
      <c r="L46" s="10">
        <v>0</v>
      </c>
      <c r="M46" s="16">
        <f t="shared" si="12"/>
        <v>10549355</v>
      </c>
      <c r="N46" s="11">
        <v>5875246.2100000009</v>
      </c>
      <c r="O46" s="37">
        <f t="shared" si="13"/>
        <v>17253573.769999996</v>
      </c>
      <c r="P46" s="11">
        <v>-2550539.322004931</v>
      </c>
      <c r="Q46" s="69">
        <f>'3. Pg4'!N41</f>
        <v>-558207</v>
      </c>
      <c r="R46" s="37">
        <f t="shared" si="3"/>
        <v>15261241.447995065</v>
      </c>
      <c r="S46" s="11">
        <v>690056.16000000038</v>
      </c>
      <c r="T46" s="37">
        <f t="shared" si="10"/>
        <v>15951297.607995065</v>
      </c>
      <c r="U46" s="48">
        <f t="shared" si="18"/>
        <v>18745028.193771135</v>
      </c>
      <c r="V46" s="24">
        <v>338098000</v>
      </c>
      <c r="W46" s="25">
        <v>221814000</v>
      </c>
      <c r="X46" s="28">
        <f t="shared" si="14"/>
        <v>559912000</v>
      </c>
      <c r="Y46" s="24">
        <v>0</v>
      </c>
      <c r="Z46" s="25">
        <v>127655000</v>
      </c>
      <c r="AA46" s="25">
        <v>22881757</v>
      </c>
      <c r="AB46" s="28">
        <f t="shared" si="15"/>
        <v>150536757</v>
      </c>
      <c r="AC46" s="31">
        <f t="shared" si="16"/>
        <v>409375243</v>
      </c>
      <c r="AD46" s="101">
        <f t="shared" si="19"/>
        <v>446639154.25</v>
      </c>
      <c r="AE46" s="71">
        <f t="shared" si="20"/>
        <v>4.1969066113892173E-2</v>
      </c>
      <c r="AF46" s="33">
        <v>3.3799999999999997E-2</v>
      </c>
      <c r="AG46" s="73">
        <f t="shared" si="17"/>
        <v>8.1690661138921761E-3</v>
      </c>
      <c r="AH46" s="37">
        <f t="shared" si="21"/>
        <v>-14853527.240668571</v>
      </c>
    </row>
    <row r="47" spans="1:35" ht="13.5" thickBot="1" x14ac:dyDescent="0.25">
      <c r="A47" s="51">
        <v>45992</v>
      </c>
      <c r="B47" s="51">
        <v>46054</v>
      </c>
      <c r="C47" s="12">
        <v>7484498.2699999986</v>
      </c>
      <c r="D47" s="13">
        <v>422823.41</v>
      </c>
      <c r="E47" s="13">
        <v>5135400.88</v>
      </c>
      <c r="F47" s="13">
        <v>0</v>
      </c>
      <c r="G47" s="13">
        <v>0</v>
      </c>
      <c r="H47" s="13">
        <v>0</v>
      </c>
      <c r="I47" s="17">
        <f t="shared" si="11"/>
        <v>13042722.559999999</v>
      </c>
      <c r="J47" s="12">
        <v>0</v>
      </c>
      <c r="K47" s="13">
        <v>11195248.76</v>
      </c>
      <c r="L47" s="13">
        <v>0</v>
      </c>
      <c r="M47" s="17">
        <f t="shared" si="12"/>
        <v>11195248.76</v>
      </c>
      <c r="N47" s="14">
        <v>2073214.496</v>
      </c>
      <c r="O47" s="38">
        <f t="shared" si="13"/>
        <v>22164756.824000001</v>
      </c>
      <c r="P47" s="14">
        <v>-874632.74927384034</v>
      </c>
      <c r="Q47" s="70">
        <f>'3. Pg4'!N42</f>
        <v>-3994</v>
      </c>
      <c r="R47" s="38">
        <f t="shared" si="3"/>
        <v>21294118.074726161</v>
      </c>
      <c r="S47" s="14">
        <v>63926.51999999932</v>
      </c>
      <c r="T47" s="38">
        <f t="shared" si="10"/>
        <v>21358044.59472616</v>
      </c>
      <c r="U47" s="49">
        <f t="shared" si="18"/>
        <v>18883134.672395874</v>
      </c>
      <c r="V47" s="26">
        <v>344193000</v>
      </c>
      <c r="W47" s="27">
        <v>239435000</v>
      </c>
      <c r="X47" s="29">
        <f t="shared" si="14"/>
        <v>583628000</v>
      </c>
      <c r="Y47" s="26">
        <v>0</v>
      </c>
      <c r="Z47" s="27">
        <v>46709000</v>
      </c>
      <c r="AA47" s="27">
        <v>29924225</v>
      </c>
      <c r="AB47" s="29">
        <f t="shared" si="15"/>
        <v>76633225</v>
      </c>
      <c r="AC47" s="32">
        <f t="shared" si="16"/>
        <v>506994775</v>
      </c>
      <c r="AD47" s="102">
        <f t="shared" si="19"/>
        <v>447675927.16666669</v>
      </c>
      <c r="AE47" s="72">
        <f t="shared" si="20"/>
        <v>4.2180366480518421E-2</v>
      </c>
      <c r="AF47" s="40">
        <v>3.3799999999999997E-2</v>
      </c>
      <c r="AG47" s="74">
        <f t="shared" si="17"/>
        <v>8.3803664805184239E-3</v>
      </c>
      <c r="AH47" s="38">
        <f t="shared" si="21"/>
        <v>-17328437.162998855</v>
      </c>
      <c r="AI47" s="99"/>
    </row>
    <row r="48" spans="1:35" x14ac:dyDescent="0.2"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</row>
    <row r="49" spans="17:33" x14ac:dyDescent="0.2"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</row>
    <row r="50" spans="17:33" x14ac:dyDescent="0.2"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</row>
    <row r="51" spans="17:33" x14ac:dyDescent="0.2">
      <c r="Q51" s="99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</row>
    <row r="52" spans="17:33" x14ac:dyDescent="0.2"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</row>
    <row r="53" spans="17:33" x14ac:dyDescent="0.2"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</row>
  </sheetData>
  <mergeCells count="8">
    <mergeCell ref="C4:U4"/>
    <mergeCell ref="V4:AC4"/>
    <mergeCell ref="AE4:AG4"/>
    <mergeCell ref="C5:I5"/>
    <mergeCell ref="J5:M5"/>
    <mergeCell ref="V5:X5"/>
    <mergeCell ref="Y5:AB5"/>
    <mergeCell ref="AE5:AG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FCB14-84AA-42C4-8530-F4F7014DEBC1}">
  <dimension ref="A3:U48"/>
  <sheetViews>
    <sheetView zoomScale="80" zoomScaleNormal="80" workbookViewId="0">
      <selection activeCell="F38" sqref="F38"/>
    </sheetView>
  </sheetViews>
  <sheetFormatPr defaultRowHeight="12.75" x14ac:dyDescent="0.2"/>
  <cols>
    <col min="1" max="3" width="9.140625" style="1"/>
    <col min="4" max="4" width="14.28515625" style="1" customWidth="1"/>
    <col min="5" max="5" width="13.85546875" style="1" bestFit="1" customWidth="1"/>
    <col min="6" max="6" width="13.42578125" style="1" bestFit="1" customWidth="1"/>
    <col min="7" max="7" width="12" style="1" bestFit="1" customWidth="1"/>
    <col min="8" max="8" width="13.42578125" style="1" bestFit="1" customWidth="1"/>
    <col min="9" max="9" width="15.5703125" style="1" customWidth="1"/>
    <col min="10" max="10" width="13" style="1" bestFit="1" customWidth="1"/>
    <col min="11" max="12" width="13.42578125" style="1" bestFit="1" customWidth="1"/>
    <col min="13" max="13" width="9.140625" style="1"/>
    <col min="14" max="14" width="13" style="1" bestFit="1" customWidth="1"/>
    <col min="15" max="15" width="10.7109375" style="1" bestFit="1" customWidth="1"/>
    <col min="16" max="16384" width="9.140625" style="1"/>
  </cols>
  <sheetData>
    <row r="3" spans="1:21" ht="38.25" x14ac:dyDescent="0.2">
      <c r="A3" s="2" t="s">
        <v>0</v>
      </c>
      <c r="B3" s="2" t="s">
        <v>52</v>
      </c>
      <c r="C3" s="2" t="s">
        <v>45</v>
      </c>
      <c r="D3" s="2" t="s">
        <v>46</v>
      </c>
      <c r="E3" s="2" t="s">
        <v>47</v>
      </c>
      <c r="F3" s="2" t="s">
        <v>48</v>
      </c>
      <c r="G3" s="2" t="s">
        <v>54</v>
      </c>
      <c r="H3" s="2" t="s">
        <v>55</v>
      </c>
      <c r="I3" s="2" t="s">
        <v>49</v>
      </c>
      <c r="J3" s="2" t="s">
        <v>50</v>
      </c>
      <c r="K3" s="2" t="s">
        <v>57</v>
      </c>
      <c r="L3" s="2" t="s">
        <v>53</v>
      </c>
      <c r="M3" s="2" t="s">
        <v>56</v>
      </c>
      <c r="N3" s="2" t="s">
        <v>51</v>
      </c>
      <c r="O3" s="2"/>
      <c r="P3" s="2"/>
      <c r="Q3" s="2"/>
      <c r="R3" s="2"/>
      <c r="S3" s="2"/>
      <c r="T3" s="2"/>
      <c r="U3" s="2"/>
    </row>
    <row r="4" spans="1:21" s="54" customFormat="1" x14ac:dyDescent="0.25">
      <c r="A4" s="2"/>
      <c r="B4" s="4"/>
      <c r="C4" s="53"/>
      <c r="D4" s="53"/>
      <c r="E4" s="4"/>
      <c r="F4" s="4"/>
      <c r="G4" s="53" t="s">
        <v>58</v>
      </c>
      <c r="H4" s="53"/>
      <c r="I4" s="53"/>
      <c r="J4" s="53"/>
    </row>
    <row r="5" spans="1:21" s="54" customFormat="1" x14ac:dyDescent="0.2">
      <c r="A5" s="51">
        <v>44805</v>
      </c>
      <c r="B5" s="51">
        <v>44866</v>
      </c>
      <c r="C5" s="50">
        <f>ROUND('3. Rate Calc'!AG8,5)</f>
        <v>4.1300000000000003E-2</v>
      </c>
      <c r="D5" s="23">
        <v>389522664</v>
      </c>
      <c r="E5" s="55">
        <f t="shared" ref="E5:E7" si="0">ROUND(C5*D5,0)</f>
        <v>16087286</v>
      </c>
      <c r="F5" s="56">
        <v>404267144</v>
      </c>
      <c r="G5" s="23">
        <v>5579291</v>
      </c>
      <c r="H5" s="58">
        <f t="shared" ref="H5:H7" si="1">F5-G5</f>
        <v>398687853</v>
      </c>
      <c r="I5" s="55">
        <f t="shared" ref="I5:I7" si="2">C5*H5</f>
        <v>16465808.328900002</v>
      </c>
      <c r="J5" s="59">
        <f t="shared" ref="J5:J7" si="3">E5-I5</f>
        <v>-378522.32890000194</v>
      </c>
      <c r="K5" s="23">
        <v>440706130</v>
      </c>
      <c r="L5" s="23">
        <v>434496172</v>
      </c>
      <c r="M5" s="62">
        <f t="shared" ref="M5:M7" si="4">ROUND(K5/L5,5)</f>
        <v>1.0142899999999999</v>
      </c>
      <c r="N5" s="59">
        <f t="shared" ref="N5:N7" si="5">ROUND(J5*M5,0)</f>
        <v>-383931</v>
      </c>
    </row>
    <row r="6" spans="1:21" s="54" customFormat="1" x14ac:dyDescent="0.2">
      <c r="A6" s="51">
        <v>44835</v>
      </c>
      <c r="B6" s="51">
        <v>44896</v>
      </c>
      <c r="C6" s="50">
        <f>ROUND('3. Rate Calc'!AG9,5)</f>
        <v>4.1939999999999998E-2</v>
      </c>
      <c r="D6" s="23">
        <v>495513800</v>
      </c>
      <c r="E6" s="55">
        <f t="shared" si="0"/>
        <v>20781849</v>
      </c>
      <c r="F6" s="56">
        <v>405052299</v>
      </c>
      <c r="G6" s="23">
        <v>5389072</v>
      </c>
      <c r="H6" s="58">
        <f t="shared" si="1"/>
        <v>399663227</v>
      </c>
      <c r="I6" s="55">
        <f t="shared" si="2"/>
        <v>16761875.740379998</v>
      </c>
      <c r="J6" s="59">
        <f t="shared" si="3"/>
        <v>4019973.2596200015</v>
      </c>
      <c r="K6" s="23">
        <v>530871212</v>
      </c>
      <c r="L6" s="23">
        <v>523234196</v>
      </c>
      <c r="M6" s="62">
        <f t="shared" si="4"/>
        <v>1.0145999999999999</v>
      </c>
      <c r="N6" s="59">
        <f t="shared" si="5"/>
        <v>4078665</v>
      </c>
    </row>
    <row r="7" spans="1:21" s="54" customFormat="1" x14ac:dyDescent="0.2">
      <c r="A7" s="51">
        <v>44866</v>
      </c>
      <c r="B7" s="51">
        <v>44927</v>
      </c>
      <c r="C7" s="50">
        <f>ROUND('3. Rate Calc'!AG10,5)</f>
        <v>3.7830000000000003E-2</v>
      </c>
      <c r="D7" s="23">
        <v>550260592</v>
      </c>
      <c r="E7" s="55">
        <f t="shared" si="0"/>
        <v>20816358</v>
      </c>
      <c r="F7" s="61">
        <f>K5</f>
        <v>440706130</v>
      </c>
      <c r="G7" s="23">
        <v>6209958</v>
      </c>
      <c r="H7" s="58">
        <f t="shared" si="1"/>
        <v>434496172</v>
      </c>
      <c r="I7" s="55">
        <f t="shared" si="2"/>
        <v>16436990.186760001</v>
      </c>
      <c r="J7" s="59">
        <f t="shared" si="3"/>
        <v>4379367.8132399991</v>
      </c>
      <c r="K7" s="23">
        <v>499846850</v>
      </c>
      <c r="L7" s="23">
        <v>492610248</v>
      </c>
      <c r="M7" s="62">
        <f t="shared" si="4"/>
        <v>1.0146900000000001</v>
      </c>
      <c r="N7" s="59">
        <f t="shared" si="5"/>
        <v>4443701</v>
      </c>
    </row>
    <row r="8" spans="1:21" x14ac:dyDescent="0.2">
      <c r="A8" s="51">
        <v>44896</v>
      </c>
      <c r="B8" s="51">
        <v>44958</v>
      </c>
      <c r="C8" s="50">
        <f>ROUND('3. Rate Calc'!AG11,5)</f>
        <v>5.1130000000000002E-2</v>
      </c>
      <c r="D8" s="23">
        <v>461611640</v>
      </c>
      <c r="E8" s="55">
        <f>ROUND(C8*D8,0)</f>
        <v>23602203</v>
      </c>
      <c r="F8" s="61">
        <f>K6</f>
        <v>530871212</v>
      </c>
      <c r="G8" s="23">
        <v>7637016</v>
      </c>
      <c r="H8" s="58">
        <f>F8-G8</f>
        <v>523234196</v>
      </c>
      <c r="I8" s="55">
        <f>C8*H8</f>
        <v>26752964.44148</v>
      </c>
      <c r="J8" s="59">
        <f>E8-I8</f>
        <v>-3150761.4414799996</v>
      </c>
      <c r="K8" s="23">
        <v>421121053</v>
      </c>
      <c r="L8" s="23">
        <v>415109658</v>
      </c>
      <c r="M8" s="62">
        <f>ROUND(K8/L8,5)</f>
        <v>1.01448</v>
      </c>
      <c r="N8" s="59">
        <f>ROUND(J8*M8,0)</f>
        <v>-3196384</v>
      </c>
    </row>
    <row r="9" spans="1:21" x14ac:dyDescent="0.2">
      <c r="A9" s="51">
        <v>44927</v>
      </c>
      <c r="B9" s="51">
        <v>44986</v>
      </c>
      <c r="C9" s="50">
        <f>ROUND('3. Rate Calc'!AG12,5)</f>
        <v>-1.8880000000000001E-2</v>
      </c>
      <c r="D9" s="23">
        <v>431163653</v>
      </c>
      <c r="E9" s="55">
        <f>ROUND(C9*D9,0)</f>
        <v>-8140370</v>
      </c>
      <c r="F9" s="61">
        <f>K7</f>
        <v>499846850</v>
      </c>
      <c r="G9" s="23">
        <v>7236602</v>
      </c>
      <c r="H9" s="58">
        <f t="shared" ref="H9:H42" si="6">F9-G9</f>
        <v>492610248</v>
      </c>
      <c r="I9" s="55">
        <f t="shared" ref="I9:I42" si="7">C9*H9</f>
        <v>-9300481.4822400007</v>
      </c>
      <c r="J9" s="59">
        <f t="shared" ref="J9:J42" si="8">E9-I9</f>
        <v>1160111.4822400007</v>
      </c>
      <c r="K9" s="23">
        <v>451733027</v>
      </c>
      <c r="L9" s="23">
        <v>445486178</v>
      </c>
      <c r="M9" s="62">
        <f t="shared" ref="M9:M42" si="9">ROUND(K9/L9,5)</f>
        <v>1.0140199999999999</v>
      </c>
      <c r="N9" s="59">
        <f t="shared" ref="N9:N42" si="10">ROUND(J9*M9,0)</f>
        <v>1176376</v>
      </c>
    </row>
    <row r="10" spans="1:21" x14ac:dyDescent="0.2">
      <c r="A10" s="51">
        <v>44958</v>
      </c>
      <c r="B10" s="51">
        <v>45017</v>
      </c>
      <c r="C10" s="50">
        <f>ROUND('3. Rate Calc'!AG13,5)</f>
        <v>1.6830000000000001E-2</v>
      </c>
      <c r="D10" s="23">
        <v>418054513</v>
      </c>
      <c r="E10" s="55">
        <f t="shared" ref="E10:E42" si="11">ROUND(C10*D10,0)</f>
        <v>7035857</v>
      </c>
      <c r="F10" s="61">
        <f>K8</f>
        <v>421121053</v>
      </c>
      <c r="G10" s="23">
        <v>6011395</v>
      </c>
      <c r="H10" s="58">
        <f t="shared" si="6"/>
        <v>415109658</v>
      </c>
      <c r="I10" s="55">
        <f t="shared" si="7"/>
        <v>6986295.5441400008</v>
      </c>
      <c r="J10" s="59">
        <f t="shared" si="8"/>
        <v>49561.455859999172</v>
      </c>
      <c r="K10" s="23">
        <v>388944272</v>
      </c>
      <c r="L10" s="23">
        <v>383942498</v>
      </c>
      <c r="M10" s="62">
        <f t="shared" si="9"/>
        <v>1.0130300000000001</v>
      </c>
      <c r="N10" s="59">
        <f t="shared" si="10"/>
        <v>50207</v>
      </c>
    </row>
    <row r="11" spans="1:21" x14ac:dyDescent="0.2">
      <c r="A11" s="51">
        <v>44986</v>
      </c>
      <c r="B11" s="51">
        <v>45047</v>
      </c>
      <c r="C11" s="50">
        <f>ROUND('3. Rate Calc'!AG14,5)</f>
        <v>2.2899999999999999E-3</v>
      </c>
      <c r="D11" s="23">
        <v>392087302</v>
      </c>
      <c r="E11" s="55">
        <f t="shared" si="11"/>
        <v>897880</v>
      </c>
      <c r="F11" s="61">
        <f t="shared" ref="F11:F18" si="12">K9</f>
        <v>451733027</v>
      </c>
      <c r="G11" s="23">
        <v>6246849</v>
      </c>
      <c r="H11" s="58">
        <f t="shared" si="6"/>
        <v>445486178</v>
      </c>
      <c r="I11" s="55">
        <f t="shared" si="7"/>
        <v>1020163.34762</v>
      </c>
      <c r="J11" s="59">
        <f t="shared" si="8"/>
        <v>-122283.34762000002</v>
      </c>
      <c r="K11" s="23">
        <v>398514364</v>
      </c>
      <c r="L11" s="23">
        <v>393305168</v>
      </c>
      <c r="M11" s="62">
        <f t="shared" si="9"/>
        <v>1.0132399999999999</v>
      </c>
      <c r="N11" s="59">
        <f t="shared" si="10"/>
        <v>-123902</v>
      </c>
      <c r="O11" s="57"/>
    </row>
    <row r="12" spans="1:21" x14ac:dyDescent="0.2">
      <c r="A12" s="51">
        <v>45017</v>
      </c>
      <c r="B12" s="51">
        <v>45078</v>
      </c>
      <c r="C12" s="50">
        <f>ROUND('3. Rate Calc'!AG15,5)</f>
        <v>8.6E-3</v>
      </c>
      <c r="D12" s="23">
        <v>399620595</v>
      </c>
      <c r="E12" s="55">
        <f t="shared" si="11"/>
        <v>3436737</v>
      </c>
      <c r="F12" s="61">
        <f t="shared" si="12"/>
        <v>388944272</v>
      </c>
      <c r="G12" s="23">
        <v>5001774</v>
      </c>
      <c r="H12" s="58">
        <f t="shared" si="6"/>
        <v>383942498</v>
      </c>
      <c r="I12" s="55">
        <f t="shared" si="7"/>
        <v>3301905.4827999999</v>
      </c>
      <c r="J12" s="59">
        <f t="shared" si="8"/>
        <v>134831.51720000012</v>
      </c>
      <c r="K12" s="23">
        <v>417684971</v>
      </c>
      <c r="L12" s="23">
        <v>412226079</v>
      </c>
      <c r="M12" s="62">
        <f t="shared" si="9"/>
        <v>1.0132399999999999</v>
      </c>
      <c r="N12" s="59">
        <f t="shared" si="10"/>
        <v>136617</v>
      </c>
    </row>
    <row r="13" spans="1:21" x14ac:dyDescent="0.2">
      <c r="A13" s="51">
        <v>45047</v>
      </c>
      <c r="B13" s="51">
        <v>45108</v>
      </c>
      <c r="C13" s="50">
        <f>ROUND('3. Rate Calc'!AG16,5)</f>
        <v>4.8900000000000002E-3</v>
      </c>
      <c r="D13" s="23">
        <v>431455321</v>
      </c>
      <c r="E13" s="55">
        <f t="shared" si="11"/>
        <v>2109817</v>
      </c>
      <c r="F13" s="61">
        <f t="shared" si="12"/>
        <v>398514364</v>
      </c>
      <c r="G13" s="23">
        <v>5209196</v>
      </c>
      <c r="H13" s="58">
        <f t="shared" si="6"/>
        <v>393305168</v>
      </c>
      <c r="I13" s="55">
        <f t="shared" si="7"/>
        <v>1923262.2715200002</v>
      </c>
      <c r="J13" s="59">
        <f t="shared" si="8"/>
        <v>186554.72847999982</v>
      </c>
      <c r="K13" s="23">
        <v>478933865</v>
      </c>
      <c r="L13" s="23">
        <v>472342583</v>
      </c>
      <c r="M13" s="62">
        <f t="shared" si="9"/>
        <v>1.0139499999999999</v>
      </c>
      <c r="N13" s="59">
        <f t="shared" si="10"/>
        <v>189157</v>
      </c>
    </row>
    <row r="14" spans="1:21" x14ac:dyDescent="0.2">
      <c r="A14" s="51">
        <v>45078</v>
      </c>
      <c r="B14" s="51">
        <v>45139</v>
      </c>
      <c r="C14" s="50">
        <f>ROUND('3. Rate Calc'!AG17,5)</f>
        <v>6.2500000000000003E-3</v>
      </c>
      <c r="D14" s="23">
        <v>457300706</v>
      </c>
      <c r="E14" s="55">
        <f t="shared" si="11"/>
        <v>2858129</v>
      </c>
      <c r="F14" s="61">
        <f t="shared" si="12"/>
        <v>417684971</v>
      </c>
      <c r="G14" s="23">
        <v>5458892</v>
      </c>
      <c r="H14" s="58">
        <f t="shared" si="6"/>
        <v>412226079</v>
      </c>
      <c r="I14" s="55">
        <f t="shared" si="7"/>
        <v>2576412.9937500004</v>
      </c>
      <c r="J14" s="59">
        <f t="shared" si="8"/>
        <v>281716.00624999963</v>
      </c>
      <c r="K14" s="23">
        <v>467128731</v>
      </c>
      <c r="L14" s="23">
        <v>460678769</v>
      </c>
      <c r="M14" s="63">
        <f t="shared" si="9"/>
        <v>1.014</v>
      </c>
      <c r="N14" s="59">
        <f t="shared" si="10"/>
        <v>285660</v>
      </c>
    </row>
    <row r="15" spans="1:21" x14ac:dyDescent="0.2">
      <c r="A15" s="51">
        <v>45108</v>
      </c>
      <c r="B15" s="51">
        <v>45170</v>
      </c>
      <c r="C15" s="50">
        <f>ROUND('3. Rate Calc'!AG18,5)</f>
        <v>8.7799999999999996E-3</v>
      </c>
      <c r="D15" s="23">
        <v>443924653</v>
      </c>
      <c r="E15" s="55">
        <f t="shared" si="11"/>
        <v>3897658</v>
      </c>
      <c r="F15" s="61">
        <f t="shared" si="12"/>
        <v>478933865</v>
      </c>
      <c r="G15" s="23">
        <v>6591282</v>
      </c>
      <c r="H15" s="58">
        <f t="shared" si="6"/>
        <v>472342583</v>
      </c>
      <c r="I15" s="55">
        <f t="shared" si="7"/>
        <v>4147167.8787399996</v>
      </c>
      <c r="J15" s="59">
        <f t="shared" si="8"/>
        <v>-249509.87873999961</v>
      </c>
      <c r="K15" s="23">
        <v>411034614</v>
      </c>
      <c r="L15" s="23">
        <v>405662012</v>
      </c>
      <c r="M15" s="62">
        <f t="shared" si="9"/>
        <v>1.0132399999999999</v>
      </c>
      <c r="N15" s="59">
        <f t="shared" si="10"/>
        <v>-252813</v>
      </c>
    </row>
    <row r="16" spans="1:21" x14ac:dyDescent="0.2">
      <c r="A16" s="51">
        <v>45139</v>
      </c>
      <c r="B16" s="51">
        <v>45200</v>
      </c>
      <c r="C16" s="50">
        <f>ROUND('3. Rate Calc'!AG19,5)</f>
        <v>9.7400000000000004E-3</v>
      </c>
      <c r="D16" s="23">
        <v>382542719</v>
      </c>
      <c r="E16" s="55">
        <f t="shared" si="11"/>
        <v>3725966</v>
      </c>
      <c r="F16" s="61">
        <f t="shared" si="12"/>
        <v>467128731</v>
      </c>
      <c r="G16" s="23">
        <v>6449962</v>
      </c>
      <c r="H16" s="58">
        <f t="shared" si="6"/>
        <v>460678769</v>
      </c>
      <c r="I16" s="55">
        <f t="shared" si="7"/>
        <v>4487011.2100600004</v>
      </c>
      <c r="J16" s="59">
        <f t="shared" si="8"/>
        <v>-761045.21006000042</v>
      </c>
      <c r="K16" s="23">
        <v>385659292</v>
      </c>
      <c r="L16" s="23">
        <v>380499296</v>
      </c>
      <c r="M16" s="62">
        <f t="shared" si="9"/>
        <v>1.01356</v>
      </c>
      <c r="N16" s="59">
        <f t="shared" si="10"/>
        <v>-771365</v>
      </c>
    </row>
    <row r="17" spans="1:14" x14ac:dyDescent="0.2">
      <c r="A17" s="51">
        <v>45170</v>
      </c>
      <c r="B17" s="51">
        <v>45231</v>
      </c>
      <c r="C17" s="50">
        <f>ROUND('3. Rate Calc'!AG20,5)</f>
        <v>7.45E-3</v>
      </c>
      <c r="D17" s="23">
        <v>390469701</v>
      </c>
      <c r="E17" s="55">
        <f t="shared" si="11"/>
        <v>2908999</v>
      </c>
      <c r="F17" s="61">
        <f t="shared" si="12"/>
        <v>411034614</v>
      </c>
      <c r="G17" s="23">
        <v>5372602</v>
      </c>
      <c r="H17" s="58">
        <f t="shared" si="6"/>
        <v>405662012</v>
      </c>
      <c r="I17" s="55">
        <f t="shared" si="7"/>
        <v>3022181.9893999998</v>
      </c>
      <c r="J17" s="59">
        <f t="shared" si="8"/>
        <v>-113182.98939999985</v>
      </c>
      <c r="K17" s="23">
        <v>443997586</v>
      </c>
      <c r="L17" s="23">
        <v>437927110</v>
      </c>
      <c r="M17" s="62">
        <f t="shared" si="9"/>
        <v>1.01386</v>
      </c>
      <c r="N17" s="59">
        <f t="shared" si="10"/>
        <v>-114752</v>
      </c>
    </row>
    <row r="18" spans="1:14" x14ac:dyDescent="0.2">
      <c r="A18" s="51">
        <v>45200</v>
      </c>
      <c r="B18" s="51">
        <v>45261</v>
      </c>
      <c r="C18" s="50">
        <f>ROUND('3. Rate Calc'!AG21,5)</f>
        <v>7.0200000000000002E-3</v>
      </c>
      <c r="D18" s="23">
        <v>486349190</v>
      </c>
      <c r="E18" s="55">
        <f t="shared" si="11"/>
        <v>3414171</v>
      </c>
      <c r="F18" s="61">
        <f t="shared" si="12"/>
        <v>385659292</v>
      </c>
      <c r="G18" s="23">
        <v>5159996</v>
      </c>
      <c r="H18" s="58">
        <f t="shared" si="6"/>
        <v>380499296</v>
      </c>
      <c r="I18" s="55">
        <f t="shared" si="7"/>
        <v>2671105.0579200001</v>
      </c>
      <c r="J18" s="59">
        <f t="shared" si="8"/>
        <v>743065.94207999995</v>
      </c>
      <c r="K18" s="23">
        <v>463175334</v>
      </c>
      <c r="L18" s="23">
        <v>456366124</v>
      </c>
      <c r="M18" s="62">
        <f t="shared" si="9"/>
        <v>1.01492</v>
      </c>
      <c r="N18" s="59">
        <f t="shared" si="10"/>
        <v>754152</v>
      </c>
    </row>
    <row r="19" spans="1:14" x14ac:dyDescent="0.2">
      <c r="A19" s="51">
        <v>45231</v>
      </c>
      <c r="B19" s="51">
        <v>45292</v>
      </c>
      <c r="C19" s="80">
        <f>ROUND('3. Rate Calc'!AG22,5)</f>
        <v>9.9000000000000008E-3</v>
      </c>
      <c r="D19" s="23">
        <v>546889251</v>
      </c>
      <c r="E19" s="55">
        <f t="shared" si="11"/>
        <v>5414204</v>
      </c>
      <c r="F19" s="105">
        <f>'3. Rate Calc'!AD22</f>
        <v>441289153.08333331</v>
      </c>
      <c r="G19" s="23">
        <v>6070476</v>
      </c>
      <c r="H19" s="58">
        <f t="shared" si="6"/>
        <v>435218677.08333331</v>
      </c>
      <c r="I19" s="55">
        <f t="shared" si="7"/>
        <v>4308664.9031250002</v>
      </c>
      <c r="J19" s="59">
        <f t="shared" si="8"/>
        <v>1105539.0968749998</v>
      </c>
      <c r="K19" s="23">
        <v>617468853</v>
      </c>
      <c r="L19" s="23">
        <v>609228451</v>
      </c>
      <c r="M19" s="62">
        <f t="shared" si="9"/>
        <v>1.01353</v>
      </c>
      <c r="N19" s="59">
        <f t="shared" si="10"/>
        <v>1120497</v>
      </c>
    </row>
    <row r="20" spans="1:14" x14ac:dyDescent="0.2">
      <c r="A20" s="51">
        <v>45261</v>
      </c>
      <c r="B20" s="51">
        <v>45323</v>
      </c>
      <c r="C20" s="80">
        <f>ROUND('3. Rate Calc'!AG23,5)</f>
        <v>6.4000000000000003E-3</v>
      </c>
      <c r="D20" s="23">
        <v>488138208</v>
      </c>
      <c r="E20" s="55">
        <f t="shared" si="11"/>
        <v>3124085</v>
      </c>
      <c r="F20" s="105">
        <f>'3. Rate Calc'!AD23</f>
        <v>435647829.91666669</v>
      </c>
      <c r="G20" s="23">
        <v>6809210</v>
      </c>
      <c r="H20" s="58">
        <f t="shared" si="6"/>
        <v>428838619.91666669</v>
      </c>
      <c r="I20" s="55">
        <f t="shared" si="7"/>
        <v>2744567.167466667</v>
      </c>
      <c r="J20" s="59">
        <f t="shared" si="8"/>
        <v>379517.83253333298</v>
      </c>
      <c r="K20" s="23">
        <v>436331073</v>
      </c>
      <c r="L20" s="23">
        <v>430039328</v>
      </c>
      <c r="M20" s="62">
        <f t="shared" si="9"/>
        <v>1.0146299999999999</v>
      </c>
      <c r="N20" s="59">
        <f t="shared" si="10"/>
        <v>385070</v>
      </c>
    </row>
    <row r="21" spans="1:14" x14ac:dyDescent="0.2">
      <c r="A21" s="51">
        <v>45292</v>
      </c>
      <c r="B21" s="51">
        <v>45352</v>
      </c>
      <c r="C21" s="80">
        <f>ROUND('3. Rate Calc'!AG24,5)</f>
        <v>9.6200000000000001E-3</v>
      </c>
      <c r="D21" s="23">
        <v>444721245</v>
      </c>
      <c r="E21" s="55">
        <f t="shared" si="11"/>
        <v>4278218</v>
      </c>
      <c r="F21" s="105">
        <f>'3. Rate Calc'!AD24</f>
        <v>445449663.5</v>
      </c>
      <c r="G21" s="23">
        <v>8240402</v>
      </c>
      <c r="H21" s="58">
        <f t="shared" si="6"/>
        <v>437209261.5</v>
      </c>
      <c r="I21" s="55">
        <f t="shared" si="7"/>
        <v>4205953.0956300003</v>
      </c>
      <c r="J21" s="59">
        <f t="shared" si="8"/>
        <v>72264.904369999655</v>
      </c>
      <c r="K21" s="23">
        <v>425311577</v>
      </c>
      <c r="L21" s="23">
        <v>419402259</v>
      </c>
      <c r="M21" s="62">
        <f t="shared" si="9"/>
        <v>1.0140899999999999</v>
      </c>
      <c r="N21" s="59">
        <f t="shared" si="10"/>
        <v>73283</v>
      </c>
    </row>
    <row r="22" spans="1:14" x14ac:dyDescent="0.2">
      <c r="A22" s="51">
        <v>45323</v>
      </c>
      <c r="B22" s="51">
        <v>45383</v>
      </c>
      <c r="C22" s="80">
        <f>ROUND('3. Rate Calc'!AG25,5)</f>
        <v>9.0100000000000006E-3</v>
      </c>
      <c r="D22" s="23">
        <v>422497434</v>
      </c>
      <c r="E22" s="55">
        <f t="shared" si="11"/>
        <v>3806702</v>
      </c>
      <c r="F22" s="105">
        <f>'3. Rate Calc'!AD25</f>
        <v>446717165.16666669</v>
      </c>
      <c r="G22" s="23">
        <v>6291745</v>
      </c>
      <c r="H22" s="58">
        <f t="shared" si="6"/>
        <v>440425420.16666669</v>
      </c>
      <c r="I22" s="55">
        <f t="shared" si="7"/>
        <v>3968233.035701667</v>
      </c>
      <c r="J22" s="59">
        <f t="shared" si="8"/>
        <v>-161531.03570166696</v>
      </c>
      <c r="K22" s="23">
        <v>397483028</v>
      </c>
      <c r="L22" s="23">
        <v>392283874</v>
      </c>
      <c r="M22" s="62">
        <f t="shared" si="9"/>
        <v>1.01325</v>
      </c>
      <c r="N22" s="59">
        <f t="shared" si="10"/>
        <v>-163671</v>
      </c>
    </row>
    <row r="23" spans="1:14" x14ac:dyDescent="0.2">
      <c r="A23" s="51">
        <v>45352</v>
      </c>
      <c r="B23" s="51">
        <v>45413</v>
      </c>
      <c r="C23" s="80">
        <f>ROUND('3. Rate Calc'!AG26,5)</f>
        <v>9.4400000000000005E-3</v>
      </c>
      <c r="D23" s="23">
        <v>373320238</v>
      </c>
      <c r="E23" s="55">
        <f t="shared" si="11"/>
        <v>3524143</v>
      </c>
      <c r="F23" s="105">
        <f>'3. Rate Calc'!AD26</f>
        <v>444515377.66666669</v>
      </c>
      <c r="G23" s="23">
        <v>5909318</v>
      </c>
      <c r="H23" s="58">
        <f t="shared" si="6"/>
        <v>438606059.66666669</v>
      </c>
      <c r="I23" s="55">
        <f t="shared" si="7"/>
        <v>4140441.2032533339</v>
      </c>
      <c r="J23" s="59">
        <f t="shared" si="8"/>
        <v>-616298.20325333392</v>
      </c>
      <c r="K23" s="23">
        <v>411878407</v>
      </c>
      <c r="L23" s="23">
        <v>406409628</v>
      </c>
      <c r="M23" s="62">
        <f t="shared" si="9"/>
        <v>1.01346</v>
      </c>
      <c r="N23" s="59">
        <f t="shared" si="10"/>
        <v>-624594</v>
      </c>
    </row>
    <row r="24" spans="1:14" x14ac:dyDescent="0.2">
      <c r="A24" s="51">
        <v>45383</v>
      </c>
      <c r="B24" s="51">
        <v>45444</v>
      </c>
      <c r="C24" s="80">
        <f>ROUND('3. Rate Calc'!AG27,5)</f>
        <v>9.3399999999999993E-3</v>
      </c>
      <c r="D24" s="23">
        <v>421782222</v>
      </c>
      <c r="E24" s="55">
        <f t="shared" si="11"/>
        <v>3939446</v>
      </c>
      <c r="F24" s="105">
        <f>'3. Rate Calc'!AD27</f>
        <v>445226940.66666669</v>
      </c>
      <c r="G24" s="23">
        <v>5199154</v>
      </c>
      <c r="H24" s="58">
        <f t="shared" si="6"/>
        <v>440027786.66666669</v>
      </c>
      <c r="I24" s="55">
        <f t="shared" si="7"/>
        <v>4109859.5274666664</v>
      </c>
      <c r="J24" s="59">
        <f t="shared" si="8"/>
        <v>-170413.52746666642</v>
      </c>
      <c r="K24" s="23">
        <v>457765100</v>
      </c>
      <c r="L24" s="23">
        <v>451375457</v>
      </c>
      <c r="M24" s="62">
        <f t="shared" si="9"/>
        <v>1.01416</v>
      </c>
      <c r="N24" s="59">
        <f t="shared" si="10"/>
        <v>-172827</v>
      </c>
    </row>
    <row r="25" spans="1:14" x14ac:dyDescent="0.2">
      <c r="A25" s="51">
        <v>45413</v>
      </c>
      <c r="B25" s="51">
        <v>45474</v>
      </c>
      <c r="C25" s="80">
        <f>ROUND('3. Rate Calc'!AG28,5)</f>
        <v>9.1199999999999996E-3</v>
      </c>
      <c r="D25" s="23">
        <v>467867039</v>
      </c>
      <c r="E25" s="55">
        <f t="shared" si="11"/>
        <v>4266947</v>
      </c>
      <c r="F25" s="105">
        <f>'3. Rate Calc'!AD28</f>
        <v>446340610.91666669</v>
      </c>
      <c r="G25" s="23">
        <v>5468779</v>
      </c>
      <c r="H25" s="58">
        <f t="shared" si="6"/>
        <v>440871831.91666669</v>
      </c>
      <c r="I25" s="55">
        <f t="shared" si="7"/>
        <v>4020751.10708</v>
      </c>
      <c r="J25" s="59">
        <f t="shared" si="8"/>
        <v>246195.89292000001</v>
      </c>
      <c r="K25" s="23">
        <v>477823165</v>
      </c>
      <c r="L25" s="23">
        <v>470747151</v>
      </c>
      <c r="M25" s="62">
        <f t="shared" si="9"/>
        <v>1.0150300000000001</v>
      </c>
      <c r="N25" s="59">
        <f t="shared" si="10"/>
        <v>249896</v>
      </c>
    </row>
    <row r="26" spans="1:14" x14ac:dyDescent="0.2">
      <c r="A26" s="51">
        <v>45444</v>
      </c>
      <c r="B26" s="51">
        <v>45505</v>
      </c>
      <c r="C26" s="80">
        <f>ROUND('3. Rate Calc'!AG29,5)</f>
        <v>9.6600000000000002E-3</v>
      </c>
      <c r="D26" s="23">
        <v>457517498</v>
      </c>
      <c r="E26" s="55">
        <f t="shared" si="11"/>
        <v>4419619</v>
      </c>
      <c r="F26" s="105">
        <f>'3. Rate Calc'!AD29</f>
        <v>449680621.66666669</v>
      </c>
      <c r="G26" s="23">
        <v>6389643</v>
      </c>
      <c r="H26" s="58">
        <f t="shared" si="6"/>
        <v>443290978.66666669</v>
      </c>
      <c r="I26" s="55">
        <f t="shared" si="7"/>
        <v>4282190.8539200006</v>
      </c>
      <c r="J26" s="59">
        <f t="shared" si="8"/>
        <v>137428.14607999939</v>
      </c>
      <c r="K26" s="23">
        <v>463052563</v>
      </c>
      <c r="L26" s="23">
        <v>456304749</v>
      </c>
      <c r="M26" s="62">
        <f t="shared" si="9"/>
        <v>1.0147900000000001</v>
      </c>
      <c r="N26" s="59">
        <f t="shared" si="10"/>
        <v>139461</v>
      </c>
    </row>
    <row r="27" spans="1:14" x14ac:dyDescent="0.2">
      <c r="A27" s="51">
        <v>45474</v>
      </c>
      <c r="B27" s="51">
        <v>45536</v>
      </c>
      <c r="C27" s="80">
        <f>ROUND('3. Rate Calc'!AG30,5)</f>
        <v>9.9100000000000004E-3</v>
      </c>
      <c r="D27" s="23">
        <v>424929712</v>
      </c>
      <c r="E27" s="55">
        <f t="shared" si="11"/>
        <v>4211053</v>
      </c>
      <c r="F27" s="105">
        <f>'3. Rate Calc'!AD30</f>
        <v>449588063.33333331</v>
      </c>
      <c r="G27" s="23">
        <v>7076014</v>
      </c>
      <c r="H27" s="58">
        <f t="shared" si="6"/>
        <v>442512049.33333331</v>
      </c>
      <c r="I27" s="55">
        <f t="shared" si="7"/>
        <v>4385294.4088933337</v>
      </c>
      <c r="J27" s="59">
        <f t="shared" si="8"/>
        <v>-174241.40889333375</v>
      </c>
      <c r="K27" s="23">
        <v>399193129</v>
      </c>
      <c r="L27" s="23">
        <v>393778375</v>
      </c>
      <c r="M27" s="62">
        <f t="shared" si="9"/>
        <v>1.0137499999999999</v>
      </c>
      <c r="N27" s="59">
        <f t="shared" si="10"/>
        <v>-176637</v>
      </c>
    </row>
    <row r="28" spans="1:14" x14ac:dyDescent="0.2">
      <c r="A28" s="51">
        <v>45505</v>
      </c>
      <c r="B28" s="51">
        <v>45566</v>
      </c>
      <c r="C28" s="80">
        <f>ROUND('3. Rate Calc'!AG31,5)</f>
        <v>9.9399999999999992E-3</v>
      </c>
      <c r="D28" s="23">
        <v>403312019</v>
      </c>
      <c r="E28" s="55">
        <f t="shared" si="11"/>
        <v>4008921</v>
      </c>
      <c r="F28" s="105">
        <f>'3. Rate Calc'!AD31</f>
        <v>449248382.66666669</v>
      </c>
      <c r="G28" s="23">
        <v>6747814</v>
      </c>
      <c r="H28" s="58">
        <f t="shared" si="6"/>
        <v>442500568.66666669</v>
      </c>
      <c r="I28" s="55">
        <f t="shared" si="7"/>
        <v>4398455.6525466666</v>
      </c>
      <c r="J28" s="59">
        <f t="shared" si="8"/>
        <v>-389534.65254666656</v>
      </c>
      <c r="K28" s="23">
        <v>399930296</v>
      </c>
      <c r="L28" s="23">
        <v>394800757</v>
      </c>
      <c r="M28" s="62">
        <f t="shared" si="9"/>
        <v>1.0129900000000001</v>
      </c>
      <c r="N28" s="59">
        <f t="shared" si="10"/>
        <v>-394595</v>
      </c>
    </row>
    <row r="29" spans="1:14" x14ac:dyDescent="0.2">
      <c r="A29" s="51">
        <v>45536</v>
      </c>
      <c r="B29" s="51">
        <v>45597</v>
      </c>
      <c r="C29" s="80">
        <f>ROUND('3. Rate Calc'!AG32,5)</f>
        <v>1.023E-2</v>
      </c>
      <c r="D29" s="23">
        <v>373355279</v>
      </c>
      <c r="E29" s="55">
        <f t="shared" si="11"/>
        <v>3819425</v>
      </c>
      <c r="F29" s="105">
        <f>'3. Rate Calc'!AD32</f>
        <v>448261592.25</v>
      </c>
      <c r="G29" s="23">
        <v>5414754</v>
      </c>
      <c r="H29" s="58">
        <f t="shared" si="6"/>
        <v>442846838.25</v>
      </c>
      <c r="I29" s="55">
        <f t="shared" si="7"/>
        <v>4530323.1552975001</v>
      </c>
      <c r="J29" s="59">
        <f t="shared" si="8"/>
        <v>-710898.15529750008</v>
      </c>
      <c r="K29" s="23">
        <v>406295923</v>
      </c>
      <c r="L29" s="23">
        <v>400861124</v>
      </c>
      <c r="M29" s="62">
        <f t="shared" si="9"/>
        <v>1.01356</v>
      </c>
      <c r="N29" s="59">
        <f t="shared" si="10"/>
        <v>-720538</v>
      </c>
    </row>
    <row r="30" spans="1:14" x14ac:dyDescent="0.2">
      <c r="A30" s="51">
        <v>45566</v>
      </c>
      <c r="B30" s="51">
        <v>45627</v>
      </c>
      <c r="C30" s="80">
        <f>ROUND('3. Rate Calc'!AG33,5)</f>
        <v>1.044E-2</v>
      </c>
      <c r="D30" s="23">
        <v>484891850</v>
      </c>
      <c r="E30" s="55">
        <f t="shared" si="11"/>
        <v>5062271</v>
      </c>
      <c r="F30" s="105">
        <f>'3. Rate Calc'!AD33</f>
        <v>449450842.58333331</v>
      </c>
      <c r="G30" s="23">
        <v>5129539</v>
      </c>
      <c r="H30" s="58">
        <f t="shared" si="6"/>
        <v>444321303.58333331</v>
      </c>
      <c r="I30" s="55">
        <f t="shared" si="7"/>
        <v>4638714.4094099998</v>
      </c>
      <c r="J30" s="59">
        <f t="shared" si="8"/>
        <v>423556.59059000015</v>
      </c>
      <c r="K30" s="23">
        <v>494553500</v>
      </c>
      <c r="L30" s="23">
        <v>487431491</v>
      </c>
      <c r="M30" s="62">
        <f t="shared" si="9"/>
        <v>1.01461</v>
      </c>
      <c r="N30" s="59">
        <f t="shared" si="10"/>
        <v>429745</v>
      </c>
    </row>
    <row r="31" spans="1:14" x14ac:dyDescent="0.2">
      <c r="A31" s="51">
        <v>45597</v>
      </c>
      <c r="B31" s="51">
        <v>45658</v>
      </c>
      <c r="C31" s="80">
        <f>ROUND('3. Rate Calc'!AG34,5)</f>
        <v>1.0699999999999999E-2</v>
      </c>
      <c r="D31" s="23">
        <v>559647068</v>
      </c>
      <c r="E31" s="55">
        <f t="shared" si="11"/>
        <v>5988224</v>
      </c>
      <c r="F31" s="105">
        <f>'3. Rate Calc'!AD34</f>
        <v>446309037.33333331</v>
      </c>
      <c r="G31" s="23">
        <v>5434799</v>
      </c>
      <c r="H31" s="58">
        <f t="shared" si="6"/>
        <v>440874238.33333331</v>
      </c>
      <c r="I31" s="55">
        <f t="shared" si="7"/>
        <v>4717354.3501666663</v>
      </c>
      <c r="J31" s="59">
        <f t="shared" si="8"/>
        <v>1270869.6498333337</v>
      </c>
      <c r="K31" s="23">
        <v>628318548</v>
      </c>
      <c r="L31" s="23">
        <v>619242322</v>
      </c>
      <c r="M31" s="62">
        <f t="shared" si="9"/>
        <v>1.0146599999999999</v>
      </c>
      <c r="N31" s="59">
        <f t="shared" si="10"/>
        <v>1289501</v>
      </c>
    </row>
    <row r="32" spans="1:14" x14ac:dyDescent="0.2">
      <c r="A32" s="51">
        <v>45627</v>
      </c>
      <c r="B32" s="51">
        <v>45689</v>
      </c>
      <c r="C32" s="80">
        <f>ROUND('3. Rate Calc'!AG35,5)</f>
        <v>1.038E-2</v>
      </c>
      <c r="D32" s="23">
        <v>543430929</v>
      </c>
      <c r="E32" s="55">
        <f t="shared" si="11"/>
        <v>5640813</v>
      </c>
      <c r="F32" s="105">
        <f>'3. Rate Calc'!AD35</f>
        <v>448923884.5</v>
      </c>
      <c r="G32" s="23">
        <v>7122009</v>
      </c>
      <c r="H32" s="58">
        <f t="shared" si="6"/>
        <v>441801875.5</v>
      </c>
      <c r="I32" s="55">
        <f t="shared" si="7"/>
        <v>4585903.4676900003</v>
      </c>
      <c r="J32" s="59">
        <f t="shared" si="8"/>
        <v>1054909.5323099997</v>
      </c>
      <c r="K32" s="23">
        <v>486703753</v>
      </c>
      <c r="L32" s="23">
        <v>479804054</v>
      </c>
      <c r="M32" s="62">
        <f t="shared" si="9"/>
        <v>1.0143800000000001</v>
      </c>
      <c r="N32" s="59">
        <f t="shared" si="10"/>
        <v>1070079</v>
      </c>
    </row>
    <row r="33" spans="1:14" x14ac:dyDescent="0.2">
      <c r="A33" s="51">
        <v>45658</v>
      </c>
      <c r="B33" s="51">
        <v>45717</v>
      </c>
      <c r="C33" s="80">
        <f>ROUND('3. Rate Calc'!AG36,5)</f>
        <v>4.0699999999999998E-3</v>
      </c>
      <c r="D33" s="23">
        <v>453592183</v>
      </c>
      <c r="E33" s="55">
        <f t="shared" si="11"/>
        <v>1846120</v>
      </c>
      <c r="F33" s="105">
        <f>'3. Rate Calc'!AD36</f>
        <v>449828025.75</v>
      </c>
      <c r="G33" s="23">
        <v>9076226</v>
      </c>
      <c r="H33" s="58">
        <f t="shared" si="6"/>
        <v>440751799.75</v>
      </c>
      <c r="I33" s="55">
        <f t="shared" si="7"/>
        <v>1793859.8249824999</v>
      </c>
      <c r="J33" s="59">
        <f t="shared" si="8"/>
        <v>52260.175017500063</v>
      </c>
      <c r="K33" s="23">
        <v>442249970</v>
      </c>
      <c r="L33" s="23">
        <v>436317969</v>
      </c>
      <c r="M33" s="63">
        <f t="shared" si="9"/>
        <v>1.0136000000000001</v>
      </c>
      <c r="N33" s="59">
        <f t="shared" si="10"/>
        <v>52971</v>
      </c>
    </row>
    <row r="34" spans="1:14" x14ac:dyDescent="0.2">
      <c r="A34" s="51">
        <v>45689</v>
      </c>
      <c r="B34" s="51">
        <v>45748</v>
      </c>
      <c r="C34" s="80">
        <f>ROUND('3. Rate Calc'!AG37,5)</f>
        <v>4.3800000000000002E-3</v>
      </c>
      <c r="D34" s="23">
        <v>399706746</v>
      </c>
      <c r="E34" s="55">
        <f t="shared" si="11"/>
        <v>1750716</v>
      </c>
      <c r="F34" s="105">
        <f>'3. Rate Calc'!AD37</f>
        <v>454025749.08333331</v>
      </c>
      <c r="G34" s="23">
        <v>6899699</v>
      </c>
      <c r="H34" s="58">
        <f t="shared" si="6"/>
        <v>447126050.08333331</v>
      </c>
      <c r="I34" s="55">
        <f t="shared" si="7"/>
        <v>1958412.0993649999</v>
      </c>
      <c r="J34" s="59">
        <f t="shared" si="8"/>
        <v>-207696.09936499991</v>
      </c>
      <c r="K34" s="23">
        <v>394135849</v>
      </c>
      <c r="L34" s="23">
        <v>389099149</v>
      </c>
      <c r="M34" s="62">
        <f t="shared" si="9"/>
        <v>1.01294</v>
      </c>
      <c r="N34" s="59">
        <f t="shared" si="10"/>
        <v>-210384</v>
      </c>
    </row>
    <row r="35" spans="1:14" x14ac:dyDescent="0.2">
      <c r="A35" s="51">
        <v>45717</v>
      </c>
      <c r="B35" s="51">
        <v>45778</v>
      </c>
      <c r="C35" s="80">
        <f>ROUND('3. Rate Calc'!AG38,5)</f>
        <v>5.1900000000000002E-3</v>
      </c>
      <c r="D35" s="23">
        <v>390727869</v>
      </c>
      <c r="E35" s="55">
        <f t="shared" si="11"/>
        <v>2027878</v>
      </c>
      <c r="F35" s="105">
        <f>'3. Rate Calc'!AD38</f>
        <v>455437281.83333331</v>
      </c>
      <c r="G35" s="23">
        <v>5932001</v>
      </c>
      <c r="H35" s="58">
        <f t="shared" si="6"/>
        <v>449505280.83333331</v>
      </c>
      <c r="I35" s="55">
        <f t="shared" si="7"/>
        <v>2332932.4075250002</v>
      </c>
      <c r="J35" s="59">
        <f t="shared" si="8"/>
        <v>-305054.40752500016</v>
      </c>
      <c r="K35" s="23">
        <v>372175164</v>
      </c>
      <c r="L35" s="23">
        <v>367129626</v>
      </c>
      <c r="M35" s="62">
        <f t="shared" si="9"/>
        <v>1.0137400000000001</v>
      </c>
      <c r="N35" s="59">
        <f t="shared" si="10"/>
        <v>-309246</v>
      </c>
    </row>
    <row r="36" spans="1:14" x14ac:dyDescent="0.2">
      <c r="A36" s="51">
        <v>45748</v>
      </c>
      <c r="B36" s="51">
        <v>45809</v>
      </c>
      <c r="C36" s="80">
        <f>ROUND('3. Rate Calc'!AG39,5)</f>
        <v>5.6600000000000001E-3</v>
      </c>
      <c r="D36" s="23">
        <v>379889945</v>
      </c>
      <c r="E36" s="55">
        <f t="shared" si="11"/>
        <v>2150177</v>
      </c>
      <c r="F36" s="105">
        <f>'3. Rate Calc'!AD39</f>
        <v>455158350.25</v>
      </c>
      <c r="G36" s="23">
        <v>5036700</v>
      </c>
      <c r="H36" s="58">
        <f t="shared" si="6"/>
        <v>450121650.25</v>
      </c>
      <c r="I36" s="55">
        <f t="shared" si="7"/>
        <v>2547688.5404150002</v>
      </c>
      <c r="J36" s="59">
        <f t="shared" si="8"/>
        <v>-397511.54041500017</v>
      </c>
      <c r="K36" s="43">
        <v>441328196</v>
      </c>
      <c r="L36" s="61">
        <f>K36</f>
        <v>441328196</v>
      </c>
      <c r="M36" s="63">
        <f t="shared" si="9"/>
        <v>1</v>
      </c>
      <c r="N36" s="59">
        <f t="shared" si="10"/>
        <v>-397512</v>
      </c>
    </row>
    <row r="37" spans="1:14" x14ac:dyDescent="0.2">
      <c r="A37" s="51">
        <v>45778</v>
      </c>
      <c r="B37" s="51">
        <v>45839</v>
      </c>
      <c r="C37" s="80">
        <f>ROUND('3. Rate Calc'!AG40,5)</f>
        <v>6.4099999999999999E-3</v>
      </c>
      <c r="D37" s="23">
        <v>478545953</v>
      </c>
      <c r="E37" s="55">
        <f t="shared" si="11"/>
        <v>3067480</v>
      </c>
      <c r="F37" s="105">
        <f>'3. Rate Calc'!AD40</f>
        <v>451849746.66666669</v>
      </c>
      <c r="G37" s="23">
        <v>5045538</v>
      </c>
      <c r="H37" s="58">
        <f t="shared" si="6"/>
        <v>446804208.66666669</v>
      </c>
      <c r="I37" s="55">
        <f t="shared" si="7"/>
        <v>2864014.9775533336</v>
      </c>
      <c r="J37" s="59">
        <f t="shared" si="8"/>
        <v>203465.02244666638</v>
      </c>
      <c r="K37" s="23">
        <v>504760607</v>
      </c>
      <c r="L37" s="61">
        <f t="shared" ref="L37:L42" si="13">K37</f>
        <v>504760607</v>
      </c>
      <c r="M37" s="63">
        <f t="shared" si="9"/>
        <v>1</v>
      </c>
      <c r="N37" s="59">
        <f t="shared" si="10"/>
        <v>203465</v>
      </c>
    </row>
    <row r="38" spans="1:14" x14ac:dyDescent="0.2">
      <c r="A38" s="51">
        <v>45809</v>
      </c>
      <c r="B38" s="51">
        <v>45870</v>
      </c>
      <c r="C38" s="80">
        <f>ROUND('3. Rate Calc'!AG41,5)</f>
        <v>7.0499999999999998E-3</v>
      </c>
      <c r="D38" s="23">
        <v>456237701</v>
      </c>
      <c r="E38" s="55">
        <f t="shared" si="11"/>
        <v>3216476</v>
      </c>
      <c r="F38" s="105">
        <f>'3. Rate Calc'!AD41</f>
        <v>450480004.66666669</v>
      </c>
      <c r="G38" s="23">
        <v>0</v>
      </c>
      <c r="H38" s="58">
        <f t="shared" si="6"/>
        <v>450480004.66666669</v>
      </c>
      <c r="I38" s="55">
        <f t="shared" si="7"/>
        <v>3175884.0329</v>
      </c>
      <c r="J38" s="59">
        <f t="shared" si="8"/>
        <v>40591.967100000009</v>
      </c>
      <c r="K38" s="23">
        <v>437073485</v>
      </c>
      <c r="L38" s="61">
        <f t="shared" si="13"/>
        <v>437073485</v>
      </c>
      <c r="M38" s="63">
        <f t="shared" si="9"/>
        <v>1</v>
      </c>
      <c r="N38" s="59">
        <f t="shared" si="10"/>
        <v>40592</v>
      </c>
    </row>
    <row r="39" spans="1:14" x14ac:dyDescent="0.2">
      <c r="A39" s="51">
        <v>45839</v>
      </c>
      <c r="B39" s="51">
        <v>45901</v>
      </c>
      <c r="C39" s="80">
        <f>ROUND('3. Rate Calc'!AG42,5)</f>
        <v>7.7600000000000004E-3</v>
      </c>
      <c r="D39" s="23">
        <v>405197373</v>
      </c>
      <c r="E39" s="55">
        <f t="shared" si="11"/>
        <v>3144332</v>
      </c>
      <c r="F39" s="105">
        <f>'3. Rate Calc'!AD42</f>
        <v>452724791.5</v>
      </c>
      <c r="G39" s="23">
        <v>0</v>
      </c>
      <c r="H39" s="58">
        <f t="shared" si="6"/>
        <v>452724791.5</v>
      </c>
      <c r="I39" s="55">
        <f t="shared" si="7"/>
        <v>3513144.3820400001</v>
      </c>
      <c r="J39" s="59">
        <f t="shared" si="8"/>
        <v>-368812.38204000005</v>
      </c>
      <c r="K39" s="23">
        <v>362457407</v>
      </c>
      <c r="L39" s="61">
        <f t="shared" si="13"/>
        <v>362457407</v>
      </c>
      <c r="M39" s="63">
        <f t="shared" si="9"/>
        <v>1</v>
      </c>
      <c r="N39" s="59">
        <f t="shared" si="10"/>
        <v>-368812</v>
      </c>
    </row>
    <row r="40" spans="1:14" x14ac:dyDescent="0.2">
      <c r="A40" s="51">
        <v>45870</v>
      </c>
      <c r="B40" s="51">
        <v>45931</v>
      </c>
      <c r="C40" s="80">
        <f>ROUND('3. Rate Calc'!AG43,5)</f>
        <v>7.2700000000000004E-3</v>
      </c>
      <c r="D40" s="23">
        <v>351989135</v>
      </c>
      <c r="E40" s="55">
        <f t="shared" si="11"/>
        <v>2558961</v>
      </c>
      <c r="F40" s="105">
        <f>'3. Rate Calc'!AD43</f>
        <v>450559868.33333331</v>
      </c>
      <c r="G40" s="23">
        <v>0</v>
      </c>
      <c r="H40" s="58">
        <f t="shared" si="6"/>
        <v>450559868.33333331</v>
      </c>
      <c r="I40" s="55">
        <f t="shared" si="7"/>
        <v>3275570.2427833332</v>
      </c>
      <c r="J40" s="59">
        <f t="shared" si="8"/>
        <v>-716609.24278333317</v>
      </c>
      <c r="K40" s="23">
        <v>386538129</v>
      </c>
      <c r="L40" s="61">
        <f t="shared" si="13"/>
        <v>386538129</v>
      </c>
      <c r="M40" s="63">
        <f t="shared" si="9"/>
        <v>1</v>
      </c>
      <c r="N40" s="59">
        <f t="shared" si="10"/>
        <v>-716609</v>
      </c>
    </row>
    <row r="41" spans="1:14" x14ac:dyDescent="0.2">
      <c r="A41" s="51">
        <v>45901</v>
      </c>
      <c r="B41" s="51">
        <v>45962</v>
      </c>
      <c r="C41" s="80">
        <f>ROUND('3. Rate Calc'!AG44,5)</f>
        <v>7.6899999999999998E-3</v>
      </c>
      <c r="D41" s="23">
        <v>374909918</v>
      </c>
      <c r="E41" s="55">
        <f t="shared" si="11"/>
        <v>2883057</v>
      </c>
      <c r="F41" s="105">
        <f>'3. Rate Calc'!AD44</f>
        <v>447498558.16666669</v>
      </c>
      <c r="G41" s="23">
        <v>0</v>
      </c>
      <c r="H41" s="58">
        <f t="shared" si="6"/>
        <v>447498558.16666669</v>
      </c>
      <c r="I41" s="55">
        <f t="shared" si="7"/>
        <v>3441263.9123016666</v>
      </c>
      <c r="J41" s="59">
        <f t="shared" si="8"/>
        <v>-558206.91230166657</v>
      </c>
      <c r="K41" s="23">
        <v>409375243</v>
      </c>
      <c r="L41" s="61">
        <f t="shared" si="13"/>
        <v>409375243</v>
      </c>
      <c r="M41" s="63">
        <f t="shared" si="9"/>
        <v>1</v>
      </c>
      <c r="N41" s="59">
        <f t="shared" si="10"/>
        <v>-558207</v>
      </c>
    </row>
    <row r="42" spans="1:14" x14ac:dyDescent="0.2">
      <c r="A42" s="51">
        <v>45931</v>
      </c>
      <c r="B42" s="51">
        <v>45992</v>
      </c>
      <c r="C42" s="80">
        <f>ROUND('3. Rate Calc'!AG45,5)</f>
        <v>8.1700000000000002E-3</v>
      </c>
      <c r="D42" s="23">
        <v>445893578</v>
      </c>
      <c r="E42" s="55">
        <f t="shared" si="11"/>
        <v>3642951</v>
      </c>
      <c r="F42" s="105">
        <f>'3. Rate Calc'!AD45</f>
        <v>446382544.25</v>
      </c>
      <c r="G42" s="23">
        <v>0</v>
      </c>
      <c r="H42" s="58">
        <f t="shared" si="6"/>
        <v>446382544.25</v>
      </c>
      <c r="I42" s="55">
        <f t="shared" si="7"/>
        <v>3646945.3865225003</v>
      </c>
      <c r="J42" s="59">
        <f t="shared" si="8"/>
        <v>-3994.3865225003101</v>
      </c>
      <c r="K42" s="23">
        <v>506994775</v>
      </c>
      <c r="L42" s="61">
        <f t="shared" si="13"/>
        <v>506994775</v>
      </c>
      <c r="M42" s="63">
        <f t="shared" si="9"/>
        <v>1</v>
      </c>
      <c r="N42" s="59">
        <f t="shared" si="10"/>
        <v>-3994</v>
      </c>
    </row>
    <row r="43" spans="1:14" x14ac:dyDescent="0.2">
      <c r="A43" s="51">
        <v>45962</v>
      </c>
      <c r="B43" s="51">
        <v>46023</v>
      </c>
      <c r="C43" s="23"/>
      <c r="D43" s="23"/>
      <c r="E43" s="55"/>
      <c r="F43" s="61"/>
      <c r="G43" s="23"/>
      <c r="H43" s="58"/>
      <c r="I43" s="55"/>
      <c r="J43" s="59"/>
      <c r="K43" s="23"/>
      <c r="L43" s="61"/>
      <c r="M43" s="63"/>
      <c r="N43" s="59"/>
    </row>
    <row r="44" spans="1:14" x14ac:dyDescent="0.2">
      <c r="A44" s="51">
        <v>45992</v>
      </c>
      <c r="B44" s="51">
        <v>46054</v>
      </c>
      <c r="C44" s="23"/>
      <c r="D44" s="23"/>
      <c r="E44" s="55"/>
      <c r="F44" s="61"/>
      <c r="G44" s="23"/>
      <c r="H44" s="58"/>
      <c r="I44" s="55"/>
      <c r="J44" s="59"/>
      <c r="K44" s="23"/>
      <c r="L44" s="61"/>
      <c r="M44" s="63"/>
      <c r="N44" s="59"/>
    </row>
    <row r="45" spans="1:14" x14ac:dyDescent="0.2">
      <c r="F45" s="56"/>
    </row>
    <row r="46" spans="1:14" x14ac:dyDescent="0.2">
      <c r="F46" s="56"/>
    </row>
    <row r="47" spans="1:14" x14ac:dyDescent="0.2">
      <c r="F47" s="56"/>
    </row>
    <row r="48" spans="1:14" x14ac:dyDescent="0.2">
      <c r="F48" s="5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0DB8E-7316-4CB7-80AA-894E38DB6BA5}">
  <sheetPr>
    <tabColor theme="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32EFE-FBDC-42CA-8CEC-DC73DD1BF1F6}">
  <dimension ref="A1:AF53"/>
  <sheetViews>
    <sheetView zoomScale="80" zoomScaleNormal="80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AC22" sqref="AC22"/>
    </sheetView>
  </sheetViews>
  <sheetFormatPr defaultRowHeight="12.75" x14ac:dyDescent="0.2"/>
  <cols>
    <col min="1" max="2" width="14" style="1" customWidth="1"/>
    <col min="3" max="3" width="13.140625" style="1" customWidth="1"/>
    <col min="4" max="5" width="12.28515625" style="1" bestFit="1" customWidth="1"/>
    <col min="6" max="6" width="9.42578125" style="1" customWidth="1"/>
    <col min="7" max="7" width="10.7109375" style="1" customWidth="1"/>
    <col min="8" max="8" width="9.42578125" style="1" customWidth="1"/>
    <col min="9" max="9" width="13.42578125" style="1" bestFit="1" customWidth="1"/>
    <col min="10" max="12" width="14.140625" style="1" customWidth="1"/>
    <col min="13" max="13" width="13.42578125" style="1" bestFit="1" customWidth="1"/>
    <col min="14" max="14" width="16.28515625" style="1" customWidth="1"/>
    <col min="15" max="15" width="13.42578125" style="1" customWidth="1"/>
    <col min="16" max="16" width="14.140625" style="1" customWidth="1"/>
    <col min="17" max="17" width="12.85546875" style="1" customWidth="1"/>
    <col min="18" max="18" width="13.42578125" style="1" bestFit="1" customWidth="1"/>
    <col min="19" max="19" width="12.85546875" style="1" customWidth="1"/>
    <col min="20" max="20" width="13.7109375" style="1" customWidth="1"/>
    <col min="21" max="23" width="13.42578125" style="1" bestFit="1" customWidth="1"/>
    <col min="24" max="24" width="7.85546875" style="1" bestFit="1" customWidth="1"/>
    <col min="25" max="25" width="13.42578125" style="1" bestFit="1" customWidth="1"/>
    <col min="26" max="26" width="12.28515625" style="1" bestFit="1" customWidth="1"/>
    <col min="27" max="27" width="13.42578125" style="1" bestFit="1" customWidth="1"/>
    <col min="28" max="29" width="15.85546875" style="1" customWidth="1"/>
    <col min="30" max="32" width="11.28515625" style="1" customWidth="1"/>
    <col min="33" max="16384" width="9.140625" style="1"/>
  </cols>
  <sheetData>
    <row r="1" spans="1:32" s="46" customFormat="1" ht="15.75" x14ac:dyDescent="0.25">
      <c r="A1" s="64" t="s">
        <v>90</v>
      </c>
      <c r="B1" s="64"/>
      <c r="C1" s="64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</row>
    <row r="3" spans="1:32" ht="13.5" thickBot="1" x14ac:dyDescent="0.25"/>
    <row r="4" spans="1:32" s="6" customFormat="1" ht="30.75" customHeight="1" thickBot="1" x14ac:dyDescent="0.3">
      <c r="C4" s="161" t="s">
        <v>28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3"/>
      <c r="U4" s="164" t="s">
        <v>38</v>
      </c>
      <c r="V4" s="165"/>
      <c r="W4" s="165"/>
      <c r="X4" s="165"/>
      <c r="Y4" s="165"/>
      <c r="Z4" s="165"/>
      <c r="AA4" s="165"/>
      <c r="AB4" s="165"/>
      <c r="AC4" s="166"/>
      <c r="AD4" s="158" t="s">
        <v>40</v>
      </c>
      <c r="AE4" s="159"/>
      <c r="AF4" s="160"/>
    </row>
    <row r="5" spans="1:32" s="19" customFormat="1" ht="51.75" customHeight="1" x14ac:dyDescent="0.25">
      <c r="C5" s="155" t="s">
        <v>7</v>
      </c>
      <c r="D5" s="156"/>
      <c r="E5" s="156"/>
      <c r="F5" s="156"/>
      <c r="G5" s="156"/>
      <c r="H5" s="156"/>
      <c r="I5" s="157"/>
      <c r="J5" s="155" t="s">
        <v>14</v>
      </c>
      <c r="K5" s="156"/>
      <c r="L5" s="156"/>
      <c r="M5" s="157"/>
      <c r="N5" s="30" t="s">
        <v>15</v>
      </c>
      <c r="O5" s="30" t="s">
        <v>18</v>
      </c>
      <c r="P5" s="30" t="s">
        <v>19</v>
      </c>
      <c r="Q5" s="7" t="s">
        <v>21</v>
      </c>
      <c r="R5" s="30" t="s">
        <v>23</v>
      </c>
      <c r="S5" s="30" t="s">
        <v>25</v>
      </c>
      <c r="T5" s="30" t="s">
        <v>26</v>
      </c>
      <c r="U5" s="155" t="s">
        <v>31</v>
      </c>
      <c r="V5" s="156"/>
      <c r="W5" s="157"/>
      <c r="X5" s="155" t="s">
        <v>32</v>
      </c>
      <c r="Y5" s="156"/>
      <c r="Z5" s="156"/>
      <c r="AA5" s="157"/>
      <c r="AB5" s="30" t="s">
        <v>36</v>
      </c>
      <c r="AC5" s="66" t="s">
        <v>84</v>
      </c>
      <c r="AD5" s="155" t="s">
        <v>39</v>
      </c>
      <c r="AE5" s="156"/>
      <c r="AF5" s="157"/>
    </row>
    <row r="6" spans="1:32" s="19" customFormat="1" ht="39" customHeight="1" x14ac:dyDescent="0.25">
      <c r="A6" s="2" t="s">
        <v>0</v>
      </c>
      <c r="B6" s="2" t="s">
        <v>43</v>
      </c>
      <c r="C6" s="18" t="s">
        <v>1</v>
      </c>
      <c r="D6" s="19" t="s">
        <v>2</v>
      </c>
      <c r="E6" s="19" t="s">
        <v>3</v>
      </c>
      <c r="F6" s="19" t="s">
        <v>4</v>
      </c>
      <c r="G6" s="19" t="s">
        <v>5</v>
      </c>
      <c r="H6" s="19" t="s">
        <v>6</v>
      </c>
      <c r="I6" s="20" t="s">
        <v>11</v>
      </c>
      <c r="J6" s="18" t="s">
        <v>8</v>
      </c>
      <c r="K6" s="19" t="s">
        <v>9</v>
      </c>
      <c r="L6" s="19" t="s">
        <v>10</v>
      </c>
      <c r="M6" s="20" t="s">
        <v>11</v>
      </c>
      <c r="N6" s="21" t="s">
        <v>16</v>
      </c>
      <c r="O6" s="21" t="s">
        <v>17</v>
      </c>
      <c r="P6" s="21" t="s">
        <v>20</v>
      </c>
      <c r="Q6" s="20" t="s">
        <v>22</v>
      </c>
      <c r="R6" s="21" t="s">
        <v>24</v>
      </c>
      <c r="S6" s="21" t="s">
        <v>16</v>
      </c>
      <c r="T6" s="21" t="s">
        <v>27</v>
      </c>
      <c r="U6" s="18" t="s">
        <v>29</v>
      </c>
      <c r="V6" s="19" t="s">
        <v>30</v>
      </c>
      <c r="W6" s="20" t="s">
        <v>11</v>
      </c>
      <c r="X6" s="18" t="s">
        <v>33</v>
      </c>
      <c r="Y6" s="19" t="s">
        <v>34</v>
      </c>
      <c r="Z6" s="19" t="s">
        <v>35</v>
      </c>
      <c r="AA6" s="20" t="s">
        <v>11</v>
      </c>
      <c r="AB6" s="21" t="s">
        <v>37</v>
      </c>
      <c r="AC6" s="67" t="s">
        <v>83</v>
      </c>
      <c r="AD6" s="18" t="s">
        <v>16</v>
      </c>
      <c r="AE6" s="19" t="s">
        <v>41</v>
      </c>
      <c r="AF6" s="20" t="s">
        <v>42</v>
      </c>
    </row>
    <row r="7" spans="1:32" s="2" customFormat="1" x14ac:dyDescent="0.2">
      <c r="C7" s="3" t="s">
        <v>12</v>
      </c>
      <c r="D7" s="4" t="s">
        <v>12</v>
      </c>
      <c r="E7" s="4" t="s">
        <v>12</v>
      </c>
      <c r="F7" s="4" t="s">
        <v>12</v>
      </c>
      <c r="G7" s="4" t="s">
        <v>12</v>
      </c>
      <c r="H7" s="4" t="s">
        <v>13</v>
      </c>
      <c r="I7" s="5"/>
      <c r="J7" s="3" t="s">
        <v>12</v>
      </c>
      <c r="K7" s="4" t="s">
        <v>12</v>
      </c>
      <c r="L7" s="4" t="s">
        <v>13</v>
      </c>
      <c r="M7" s="5"/>
      <c r="N7" s="15" t="s">
        <v>13</v>
      </c>
      <c r="O7" s="8"/>
      <c r="P7" s="15" t="s">
        <v>12</v>
      </c>
      <c r="Q7" s="4" t="s">
        <v>13</v>
      </c>
      <c r="R7" s="8"/>
      <c r="S7" s="15" t="s">
        <v>12</v>
      </c>
      <c r="T7" s="8"/>
      <c r="U7" s="3" t="s">
        <v>12</v>
      </c>
      <c r="V7" s="4" t="s">
        <v>12</v>
      </c>
      <c r="W7" s="5"/>
      <c r="X7" s="3" t="s">
        <v>12</v>
      </c>
      <c r="Y7" s="4" t="s">
        <v>12</v>
      </c>
      <c r="Z7" s="4" t="s">
        <v>12</v>
      </c>
      <c r="AA7" s="5"/>
      <c r="AB7" s="8"/>
      <c r="AC7" s="100"/>
      <c r="AD7" s="24"/>
      <c r="AE7" s="25"/>
      <c r="AF7" s="20"/>
    </row>
    <row r="8" spans="1:32" x14ac:dyDescent="0.2">
      <c r="A8" s="51">
        <v>44805</v>
      </c>
      <c r="B8" s="51">
        <v>44866</v>
      </c>
      <c r="C8" s="9">
        <v>2857098.77</v>
      </c>
      <c r="D8" s="10">
        <v>21793.8</v>
      </c>
      <c r="E8" s="10">
        <v>214750.49</v>
      </c>
      <c r="F8" s="10">
        <v>0</v>
      </c>
      <c r="G8" s="10">
        <v>0</v>
      </c>
      <c r="H8" s="10">
        <v>0</v>
      </c>
      <c r="I8" s="16">
        <f t="shared" ref="I8:I10" si="0">C8+D8+E8+F8+G8-H8</f>
        <v>3093643.0599999996</v>
      </c>
      <c r="J8" s="9">
        <v>0</v>
      </c>
      <c r="K8" s="10">
        <v>23989817</v>
      </c>
      <c r="L8" s="10">
        <v>0</v>
      </c>
      <c r="M8" s="16">
        <f t="shared" ref="M8:M12" si="1">+J8+K8-L8</f>
        <v>23989817</v>
      </c>
      <c r="N8" s="11">
        <v>561120</v>
      </c>
      <c r="O8" s="37">
        <f t="shared" ref="O8:O11" si="2">I8+M8-N8</f>
        <v>26522340.059999999</v>
      </c>
      <c r="P8" s="11">
        <v>-753922.16999999806</v>
      </c>
      <c r="Q8" s="41">
        <v>-546153</v>
      </c>
      <c r="R8" s="37">
        <f t="shared" ref="R8:R10" si="3">+O8+P8-Q8</f>
        <v>26314570.890000001</v>
      </c>
      <c r="S8" s="11">
        <v>942328.33000000007</v>
      </c>
      <c r="T8" s="37">
        <f t="shared" ref="T8:T10" si="4">R8+S8</f>
        <v>27256899.219999999</v>
      </c>
      <c r="U8" s="24">
        <v>128018000</v>
      </c>
      <c r="V8" s="25">
        <v>307650000</v>
      </c>
      <c r="W8" s="28">
        <f t="shared" ref="W8:W10" si="5">U8+V8</f>
        <v>435668000</v>
      </c>
      <c r="X8" s="24">
        <v>0</v>
      </c>
      <c r="Y8" s="25">
        <v>7069000</v>
      </c>
      <c r="Z8" s="25">
        <v>24331856</v>
      </c>
      <c r="AA8" s="28">
        <f t="shared" ref="AA8:AA10" si="6">X8+Y8+Z8</f>
        <v>31400856</v>
      </c>
      <c r="AB8" s="31">
        <f t="shared" ref="AB8:AB10" si="7">W8-AA8</f>
        <v>404267144</v>
      </c>
      <c r="AC8" s="101"/>
      <c r="AD8" s="36">
        <f t="shared" ref="AD8:AD10" si="8">T8/AB8</f>
        <v>6.742298904211716E-2</v>
      </c>
      <c r="AE8" s="33">
        <v>2.6120000000000001E-2</v>
      </c>
      <c r="AF8" s="34">
        <f t="shared" ref="AF8:AF10" si="9">+AD8-AE8</f>
        <v>4.1302989042117155E-2</v>
      </c>
    </row>
    <row r="9" spans="1:32" x14ac:dyDescent="0.2">
      <c r="A9" s="51">
        <v>44835</v>
      </c>
      <c r="B9" s="51">
        <v>44896</v>
      </c>
      <c r="C9" s="9">
        <v>0</v>
      </c>
      <c r="D9" s="10">
        <v>0</v>
      </c>
      <c r="E9" s="10">
        <v>504601.2</v>
      </c>
      <c r="F9" s="10">
        <v>0</v>
      </c>
      <c r="G9" s="10">
        <v>0</v>
      </c>
      <c r="H9" s="10">
        <v>0</v>
      </c>
      <c r="I9" s="16">
        <f t="shared" si="0"/>
        <v>504601.2</v>
      </c>
      <c r="J9" s="9">
        <v>0</v>
      </c>
      <c r="K9" s="10">
        <v>25535944</v>
      </c>
      <c r="L9" s="10">
        <v>0</v>
      </c>
      <c r="M9" s="16">
        <f t="shared" si="1"/>
        <v>25535944</v>
      </c>
      <c r="N9" s="11">
        <v>486786</v>
      </c>
      <c r="O9" s="37">
        <f t="shared" si="2"/>
        <v>25553759.199999999</v>
      </c>
      <c r="P9" s="41">
        <v>-901832.16999999806</v>
      </c>
      <c r="Q9" s="41">
        <v>-1682915</v>
      </c>
      <c r="R9" s="37">
        <f t="shared" si="3"/>
        <v>26334842.030000001</v>
      </c>
      <c r="S9" s="11">
        <v>1231254.0400000003</v>
      </c>
      <c r="T9" s="37">
        <f t="shared" si="4"/>
        <v>27566096.07</v>
      </c>
      <c r="U9" s="24">
        <v>0</v>
      </c>
      <c r="V9" s="25">
        <v>437101000</v>
      </c>
      <c r="W9" s="28">
        <f t="shared" si="5"/>
        <v>437101000</v>
      </c>
      <c r="X9" s="24">
        <v>0</v>
      </c>
      <c r="Y9" s="25">
        <v>8431000</v>
      </c>
      <c r="Z9" s="25">
        <v>23617701</v>
      </c>
      <c r="AA9" s="28">
        <f t="shared" si="6"/>
        <v>32048701</v>
      </c>
      <c r="AB9" s="31">
        <f t="shared" si="7"/>
        <v>405052299</v>
      </c>
      <c r="AC9" s="101"/>
      <c r="AD9" s="36">
        <f t="shared" si="8"/>
        <v>6.8055646488257557E-2</v>
      </c>
      <c r="AE9" s="33">
        <v>2.6120000000000001E-2</v>
      </c>
      <c r="AF9" s="34">
        <f t="shared" si="9"/>
        <v>4.1935646488257552E-2</v>
      </c>
    </row>
    <row r="10" spans="1:32" x14ac:dyDescent="0.2">
      <c r="A10" s="51">
        <v>44866</v>
      </c>
      <c r="B10" s="51">
        <v>44927</v>
      </c>
      <c r="C10" s="9">
        <v>1122582.51</v>
      </c>
      <c r="D10" s="10">
        <v>343157.88</v>
      </c>
      <c r="E10" s="10">
        <v>490104.03</v>
      </c>
      <c r="F10" s="10">
        <v>0</v>
      </c>
      <c r="G10" s="10">
        <v>0</v>
      </c>
      <c r="H10" s="10">
        <v>0</v>
      </c>
      <c r="I10" s="16">
        <f t="shared" si="0"/>
        <v>1955844.4200000002</v>
      </c>
      <c r="J10" s="9">
        <v>0</v>
      </c>
      <c r="K10" s="10">
        <v>26299506</v>
      </c>
      <c r="L10" s="10">
        <v>0</v>
      </c>
      <c r="M10" s="16">
        <f t="shared" si="1"/>
        <v>26299506</v>
      </c>
      <c r="N10" s="11">
        <v>847309</v>
      </c>
      <c r="O10" s="37">
        <f t="shared" si="2"/>
        <v>27408041.420000002</v>
      </c>
      <c r="P10" s="11">
        <v>-259372.94999999925</v>
      </c>
      <c r="Q10" s="41">
        <v>-383931</v>
      </c>
      <c r="R10" s="37">
        <f t="shared" si="3"/>
        <v>27532599.470000003</v>
      </c>
      <c r="S10" s="11">
        <v>650679.95000000019</v>
      </c>
      <c r="T10" s="37">
        <f t="shared" si="4"/>
        <v>28183279.420000002</v>
      </c>
      <c r="U10" s="24">
        <v>4982000</v>
      </c>
      <c r="V10" s="25">
        <v>479292000</v>
      </c>
      <c r="W10" s="28">
        <f t="shared" si="5"/>
        <v>484274000</v>
      </c>
      <c r="X10" s="24">
        <v>0</v>
      </c>
      <c r="Y10" s="44">
        <v>17615000</v>
      </c>
      <c r="Z10" s="25">
        <v>25952870</v>
      </c>
      <c r="AA10" s="28">
        <f t="shared" si="6"/>
        <v>43567870</v>
      </c>
      <c r="AB10" s="31">
        <f t="shared" si="7"/>
        <v>440706130</v>
      </c>
      <c r="AC10" s="101"/>
      <c r="AD10" s="36">
        <f t="shared" si="8"/>
        <v>6.3950277750844997E-2</v>
      </c>
      <c r="AE10" s="33">
        <v>2.6120000000000001E-2</v>
      </c>
      <c r="AF10" s="34">
        <f t="shared" si="9"/>
        <v>3.7830277750844993E-2</v>
      </c>
    </row>
    <row r="11" spans="1:32" x14ac:dyDescent="0.2">
      <c r="A11" s="51">
        <v>44896</v>
      </c>
      <c r="B11" s="51">
        <v>44958</v>
      </c>
      <c r="C11" s="9">
        <v>7046750.1299999999</v>
      </c>
      <c r="D11" s="10">
        <v>1077343.8</v>
      </c>
      <c r="E11" s="10">
        <v>503491.9</v>
      </c>
      <c r="F11" s="10">
        <v>0</v>
      </c>
      <c r="G11" s="10">
        <v>0</v>
      </c>
      <c r="H11" s="10">
        <v>0</v>
      </c>
      <c r="I11" s="16">
        <f>C11+D11+E11+F11+G11-H11</f>
        <v>8627585.8300000001</v>
      </c>
      <c r="J11" s="9">
        <v>0</v>
      </c>
      <c r="K11" s="10">
        <v>37013497</v>
      </c>
      <c r="L11" s="10">
        <v>0</v>
      </c>
      <c r="M11" s="16">
        <f t="shared" si="1"/>
        <v>37013497</v>
      </c>
      <c r="N11" s="11">
        <v>1859181</v>
      </c>
      <c r="O11" s="37">
        <f t="shared" si="2"/>
        <v>43781901.829999998</v>
      </c>
      <c r="P11" s="11">
        <v>3525.0200000032783</v>
      </c>
      <c r="Q11" s="41">
        <v>4078665</v>
      </c>
      <c r="R11" s="37">
        <f>+O11+P11-Q11</f>
        <v>39706761.850000001</v>
      </c>
      <c r="S11" s="11">
        <v>1302348.2099999995</v>
      </c>
      <c r="T11" s="37">
        <f>R11+S11</f>
        <v>41009110.060000002</v>
      </c>
      <c r="U11" s="24">
        <v>189231000</v>
      </c>
      <c r="V11" s="25">
        <v>400310000</v>
      </c>
      <c r="W11" s="28">
        <f>U11+V11</f>
        <v>589541000</v>
      </c>
      <c r="X11" s="24">
        <v>0</v>
      </c>
      <c r="Y11" s="25">
        <v>28200000</v>
      </c>
      <c r="Z11" s="25">
        <v>30469788</v>
      </c>
      <c r="AA11" s="28">
        <f>X11+Y11+Z11</f>
        <v>58669788</v>
      </c>
      <c r="AB11" s="31">
        <f>W11-AA11</f>
        <v>530871212</v>
      </c>
      <c r="AC11" s="101"/>
      <c r="AD11" s="36">
        <f>T11/AB11</f>
        <v>7.7248698239828467E-2</v>
      </c>
      <c r="AE11" s="33">
        <v>2.6120000000000001E-2</v>
      </c>
      <c r="AF11" s="34">
        <f>+AD11-AE11</f>
        <v>5.1128698239828463E-2</v>
      </c>
    </row>
    <row r="12" spans="1:32" x14ac:dyDescent="0.2">
      <c r="A12" s="51">
        <v>44927</v>
      </c>
      <c r="B12" s="51">
        <v>44986</v>
      </c>
      <c r="C12" s="9">
        <v>518411.2</v>
      </c>
      <c r="D12" s="10">
        <v>828922.64</v>
      </c>
      <c r="E12" s="10">
        <v>2371054.9300000002</v>
      </c>
      <c r="F12" s="10">
        <v>0</v>
      </c>
      <c r="G12" s="10">
        <v>0</v>
      </c>
      <c r="H12" s="10">
        <v>0</v>
      </c>
      <c r="I12" s="16">
        <f>C12+D12+E12+F12+G12-H12</f>
        <v>3718388.7700000005</v>
      </c>
      <c r="J12" s="9">
        <v>0</v>
      </c>
      <c r="K12" s="10">
        <v>18050357</v>
      </c>
      <c r="L12" s="10">
        <v>0</v>
      </c>
      <c r="M12" s="16">
        <f t="shared" si="1"/>
        <v>18050357</v>
      </c>
      <c r="N12" s="11">
        <v>1428737</v>
      </c>
      <c r="O12" s="37">
        <f>I12+M12-N12</f>
        <v>20340008.77</v>
      </c>
      <c r="P12" s="11">
        <v>-12787708.145126998</v>
      </c>
      <c r="Q12" s="41">
        <v>4443701</v>
      </c>
      <c r="R12" s="37">
        <f>+O12+P12-Q12</f>
        <v>3108599.6248730011</v>
      </c>
      <c r="S12" s="11">
        <v>509277.74000000057</v>
      </c>
      <c r="T12" s="37">
        <f t="shared" ref="T12:T47" si="10">R12+S12</f>
        <v>3617877.3648730018</v>
      </c>
      <c r="U12" s="24">
        <v>77204000</v>
      </c>
      <c r="V12" s="25">
        <v>487037000</v>
      </c>
      <c r="W12" s="28">
        <f>U12+V12</f>
        <v>564241000</v>
      </c>
      <c r="X12" s="24">
        <v>0</v>
      </c>
      <c r="Y12" s="25">
        <v>36825000</v>
      </c>
      <c r="Z12" s="25">
        <v>27569150</v>
      </c>
      <c r="AA12" s="28">
        <f>X12+Y12+Z12</f>
        <v>64394150</v>
      </c>
      <c r="AB12" s="31">
        <f>W12-AA12</f>
        <v>499846850</v>
      </c>
      <c r="AC12" s="101"/>
      <c r="AD12" s="36">
        <f>T12/AB12</f>
        <v>7.2379717204839877E-3</v>
      </c>
      <c r="AE12" s="33">
        <v>2.6120000000000001E-2</v>
      </c>
      <c r="AF12" s="34">
        <f>+AD12-AE12</f>
        <v>-1.8882028279516013E-2</v>
      </c>
    </row>
    <row r="13" spans="1:32" x14ac:dyDescent="0.2">
      <c r="A13" s="51">
        <v>44958</v>
      </c>
      <c r="B13" s="51">
        <v>45017</v>
      </c>
      <c r="C13" s="9">
        <v>6587292.4900000002</v>
      </c>
      <c r="D13" s="10">
        <v>-36639.75</v>
      </c>
      <c r="E13" s="10">
        <v>4383285.93</v>
      </c>
      <c r="F13" s="10">
        <v>0</v>
      </c>
      <c r="G13" s="10">
        <v>0</v>
      </c>
      <c r="H13" s="10">
        <v>0</v>
      </c>
      <c r="I13" s="16">
        <f t="shared" ref="I13:I47" si="11">C13+D13+E13+F13+G13-H13</f>
        <v>10933938.67</v>
      </c>
      <c r="J13" s="9">
        <v>0</v>
      </c>
      <c r="K13" s="10">
        <v>4599403</v>
      </c>
      <c r="L13" s="10">
        <v>0</v>
      </c>
      <c r="M13" s="16">
        <f t="shared" ref="M13:M47" si="12">SUM(J13:L13)</f>
        <v>4599403</v>
      </c>
      <c r="N13" s="11">
        <v>552709</v>
      </c>
      <c r="O13" s="37">
        <f t="shared" ref="O13:O47" si="13">I13+M13-N13</f>
        <v>14980632.67</v>
      </c>
      <c r="P13" s="11">
        <v>13765.860000003129</v>
      </c>
      <c r="Q13" s="60">
        <v>-3196384</v>
      </c>
      <c r="R13" s="37">
        <f t="shared" ref="R13:R47" si="14">+O13+P13-Q13</f>
        <v>18190782.530000001</v>
      </c>
      <c r="S13" s="11">
        <v>-105272.40000000037</v>
      </c>
      <c r="T13" s="37">
        <f t="shared" si="10"/>
        <v>18085510.130000003</v>
      </c>
      <c r="U13" s="24">
        <v>317934000</v>
      </c>
      <c r="V13" s="25">
        <v>140551000</v>
      </c>
      <c r="W13" s="28">
        <f t="shared" ref="W13:W47" si="15">U13+V13</f>
        <v>458485000</v>
      </c>
      <c r="X13" s="24">
        <v>0</v>
      </c>
      <c r="Y13" s="25">
        <v>14970000</v>
      </c>
      <c r="Z13" s="25">
        <v>22393947</v>
      </c>
      <c r="AA13" s="28">
        <f t="shared" ref="AA13:AA47" si="16">X13+Y13+Z13</f>
        <v>37363947</v>
      </c>
      <c r="AB13" s="31">
        <f t="shared" ref="AB13:AB47" si="17">W13-AA13</f>
        <v>421121053</v>
      </c>
      <c r="AC13" s="101"/>
      <c r="AD13" s="36">
        <f t="shared" ref="AD13:AD21" si="18">T13/AB13</f>
        <v>4.2946107778658128E-2</v>
      </c>
      <c r="AE13" s="33">
        <v>2.6120000000000001E-2</v>
      </c>
      <c r="AF13" s="34">
        <f t="shared" ref="AF13:AF45" si="19">+AD13-AE13</f>
        <v>1.6826107778658127E-2</v>
      </c>
    </row>
    <row r="14" spans="1:32" x14ac:dyDescent="0.2">
      <c r="A14" s="51">
        <v>44986</v>
      </c>
      <c r="B14" s="51">
        <v>45047</v>
      </c>
      <c r="C14" s="9">
        <v>6740326.6299999999</v>
      </c>
      <c r="D14" s="10">
        <v>160547.45000000001</v>
      </c>
      <c r="E14" s="10">
        <v>3391902.43</v>
      </c>
      <c r="F14" s="10">
        <v>0</v>
      </c>
      <c r="G14" s="10">
        <v>0</v>
      </c>
      <c r="H14" s="10">
        <v>0</v>
      </c>
      <c r="I14" s="16">
        <f t="shared" si="11"/>
        <v>10292776.51</v>
      </c>
      <c r="J14" s="9">
        <v>0</v>
      </c>
      <c r="K14" s="10">
        <v>4073187.29</v>
      </c>
      <c r="L14" s="10">
        <v>0</v>
      </c>
      <c r="M14" s="16">
        <f t="shared" si="12"/>
        <v>4073187.29</v>
      </c>
      <c r="N14" s="11">
        <v>855780.98400000005</v>
      </c>
      <c r="O14" s="37">
        <f t="shared" si="13"/>
        <v>13510182.816000002</v>
      </c>
      <c r="P14" s="11">
        <v>-286579.11926597543</v>
      </c>
      <c r="Q14" s="60">
        <v>1176376</v>
      </c>
      <c r="R14" s="37">
        <f t="shared" si="14"/>
        <v>12047227.696734026</v>
      </c>
      <c r="S14" s="41">
        <v>784504.06999999948</v>
      </c>
      <c r="T14" s="37">
        <f t="shared" si="10"/>
        <v>12831731.766734026</v>
      </c>
      <c r="U14" s="24">
        <v>362421000</v>
      </c>
      <c r="V14" s="25">
        <v>144299000</v>
      </c>
      <c r="W14" s="28">
        <f t="shared" si="15"/>
        <v>506720000</v>
      </c>
      <c r="X14" s="24">
        <v>0</v>
      </c>
      <c r="Y14" s="25">
        <v>31841000</v>
      </c>
      <c r="Z14" s="25">
        <v>23145973</v>
      </c>
      <c r="AA14" s="28">
        <f t="shared" si="16"/>
        <v>54986973</v>
      </c>
      <c r="AB14" s="31">
        <f t="shared" si="17"/>
        <v>451733027</v>
      </c>
      <c r="AC14" s="101"/>
      <c r="AD14" s="36">
        <f t="shared" si="18"/>
        <v>2.840556479111284E-2</v>
      </c>
      <c r="AE14" s="33">
        <v>2.6120000000000001E-2</v>
      </c>
      <c r="AF14" s="34">
        <f t="shared" si="19"/>
        <v>2.2855647911128388E-3</v>
      </c>
    </row>
    <row r="15" spans="1:32" x14ac:dyDescent="0.2">
      <c r="A15" s="51">
        <v>45017</v>
      </c>
      <c r="B15" s="51">
        <v>45078</v>
      </c>
      <c r="C15" s="9">
        <v>2008819.49</v>
      </c>
      <c r="D15" s="10">
        <v>288388.32</v>
      </c>
      <c r="E15" s="10">
        <v>1257326.02</v>
      </c>
      <c r="F15" s="10">
        <v>0</v>
      </c>
      <c r="G15" s="10">
        <v>0</v>
      </c>
      <c r="H15" s="10">
        <v>0</v>
      </c>
      <c r="I15" s="16">
        <f t="shared" si="11"/>
        <v>3554533.83</v>
      </c>
      <c r="J15" s="9">
        <v>0</v>
      </c>
      <c r="K15" s="10">
        <v>9498651</v>
      </c>
      <c r="L15" s="10">
        <v>0</v>
      </c>
      <c r="M15" s="16">
        <f t="shared" si="12"/>
        <v>9498651</v>
      </c>
      <c r="N15" s="11">
        <v>272262</v>
      </c>
      <c r="O15" s="37">
        <f t="shared" si="13"/>
        <v>12780922.83</v>
      </c>
      <c r="P15" s="11">
        <v>-33425.769120000303</v>
      </c>
      <c r="Q15" s="60">
        <v>50207</v>
      </c>
      <c r="R15" s="37">
        <f t="shared" si="14"/>
        <v>12697290.06088</v>
      </c>
      <c r="S15" s="11">
        <v>804948.04999999946</v>
      </c>
      <c r="T15" s="37">
        <f t="shared" si="10"/>
        <v>13502238.110879999</v>
      </c>
      <c r="U15" s="24">
        <v>102677000</v>
      </c>
      <c r="V15" s="25">
        <v>314286000</v>
      </c>
      <c r="W15" s="28">
        <f t="shared" si="15"/>
        <v>416963000</v>
      </c>
      <c r="X15" s="24">
        <v>0</v>
      </c>
      <c r="Y15" s="25">
        <v>8411000</v>
      </c>
      <c r="Z15" s="25">
        <v>19607728</v>
      </c>
      <c r="AA15" s="28">
        <f t="shared" si="16"/>
        <v>28018728</v>
      </c>
      <c r="AB15" s="31">
        <f t="shared" si="17"/>
        <v>388944272</v>
      </c>
      <c r="AC15" s="101"/>
      <c r="AD15" s="36">
        <f t="shared" si="18"/>
        <v>3.4715096950650039E-2</v>
      </c>
      <c r="AE15" s="33">
        <v>2.6120000000000001E-2</v>
      </c>
      <c r="AF15" s="34">
        <f t="shared" si="19"/>
        <v>8.5950969506500378E-3</v>
      </c>
    </row>
    <row r="16" spans="1:32" x14ac:dyDescent="0.2">
      <c r="A16" s="51">
        <v>45047</v>
      </c>
      <c r="B16" s="51">
        <v>45108</v>
      </c>
      <c r="C16" s="9">
        <v>3677601.31</v>
      </c>
      <c r="D16" s="10">
        <v>423217.89</v>
      </c>
      <c r="E16" s="10">
        <v>1656522.68</v>
      </c>
      <c r="F16" s="10">
        <v>0</v>
      </c>
      <c r="G16" s="10">
        <v>0</v>
      </c>
      <c r="H16" s="10">
        <v>0</v>
      </c>
      <c r="I16" s="16">
        <f t="shared" si="11"/>
        <v>5757341.8799999999</v>
      </c>
      <c r="J16" s="9">
        <v>0</v>
      </c>
      <c r="K16" s="10">
        <v>7798248</v>
      </c>
      <c r="L16" s="10">
        <v>0</v>
      </c>
      <c r="M16" s="16">
        <f t="shared" si="12"/>
        <v>7798248</v>
      </c>
      <c r="N16" s="11">
        <v>559930</v>
      </c>
      <c r="O16" s="37">
        <f t="shared" si="13"/>
        <v>12995659.879999999</v>
      </c>
      <c r="P16" s="11">
        <v>12127.689999999478</v>
      </c>
      <c r="Q16" s="60">
        <v>-123902</v>
      </c>
      <c r="R16" s="37">
        <f t="shared" si="14"/>
        <v>13131689.569999998</v>
      </c>
      <c r="S16" s="11">
        <v>-772208.30000000051</v>
      </c>
      <c r="T16" s="37">
        <f t="shared" si="10"/>
        <v>12359481.269999998</v>
      </c>
      <c r="U16" s="24">
        <v>162915000</v>
      </c>
      <c r="V16" s="25">
        <v>281388000</v>
      </c>
      <c r="W16" s="28">
        <f t="shared" si="15"/>
        <v>444303000</v>
      </c>
      <c r="X16" s="24">
        <v>0</v>
      </c>
      <c r="Y16" s="25">
        <v>22433000</v>
      </c>
      <c r="Z16" s="25">
        <v>23355636</v>
      </c>
      <c r="AA16" s="28">
        <f t="shared" si="16"/>
        <v>45788636</v>
      </c>
      <c r="AB16" s="31">
        <f t="shared" si="17"/>
        <v>398514364</v>
      </c>
      <c r="AC16" s="101"/>
      <c r="AD16" s="36">
        <f t="shared" si="18"/>
        <v>3.1013891559502228E-2</v>
      </c>
      <c r="AE16" s="33">
        <v>2.6120000000000001E-2</v>
      </c>
      <c r="AF16" s="34">
        <f t="shared" si="19"/>
        <v>4.8938915595022267E-3</v>
      </c>
    </row>
    <row r="17" spans="1:32" x14ac:dyDescent="0.2">
      <c r="A17" s="51">
        <v>45078</v>
      </c>
      <c r="B17" s="51">
        <v>45139</v>
      </c>
      <c r="C17" s="9">
        <v>7832659.96</v>
      </c>
      <c r="D17" s="10">
        <v>371915.22</v>
      </c>
      <c r="E17" s="10">
        <v>2183171.44</v>
      </c>
      <c r="F17" s="10">
        <v>0</v>
      </c>
      <c r="G17" s="10">
        <v>0</v>
      </c>
      <c r="H17" s="10">
        <v>0</v>
      </c>
      <c r="I17" s="16">
        <f t="shared" si="11"/>
        <v>10387746.619999999</v>
      </c>
      <c r="J17" s="9">
        <v>0</v>
      </c>
      <c r="K17" s="10">
        <v>4265257</v>
      </c>
      <c r="L17" s="10">
        <v>0</v>
      </c>
      <c r="M17" s="16">
        <f t="shared" si="12"/>
        <v>4265257</v>
      </c>
      <c r="N17" s="11">
        <v>1745540</v>
      </c>
      <c r="O17" s="37">
        <f t="shared" si="13"/>
        <v>12907463.619999999</v>
      </c>
      <c r="P17" s="11">
        <v>112701.44070900045</v>
      </c>
      <c r="Q17" s="60">
        <v>136617</v>
      </c>
      <c r="R17" s="37">
        <f t="shared" si="14"/>
        <v>12883548.060709</v>
      </c>
      <c r="S17" s="11">
        <v>637479.33000000007</v>
      </c>
      <c r="T17" s="37">
        <f t="shared" si="10"/>
        <v>13521027.390709</v>
      </c>
      <c r="U17" s="24">
        <v>322868000</v>
      </c>
      <c r="V17" s="25">
        <v>170792000</v>
      </c>
      <c r="W17" s="28">
        <f t="shared" si="15"/>
        <v>493660000</v>
      </c>
      <c r="X17" s="24">
        <v>0</v>
      </c>
      <c r="Y17" s="25">
        <v>53798000</v>
      </c>
      <c r="Z17" s="25">
        <v>22177029</v>
      </c>
      <c r="AA17" s="28">
        <f t="shared" si="16"/>
        <v>75975029</v>
      </c>
      <c r="AB17" s="31">
        <f t="shared" si="17"/>
        <v>417684971</v>
      </c>
      <c r="AC17" s="101"/>
      <c r="AD17" s="36">
        <f t="shared" si="18"/>
        <v>3.2371352405468762E-2</v>
      </c>
      <c r="AE17" s="33">
        <v>2.6120000000000001E-2</v>
      </c>
      <c r="AF17" s="34">
        <f t="shared" si="19"/>
        <v>6.2513524054687609E-3</v>
      </c>
    </row>
    <row r="18" spans="1:32" x14ac:dyDescent="0.2">
      <c r="A18" s="51">
        <v>45108</v>
      </c>
      <c r="B18" s="51">
        <v>45170</v>
      </c>
      <c r="C18" s="9">
        <v>12253057.66</v>
      </c>
      <c r="D18" s="10">
        <v>269148.78000000003</v>
      </c>
      <c r="E18" s="10">
        <v>3195400.7</v>
      </c>
      <c r="F18" s="10">
        <v>0</v>
      </c>
      <c r="G18" s="10">
        <v>0</v>
      </c>
      <c r="H18" s="10">
        <v>0</v>
      </c>
      <c r="I18" s="16">
        <f t="shared" si="11"/>
        <v>15717607.140000001</v>
      </c>
      <c r="J18" s="9">
        <v>0</v>
      </c>
      <c r="K18" s="10">
        <v>5072967</v>
      </c>
      <c r="L18" s="10">
        <v>0</v>
      </c>
      <c r="M18" s="16">
        <f t="shared" si="12"/>
        <v>5072967</v>
      </c>
      <c r="N18" s="11">
        <v>4986720</v>
      </c>
      <c r="O18" s="37">
        <f t="shared" si="13"/>
        <v>15803854.140000001</v>
      </c>
      <c r="P18" s="11">
        <v>-87098.171222999692</v>
      </c>
      <c r="Q18" s="60">
        <v>189157</v>
      </c>
      <c r="R18" s="37">
        <f t="shared" si="14"/>
        <v>15527598.968777001</v>
      </c>
      <c r="S18" s="11">
        <v>1188567.4799999997</v>
      </c>
      <c r="T18" s="37">
        <f t="shared" si="10"/>
        <v>16716166.448777001</v>
      </c>
      <c r="U18" s="24">
        <v>511463000</v>
      </c>
      <c r="V18" s="25">
        <v>128348000</v>
      </c>
      <c r="W18" s="28">
        <f t="shared" si="15"/>
        <v>639811000</v>
      </c>
      <c r="X18" s="24">
        <v>0</v>
      </c>
      <c r="Y18" s="25">
        <v>136516000</v>
      </c>
      <c r="Z18" s="25">
        <v>24361135</v>
      </c>
      <c r="AA18" s="28">
        <f t="shared" si="16"/>
        <v>160877135</v>
      </c>
      <c r="AB18" s="31">
        <f t="shared" si="17"/>
        <v>478933865</v>
      </c>
      <c r="AC18" s="101"/>
      <c r="AD18" s="36">
        <f t="shared" si="18"/>
        <v>3.4902870041935749E-2</v>
      </c>
      <c r="AE18" s="33">
        <v>2.6120000000000001E-2</v>
      </c>
      <c r="AF18" s="34">
        <f t="shared" si="19"/>
        <v>8.7828700419357482E-3</v>
      </c>
    </row>
    <row r="19" spans="1:32" x14ac:dyDescent="0.2">
      <c r="A19" s="51">
        <v>45139</v>
      </c>
      <c r="B19" s="51">
        <v>45200</v>
      </c>
      <c r="C19" s="9">
        <v>9555066.0399999991</v>
      </c>
      <c r="D19" s="10">
        <v>227693.73</v>
      </c>
      <c r="E19" s="10">
        <v>2829870.17</v>
      </c>
      <c r="F19" s="10">
        <v>0</v>
      </c>
      <c r="G19" s="10">
        <v>0</v>
      </c>
      <c r="H19" s="10">
        <v>0</v>
      </c>
      <c r="I19" s="16">
        <f t="shared" si="11"/>
        <v>12612629.939999999</v>
      </c>
      <c r="J19" s="9">
        <v>0</v>
      </c>
      <c r="K19" s="10">
        <v>5362326</v>
      </c>
      <c r="L19" s="10">
        <v>0</v>
      </c>
      <c r="M19" s="16">
        <f t="shared" si="12"/>
        <v>5362326</v>
      </c>
      <c r="N19" s="11">
        <v>1317062</v>
      </c>
      <c r="O19" s="37">
        <f t="shared" si="13"/>
        <v>16657893.939999998</v>
      </c>
      <c r="P19" s="47">
        <v>-648422.7833849974</v>
      </c>
      <c r="Q19" s="41">
        <v>285660</v>
      </c>
      <c r="R19" s="37">
        <f t="shared" si="14"/>
        <v>15723811.156615</v>
      </c>
      <c r="S19" s="11">
        <v>1027359.7500000005</v>
      </c>
      <c r="T19" s="37">
        <f t="shared" si="10"/>
        <v>16751170.906615</v>
      </c>
      <c r="U19" s="24">
        <v>381388000</v>
      </c>
      <c r="V19" s="25">
        <v>154089000</v>
      </c>
      <c r="W19" s="28">
        <f t="shared" si="15"/>
        <v>535477000</v>
      </c>
      <c r="X19" s="24">
        <v>0</v>
      </c>
      <c r="Y19" s="43">
        <v>44066000</v>
      </c>
      <c r="Z19" s="25">
        <v>24282269</v>
      </c>
      <c r="AA19" s="28">
        <f t="shared" si="16"/>
        <v>68348269</v>
      </c>
      <c r="AB19" s="31">
        <f t="shared" si="17"/>
        <v>467128731</v>
      </c>
      <c r="AC19" s="101"/>
      <c r="AD19" s="36">
        <f t="shared" si="18"/>
        <v>3.5859860023499605E-2</v>
      </c>
      <c r="AE19" s="33">
        <v>2.6120000000000001E-2</v>
      </c>
      <c r="AF19" s="34">
        <f t="shared" si="19"/>
        <v>9.7398600234996045E-3</v>
      </c>
    </row>
    <row r="20" spans="1:32" x14ac:dyDescent="0.2">
      <c r="A20" s="51">
        <v>45170</v>
      </c>
      <c r="B20" s="51">
        <v>45231</v>
      </c>
      <c r="C20" s="9">
        <v>3047271.52</v>
      </c>
      <c r="D20" s="10">
        <v>52501.77</v>
      </c>
      <c r="E20" s="10">
        <v>1494555.02</v>
      </c>
      <c r="F20" s="10">
        <v>0</v>
      </c>
      <c r="G20" s="10">
        <v>0</v>
      </c>
      <c r="H20" s="10">
        <v>0</v>
      </c>
      <c r="I20" s="16">
        <f t="shared" si="11"/>
        <v>4594328.3100000005</v>
      </c>
      <c r="J20" s="9">
        <v>0</v>
      </c>
      <c r="K20" s="10">
        <v>10000868</v>
      </c>
      <c r="L20" s="10">
        <v>0</v>
      </c>
      <c r="M20" s="16">
        <f t="shared" si="12"/>
        <v>10000868</v>
      </c>
      <c r="N20" s="11">
        <v>992568</v>
      </c>
      <c r="O20" s="37">
        <f t="shared" si="13"/>
        <v>13602628.310000001</v>
      </c>
      <c r="P20" s="11">
        <v>-977113.27900000103</v>
      </c>
      <c r="Q20" s="41">
        <v>-252813</v>
      </c>
      <c r="R20" s="37">
        <f t="shared" si="14"/>
        <v>12878328.030999999</v>
      </c>
      <c r="S20" s="11">
        <v>919975.7799999998</v>
      </c>
      <c r="T20" s="37">
        <f t="shared" si="10"/>
        <v>13798303.810999999</v>
      </c>
      <c r="U20" s="24">
        <v>142262000</v>
      </c>
      <c r="V20" s="25">
        <v>305021000</v>
      </c>
      <c r="W20" s="28">
        <f t="shared" si="15"/>
        <v>447283000</v>
      </c>
      <c r="X20" s="24">
        <v>0</v>
      </c>
      <c r="Y20" s="25">
        <v>13956000</v>
      </c>
      <c r="Z20" s="25">
        <v>22292386</v>
      </c>
      <c r="AA20" s="28">
        <f t="shared" si="16"/>
        <v>36248386</v>
      </c>
      <c r="AB20" s="31">
        <f t="shared" si="17"/>
        <v>411034614</v>
      </c>
      <c r="AC20" s="101"/>
      <c r="AD20" s="36">
        <f t="shared" si="18"/>
        <v>3.3569688150399908E-2</v>
      </c>
      <c r="AE20" s="33">
        <v>2.6120000000000001E-2</v>
      </c>
      <c r="AF20" s="34">
        <f t="shared" si="19"/>
        <v>7.4496881503999073E-3</v>
      </c>
    </row>
    <row r="21" spans="1:32" x14ac:dyDescent="0.2">
      <c r="A21" s="51">
        <v>45200</v>
      </c>
      <c r="B21" s="51">
        <v>45261</v>
      </c>
      <c r="C21" s="9">
        <v>0</v>
      </c>
      <c r="D21" s="10">
        <v>0</v>
      </c>
      <c r="E21" s="10">
        <v>2026821.48</v>
      </c>
      <c r="F21" s="10">
        <v>0</v>
      </c>
      <c r="G21" s="10">
        <v>0</v>
      </c>
      <c r="H21" s="10">
        <v>0</v>
      </c>
      <c r="I21" s="16">
        <f t="shared" si="11"/>
        <v>2026821.48</v>
      </c>
      <c r="J21" s="9">
        <v>0</v>
      </c>
      <c r="K21" s="10">
        <v>9857847</v>
      </c>
      <c r="L21" s="10">
        <v>0</v>
      </c>
      <c r="M21" s="16">
        <f t="shared" si="12"/>
        <v>9857847</v>
      </c>
      <c r="N21" s="11">
        <v>600889</v>
      </c>
      <c r="O21" s="37">
        <f t="shared" si="13"/>
        <v>11283779.48</v>
      </c>
      <c r="P21" s="11">
        <v>-861016.22000000067</v>
      </c>
      <c r="Q21" s="41">
        <v>-771365</v>
      </c>
      <c r="R21" s="37">
        <f t="shared" si="14"/>
        <v>11194128.26</v>
      </c>
      <c r="S21" s="11">
        <v>1584958.66</v>
      </c>
      <c r="T21" s="37">
        <f t="shared" si="10"/>
        <v>12779086.92</v>
      </c>
      <c r="U21" s="24">
        <v>101407000</v>
      </c>
      <c r="V21" s="25">
        <v>321651000</v>
      </c>
      <c r="W21" s="28">
        <f t="shared" si="15"/>
        <v>423058000</v>
      </c>
      <c r="X21" s="24">
        <v>0</v>
      </c>
      <c r="Y21" s="25">
        <v>17792000</v>
      </c>
      <c r="Z21" s="25">
        <v>19606708</v>
      </c>
      <c r="AA21" s="28">
        <f t="shared" si="16"/>
        <v>37398708</v>
      </c>
      <c r="AB21" s="31">
        <f t="shared" si="17"/>
        <v>385659292</v>
      </c>
      <c r="AC21" s="101"/>
      <c r="AD21" s="36">
        <f t="shared" si="18"/>
        <v>3.3135690452908886E-2</v>
      </c>
      <c r="AE21" s="33">
        <v>2.6120000000000001E-2</v>
      </c>
      <c r="AF21" s="34">
        <f t="shared" si="19"/>
        <v>7.0156904529088855E-3</v>
      </c>
    </row>
    <row r="22" spans="1:32" x14ac:dyDescent="0.2">
      <c r="A22" s="51">
        <v>45231</v>
      </c>
      <c r="B22" s="51">
        <v>45292</v>
      </c>
      <c r="C22" s="9">
        <v>2029176.94</v>
      </c>
      <c r="D22" s="10">
        <v>325357.28000000003</v>
      </c>
      <c r="E22" s="10">
        <v>2404692.9300000002</v>
      </c>
      <c r="F22" s="10">
        <v>0</v>
      </c>
      <c r="G22" s="10">
        <v>0</v>
      </c>
      <c r="H22" s="10">
        <v>0</v>
      </c>
      <c r="I22" s="16">
        <f t="shared" si="11"/>
        <v>4759227.1500000004</v>
      </c>
      <c r="J22" s="9">
        <v>0</v>
      </c>
      <c r="K22" s="10">
        <v>9831389</v>
      </c>
      <c r="L22" s="10">
        <v>0</v>
      </c>
      <c r="M22" s="16">
        <f t="shared" si="12"/>
        <v>9831389</v>
      </c>
      <c r="N22" s="11">
        <v>394932</v>
      </c>
      <c r="O22" s="37">
        <f t="shared" si="13"/>
        <v>14195684.15</v>
      </c>
      <c r="P22" s="11">
        <v>583114.22000000067</v>
      </c>
      <c r="Q22" s="41">
        <v>-114752</v>
      </c>
      <c r="R22" s="37">
        <f t="shared" si="14"/>
        <v>14893550.370000001</v>
      </c>
      <c r="S22" s="11">
        <v>854431.58999999985</v>
      </c>
      <c r="T22" s="37">
        <f t="shared" si="10"/>
        <v>15747981.960000001</v>
      </c>
      <c r="U22" s="24">
        <v>130632000</v>
      </c>
      <c r="V22" s="25">
        <v>349965000</v>
      </c>
      <c r="W22" s="28">
        <f t="shared" si="15"/>
        <v>480597000</v>
      </c>
      <c r="X22" s="24">
        <v>0</v>
      </c>
      <c r="Y22" s="25">
        <v>13786000</v>
      </c>
      <c r="Z22" s="25">
        <v>22813414</v>
      </c>
      <c r="AA22" s="28">
        <f t="shared" si="16"/>
        <v>36599414</v>
      </c>
      <c r="AB22" s="31">
        <f t="shared" si="17"/>
        <v>443997586</v>
      </c>
      <c r="AC22" s="101">
        <f>'Historical Sales'!N4</f>
        <v>538992133</v>
      </c>
      <c r="AD22" s="36">
        <f>T22/AC22</f>
        <v>2.9217461621095685E-2</v>
      </c>
      <c r="AE22" s="33">
        <v>2.6120000000000001E-2</v>
      </c>
      <c r="AF22" s="34">
        <f t="shared" si="19"/>
        <v>3.0974616210956846E-3</v>
      </c>
    </row>
    <row r="23" spans="1:32" x14ac:dyDescent="0.2">
      <c r="A23" s="51">
        <v>45261</v>
      </c>
      <c r="B23" s="51">
        <v>45323</v>
      </c>
      <c r="C23" s="9">
        <v>5926775.2199999997</v>
      </c>
      <c r="D23" s="10">
        <v>445710.76</v>
      </c>
      <c r="E23" s="10">
        <v>2781792.96</v>
      </c>
      <c r="F23" s="10">
        <v>0</v>
      </c>
      <c r="G23" s="10">
        <v>0</v>
      </c>
      <c r="H23" s="10">
        <v>0</v>
      </c>
      <c r="I23" s="16">
        <f t="shared" si="11"/>
        <v>9154278.9399999995</v>
      </c>
      <c r="J23" s="9">
        <v>0</v>
      </c>
      <c r="K23" s="10">
        <v>11363822</v>
      </c>
      <c r="L23" s="10">
        <v>0</v>
      </c>
      <c r="M23" s="16">
        <f t="shared" si="12"/>
        <v>11363822</v>
      </c>
      <c r="N23" s="11">
        <v>1302545</v>
      </c>
      <c r="O23" s="37">
        <f t="shared" si="13"/>
        <v>19215555.939999998</v>
      </c>
      <c r="P23" s="11">
        <v>1215496.5500000007</v>
      </c>
      <c r="Q23" s="41">
        <v>754152</v>
      </c>
      <c r="R23" s="37">
        <f t="shared" si="14"/>
        <v>19676900.489999998</v>
      </c>
      <c r="S23" s="11">
        <v>602316.19000000018</v>
      </c>
      <c r="T23" s="37">
        <f t="shared" si="10"/>
        <v>20279216.68</v>
      </c>
      <c r="U23" s="24">
        <v>223088000</v>
      </c>
      <c r="V23" s="25">
        <v>314318000</v>
      </c>
      <c r="W23" s="28">
        <f t="shared" si="15"/>
        <v>537406000</v>
      </c>
      <c r="X23" s="24">
        <v>0</v>
      </c>
      <c r="Y23" s="44">
        <v>52216000</v>
      </c>
      <c r="Z23" s="25">
        <v>22014666</v>
      </c>
      <c r="AA23" s="28">
        <f t="shared" si="16"/>
        <v>74230666</v>
      </c>
      <c r="AB23" s="31">
        <f t="shared" si="17"/>
        <v>463175334</v>
      </c>
      <c r="AC23" s="101">
        <f>'Historical Sales'!N5</f>
        <v>458875568.33333331</v>
      </c>
      <c r="AD23" s="36">
        <f t="shared" ref="AD23:AD45" si="20">T23/AC23</f>
        <v>4.4193280443444546E-2</v>
      </c>
      <c r="AE23" s="33">
        <v>2.6120000000000001E-2</v>
      </c>
      <c r="AF23" s="34">
        <f t="shared" si="19"/>
        <v>1.8073280443444546E-2</v>
      </c>
    </row>
    <row r="24" spans="1:32" x14ac:dyDescent="0.2">
      <c r="A24" s="51">
        <v>45292</v>
      </c>
      <c r="B24" s="51">
        <v>45352</v>
      </c>
      <c r="C24" s="9">
        <v>6815301.1100000003</v>
      </c>
      <c r="D24" s="10">
        <v>209165.03</v>
      </c>
      <c r="E24" s="10">
        <v>3597123.5</v>
      </c>
      <c r="F24" s="10">
        <v>0</v>
      </c>
      <c r="G24" s="10">
        <v>0</v>
      </c>
      <c r="H24" s="10">
        <v>0</v>
      </c>
      <c r="I24" s="16">
        <f t="shared" si="11"/>
        <v>10621589.640000001</v>
      </c>
      <c r="J24" s="9">
        <v>0</v>
      </c>
      <c r="K24" s="10">
        <v>17226102</v>
      </c>
      <c r="L24" s="10">
        <v>0</v>
      </c>
      <c r="M24" s="16">
        <f t="shared" si="12"/>
        <v>17226102</v>
      </c>
      <c r="N24" s="11">
        <v>451514</v>
      </c>
      <c r="O24" s="37">
        <f t="shared" si="13"/>
        <v>27396177.640000001</v>
      </c>
      <c r="P24" s="11">
        <v>-2022209.6829999983</v>
      </c>
      <c r="Q24" s="103">
        <f>'4. Pg 4'!N19</f>
        <v>43886</v>
      </c>
      <c r="R24" s="37">
        <f t="shared" si="14"/>
        <v>25330081.957000002</v>
      </c>
      <c r="S24" s="11">
        <v>409541.7100000002</v>
      </c>
      <c r="T24" s="37">
        <f t="shared" si="10"/>
        <v>25739623.667000003</v>
      </c>
      <c r="U24" s="24">
        <v>279510000</v>
      </c>
      <c r="V24" s="25">
        <v>344816000</v>
      </c>
      <c r="W24" s="28">
        <f t="shared" si="15"/>
        <v>624326000</v>
      </c>
      <c r="X24" s="24">
        <v>0</v>
      </c>
      <c r="Y24" s="25">
        <v>-29247000</v>
      </c>
      <c r="Z24" s="25">
        <v>36104147</v>
      </c>
      <c r="AA24" s="28">
        <f t="shared" si="16"/>
        <v>6857147</v>
      </c>
      <c r="AB24" s="31">
        <f t="shared" si="17"/>
        <v>617468853</v>
      </c>
      <c r="AC24" s="101">
        <f>'Historical Sales'!N6</f>
        <v>443221016.66666669</v>
      </c>
      <c r="AD24" s="36">
        <f t="shared" si="20"/>
        <v>5.8074014315882515E-2</v>
      </c>
      <c r="AE24" s="33">
        <v>2.6120000000000001E-2</v>
      </c>
      <c r="AF24" s="34">
        <f t="shared" si="19"/>
        <v>3.1954014315882517E-2</v>
      </c>
    </row>
    <row r="25" spans="1:32" x14ac:dyDescent="0.2">
      <c r="A25" s="51">
        <v>45323</v>
      </c>
      <c r="B25" s="51">
        <v>45383</v>
      </c>
      <c r="C25" s="9">
        <v>8255204.3300000001</v>
      </c>
      <c r="D25" s="10">
        <v>532032.34</v>
      </c>
      <c r="E25" s="10">
        <v>4473680.71</v>
      </c>
      <c r="F25" s="10">
        <v>0</v>
      </c>
      <c r="G25" s="10">
        <v>0</v>
      </c>
      <c r="H25" s="10">
        <v>0</v>
      </c>
      <c r="I25" s="16">
        <f t="shared" si="11"/>
        <v>13260917.379999999</v>
      </c>
      <c r="J25" s="9">
        <v>0</v>
      </c>
      <c r="K25" s="10">
        <v>6519881</v>
      </c>
      <c r="L25" s="10">
        <v>0</v>
      </c>
      <c r="M25" s="16">
        <f t="shared" si="12"/>
        <v>6519881</v>
      </c>
      <c r="N25" s="11">
        <v>842803</v>
      </c>
      <c r="O25" s="37">
        <f t="shared" si="13"/>
        <v>18937995.379999999</v>
      </c>
      <c r="P25" s="11">
        <v>-3620640.9087999985</v>
      </c>
      <c r="Q25" s="103">
        <f>'4. Pg 4'!N20</f>
        <v>661354</v>
      </c>
      <c r="R25" s="37">
        <f t="shared" si="14"/>
        <v>14656000.4712</v>
      </c>
      <c r="S25" s="11">
        <v>434306.02999999968</v>
      </c>
      <c r="T25" s="37">
        <f t="shared" si="10"/>
        <v>15090306.5012</v>
      </c>
      <c r="U25" s="24">
        <v>265685000</v>
      </c>
      <c r="V25" s="25">
        <v>233686000</v>
      </c>
      <c r="W25" s="28">
        <f t="shared" si="15"/>
        <v>499371000</v>
      </c>
      <c r="X25" s="24">
        <v>0</v>
      </c>
      <c r="Y25" s="25">
        <v>38386000</v>
      </c>
      <c r="Z25" s="25">
        <v>24653927</v>
      </c>
      <c r="AA25" s="28">
        <f t="shared" si="16"/>
        <v>63039927</v>
      </c>
      <c r="AB25" s="31">
        <f t="shared" si="17"/>
        <v>436331073</v>
      </c>
      <c r="AC25" s="101">
        <f>'Historical Sales'!N7</f>
        <v>385314652.66666669</v>
      </c>
      <c r="AD25" s="36">
        <f t="shared" si="20"/>
        <v>3.9163593693527482E-2</v>
      </c>
      <c r="AE25" s="33">
        <v>2.6120000000000001E-2</v>
      </c>
      <c r="AF25" s="34">
        <f t="shared" si="19"/>
        <v>1.3043593693527481E-2</v>
      </c>
    </row>
    <row r="26" spans="1:32" x14ac:dyDescent="0.2">
      <c r="A26" s="51">
        <v>45352</v>
      </c>
      <c r="B26" s="51">
        <v>45413</v>
      </c>
      <c r="C26" s="9">
        <v>8366721.7599999998</v>
      </c>
      <c r="D26" s="10">
        <v>328573.78999999998</v>
      </c>
      <c r="E26" s="10">
        <v>3403959.6</v>
      </c>
      <c r="F26" s="10">
        <v>0</v>
      </c>
      <c r="G26" s="10">
        <v>0</v>
      </c>
      <c r="H26" s="10">
        <v>0</v>
      </c>
      <c r="I26" s="16">
        <f t="shared" si="11"/>
        <v>12099255.149999999</v>
      </c>
      <c r="J26" s="9">
        <v>0</v>
      </c>
      <c r="K26" s="10">
        <v>3985476</v>
      </c>
      <c r="L26" s="10">
        <v>0</v>
      </c>
      <c r="M26" s="16">
        <f t="shared" si="12"/>
        <v>3985476</v>
      </c>
      <c r="N26" s="11">
        <v>1023450</v>
      </c>
      <c r="O26" s="37">
        <f t="shared" si="13"/>
        <v>15061281.149999999</v>
      </c>
      <c r="P26" s="11">
        <v>-869352.8900000006</v>
      </c>
      <c r="Q26" s="103">
        <f>'4. Pg 4'!N21</f>
        <v>315598</v>
      </c>
      <c r="R26" s="37">
        <f t="shared" si="14"/>
        <v>13876330.259999998</v>
      </c>
      <c r="S26" s="11">
        <v>74328.780000000261</v>
      </c>
      <c r="T26" s="37">
        <f t="shared" si="10"/>
        <v>13950659.039999999</v>
      </c>
      <c r="U26" s="24">
        <v>313806000</v>
      </c>
      <c r="V26" s="25">
        <v>180524000</v>
      </c>
      <c r="W26" s="28">
        <f t="shared" si="15"/>
        <v>494330000</v>
      </c>
      <c r="X26" s="24">
        <v>0</v>
      </c>
      <c r="Y26" s="25">
        <v>45936000</v>
      </c>
      <c r="Z26" s="25">
        <v>23082423</v>
      </c>
      <c r="AA26" s="28">
        <f t="shared" si="16"/>
        <v>69018423</v>
      </c>
      <c r="AB26" s="31">
        <f t="shared" si="17"/>
        <v>425311577</v>
      </c>
      <c r="AC26" s="101">
        <f>'Historical Sales'!N8</f>
        <v>397306147.33333331</v>
      </c>
      <c r="AD26" s="36">
        <f t="shared" si="20"/>
        <v>3.5113121540240419E-2</v>
      </c>
      <c r="AE26" s="33">
        <v>2.6120000000000001E-2</v>
      </c>
      <c r="AF26" s="34">
        <f t="shared" si="19"/>
        <v>8.9931215402404181E-3</v>
      </c>
    </row>
    <row r="27" spans="1:32" x14ac:dyDescent="0.2">
      <c r="A27" s="51">
        <v>45383</v>
      </c>
      <c r="B27" s="51">
        <v>45444</v>
      </c>
      <c r="C27" s="9">
        <v>2942490.88</v>
      </c>
      <c r="D27" s="10">
        <v>52688.09</v>
      </c>
      <c r="E27" s="10">
        <v>3071456.95</v>
      </c>
      <c r="F27" s="10">
        <v>0</v>
      </c>
      <c r="G27" s="10">
        <v>0</v>
      </c>
      <c r="H27" s="10">
        <v>0</v>
      </c>
      <c r="I27" s="16">
        <f t="shared" si="11"/>
        <v>6066635.9199999999</v>
      </c>
      <c r="J27" s="9">
        <v>0</v>
      </c>
      <c r="K27" s="10">
        <v>7341757</v>
      </c>
      <c r="L27" s="10">
        <v>0</v>
      </c>
      <c r="M27" s="16">
        <f t="shared" si="12"/>
        <v>7341757</v>
      </c>
      <c r="N27" s="11">
        <v>618931</v>
      </c>
      <c r="O27" s="37">
        <f t="shared" si="13"/>
        <v>12789461.92</v>
      </c>
      <c r="P27" s="11">
        <v>-11541.726415002719</v>
      </c>
      <c r="Q27" s="103">
        <f>'4. Pg 4'!N22</f>
        <v>574420</v>
      </c>
      <c r="R27" s="37">
        <f t="shared" si="14"/>
        <v>12203500.193584997</v>
      </c>
      <c r="S27" s="11">
        <v>362160.82000000007</v>
      </c>
      <c r="T27" s="37">
        <f t="shared" si="10"/>
        <v>12565661.013584998</v>
      </c>
      <c r="U27" s="24">
        <v>163927000</v>
      </c>
      <c r="V27" s="25">
        <v>249081000</v>
      </c>
      <c r="W27" s="28">
        <f t="shared" si="15"/>
        <v>413008000</v>
      </c>
      <c r="X27" s="24">
        <v>0</v>
      </c>
      <c r="Y27" s="25">
        <v>-7042000</v>
      </c>
      <c r="Z27" s="25">
        <v>22566972</v>
      </c>
      <c r="AA27" s="28">
        <f t="shared" si="16"/>
        <v>15524972</v>
      </c>
      <c r="AB27" s="31">
        <f t="shared" si="17"/>
        <v>397483028</v>
      </c>
      <c r="AC27" s="101">
        <f>'Historical Sales'!N9</f>
        <v>427815754.33333331</v>
      </c>
      <c r="AD27" s="36">
        <f t="shared" si="20"/>
        <v>2.9371664989677877E-2</v>
      </c>
      <c r="AE27" s="33">
        <v>2.6120000000000001E-2</v>
      </c>
      <c r="AF27" s="34">
        <f t="shared" si="19"/>
        <v>3.2516649896778757E-3</v>
      </c>
    </row>
    <row r="28" spans="1:32" x14ac:dyDescent="0.2">
      <c r="A28" s="51">
        <v>45413</v>
      </c>
      <c r="B28" s="51">
        <v>45474</v>
      </c>
      <c r="C28" s="9">
        <v>1353750.64</v>
      </c>
      <c r="D28" s="10">
        <v>347955.04</v>
      </c>
      <c r="E28" s="10">
        <v>3085398</v>
      </c>
      <c r="F28" s="10">
        <v>0</v>
      </c>
      <c r="G28" s="10">
        <v>0</v>
      </c>
      <c r="H28" s="10">
        <v>0</v>
      </c>
      <c r="I28" s="16">
        <f t="shared" si="11"/>
        <v>4787103.68</v>
      </c>
      <c r="J28" s="9">
        <v>0</v>
      </c>
      <c r="K28" s="10">
        <v>8636530</v>
      </c>
      <c r="L28" s="10">
        <v>0</v>
      </c>
      <c r="M28" s="16">
        <f t="shared" si="12"/>
        <v>8636530</v>
      </c>
      <c r="N28" s="11">
        <v>686391</v>
      </c>
      <c r="O28" s="37">
        <f t="shared" si="13"/>
        <v>12737242.68</v>
      </c>
      <c r="P28" s="47">
        <v>-1358851.5700000003</v>
      </c>
      <c r="Q28" s="103">
        <f>'4. Pg 4'!N23</f>
        <v>-164696</v>
      </c>
      <c r="R28" s="37">
        <f t="shared" si="14"/>
        <v>11543087.109999999</v>
      </c>
      <c r="S28" s="11">
        <v>-350114.66000000009</v>
      </c>
      <c r="T28" s="37">
        <f t="shared" si="10"/>
        <v>11192972.449999999</v>
      </c>
      <c r="U28" s="24">
        <v>161071000</v>
      </c>
      <c r="V28" s="25">
        <v>292269000</v>
      </c>
      <c r="W28" s="28">
        <f t="shared" si="15"/>
        <v>453340000</v>
      </c>
      <c r="X28" s="24">
        <v>0</v>
      </c>
      <c r="Y28" s="25">
        <v>20799000</v>
      </c>
      <c r="Z28" s="25">
        <v>20662593</v>
      </c>
      <c r="AA28" s="28">
        <f t="shared" si="16"/>
        <v>41461593</v>
      </c>
      <c r="AB28" s="31">
        <f t="shared" si="17"/>
        <v>411878407</v>
      </c>
      <c r="AC28" s="101">
        <f>'Historical Sales'!N10</f>
        <v>470508542</v>
      </c>
      <c r="AD28" s="36">
        <f t="shared" si="20"/>
        <v>2.3789095097873907E-2</v>
      </c>
      <c r="AE28" s="33">
        <v>2.6120000000000001E-2</v>
      </c>
      <c r="AF28" s="34">
        <f t="shared" si="19"/>
        <v>-2.3309049021260943E-3</v>
      </c>
    </row>
    <row r="29" spans="1:32" x14ac:dyDescent="0.2">
      <c r="A29" s="51">
        <v>45444</v>
      </c>
      <c r="B29" s="51">
        <v>45505</v>
      </c>
      <c r="C29" s="9">
        <v>10602993.08</v>
      </c>
      <c r="D29" s="10">
        <v>342138.33</v>
      </c>
      <c r="E29" s="10">
        <v>3166493.66</v>
      </c>
      <c r="F29" s="10">
        <v>0</v>
      </c>
      <c r="G29" s="10">
        <v>0</v>
      </c>
      <c r="H29" s="10">
        <v>0</v>
      </c>
      <c r="I29" s="16">
        <f t="shared" si="11"/>
        <v>14111625.07</v>
      </c>
      <c r="J29" s="9">
        <v>0</v>
      </c>
      <c r="K29" s="10">
        <v>5152879.82</v>
      </c>
      <c r="L29" s="10">
        <v>0</v>
      </c>
      <c r="M29" s="16">
        <f t="shared" si="12"/>
        <v>5152879.82</v>
      </c>
      <c r="N29" s="11">
        <v>2812137.43</v>
      </c>
      <c r="O29" s="37">
        <f t="shared" si="13"/>
        <v>16452367.460000001</v>
      </c>
      <c r="P29" s="11">
        <v>179358.58000000007</v>
      </c>
      <c r="Q29" s="103">
        <f>'4. Pg 4'!N24</f>
        <v>-2750</v>
      </c>
      <c r="R29" s="37">
        <f t="shared" si="14"/>
        <v>16634476.040000001</v>
      </c>
      <c r="S29" s="11">
        <v>1040687.4099999993</v>
      </c>
      <c r="T29" s="37">
        <f t="shared" si="10"/>
        <v>17675163.449999999</v>
      </c>
      <c r="U29" s="24">
        <v>393618000</v>
      </c>
      <c r="V29" s="25">
        <v>181007000</v>
      </c>
      <c r="W29" s="28">
        <f t="shared" si="15"/>
        <v>574625000</v>
      </c>
      <c r="X29" s="24">
        <v>0</v>
      </c>
      <c r="Y29" s="25">
        <v>92654000</v>
      </c>
      <c r="Z29" s="25">
        <v>24205900</v>
      </c>
      <c r="AA29" s="28">
        <f t="shared" si="16"/>
        <v>116859900</v>
      </c>
      <c r="AB29" s="31">
        <f t="shared" si="17"/>
        <v>457765100</v>
      </c>
      <c r="AC29" s="101">
        <f>'Historical Sales'!N11</f>
        <v>466634874.66666669</v>
      </c>
      <c r="AD29" s="36">
        <f t="shared" si="20"/>
        <v>3.7877930711085354E-2</v>
      </c>
      <c r="AE29" s="33">
        <v>2.6120000000000001E-2</v>
      </c>
      <c r="AF29" s="34">
        <f t="shared" si="19"/>
        <v>1.1757930711085354E-2</v>
      </c>
    </row>
    <row r="30" spans="1:32" x14ac:dyDescent="0.2">
      <c r="A30" s="51">
        <v>45474</v>
      </c>
      <c r="B30" s="51">
        <v>45536</v>
      </c>
      <c r="C30" s="9">
        <v>10399040</v>
      </c>
      <c r="D30" s="10">
        <v>348835.01</v>
      </c>
      <c r="E30" s="10">
        <v>3737506.03</v>
      </c>
      <c r="F30" s="10">
        <v>0</v>
      </c>
      <c r="G30" s="10">
        <v>0</v>
      </c>
      <c r="H30" s="10">
        <v>0</v>
      </c>
      <c r="I30" s="16">
        <f t="shared" si="11"/>
        <v>14485381.039999999</v>
      </c>
      <c r="J30" s="9">
        <v>0</v>
      </c>
      <c r="K30" s="10">
        <v>6090275.1200000001</v>
      </c>
      <c r="L30" s="10">
        <v>0</v>
      </c>
      <c r="M30" s="16">
        <f t="shared" si="12"/>
        <v>6090275.1200000001</v>
      </c>
      <c r="N30" s="11">
        <v>3136941.8289999999</v>
      </c>
      <c r="O30" s="37">
        <f t="shared" si="13"/>
        <v>17438714.331</v>
      </c>
      <c r="P30" s="11">
        <v>-668773.56712250784</v>
      </c>
      <c r="Q30" s="103">
        <f>'4. Pg 4'!N25</f>
        <v>-6686</v>
      </c>
      <c r="R30" s="37">
        <f t="shared" si="14"/>
        <v>16776626.763877492</v>
      </c>
      <c r="S30" s="11">
        <v>1503865.8900000006</v>
      </c>
      <c r="T30" s="37">
        <f t="shared" si="10"/>
        <v>18280492.653877493</v>
      </c>
      <c r="U30" s="24">
        <v>429775000</v>
      </c>
      <c r="V30" s="25">
        <v>128951000</v>
      </c>
      <c r="W30" s="28">
        <f t="shared" si="15"/>
        <v>558726000</v>
      </c>
      <c r="X30" s="24">
        <v>0</v>
      </c>
      <c r="Y30" s="25">
        <v>55537000</v>
      </c>
      <c r="Z30" s="25">
        <v>25365835</v>
      </c>
      <c r="AA30" s="28">
        <f t="shared" si="16"/>
        <v>80902835</v>
      </c>
      <c r="AB30" s="31">
        <f t="shared" si="17"/>
        <v>477823165</v>
      </c>
      <c r="AC30" s="101">
        <f>'Historical Sales'!N12</f>
        <v>403149812</v>
      </c>
      <c r="AD30" s="36">
        <f t="shared" si="20"/>
        <v>4.5344167626394656E-2</v>
      </c>
      <c r="AE30" s="33">
        <v>2.6120000000000001E-2</v>
      </c>
      <c r="AF30" s="34">
        <f t="shared" si="19"/>
        <v>1.9224167626394655E-2</v>
      </c>
    </row>
    <row r="31" spans="1:32" x14ac:dyDescent="0.2">
      <c r="A31" s="51">
        <v>45505</v>
      </c>
      <c r="B31" s="51">
        <v>45566</v>
      </c>
      <c r="C31" s="9">
        <v>8665987.1099999994</v>
      </c>
      <c r="D31" s="10">
        <v>213404.01</v>
      </c>
      <c r="E31" s="10">
        <v>4114423.72</v>
      </c>
      <c r="F31" s="10">
        <v>0</v>
      </c>
      <c r="G31" s="10">
        <v>0</v>
      </c>
      <c r="H31" s="10">
        <v>0</v>
      </c>
      <c r="I31" s="16">
        <f t="shared" si="11"/>
        <v>12993814.84</v>
      </c>
      <c r="J31" s="9">
        <v>0</v>
      </c>
      <c r="K31" s="10">
        <v>6342733</v>
      </c>
      <c r="L31" s="10">
        <v>0</v>
      </c>
      <c r="M31" s="16">
        <f t="shared" si="12"/>
        <v>6342733</v>
      </c>
      <c r="N31" s="11">
        <v>2122386</v>
      </c>
      <c r="O31" s="37">
        <f t="shared" si="13"/>
        <v>17214161.84</v>
      </c>
      <c r="P31" s="11">
        <v>-365940.1099999994</v>
      </c>
      <c r="Q31" s="103">
        <f>'4. Pg 4'!N26</f>
        <v>-32552</v>
      </c>
      <c r="R31" s="37">
        <f t="shared" si="14"/>
        <v>16880773.73</v>
      </c>
      <c r="S31" s="11">
        <v>27017.479999999981</v>
      </c>
      <c r="T31" s="37">
        <f t="shared" si="10"/>
        <v>16907791.210000001</v>
      </c>
      <c r="U31" s="24">
        <v>361535000</v>
      </c>
      <c r="V31" s="25">
        <v>174651000</v>
      </c>
      <c r="W31" s="28">
        <f t="shared" si="15"/>
        <v>536186000</v>
      </c>
      <c r="X31" s="24">
        <v>0</v>
      </c>
      <c r="Y31" s="25">
        <v>49751000</v>
      </c>
      <c r="Z31" s="25">
        <v>23382437</v>
      </c>
      <c r="AA31" s="28">
        <f t="shared" si="16"/>
        <v>73133437</v>
      </c>
      <c r="AB31" s="31">
        <f t="shared" si="17"/>
        <v>463052563</v>
      </c>
      <c r="AC31" s="101">
        <f>'Historical Sales'!N13</f>
        <v>382608238</v>
      </c>
      <c r="AD31" s="36">
        <f t="shared" si="20"/>
        <v>4.4190870793534773E-2</v>
      </c>
      <c r="AE31" s="33">
        <v>2.6120000000000001E-2</v>
      </c>
      <c r="AF31" s="34">
        <f t="shared" si="19"/>
        <v>1.8070870793534772E-2</v>
      </c>
    </row>
    <row r="32" spans="1:32" x14ac:dyDescent="0.2">
      <c r="A32" s="51">
        <v>45536</v>
      </c>
      <c r="B32" s="51">
        <v>45597</v>
      </c>
      <c r="C32" s="9">
        <v>1065990.32</v>
      </c>
      <c r="D32" s="10">
        <v>339748.07</v>
      </c>
      <c r="E32" s="10">
        <v>1321540.5899999994</v>
      </c>
      <c r="F32" s="10">
        <v>0</v>
      </c>
      <c r="G32" s="10">
        <v>0</v>
      </c>
      <c r="H32" s="10">
        <v>0</v>
      </c>
      <c r="I32" s="16">
        <f t="shared" si="11"/>
        <v>2727278.9799999995</v>
      </c>
      <c r="J32" s="9">
        <v>0</v>
      </c>
      <c r="K32" s="10">
        <v>13218989</v>
      </c>
      <c r="L32" s="10">
        <v>0</v>
      </c>
      <c r="M32" s="16">
        <f t="shared" si="12"/>
        <v>13218989</v>
      </c>
      <c r="N32" s="11">
        <v>604551</v>
      </c>
      <c r="O32" s="37">
        <f t="shared" si="13"/>
        <v>15341716.98</v>
      </c>
      <c r="P32" s="11">
        <v>-656352.84276800044</v>
      </c>
      <c r="Q32" s="103">
        <f>'4. Pg 4'!N27</f>
        <v>562236</v>
      </c>
      <c r="R32" s="37">
        <f t="shared" si="14"/>
        <v>14123128.137232</v>
      </c>
      <c r="S32" s="11">
        <v>92268.269999999669</v>
      </c>
      <c r="T32" s="37">
        <f t="shared" si="10"/>
        <v>14215396.407232</v>
      </c>
      <c r="U32" s="24">
        <v>73064000</v>
      </c>
      <c r="V32" s="25">
        <v>356825000</v>
      </c>
      <c r="W32" s="28">
        <f t="shared" si="15"/>
        <v>429889000</v>
      </c>
      <c r="X32" s="24">
        <v>0</v>
      </c>
      <c r="Y32" s="25">
        <v>10901000</v>
      </c>
      <c r="Z32" s="25">
        <v>19794871</v>
      </c>
      <c r="AA32" s="28">
        <f t="shared" si="16"/>
        <v>30695871</v>
      </c>
      <c r="AB32" s="31">
        <f t="shared" si="17"/>
        <v>399193129</v>
      </c>
      <c r="AC32" s="101">
        <f>'Historical Sales'!N14</f>
        <v>436365466.66666669</v>
      </c>
      <c r="AD32" s="36">
        <f t="shared" si="20"/>
        <v>3.2576813458272437E-2</v>
      </c>
      <c r="AE32" s="33">
        <v>2.6120000000000001E-2</v>
      </c>
      <c r="AF32" s="34">
        <f t="shared" si="19"/>
        <v>6.4568134582724361E-3</v>
      </c>
    </row>
    <row r="33" spans="1:32" x14ac:dyDescent="0.2">
      <c r="A33" s="51">
        <v>45566</v>
      </c>
      <c r="B33" s="51">
        <v>45627</v>
      </c>
      <c r="C33" s="9">
        <v>5748106</v>
      </c>
      <c r="D33" s="10">
        <v>712071</v>
      </c>
      <c r="E33" s="10">
        <v>615648</v>
      </c>
      <c r="F33" s="10">
        <v>0</v>
      </c>
      <c r="G33" s="10">
        <v>0</v>
      </c>
      <c r="H33" s="10">
        <v>0</v>
      </c>
      <c r="I33" s="16">
        <f t="shared" si="11"/>
        <v>7075825</v>
      </c>
      <c r="J33" s="9">
        <v>0</v>
      </c>
      <c r="K33" s="10">
        <v>9837745</v>
      </c>
      <c r="L33" s="10">
        <v>0</v>
      </c>
      <c r="M33" s="16">
        <f t="shared" si="12"/>
        <v>9837745</v>
      </c>
      <c r="N33" s="11">
        <v>1026754</v>
      </c>
      <c r="O33" s="37">
        <f t="shared" si="13"/>
        <v>15886816</v>
      </c>
      <c r="P33" s="11">
        <v>-2035385.928718999</v>
      </c>
      <c r="Q33" s="103">
        <f>'4. Pg 4'!N28</f>
        <v>502494</v>
      </c>
      <c r="R33" s="37">
        <f t="shared" si="14"/>
        <v>13348936.071281001</v>
      </c>
      <c r="S33" s="11">
        <v>153229.8200000003</v>
      </c>
      <c r="T33" s="37">
        <f t="shared" si="10"/>
        <v>13502165.891281001</v>
      </c>
      <c r="U33" s="24">
        <v>152494000</v>
      </c>
      <c r="V33" s="25">
        <v>297185000</v>
      </c>
      <c r="W33" s="28">
        <f t="shared" si="15"/>
        <v>449679000</v>
      </c>
      <c r="X33" s="24">
        <v>0</v>
      </c>
      <c r="Y33" s="25">
        <v>28730000</v>
      </c>
      <c r="Z33" s="25">
        <v>21018704</v>
      </c>
      <c r="AA33" s="28">
        <f t="shared" si="16"/>
        <v>49748704</v>
      </c>
      <c r="AB33" s="31">
        <f t="shared" si="17"/>
        <v>399930296</v>
      </c>
      <c r="AC33" s="101">
        <f>'Historical Sales'!N15</f>
        <v>484579507.33333331</v>
      </c>
      <c r="AD33" s="36">
        <f t="shared" si="20"/>
        <v>2.7863674973760518E-2</v>
      </c>
      <c r="AE33" s="33">
        <v>2.6120000000000001E-2</v>
      </c>
      <c r="AF33" s="34">
        <f t="shared" si="19"/>
        <v>1.7436749737605173E-3</v>
      </c>
    </row>
    <row r="34" spans="1:32" x14ac:dyDescent="0.2">
      <c r="A34" s="51">
        <v>45597</v>
      </c>
      <c r="B34" s="51">
        <v>45658</v>
      </c>
      <c r="C34" s="9">
        <v>8015514.6299999999</v>
      </c>
      <c r="D34" s="10">
        <v>142901.43999999994</v>
      </c>
      <c r="E34" s="10">
        <v>442578.1</v>
      </c>
      <c r="F34" s="10">
        <v>0</v>
      </c>
      <c r="G34" s="10">
        <v>0</v>
      </c>
      <c r="H34" s="10">
        <v>0</v>
      </c>
      <c r="I34" s="16">
        <f t="shared" si="11"/>
        <v>8600994.1699999999</v>
      </c>
      <c r="J34" s="9">
        <v>0</v>
      </c>
      <c r="K34" s="10">
        <v>8381013.4598200005</v>
      </c>
      <c r="L34" s="10">
        <v>0</v>
      </c>
      <c r="M34" s="16">
        <f t="shared" si="12"/>
        <v>8381013.4598200005</v>
      </c>
      <c r="N34" s="11">
        <v>1593671.5960000001</v>
      </c>
      <c r="O34" s="37">
        <f t="shared" si="13"/>
        <v>15388336.03382</v>
      </c>
      <c r="P34" s="11">
        <v>-603897.49623633362</v>
      </c>
      <c r="Q34" s="103">
        <f>'4. Pg 4'!N29</f>
        <v>-377112</v>
      </c>
      <c r="R34" s="37">
        <f t="shared" si="14"/>
        <v>15161550.537583666</v>
      </c>
      <c r="S34" s="11">
        <v>296449.27</v>
      </c>
      <c r="T34" s="37">
        <f t="shared" si="10"/>
        <v>15457999.807583665</v>
      </c>
      <c r="U34" s="24">
        <v>207643000</v>
      </c>
      <c r="V34" s="25">
        <v>262120000</v>
      </c>
      <c r="W34" s="28">
        <f t="shared" si="15"/>
        <v>469763000</v>
      </c>
      <c r="X34" s="24">
        <v>0</v>
      </c>
      <c r="Y34" s="25">
        <v>44723000</v>
      </c>
      <c r="Z34" s="25">
        <v>18744077</v>
      </c>
      <c r="AA34" s="28">
        <f t="shared" si="16"/>
        <v>63467077</v>
      </c>
      <c r="AB34" s="31">
        <f t="shared" si="17"/>
        <v>406295923</v>
      </c>
      <c r="AC34" s="101">
        <f>'Historical Sales'!Q4</f>
        <v>565030738.66666663</v>
      </c>
      <c r="AD34" s="36">
        <f t="shared" si="20"/>
        <v>2.7357803301216385E-2</v>
      </c>
      <c r="AE34" s="33">
        <v>2.6120000000000001E-2</v>
      </c>
      <c r="AF34" s="34">
        <f t="shared" si="19"/>
        <v>1.2378033012163843E-3</v>
      </c>
    </row>
    <row r="35" spans="1:32" x14ac:dyDescent="0.2">
      <c r="A35" s="51">
        <v>45627</v>
      </c>
      <c r="B35" s="51">
        <v>45689</v>
      </c>
      <c r="C35" s="9">
        <v>10015105.620000001</v>
      </c>
      <c r="D35" s="10">
        <v>159819.37000000002</v>
      </c>
      <c r="E35" s="10">
        <v>3597973.61</v>
      </c>
      <c r="F35" s="10">
        <v>0</v>
      </c>
      <c r="G35" s="10">
        <v>0</v>
      </c>
      <c r="H35" s="10">
        <v>0</v>
      </c>
      <c r="I35" s="16">
        <f t="shared" si="11"/>
        <v>13772898.6</v>
      </c>
      <c r="J35" s="9">
        <v>0</v>
      </c>
      <c r="K35" s="10">
        <v>8658526.8800000008</v>
      </c>
      <c r="L35" s="10">
        <v>0</v>
      </c>
      <c r="M35" s="16">
        <f t="shared" si="12"/>
        <v>8658526.8800000008</v>
      </c>
      <c r="N35" s="11">
        <v>2258286.3640000001</v>
      </c>
      <c r="O35" s="37">
        <f t="shared" si="13"/>
        <v>20173139.116</v>
      </c>
      <c r="P35" s="11">
        <v>-570659.91477072239</v>
      </c>
      <c r="Q35" s="103">
        <f>'4. Pg 4'!N30</f>
        <v>9607</v>
      </c>
      <c r="R35" s="37">
        <f t="shared" si="14"/>
        <v>19592872.201229278</v>
      </c>
      <c r="S35" s="11">
        <v>528032.65000000026</v>
      </c>
      <c r="T35" s="37">
        <f t="shared" si="10"/>
        <v>20120904.851229277</v>
      </c>
      <c r="U35" s="24">
        <v>338297000</v>
      </c>
      <c r="V35" s="25">
        <v>220054000</v>
      </c>
      <c r="W35" s="28">
        <f t="shared" si="15"/>
        <v>558351000</v>
      </c>
      <c r="X35" s="24">
        <v>0</v>
      </c>
      <c r="Y35" s="25">
        <v>39662000</v>
      </c>
      <c r="Z35" s="25">
        <v>24135500</v>
      </c>
      <c r="AA35" s="28">
        <f t="shared" si="16"/>
        <v>63797500</v>
      </c>
      <c r="AB35" s="31">
        <f t="shared" si="17"/>
        <v>494553500</v>
      </c>
      <c r="AC35" s="101">
        <f>'Historical Sales'!Q5</f>
        <v>442078320.66666669</v>
      </c>
      <c r="AD35" s="36">
        <f t="shared" si="20"/>
        <v>4.5514344202372055E-2</v>
      </c>
      <c r="AE35" s="33">
        <v>2.6120000000000001E-2</v>
      </c>
      <c r="AF35" s="34">
        <f t="shared" si="19"/>
        <v>1.9394344202372054E-2</v>
      </c>
    </row>
    <row r="36" spans="1:32" x14ac:dyDescent="0.2">
      <c r="A36" s="51">
        <v>45658</v>
      </c>
      <c r="B36" s="51">
        <v>45717</v>
      </c>
      <c r="C36" s="9">
        <v>12290393.289999999</v>
      </c>
      <c r="D36" s="10">
        <v>170057.37</v>
      </c>
      <c r="E36" s="10">
        <v>5396975.4099999983</v>
      </c>
      <c r="F36" s="10">
        <v>0</v>
      </c>
      <c r="G36" s="10">
        <v>0</v>
      </c>
      <c r="H36" s="10">
        <v>0</v>
      </c>
      <c r="I36" s="16">
        <f t="shared" si="11"/>
        <v>17857426.069999997</v>
      </c>
      <c r="J36" s="9">
        <v>0</v>
      </c>
      <c r="K36" s="10">
        <v>15955926.759999998</v>
      </c>
      <c r="L36" s="10">
        <v>0</v>
      </c>
      <c r="M36" s="16">
        <f t="shared" si="12"/>
        <v>15955926.759999998</v>
      </c>
      <c r="N36" s="11">
        <v>1347987.8419999999</v>
      </c>
      <c r="O36" s="37">
        <f t="shared" si="13"/>
        <v>32465364.987999998</v>
      </c>
      <c r="P36" s="11">
        <v>137183.28299999982</v>
      </c>
      <c r="Q36" s="103">
        <f>'4. Pg 4'!N31</f>
        <v>64</v>
      </c>
      <c r="R36" s="37">
        <f t="shared" si="14"/>
        <v>32602484.270999998</v>
      </c>
      <c r="S36" s="11">
        <v>1112829.96</v>
      </c>
      <c r="T36" s="37">
        <f t="shared" si="10"/>
        <v>33715314.230999999</v>
      </c>
      <c r="U36" s="24">
        <v>406089000</v>
      </c>
      <c r="V36" s="25">
        <v>275391000</v>
      </c>
      <c r="W36" s="28">
        <f t="shared" si="15"/>
        <v>681480000</v>
      </c>
      <c r="X36" s="24">
        <v>0</v>
      </c>
      <c r="Y36" s="25">
        <v>26900000</v>
      </c>
      <c r="Z36" s="25">
        <v>26261452</v>
      </c>
      <c r="AA36" s="28">
        <f t="shared" si="16"/>
        <v>53161452</v>
      </c>
      <c r="AB36" s="31">
        <f t="shared" si="17"/>
        <v>628318548</v>
      </c>
      <c r="AC36" s="101">
        <f>'Historical Sales'!Q6</f>
        <v>439814949</v>
      </c>
      <c r="AD36" s="36">
        <f t="shared" si="20"/>
        <v>7.6657954232019515E-2</v>
      </c>
      <c r="AE36" s="33">
        <v>3.3799999999999997E-2</v>
      </c>
      <c r="AF36" s="34">
        <f t="shared" si="19"/>
        <v>4.2857954232019518E-2</v>
      </c>
    </row>
    <row r="37" spans="1:32" x14ac:dyDescent="0.2">
      <c r="A37" s="51">
        <v>45689</v>
      </c>
      <c r="B37" s="51">
        <v>45748</v>
      </c>
      <c r="C37" s="9">
        <v>3464421.5</v>
      </c>
      <c r="D37" s="10">
        <v>269009.71999999997</v>
      </c>
      <c r="E37" s="10">
        <v>5554232.0300000003</v>
      </c>
      <c r="F37" s="10">
        <v>0</v>
      </c>
      <c r="G37" s="10">
        <v>0</v>
      </c>
      <c r="H37" s="10">
        <v>0</v>
      </c>
      <c r="I37" s="16">
        <f t="shared" si="11"/>
        <v>9287663.25</v>
      </c>
      <c r="J37" s="9">
        <v>0</v>
      </c>
      <c r="K37" s="10">
        <v>14684475</v>
      </c>
      <c r="L37" s="10">
        <v>0</v>
      </c>
      <c r="M37" s="16">
        <f t="shared" si="12"/>
        <v>14684475</v>
      </c>
      <c r="N37" s="11">
        <v>1062602</v>
      </c>
      <c r="O37" s="37">
        <f t="shared" si="13"/>
        <v>22909536.25</v>
      </c>
      <c r="P37" s="11">
        <v>-3547089.8900000006</v>
      </c>
      <c r="Q37" s="103">
        <f>'4. Pg 4'!N32</f>
        <v>2133569</v>
      </c>
      <c r="R37" s="37">
        <f t="shared" si="14"/>
        <v>17228877.359999999</v>
      </c>
      <c r="S37" s="11">
        <v>664148.19999999984</v>
      </c>
      <c r="T37" s="37">
        <f t="shared" si="10"/>
        <v>17893025.559999999</v>
      </c>
      <c r="U37" s="24">
        <v>197875000</v>
      </c>
      <c r="V37" s="25">
        <v>330819000</v>
      </c>
      <c r="W37" s="28">
        <f t="shared" si="15"/>
        <v>528694000</v>
      </c>
      <c r="X37" s="24">
        <v>0</v>
      </c>
      <c r="Y37" s="25">
        <v>18116000</v>
      </c>
      <c r="Z37" s="25">
        <v>23874247</v>
      </c>
      <c r="AA37" s="28">
        <f t="shared" si="16"/>
        <v>41990247</v>
      </c>
      <c r="AB37" s="31">
        <f t="shared" si="17"/>
        <v>486703753</v>
      </c>
      <c r="AC37" s="101">
        <f>'Historical Sales'!Q7</f>
        <v>391725030.33333331</v>
      </c>
      <c r="AD37" s="36">
        <f t="shared" si="20"/>
        <v>4.5677514007144655E-2</v>
      </c>
      <c r="AE37" s="33">
        <v>3.3799999999999997E-2</v>
      </c>
      <c r="AF37" s="34">
        <f t="shared" si="19"/>
        <v>1.1877514007144659E-2</v>
      </c>
    </row>
    <row r="38" spans="1:32" x14ac:dyDescent="0.2">
      <c r="A38" s="51">
        <v>45717</v>
      </c>
      <c r="B38" s="51">
        <v>45778</v>
      </c>
      <c r="C38" s="9">
        <v>1240119.1299999999</v>
      </c>
      <c r="D38" s="10">
        <v>666930.93000000005</v>
      </c>
      <c r="E38" s="10">
        <v>3686406.49</v>
      </c>
      <c r="F38" s="10">
        <v>0</v>
      </c>
      <c r="G38" s="10">
        <v>0</v>
      </c>
      <c r="H38" s="10">
        <v>0</v>
      </c>
      <c r="I38" s="16">
        <f t="shared" si="11"/>
        <v>5593456.5500000007</v>
      </c>
      <c r="J38" s="9">
        <v>0</v>
      </c>
      <c r="K38" s="10">
        <v>14708709</v>
      </c>
      <c r="L38" s="10">
        <v>0</v>
      </c>
      <c r="M38" s="16">
        <f t="shared" si="12"/>
        <v>14708709</v>
      </c>
      <c r="N38" s="11">
        <v>781349</v>
      </c>
      <c r="O38" s="37">
        <f t="shared" si="13"/>
        <v>19520816.550000001</v>
      </c>
      <c r="P38" s="11">
        <v>-1054863.3747872487</v>
      </c>
      <c r="Q38" s="103">
        <f>'4. Pg 4'!N33</f>
        <v>992821</v>
      </c>
      <c r="R38" s="37">
        <f t="shared" si="14"/>
        <v>17473132.175212752</v>
      </c>
      <c r="S38" s="11">
        <v>855564.9499999996</v>
      </c>
      <c r="T38" s="37">
        <f t="shared" si="10"/>
        <v>18328697.125212751</v>
      </c>
      <c r="U38" s="24">
        <v>108933000</v>
      </c>
      <c r="V38" s="25">
        <v>377638000</v>
      </c>
      <c r="W38" s="28">
        <f t="shared" si="15"/>
        <v>486571000</v>
      </c>
      <c r="X38" s="24">
        <v>0</v>
      </c>
      <c r="Y38" s="25">
        <v>22926000</v>
      </c>
      <c r="Z38" s="25">
        <v>21395030</v>
      </c>
      <c r="AA38" s="28">
        <f t="shared" si="16"/>
        <v>44321030</v>
      </c>
      <c r="AB38" s="31">
        <f t="shared" si="17"/>
        <v>442249970</v>
      </c>
      <c r="AC38" s="101">
        <f>'Historical Sales'!Q8</f>
        <v>408759027</v>
      </c>
      <c r="AD38" s="36">
        <f t="shared" si="20"/>
        <v>4.4839858974448414E-2</v>
      </c>
      <c r="AE38" s="33">
        <v>3.3799999999999997E-2</v>
      </c>
      <c r="AF38" s="34">
        <f t="shared" si="19"/>
        <v>1.1039858974448417E-2</v>
      </c>
    </row>
    <row r="39" spans="1:32" x14ac:dyDescent="0.2">
      <c r="A39" s="51">
        <v>45748</v>
      </c>
      <c r="B39" s="51">
        <v>45809</v>
      </c>
      <c r="C39" s="9">
        <v>5166295.41</v>
      </c>
      <c r="D39" s="10">
        <v>96647.53</v>
      </c>
      <c r="E39" s="10">
        <v>2538611.89</v>
      </c>
      <c r="F39" s="10">
        <v>0</v>
      </c>
      <c r="G39" s="10">
        <v>0</v>
      </c>
      <c r="H39" s="10">
        <v>0</v>
      </c>
      <c r="I39" s="16">
        <f t="shared" si="11"/>
        <v>7801554.8300000001</v>
      </c>
      <c r="J39" s="9">
        <v>0</v>
      </c>
      <c r="K39" s="10">
        <v>8191897</v>
      </c>
      <c r="L39" s="10">
        <v>0</v>
      </c>
      <c r="M39" s="16">
        <f t="shared" si="12"/>
        <v>8191897</v>
      </c>
      <c r="N39" s="11">
        <v>1000169</v>
      </c>
      <c r="O39" s="37">
        <f t="shared" si="13"/>
        <v>14993282.83</v>
      </c>
      <c r="P39" s="11">
        <v>-15281.219514999539</v>
      </c>
      <c r="Q39" s="103">
        <f>'4. Pg 4'!N34</f>
        <v>179079</v>
      </c>
      <c r="R39" s="37">
        <f t="shared" si="14"/>
        <v>14798922.610485001</v>
      </c>
      <c r="S39" s="11">
        <v>584116.8399999995</v>
      </c>
      <c r="T39" s="37">
        <f t="shared" si="10"/>
        <v>15383039.450485</v>
      </c>
      <c r="U39" s="24">
        <v>222436000</v>
      </c>
      <c r="V39" s="25">
        <v>215967000</v>
      </c>
      <c r="W39" s="28">
        <f t="shared" si="15"/>
        <v>438403000</v>
      </c>
      <c r="X39" s="24">
        <v>0</v>
      </c>
      <c r="Y39" s="25">
        <v>25077000</v>
      </c>
      <c r="Z39" s="25">
        <v>19190151</v>
      </c>
      <c r="AA39" s="28">
        <f t="shared" si="16"/>
        <v>44267151</v>
      </c>
      <c r="AB39" s="31">
        <f t="shared" si="17"/>
        <v>394135849</v>
      </c>
      <c r="AC39" s="101">
        <f>'Historical Sales'!Q9</f>
        <v>441682780.33333331</v>
      </c>
      <c r="AD39" s="36">
        <f t="shared" si="20"/>
        <v>3.4828252618034107E-2</v>
      </c>
      <c r="AE39" s="33">
        <v>3.3799999999999997E-2</v>
      </c>
      <c r="AF39" s="34">
        <f t="shared" si="19"/>
        <v>1.0282526180341103E-3</v>
      </c>
    </row>
    <row r="40" spans="1:32" x14ac:dyDescent="0.2">
      <c r="A40" s="51">
        <v>45778</v>
      </c>
      <c r="B40" s="51">
        <v>45839</v>
      </c>
      <c r="C40" s="9">
        <v>1362557.52</v>
      </c>
      <c r="D40" s="10">
        <v>160652.59</v>
      </c>
      <c r="E40" s="10">
        <v>2950457.55</v>
      </c>
      <c r="F40" s="10">
        <v>0</v>
      </c>
      <c r="G40" s="10">
        <v>0</v>
      </c>
      <c r="H40" s="10">
        <v>0</v>
      </c>
      <c r="I40" s="16">
        <f t="shared" si="11"/>
        <v>4473667.66</v>
      </c>
      <c r="J40" s="9">
        <v>0</v>
      </c>
      <c r="K40" s="10">
        <v>11327156</v>
      </c>
      <c r="L40" s="10">
        <v>0</v>
      </c>
      <c r="M40" s="16">
        <f t="shared" si="12"/>
        <v>11327156</v>
      </c>
      <c r="N40" s="11">
        <v>931449</v>
      </c>
      <c r="O40" s="37">
        <f t="shared" si="13"/>
        <v>14869374.66</v>
      </c>
      <c r="P40" s="11">
        <v>-258432.84999999963</v>
      </c>
      <c r="Q40" s="103">
        <f>'4. Pg 4'!N35</f>
        <v>-135410</v>
      </c>
      <c r="R40" s="37">
        <f t="shared" si="14"/>
        <v>14746351.810000001</v>
      </c>
      <c r="S40" s="11">
        <v>-770661.8</v>
      </c>
      <c r="T40" s="37">
        <f t="shared" si="10"/>
        <v>13975690.01</v>
      </c>
      <c r="U40" s="24">
        <v>121032000</v>
      </c>
      <c r="V40" s="25">
        <v>299205000</v>
      </c>
      <c r="W40" s="28">
        <f t="shared" si="15"/>
        <v>420237000</v>
      </c>
      <c r="X40" s="24">
        <v>0</v>
      </c>
      <c r="Y40" s="25">
        <v>26745000</v>
      </c>
      <c r="Z40" s="25">
        <v>21316836</v>
      </c>
      <c r="AA40" s="28">
        <f t="shared" si="16"/>
        <v>48061836</v>
      </c>
      <c r="AB40" s="31">
        <f t="shared" si="17"/>
        <v>372175164</v>
      </c>
      <c r="AC40" s="101">
        <f>'Historical Sales'!Q10</f>
        <v>478427561</v>
      </c>
      <c r="AD40" s="36">
        <f t="shared" si="20"/>
        <v>2.9211715940420078E-2</v>
      </c>
      <c r="AE40" s="33">
        <v>3.3799999999999997E-2</v>
      </c>
      <c r="AF40" s="34">
        <f t="shared" si="19"/>
        <v>-4.5882840595799189E-3</v>
      </c>
    </row>
    <row r="41" spans="1:32" x14ac:dyDescent="0.2">
      <c r="A41" s="51">
        <v>45809</v>
      </c>
      <c r="B41" s="51">
        <v>45870</v>
      </c>
      <c r="C41" s="9">
        <v>9601209.5500000007</v>
      </c>
      <c r="D41" s="10">
        <v>1026257.44</v>
      </c>
      <c r="E41" s="10">
        <v>4199683.7</v>
      </c>
      <c r="F41" s="10">
        <v>0</v>
      </c>
      <c r="G41" s="10">
        <v>0</v>
      </c>
      <c r="H41" s="10">
        <v>0</v>
      </c>
      <c r="I41" s="16">
        <f t="shared" si="11"/>
        <v>14827150.690000001</v>
      </c>
      <c r="J41" s="9">
        <v>0</v>
      </c>
      <c r="K41" s="10">
        <v>10322046</v>
      </c>
      <c r="L41" s="10">
        <v>0</v>
      </c>
      <c r="M41" s="16">
        <f t="shared" si="12"/>
        <v>10322046</v>
      </c>
      <c r="N41" s="11">
        <v>4577542</v>
      </c>
      <c r="O41" s="37">
        <f t="shared" si="13"/>
        <v>20571654.690000001</v>
      </c>
      <c r="P41" s="11">
        <v>-2104483.2800000012</v>
      </c>
      <c r="Q41" s="103">
        <f>'4. Pg 4'!N36</f>
        <v>-58458</v>
      </c>
      <c r="R41" s="37">
        <f t="shared" si="14"/>
        <v>18525629.41</v>
      </c>
      <c r="S41" s="11">
        <v>1772570.5700000005</v>
      </c>
      <c r="T41" s="37">
        <f t="shared" si="10"/>
        <v>20298199.98</v>
      </c>
      <c r="U41" s="24">
        <v>293362000</v>
      </c>
      <c r="V41" s="25">
        <v>255678000</v>
      </c>
      <c r="W41" s="28">
        <f t="shared" si="15"/>
        <v>549040000</v>
      </c>
      <c r="X41" s="24">
        <v>0</v>
      </c>
      <c r="Y41" s="25">
        <v>90341000</v>
      </c>
      <c r="Z41" s="25">
        <v>17370804</v>
      </c>
      <c r="AA41" s="28">
        <f t="shared" si="16"/>
        <v>107711804</v>
      </c>
      <c r="AB41" s="31">
        <f t="shared" si="17"/>
        <v>441328196</v>
      </c>
      <c r="AC41" s="101">
        <f>'Historical Sales'!Q11</f>
        <v>466513475</v>
      </c>
      <c r="AD41" s="36">
        <f t="shared" si="20"/>
        <v>4.3510425888555526E-2</v>
      </c>
      <c r="AE41" s="33">
        <v>3.3799999999999997E-2</v>
      </c>
      <c r="AF41" s="34">
        <f t="shared" si="19"/>
        <v>9.7104258885555295E-3</v>
      </c>
    </row>
    <row r="42" spans="1:32" x14ac:dyDescent="0.2">
      <c r="A42" s="51">
        <v>45839</v>
      </c>
      <c r="B42" s="51">
        <v>45901</v>
      </c>
      <c r="C42" s="9">
        <v>9639698.9399999995</v>
      </c>
      <c r="D42" s="10">
        <v>310596.71999999997</v>
      </c>
      <c r="E42" s="10">
        <v>5005996.97</v>
      </c>
      <c r="F42" s="10">
        <v>0</v>
      </c>
      <c r="G42" s="10">
        <v>0</v>
      </c>
      <c r="H42" s="10">
        <v>0</v>
      </c>
      <c r="I42" s="16">
        <f t="shared" si="11"/>
        <v>14956292.629999999</v>
      </c>
      <c r="J42" s="9">
        <v>0</v>
      </c>
      <c r="K42" s="10">
        <v>10472232.41</v>
      </c>
      <c r="L42" s="10">
        <v>0</v>
      </c>
      <c r="M42" s="16">
        <f t="shared" si="12"/>
        <v>10472232.41</v>
      </c>
      <c r="N42" s="11">
        <v>3555853.0819999999</v>
      </c>
      <c r="O42" s="37">
        <f t="shared" si="13"/>
        <v>21872671.958000001</v>
      </c>
      <c r="P42" s="11">
        <v>-164316.07600000128</v>
      </c>
      <c r="Q42" s="103">
        <f>'4. Pg 4'!N37</f>
        <v>-23703</v>
      </c>
      <c r="R42" s="37">
        <f t="shared" si="14"/>
        <v>21732058.881999999</v>
      </c>
      <c r="S42" s="11">
        <v>1457841.25</v>
      </c>
      <c r="T42" s="37">
        <f t="shared" si="10"/>
        <v>23189900.131999999</v>
      </c>
      <c r="U42" s="24">
        <v>410518000</v>
      </c>
      <c r="V42" s="25">
        <v>162349000</v>
      </c>
      <c r="W42" s="28">
        <f t="shared" si="15"/>
        <v>572867000</v>
      </c>
      <c r="X42" s="24">
        <v>0</v>
      </c>
      <c r="Y42" s="25">
        <v>45144000</v>
      </c>
      <c r="Z42" s="25">
        <v>22962393</v>
      </c>
      <c r="AA42" s="28">
        <f t="shared" si="16"/>
        <v>68106393</v>
      </c>
      <c r="AB42" s="31">
        <f t="shared" si="17"/>
        <v>504760607</v>
      </c>
      <c r="AC42" s="101">
        <f>'Historical Sales'!Q12</f>
        <v>404831629</v>
      </c>
      <c r="AD42" s="36">
        <f t="shared" si="20"/>
        <v>5.7282826910740214E-2</v>
      </c>
      <c r="AE42" s="33">
        <v>3.3799999999999997E-2</v>
      </c>
      <c r="AF42" s="34">
        <f t="shared" si="19"/>
        <v>2.3482826910740218E-2</v>
      </c>
    </row>
    <row r="43" spans="1:32" x14ac:dyDescent="0.2">
      <c r="A43" s="51">
        <v>45870</v>
      </c>
      <c r="B43" s="51">
        <v>45931</v>
      </c>
      <c r="C43" s="9">
        <v>7211243.7999999998</v>
      </c>
      <c r="D43" s="10">
        <v>229206.49</v>
      </c>
      <c r="E43" s="10">
        <v>4478586.49</v>
      </c>
      <c r="F43" s="10">
        <v>0</v>
      </c>
      <c r="G43" s="10">
        <v>0</v>
      </c>
      <c r="H43" s="10">
        <v>0</v>
      </c>
      <c r="I43" s="16">
        <f t="shared" si="11"/>
        <v>11919036.780000001</v>
      </c>
      <c r="J43" s="9">
        <v>0</v>
      </c>
      <c r="K43" s="10">
        <v>5494884</v>
      </c>
      <c r="L43" s="10">
        <v>0</v>
      </c>
      <c r="M43" s="16">
        <f t="shared" si="12"/>
        <v>5494884</v>
      </c>
      <c r="N43" s="11">
        <v>2117358</v>
      </c>
      <c r="O43" s="37">
        <f t="shared" si="13"/>
        <v>15296562.780000001</v>
      </c>
      <c r="P43" s="11">
        <v>-2691105.2349900007</v>
      </c>
      <c r="Q43" s="103">
        <f>'4. Pg 4'!N38</f>
        <v>-99778</v>
      </c>
      <c r="R43" s="37">
        <f t="shared" si="14"/>
        <v>12705235.54501</v>
      </c>
      <c r="S43" s="11">
        <v>467096.12</v>
      </c>
      <c r="T43" s="37">
        <f t="shared" si="10"/>
        <v>13172331.66501</v>
      </c>
      <c r="U43" s="24">
        <v>350400000</v>
      </c>
      <c r="V43" s="25">
        <v>169471000</v>
      </c>
      <c r="W43" s="28">
        <f t="shared" si="15"/>
        <v>519871000</v>
      </c>
      <c r="X43" s="24">
        <v>0</v>
      </c>
      <c r="Y43" s="25">
        <v>61334000</v>
      </c>
      <c r="Z43" s="25">
        <v>21463515</v>
      </c>
      <c r="AA43" s="28">
        <f t="shared" si="16"/>
        <v>82797515</v>
      </c>
      <c r="AB43" s="31">
        <f t="shared" si="17"/>
        <v>437073485</v>
      </c>
      <c r="AC43" s="101">
        <f>'Historical Sales'!Q13</f>
        <v>396880629</v>
      </c>
      <c r="AD43" s="36">
        <f t="shared" si="20"/>
        <v>3.3189656290859182E-2</v>
      </c>
      <c r="AE43" s="33">
        <v>3.3799999999999997E-2</v>
      </c>
      <c r="AF43" s="34">
        <f t="shared" si="19"/>
        <v>-6.1034370914081482E-4</v>
      </c>
    </row>
    <row r="44" spans="1:32" x14ac:dyDescent="0.2">
      <c r="A44" s="51">
        <v>45901</v>
      </c>
      <c r="B44" s="51">
        <v>45962</v>
      </c>
      <c r="C44" s="9">
        <v>2473641.0099999998</v>
      </c>
      <c r="D44" s="10">
        <v>191928.15</v>
      </c>
      <c r="E44" s="10">
        <v>2137023.79</v>
      </c>
      <c r="F44" s="10">
        <v>0</v>
      </c>
      <c r="G44" s="10">
        <v>0</v>
      </c>
      <c r="H44" s="10">
        <v>0</v>
      </c>
      <c r="I44" s="16">
        <f t="shared" si="11"/>
        <v>4802592.9499999993</v>
      </c>
      <c r="J44" s="9">
        <v>0</v>
      </c>
      <c r="K44" s="10">
        <v>11149256</v>
      </c>
      <c r="L44" s="10">
        <v>0</v>
      </c>
      <c r="M44" s="16">
        <f t="shared" si="12"/>
        <v>11149256</v>
      </c>
      <c r="N44" s="11">
        <v>1018688</v>
      </c>
      <c r="O44" s="37">
        <f t="shared" si="13"/>
        <v>14933160.949999999</v>
      </c>
      <c r="P44" s="11">
        <v>-366791.87999999896</v>
      </c>
      <c r="Q44" s="103">
        <f>'4. Pg 4'!N39</f>
        <v>8587</v>
      </c>
      <c r="R44" s="37">
        <f t="shared" si="14"/>
        <v>14557782.07</v>
      </c>
      <c r="S44" s="11">
        <v>734418.41999999993</v>
      </c>
      <c r="T44" s="37">
        <f t="shared" si="10"/>
        <v>15292200.49</v>
      </c>
      <c r="U44" s="24">
        <v>135750000</v>
      </c>
      <c r="V44" s="25">
        <v>276022000</v>
      </c>
      <c r="W44" s="28">
        <f t="shared" si="15"/>
        <v>411772000</v>
      </c>
      <c r="X44" s="24">
        <v>0</v>
      </c>
      <c r="Y44" s="25">
        <v>32495000</v>
      </c>
      <c r="Z44" s="25">
        <v>16819593</v>
      </c>
      <c r="AA44" s="28">
        <f t="shared" si="16"/>
        <v>49314593</v>
      </c>
      <c r="AB44" s="31">
        <f t="shared" si="17"/>
        <v>362457407</v>
      </c>
      <c r="AC44" s="101">
        <f>'Historical Sales'!Q14</f>
        <v>430333213</v>
      </c>
      <c r="AD44" s="36">
        <f t="shared" si="20"/>
        <v>3.5535719828346135E-2</v>
      </c>
      <c r="AE44" s="33">
        <v>3.3799999999999997E-2</v>
      </c>
      <c r="AF44" s="34">
        <f t="shared" si="19"/>
        <v>1.7357198283461384E-3</v>
      </c>
    </row>
    <row r="45" spans="1:32" x14ac:dyDescent="0.2">
      <c r="A45" s="51">
        <v>45931</v>
      </c>
      <c r="B45" s="51">
        <v>45992</v>
      </c>
      <c r="C45" s="9">
        <v>9776000.9299999997</v>
      </c>
      <c r="D45" s="10">
        <v>299158.57000000007</v>
      </c>
      <c r="E45" s="10">
        <v>618586.98</v>
      </c>
      <c r="F45" s="10">
        <v>0</v>
      </c>
      <c r="G45" s="10">
        <v>0</v>
      </c>
      <c r="H45" s="10">
        <v>0</v>
      </c>
      <c r="I45" s="16">
        <f t="shared" si="11"/>
        <v>10693746.48</v>
      </c>
      <c r="J45" s="9">
        <v>0</v>
      </c>
      <c r="K45" s="10">
        <v>10013201.297</v>
      </c>
      <c r="L45" s="10">
        <v>0</v>
      </c>
      <c r="M45" s="16">
        <f t="shared" si="12"/>
        <v>10013201.297</v>
      </c>
      <c r="N45" s="11">
        <v>2824145.1169999996</v>
      </c>
      <c r="O45" s="37">
        <f t="shared" si="13"/>
        <v>17882802.660000004</v>
      </c>
      <c r="P45" s="11">
        <v>-1697616.4776785076</v>
      </c>
      <c r="Q45" s="103">
        <f>'4. Pg 4'!N40</f>
        <v>27384</v>
      </c>
      <c r="R45" s="37">
        <f t="shared" si="14"/>
        <v>16157802.182321496</v>
      </c>
      <c r="S45" s="11">
        <v>-488036.95999999979</v>
      </c>
      <c r="T45" s="37">
        <f t="shared" si="10"/>
        <v>15669765.222321497</v>
      </c>
      <c r="U45" s="24">
        <v>253108000</v>
      </c>
      <c r="V45" s="25">
        <v>207166000</v>
      </c>
      <c r="W45" s="28">
        <f t="shared" si="15"/>
        <v>460274000</v>
      </c>
      <c r="X45" s="24">
        <v>0</v>
      </c>
      <c r="Y45" s="25">
        <v>53883000</v>
      </c>
      <c r="Z45" s="25">
        <v>19852871</v>
      </c>
      <c r="AA45" s="28">
        <f t="shared" si="16"/>
        <v>73735871</v>
      </c>
      <c r="AB45" s="31">
        <f t="shared" si="17"/>
        <v>386538129</v>
      </c>
      <c r="AC45" s="101">
        <f>'Historical Sales'!Q15</f>
        <v>496200015.33333331</v>
      </c>
      <c r="AD45" s="36">
        <f t="shared" si="20"/>
        <v>3.1579533934103142E-2</v>
      </c>
      <c r="AE45" s="33">
        <v>3.3799999999999997E-2</v>
      </c>
      <c r="AF45" s="34">
        <f t="shared" si="19"/>
        <v>-2.2204660658968547E-3</v>
      </c>
    </row>
    <row r="46" spans="1:32" x14ac:dyDescent="0.2">
      <c r="A46" s="51">
        <v>45962</v>
      </c>
      <c r="B46" s="51">
        <v>46023</v>
      </c>
      <c r="C46" s="9">
        <v>8506193.7199999988</v>
      </c>
      <c r="D46" s="10">
        <v>295059.15999999992</v>
      </c>
      <c r="E46" s="10">
        <v>3778212.0999999996</v>
      </c>
      <c r="F46" s="10">
        <v>0</v>
      </c>
      <c r="G46" s="10">
        <v>0</v>
      </c>
      <c r="H46" s="10">
        <v>0</v>
      </c>
      <c r="I46" s="16">
        <f t="shared" si="11"/>
        <v>12579464.979999999</v>
      </c>
      <c r="J46" s="9">
        <v>0</v>
      </c>
      <c r="K46" s="10">
        <v>10549355</v>
      </c>
      <c r="L46" s="10">
        <v>0</v>
      </c>
      <c r="M46" s="16">
        <f t="shared" si="12"/>
        <v>10549355</v>
      </c>
      <c r="N46" s="11">
        <v>5875246.2100000009</v>
      </c>
      <c r="O46" s="37">
        <f t="shared" si="13"/>
        <v>17253573.769999996</v>
      </c>
      <c r="P46" s="11">
        <v>-2550539.322004931</v>
      </c>
      <c r="Q46" s="103">
        <f>'4. Pg 4'!N41</f>
        <v>-96437</v>
      </c>
      <c r="R46" s="37">
        <f t="shared" si="14"/>
        <v>14799471.447995065</v>
      </c>
      <c r="S46" s="11">
        <v>690056.16000000038</v>
      </c>
      <c r="T46" s="37">
        <f t="shared" si="10"/>
        <v>15489527.607995065</v>
      </c>
      <c r="U46" s="24">
        <v>338098000</v>
      </c>
      <c r="V46" s="25">
        <v>221814000</v>
      </c>
      <c r="W46" s="28">
        <f t="shared" si="15"/>
        <v>559912000</v>
      </c>
      <c r="X46" s="24">
        <v>0</v>
      </c>
      <c r="Y46" s="25">
        <v>127655000</v>
      </c>
      <c r="Z46" s="25">
        <v>22881757</v>
      </c>
      <c r="AA46" s="28">
        <f t="shared" si="16"/>
        <v>150536757</v>
      </c>
      <c r="AB46" s="31">
        <f t="shared" si="17"/>
        <v>409375243</v>
      </c>
      <c r="AC46" s="101"/>
      <c r="AD46" s="36"/>
      <c r="AE46" s="33"/>
      <c r="AF46" s="34"/>
    </row>
    <row r="47" spans="1:32" ht="13.5" thickBot="1" x14ac:dyDescent="0.25">
      <c r="A47" s="51">
        <v>45992</v>
      </c>
      <c r="B47" s="51">
        <v>46054</v>
      </c>
      <c r="C47" s="12">
        <v>7484498.2699999986</v>
      </c>
      <c r="D47" s="13">
        <v>422823.41</v>
      </c>
      <c r="E47" s="13">
        <v>5135400.88</v>
      </c>
      <c r="F47" s="13">
        <v>0</v>
      </c>
      <c r="G47" s="13">
        <v>0</v>
      </c>
      <c r="H47" s="13">
        <v>0</v>
      </c>
      <c r="I47" s="17">
        <f t="shared" si="11"/>
        <v>13042722.559999999</v>
      </c>
      <c r="J47" s="12">
        <v>0</v>
      </c>
      <c r="K47" s="13">
        <v>11195248.76</v>
      </c>
      <c r="L47" s="13">
        <v>0</v>
      </c>
      <c r="M47" s="17">
        <f t="shared" si="12"/>
        <v>11195248.76</v>
      </c>
      <c r="N47" s="14">
        <v>2073214.496</v>
      </c>
      <c r="O47" s="38">
        <f t="shared" si="13"/>
        <v>22164756.824000001</v>
      </c>
      <c r="P47" s="14">
        <v>-874632.74927384034</v>
      </c>
      <c r="Q47" s="104">
        <f>'4. Pg 4'!N42</f>
        <v>111680</v>
      </c>
      <c r="R47" s="38">
        <f t="shared" si="14"/>
        <v>21178444.074726161</v>
      </c>
      <c r="S47" s="14">
        <v>63926.51999999932</v>
      </c>
      <c r="T47" s="38">
        <f t="shared" si="10"/>
        <v>21242370.59472616</v>
      </c>
      <c r="U47" s="26">
        <v>344193000</v>
      </c>
      <c r="V47" s="27">
        <v>239435000</v>
      </c>
      <c r="W47" s="29">
        <f t="shared" si="15"/>
        <v>583628000</v>
      </c>
      <c r="X47" s="26">
        <v>0</v>
      </c>
      <c r="Y47" s="27">
        <v>46709000</v>
      </c>
      <c r="Z47" s="27">
        <v>29924225</v>
      </c>
      <c r="AA47" s="29">
        <f t="shared" si="16"/>
        <v>76633225</v>
      </c>
      <c r="AB47" s="32">
        <f t="shared" si="17"/>
        <v>506994775</v>
      </c>
      <c r="AC47" s="102"/>
      <c r="AD47" s="39"/>
      <c r="AE47" s="40"/>
      <c r="AF47" s="35"/>
    </row>
    <row r="48" spans="1:32" x14ac:dyDescent="0.2"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</row>
    <row r="49" spans="17:32" x14ac:dyDescent="0.2"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</row>
    <row r="50" spans="17:32" x14ac:dyDescent="0.2"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</row>
    <row r="51" spans="17:32" x14ac:dyDescent="0.2">
      <c r="Q51" s="99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</row>
    <row r="52" spans="17:32" x14ac:dyDescent="0.2"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</row>
    <row r="53" spans="17:32" x14ac:dyDescent="0.2"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</row>
  </sheetData>
  <mergeCells count="8">
    <mergeCell ref="C4:T4"/>
    <mergeCell ref="AD4:AF4"/>
    <mergeCell ref="C5:I5"/>
    <mergeCell ref="J5:M5"/>
    <mergeCell ref="U5:W5"/>
    <mergeCell ref="X5:AA5"/>
    <mergeCell ref="AD5:AF5"/>
    <mergeCell ref="U4:AC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0F3E4-0962-4924-9A4A-9E1369AF6181}">
  <dimension ref="A3:W48"/>
  <sheetViews>
    <sheetView zoomScale="80" zoomScaleNormal="80" workbookViewId="0">
      <selection activeCell="L44" sqref="L44"/>
    </sheetView>
  </sheetViews>
  <sheetFormatPr defaultRowHeight="12.75" x14ac:dyDescent="0.2"/>
  <cols>
    <col min="1" max="3" width="9.140625" style="1"/>
    <col min="4" max="4" width="14.28515625" style="1" customWidth="1"/>
    <col min="5" max="5" width="13.85546875" style="1" bestFit="1" customWidth="1"/>
    <col min="6" max="6" width="13.42578125" style="1" bestFit="1" customWidth="1"/>
    <col min="7" max="7" width="12" style="1" bestFit="1" customWidth="1"/>
    <col min="8" max="8" width="13.42578125" style="1" bestFit="1" customWidth="1"/>
    <col min="9" max="9" width="19.42578125" style="1" bestFit="1" customWidth="1"/>
    <col min="10" max="10" width="13" style="1" bestFit="1" customWidth="1"/>
    <col min="11" max="12" width="13.42578125" style="1" bestFit="1" customWidth="1"/>
    <col min="13" max="13" width="13.7109375" style="1" bestFit="1" customWidth="1"/>
    <col min="14" max="14" width="13" style="1" bestFit="1" customWidth="1"/>
    <col min="15" max="15" width="10.7109375" style="1" bestFit="1" customWidth="1"/>
    <col min="16" max="16" width="9.140625" style="1"/>
    <col min="17" max="17" width="13.140625" style="1" customWidth="1"/>
    <col min="18" max="16384" width="9.140625" style="1"/>
  </cols>
  <sheetData>
    <row r="3" spans="1:23" ht="38.25" x14ac:dyDescent="0.2">
      <c r="A3" s="2" t="s">
        <v>0</v>
      </c>
      <c r="B3" s="2" t="s">
        <v>52</v>
      </c>
      <c r="C3" s="2" t="s">
        <v>45</v>
      </c>
      <c r="D3" s="2" t="s">
        <v>46</v>
      </c>
      <c r="E3" s="2" t="s">
        <v>47</v>
      </c>
      <c r="F3" s="2" t="s">
        <v>48</v>
      </c>
      <c r="G3" s="2" t="s">
        <v>54</v>
      </c>
      <c r="H3" s="2" t="s">
        <v>55</v>
      </c>
      <c r="I3" s="2" t="s">
        <v>49</v>
      </c>
      <c r="J3" s="2" t="s">
        <v>50</v>
      </c>
      <c r="K3" s="2" t="s">
        <v>57</v>
      </c>
      <c r="L3" s="2" t="s">
        <v>53</v>
      </c>
      <c r="M3" s="2" t="s">
        <v>56</v>
      </c>
      <c r="N3" s="2" t="s">
        <v>51</v>
      </c>
      <c r="O3" s="2"/>
      <c r="P3" s="2"/>
      <c r="Q3" s="2"/>
      <c r="R3" s="2"/>
      <c r="S3" s="2"/>
      <c r="T3" s="2"/>
      <c r="U3" s="2"/>
      <c r="V3" s="2"/>
      <c r="W3" s="2"/>
    </row>
    <row r="4" spans="1:23" s="54" customFormat="1" x14ac:dyDescent="0.25">
      <c r="A4" s="2"/>
      <c r="B4" s="4"/>
      <c r="C4" s="53"/>
      <c r="D4" s="53"/>
      <c r="E4" s="4"/>
      <c r="F4" s="4"/>
      <c r="G4" s="53" t="s">
        <v>58</v>
      </c>
      <c r="H4" s="53"/>
      <c r="I4" s="53"/>
      <c r="J4" s="53"/>
    </row>
    <row r="5" spans="1:23" s="54" customFormat="1" x14ac:dyDescent="0.2">
      <c r="A5" s="51">
        <v>44805</v>
      </c>
      <c r="B5" s="51">
        <v>44866</v>
      </c>
      <c r="C5" s="50">
        <f>ROUND('4. Rate Calc'!AF8,5)</f>
        <v>4.1300000000000003E-2</v>
      </c>
      <c r="D5" s="23">
        <v>389522664</v>
      </c>
      <c r="E5" s="55">
        <f t="shared" ref="E5:E7" si="0">ROUND(C5*D5,0)</f>
        <v>16087286</v>
      </c>
      <c r="F5" s="56">
        <v>404267144</v>
      </c>
      <c r="G5" s="23">
        <v>5579291</v>
      </c>
      <c r="H5" s="58">
        <f t="shared" ref="H5:H7" si="1">F5-G5</f>
        <v>398687853</v>
      </c>
      <c r="I5" s="55">
        <f t="shared" ref="I5:I7" si="2">C5*H5</f>
        <v>16465808.328900002</v>
      </c>
      <c r="J5" s="59">
        <f t="shared" ref="J5:J7" si="3">E5-I5</f>
        <v>-378522.32890000194</v>
      </c>
      <c r="K5" s="23">
        <v>440706130</v>
      </c>
      <c r="L5" s="23">
        <v>434496172</v>
      </c>
      <c r="M5" s="62">
        <f t="shared" ref="M5:M7" si="4">ROUND(K5/L5,5)</f>
        <v>1.0142899999999999</v>
      </c>
      <c r="N5" s="59">
        <f t="shared" ref="N5:N7" si="5">ROUND(J5*M5,0)</f>
        <v>-383931</v>
      </c>
    </row>
    <row r="6" spans="1:23" s="54" customFormat="1" x14ac:dyDescent="0.2">
      <c r="A6" s="51">
        <v>44835</v>
      </c>
      <c r="B6" s="51">
        <v>44896</v>
      </c>
      <c r="C6" s="50">
        <f>ROUND('4. Rate Calc'!AF9,5)</f>
        <v>4.1939999999999998E-2</v>
      </c>
      <c r="D6" s="23">
        <v>495513800</v>
      </c>
      <c r="E6" s="55">
        <f t="shared" si="0"/>
        <v>20781849</v>
      </c>
      <c r="F6" s="56">
        <v>405052299</v>
      </c>
      <c r="G6" s="23">
        <v>5389072</v>
      </c>
      <c r="H6" s="58">
        <f t="shared" si="1"/>
        <v>399663227</v>
      </c>
      <c r="I6" s="55">
        <f t="shared" si="2"/>
        <v>16761875.740379998</v>
      </c>
      <c r="J6" s="59">
        <f t="shared" si="3"/>
        <v>4019973.2596200015</v>
      </c>
      <c r="K6" s="23">
        <v>530871212</v>
      </c>
      <c r="L6" s="23">
        <v>523234196</v>
      </c>
      <c r="M6" s="62">
        <f t="shared" si="4"/>
        <v>1.0145999999999999</v>
      </c>
      <c r="N6" s="59">
        <f t="shared" si="5"/>
        <v>4078665</v>
      </c>
    </row>
    <row r="7" spans="1:23" s="54" customFormat="1" x14ac:dyDescent="0.2">
      <c r="A7" s="51">
        <v>44866</v>
      </c>
      <c r="B7" s="51">
        <v>44927</v>
      </c>
      <c r="C7" s="50">
        <f>ROUND('4. Rate Calc'!AF10,5)</f>
        <v>3.7830000000000003E-2</v>
      </c>
      <c r="D7" s="23">
        <v>550260592</v>
      </c>
      <c r="E7" s="55">
        <f t="shared" si="0"/>
        <v>20816358</v>
      </c>
      <c r="F7" s="61">
        <f>K5</f>
        <v>440706130</v>
      </c>
      <c r="G7" s="23">
        <v>6209958</v>
      </c>
      <c r="H7" s="58">
        <f t="shared" si="1"/>
        <v>434496172</v>
      </c>
      <c r="I7" s="55">
        <f t="shared" si="2"/>
        <v>16436990.186760001</v>
      </c>
      <c r="J7" s="59">
        <f t="shared" si="3"/>
        <v>4379367.8132399991</v>
      </c>
      <c r="K7" s="23">
        <v>499846850</v>
      </c>
      <c r="L7" s="23">
        <v>492610248</v>
      </c>
      <c r="M7" s="62">
        <f t="shared" si="4"/>
        <v>1.0146900000000001</v>
      </c>
      <c r="N7" s="59">
        <f t="shared" si="5"/>
        <v>4443701</v>
      </c>
    </row>
    <row r="8" spans="1:23" x14ac:dyDescent="0.2">
      <c r="A8" s="51">
        <v>44896</v>
      </c>
      <c r="B8" s="51">
        <v>44958</v>
      </c>
      <c r="C8" s="50">
        <f>ROUND('4. Rate Calc'!AF11,5)</f>
        <v>5.1130000000000002E-2</v>
      </c>
      <c r="D8" s="23">
        <v>461611640</v>
      </c>
      <c r="E8" s="55">
        <f>ROUND(C8*D8,0)</f>
        <v>23602203</v>
      </c>
      <c r="F8" s="61">
        <f>K6</f>
        <v>530871212</v>
      </c>
      <c r="G8" s="23">
        <v>7637016</v>
      </c>
      <c r="H8" s="58">
        <f>F8-G8</f>
        <v>523234196</v>
      </c>
      <c r="I8" s="55">
        <f>C8*H8</f>
        <v>26752964.44148</v>
      </c>
      <c r="J8" s="59">
        <f>E8-I8</f>
        <v>-3150761.4414799996</v>
      </c>
      <c r="K8" s="23">
        <v>421121053</v>
      </c>
      <c r="L8" s="23">
        <v>415109658</v>
      </c>
      <c r="M8" s="62">
        <f>ROUND(K8/L8,5)</f>
        <v>1.01448</v>
      </c>
      <c r="N8" s="59">
        <f>ROUND(J8*M8,0)</f>
        <v>-3196384</v>
      </c>
    </row>
    <row r="9" spans="1:23" x14ac:dyDescent="0.2">
      <c r="A9" s="51">
        <v>44927</v>
      </c>
      <c r="B9" s="51">
        <v>44986</v>
      </c>
      <c r="C9" s="50">
        <f>ROUND('4. Rate Calc'!AF12,5)</f>
        <v>-1.8880000000000001E-2</v>
      </c>
      <c r="D9" s="23">
        <v>431163653</v>
      </c>
      <c r="E9" s="55">
        <f>ROUND(C9*D9,0)</f>
        <v>-8140370</v>
      </c>
      <c r="F9" s="61">
        <f>K7</f>
        <v>499846850</v>
      </c>
      <c r="G9" s="23">
        <v>7236602</v>
      </c>
      <c r="H9" s="58">
        <f t="shared" ref="H9:H42" si="6">F9-G9</f>
        <v>492610248</v>
      </c>
      <c r="I9" s="55">
        <f t="shared" ref="I9:I42" si="7">C9*H9</f>
        <v>-9300481.4822400007</v>
      </c>
      <c r="J9" s="59">
        <f t="shared" ref="J9:J42" si="8">E9-I9</f>
        <v>1160111.4822400007</v>
      </c>
      <c r="K9" s="23">
        <v>451733027</v>
      </c>
      <c r="L9" s="23">
        <v>445486178</v>
      </c>
      <c r="M9" s="62">
        <f t="shared" ref="M9:M42" si="9">ROUND(K9/L9,5)</f>
        <v>1.0140199999999999</v>
      </c>
      <c r="N9" s="59">
        <f t="shared" ref="N9:N42" si="10">ROUND(J9*M9,0)</f>
        <v>1176376</v>
      </c>
    </row>
    <row r="10" spans="1:23" x14ac:dyDescent="0.2">
      <c r="A10" s="51">
        <v>44958</v>
      </c>
      <c r="B10" s="51">
        <v>45017</v>
      </c>
      <c r="C10" s="50">
        <f>ROUND('4. Rate Calc'!AF13,5)</f>
        <v>1.6830000000000001E-2</v>
      </c>
      <c r="D10" s="23">
        <v>418054513</v>
      </c>
      <c r="E10" s="55">
        <f t="shared" ref="E10:E42" si="11">ROUND(C10*D10,0)</f>
        <v>7035857</v>
      </c>
      <c r="F10" s="61">
        <f>K8</f>
        <v>421121053</v>
      </c>
      <c r="G10" s="23">
        <v>6011395</v>
      </c>
      <c r="H10" s="58">
        <f t="shared" si="6"/>
        <v>415109658</v>
      </c>
      <c r="I10" s="55">
        <f t="shared" si="7"/>
        <v>6986295.5441400008</v>
      </c>
      <c r="J10" s="59">
        <f t="shared" si="8"/>
        <v>49561.455859999172</v>
      </c>
      <c r="K10" s="23">
        <v>388944272</v>
      </c>
      <c r="L10" s="23">
        <v>383942498</v>
      </c>
      <c r="M10" s="62">
        <f t="shared" si="9"/>
        <v>1.0130300000000001</v>
      </c>
      <c r="N10" s="59">
        <f t="shared" si="10"/>
        <v>50207</v>
      </c>
    </row>
    <row r="11" spans="1:23" x14ac:dyDescent="0.2">
      <c r="A11" s="51">
        <v>44986</v>
      </c>
      <c r="B11" s="51">
        <v>45047</v>
      </c>
      <c r="C11" s="50">
        <f>ROUND('4. Rate Calc'!AF14,5)</f>
        <v>2.2899999999999999E-3</v>
      </c>
      <c r="D11" s="23">
        <v>392087302</v>
      </c>
      <c r="E11" s="55">
        <f t="shared" si="11"/>
        <v>897880</v>
      </c>
      <c r="F11" s="61">
        <f t="shared" ref="F11:F18" si="12">K9</f>
        <v>451733027</v>
      </c>
      <c r="G11" s="23">
        <v>6246849</v>
      </c>
      <c r="H11" s="58">
        <f t="shared" si="6"/>
        <v>445486178</v>
      </c>
      <c r="I11" s="55">
        <f t="shared" si="7"/>
        <v>1020163.34762</v>
      </c>
      <c r="J11" s="59">
        <f t="shared" si="8"/>
        <v>-122283.34762000002</v>
      </c>
      <c r="K11" s="23">
        <v>398514364</v>
      </c>
      <c r="L11" s="23">
        <v>393305168</v>
      </c>
      <c r="M11" s="62">
        <f t="shared" si="9"/>
        <v>1.0132399999999999</v>
      </c>
      <c r="N11" s="59">
        <f t="shared" si="10"/>
        <v>-123902</v>
      </c>
      <c r="O11" s="57"/>
    </row>
    <row r="12" spans="1:23" x14ac:dyDescent="0.2">
      <c r="A12" s="51">
        <v>45017</v>
      </c>
      <c r="B12" s="51">
        <v>45078</v>
      </c>
      <c r="C12" s="50">
        <f>ROUND('4. Rate Calc'!AF15,5)</f>
        <v>8.6E-3</v>
      </c>
      <c r="D12" s="23">
        <v>399620595</v>
      </c>
      <c r="E12" s="55">
        <f t="shared" si="11"/>
        <v>3436737</v>
      </c>
      <c r="F12" s="61">
        <f t="shared" si="12"/>
        <v>388944272</v>
      </c>
      <c r="G12" s="23">
        <v>5001774</v>
      </c>
      <c r="H12" s="58">
        <f t="shared" si="6"/>
        <v>383942498</v>
      </c>
      <c r="I12" s="55">
        <f t="shared" si="7"/>
        <v>3301905.4827999999</v>
      </c>
      <c r="J12" s="59">
        <f t="shared" si="8"/>
        <v>134831.51720000012</v>
      </c>
      <c r="K12" s="23">
        <v>417684971</v>
      </c>
      <c r="L12" s="23">
        <v>412226079</v>
      </c>
      <c r="M12" s="62">
        <f t="shared" si="9"/>
        <v>1.0132399999999999</v>
      </c>
      <c r="N12" s="59">
        <f t="shared" si="10"/>
        <v>136617</v>
      </c>
    </row>
    <row r="13" spans="1:23" x14ac:dyDescent="0.2">
      <c r="A13" s="51">
        <v>45047</v>
      </c>
      <c r="B13" s="51">
        <v>45108</v>
      </c>
      <c r="C13" s="50">
        <f>ROUND('4. Rate Calc'!AF16,5)</f>
        <v>4.8900000000000002E-3</v>
      </c>
      <c r="D13" s="23">
        <v>431455321</v>
      </c>
      <c r="E13" s="55">
        <f t="shared" si="11"/>
        <v>2109817</v>
      </c>
      <c r="F13" s="61">
        <f t="shared" si="12"/>
        <v>398514364</v>
      </c>
      <c r="G13" s="23">
        <v>5209196</v>
      </c>
      <c r="H13" s="58">
        <f t="shared" si="6"/>
        <v>393305168</v>
      </c>
      <c r="I13" s="55">
        <f t="shared" si="7"/>
        <v>1923262.2715200002</v>
      </c>
      <c r="J13" s="59">
        <f t="shared" si="8"/>
        <v>186554.72847999982</v>
      </c>
      <c r="K13" s="23">
        <v>478933865</v>
      </c>
      <c r="L13" s="23">
        <v>472342583</v>
      </c>
      <c r="M13" s="62">
        <f t="shared" si="9"/>
        <v>1.0139499999999999</v>
      </c>
      <c r="N13" s="59">
        <f t="shared" si="10"/>
        <v>189157</v>
      </c>
    </row>
    <row r="14" spans="1:23" x14ac:dyDescent="0.2">
      <c r="A14" s="51">
        <v>45078</v>
      </c>
      <c r="B14" s="51">
        <v>45139</v>
      </c>
      <c r="C14" s="50">
        <f>ROUND('4. Rate Calc'!AF17,5)</f>
        <v>6.2500000000000003E-3</v>
      </c>
      <c r="D14" s="23">
        <v>457300706</v>
      </c>
      <c r="E14" s="55">
        <f t="shared" si="11"/>
        <v>2858129</v>
      </c>
      <c r="F14" s="61">
        <f t="shared" si="12"/>
        <v>417684971</v>
      </c>
      <c r="G14" s="23">
        <v>5458892</v>
      </c>
      <c r="H14" s="58">
        <f t="shared" si="6"/>
        <v>412226079</v>
      </c>
      <c r="I14" s="55">
        <f t="shared" si="7"/>
        <v>2576412.9937500004</v>
      </c>
      <c r="J14" s="59">
        <f t="shared" si="8"/>
        <v>281716.00624999963</v>
      </c>
      <c r="K14" s="23">
        <v>467128731</v>
      </c>
      <c r="L14" s="23">
        <v>460678769</v>
      </c>
      <c r="M14" s="63">
        <f t="shared" si="9"/>
        <v>1.014</v>
      </c>
      <c r="N14" s="59">
        <f t="shared" si="10"/>
        <v>285660</v>
      </c>
    </row>
    <row r="15" spans="1:23" x14ac:dyDescent="0.2">
      <c r="A15" s="51">
        <v>45108</v>
      </c>
      <c r="B15" s="51">
        <v>45170</v>
      </c>
      <c r="C15" s="50">
        <f>ROUND('4. Rate Calc'!AF18,5)</f>
        <v>8.7799999999999996E-3</v>
      </c>
      <c r="D15" s="23">
        <v>443924653</v>
      </c>
      <c r="E15" s="55">
        <f t="shared" si="11"/>
        <v>3897658</v>
      </c>
      <c r="F15" s="61">
        <f t="shared" si="12"/>
        <v>478933865</v>
      </c>
      <c r="G15" s="23">
        <v>6591282</v>
      </c>
      <c r="H15" s="58">
        <f t="shared" si="6"/>
        <v>472342583</v>
      </c>
      <c r="I15" s="55">
        <f t="shared" si="7"/>
        <v>4147167.8787399996</v>
      </c>
      <c r="J15" s="59">
        <f t="shared" si="8"/>
        <v>-249509.87873999961</v>
      </c>
      <c r="K15" s="23">
        <v>411034614</v>
      </c>
      <c r="L15" s="23">
        <v>405662012</v>
      </c>
      <c r="M15" s="62">
        <f t="shared" si="9"/>
        <v>1.0132399999999999</v>
      </c>
      <c r="N15" s="59">
        <f t="shared" si="10"/>
        <v>-252813</v>
      </c>
    </row>
    <row r="16" spans="1:23" x14ac:dyDescent="0.2">
      <c r="A16" s="51">
        <v>45139</v>
      </c>
      <c r="B16" s="51">
        <v>45200</v>
      </c>
      <c r="C16" s="50">
        <f>ROUND('4. Rate Calc'!AF19,5)</f>
        <v>9.7400000000000004E-3</v>
      </c>
      <c r="D16" s="23">
        <v>382542719</v>
      </c>
      <c r="E16" s="55">
        <f t="shared" si="11"/>
        <v>3725966</v>
      </c>
      <c r="F16" s="61">
        <f t="shared" si="12"/>
        <v>467128731</v>
      </c>
      <c r="G16" s="23">
        <v>6449962</v>
      </c>
      <c r="H16" s="58">
        <f t="shared" si="6"/>
        <v>460678769</v>
      </c>
      <c r="I16" s="55">
        <f t="shared" si="7"/>
        <v>4487011.2100600004</v>
      </c>
      <c r="J16" s="59">
        <f t="shared" si="8"/>
        <v>-761045.21006000042</v>
      </c>
      <c r="K16" s="23">
        <v>385659292</v>
      </c>
      <c r="L16" s="23">
        <v>380499296</v>
      </c>
      <c r="M16" s="62">
        <f t="shared" si="9"/>
        <v>1.01356</v>
      </c>
      <c r="N16" s="59">
        <f t="shared" si="10"/>
        <v>-771365</v>
      </c>
    </row>
    <row r="17" spans="1:17" x14ac:dyDescent="0.2">
      <c r="A17" s="51">
        <v>45170</v>
      </c>
      <c r="B17" s="51">
        <v>45231</v>
      </c>
      <c r="C17" s="50">
        <f>ROUND('4. Rate Calc'!AF20,5)</f>
        <v>7.45E-3</v>
      </c>
      <c r="D17" s="23">
        <v>390469701</v>
      </c>
      <c r="E17" s="55">
        <f t="shared" si="11"/>
        <v>2908999</v>
      </c>
      <c r="F17" s="61">
        <f t="shared" si="12"/>
        <v>411034614</v>
      </c>
      <c r="G17" s="23">
        <v>5372602</v>
      </c>
      <c r="H17" s="58">
        <f t="shared" si="6"/>
        <v>405662012</v>
      </c>
      <c r="I17" s="55">
        <f t="shared" si="7"/>
        <v>3022181.9893999998</v>
      </c>
      <c r="J17" s="59">
        <f t="shared" si="8"/>
        <v>-113182.98939999985</v>
      </c>
      <c r="K17" s="23">
        <v>443997586</v>
      </c>
      <c r="L17" s="23">
        <v>437927110</v>
      </c>
      <c r="M17" s="62">
        <f t="shared" si="9"/>
        <v>1.01386</v>
      </c>
      <c r="N17" s="59">
        <f t="shared" si="10"/>
        <v>-114752</v>
      </c>
    </row>
    <row r="18" spans="1:17" x14ac:dyDescent="0.2">
      <c r="A18" s="51">
        <v>45200</v>
      </c>
      <c r="B18" s="51">
        <v>45261</v>
      </c>
      <c r="C18" s="50">
        <f>ROUND('4. Rate Calc'!AF21,5)</f>
        <v>7.0200000000000002E-3</v>
      </c>
      <c r="D18" s="23">
        <v>486349190</v>
      </c>
      <c r="E18" s="55">
        <f t="shared" si="11"/>
        <v>3414171</v>
      </c>
      <c r="F18" s="61">
        <f t="shared" si="12"/>
        <v>385659292</v>
      </c>
      <c r="G18" s="23">
        <v>5159996</v>
      </c>
      <c r="H18" s="58">
        <f t="shared" si="6"/>
        <v>380499296</v>
      </c>
      <c r="I18" s="55">
        <f t="shared" si="7"/>
        <v>2671105.0579200001</v>
      </c>
      <c r="J18" s="59">
        <f t="shared" si="8"/>
        <v>743065.94207999995</v>
      </c>
      <c r="K18" s="23">
        <v>463175334</v>
      </c>
      <c r="L18" s="23">
        <v>456366124</v>
      </c>
      <c r="M18" s="62">
        <f t="shared" si="9"/>
        <v>1.01492</v>
      </c>
      <c r="N18" s="59">
        <f t="shared" si="10"/>
        <v>754152</v>
      </c>
    </row>
    <row r="19" spans="1:17" x14ac:dyDescent="0.2">
      <c r="A19" s="51">
        <v>45231</v>
      </c>
      <c r="B19" s="51">
        <v>45292</v>
      </c>
      <c r="C19" s="80">
        <f>ROUND('4. Rate Calc'!AF22,5)</f>
        <v>3.0999999999999999E-3</v>
      </c>
      <c r="D19" s="23">
        <v>546889251</v>
      </c>
      <c r="E19" s="55">
        <f t="shared" si="11"/>
        <v>1695357</v>
      </c>
      <c r="F19" s="105">
        <f>'4. Rate Calc'!AC22</f>
        <v>538992133</v>
      </c>
      <c r="G19" s="23">
        <v>6070476</v>
      </c>
      <c r="H19" s="58">
        <f t="shared" si="6"/>
        <v>532921657</v>
      </c>
      <c r="I19" s="55">
        <f t="shared" si="7"/>
        <v>1652057.1366999999</v>
      </c>
      <c r="J19" s="59">
        <f t="shared" si="8"/>
        <v>43299.863300000085</v>
      </c>
      <c r="K19" s="23">
        <v>617468853</v>
      </c>
      <c r="L19" s="23">
        <v>609228451</v>
      </c>
      <c r="M19" s="62">
        <f t="shared" si="9"/>
        <v>1.01353</v>
      </c>
      <c r="N19" s="59">
        <f t="shared" si="10"/>
        <v>43886</v>
      </c>
      <c r="Q19" s="99"/>
    </row>
    <row r="20" spans="1:17" x14ac:dyDescent="0.2">
      <c r="A20" s="51">
        <v>45261</v>
      </c>
      <c r="B20" s="51">
        <v>45323</v>
      </c>
      <c r="C20" s="80">
        <f>ROUND('4. Rate Calc'!AF23,5)</f>
        <v>1.8069999999999999E-2</v>
      </c>
      <c r="D20" s="23">
        <v>488138208</v>
      </c>
      <c r="E20" s="55">
        <f t="shared" si="11"/>
        <v>8820657</v>
      </c>
      <c r="F20" s="105">
        <f>'4. Rate Calc'!AC23</f>
        <v>458875568.33333331</v>
      </c>
      <c r="G20" s="23">
        <v>6809210</v>
      </c>
      <c r="H20" s="58">
        <f t="shared" si="6"/>
        <v>452066358.33333331</v>
      </c>
      <c r="I20" s="55">
        <f t="shared" si="7"/>
        <v>8168839.0950833326</v>
      </c>
      <c r="J20" s="59">
        <f t="shared" si="8"/>
        <v>651817.90491666738</v>
      </c>
      <c r="K20" s="23">
        <v>436331073</v>
      </c>
      <c r="L20" s="23">
        <v>430039328</v>
      </c>
      <c r="M20" s="62">
        <f t="shared" si="9"/>
        <v>1.0146299999999999</v>
      </c>
      <c r="N20" s="59">
        <f t="shared" si="10"/>
        <v>661354</v>
      </c>
      <c r="Q20" s="99"/>
    </row>
    <row r="21" spans="1:17" x14ac:dyDescent="0.2">
      <c r="A21" s="51">
        <v>45292</v>
      </c>
      <c r="B21" s="51">
        <v>45352</v>
      </c>
      <c r="C21" s="80">
        <f>ROUND('4. Rate Calc'!AF24,5)</f>
        <v>3.1949999999999999E-2</v>
      </c>
      <c r="D21" s="23">
        <v>444721245</v>
      </c>
      <c r="E21" s="55">
        <f t="shared" si="11"/>
        <v>14208844</v>
      </c>
      <c r="F21" s="105">
        <f>'4. Rate Calc'!AC24</f>
        <v>443221016.66666669</v>
      </c>
      <c r="G21" s="23">
        <v>8240402</v>
      </c>
      <c r="H21" s="58">
        <f t="shared" si="6"/>
        <v>434980614.66666669</v>
      </c>
      <c r="I21" s="55">
        <f t="shared" si="7"/>
        <v>13897630.638600001</v>
      </c>
      <c r="J21" s="59">
        <f t="shared" si="8"/>
        <v>311213.36139999889</v>
      </c>
      <c r="K21" s="23">
        <v>425311577</v>
      </c>
      <c r="L21" s="23">
        <v>419402259</v>
      </c>
      <c r="M21" s="62">
        <f t="shared" si="9"/>
        <v>1.0140899999999999</v>
      </c>
      <c r="N21" s="59">
        <f t="shared" si="10"/>
        <v>315598</v>
      </c>
      <c r="Q21" s="99"/>
    </row>
    <row r="22" spans="1:17" x14ac:dyDescent="0.2">
      <c r="A22" s="51">
        <v>45323</v>
      </c>
      <c r="B22" s="51">
        <v>45383</v>
      </c>
      <c r="C22" s="80">
        <f>ROUND('4. Rate Calc'!AF25,5)</f>
        <v>1.304E-2</v>
      </c>
      <c r="D22" s="23">
        <v>422497434</v>
      </c>
      <c r="E22" s="55">
        <f t="shared" si="11"/>
        <v>5509367</v>
      </c>
      <c r="F22" s="105">
        <f>'4. Rate Calc'!AC25</f>
        <v>385314652.66666669</v>
      </c>
      <c r="G22" s="23">
        <v>6291745</v>
      </c>
      <c r="H22" s="58">
        <f t="shared" si="6"/>
        <v>379022907.66666669</v>
      </c>
      <c r="I22" s="55">
        <f t="shared" si="7"/>
        <v>4942458.7159733335</v>
      </c>
      <c r="J22" s="59">
        <f t="shared" si="8"/>
        <v>566908.28402666654</v>
      </c>
      <c r="K22" s="23">
        <v>397483028</v>
      </c>
      <c r="L22" s="23">
        <v>392283874</v>
      </c>
      <c r="M22" s="62">
        <f t="shared" si="9"/>
        <v>1.01325</v>
      </c>
      <c r="N22" s="59">
        <f t="shared" si="10"/>
        <v>574420</v>
      </c>
      <c r="Q22" s="99"/>
    </row>
    <row r="23" spans="1:17" x14ac:dyDescent="0.2">
      <c r="A23" s="51">
        <v>45352</v>
      </c>
      <c r="B23" s="51">
        <v>45413</v>
      </c>
      <c r="C23" s="80">
        <f>ROUND('4. Rate Calc'!AF26,5)</f>
        <v>8.9899999999999997E-3</v>
      </c>
      <c r="D23" s="23">
        <v>373320238</v>
      </c>
      <c r="E23" s="55">
        <f t="shared" si="11"/>
        <v>3356149</v>
      </c>
      <c r="F23" s="105">
        <f>'4. Rate Calc'!AC26</f>
        <v>397306147.33333331</v>
      </c>
      <c r="G23" s="23">
        <v>5909318</v>
      </c>
      <c r="H23" s="58">
        <f t="shared" si="6"/>
        <v>391396829.33333331</v>
      </c>
      <c r="I23" s="55">
        <f t="shared" si="7"/>
        <v>3518657.4957066663</v>
      </c>
      <c r="J23" s="59">
        <f t="shared" si="8"/>
        <v>-162508.49570666626</v>
      </c>
      <c r="K23" s="23">
        <v>411878407</v>
      </c>
      <c r="L23" s="23">
        <v>406409628</v>
      </c>
      <c r="M23" s="62">
        <f t="shared" si="9"/>
        <v>1.01346</v>
      </c>
      <c r="N23" s="59">
        <f t="shared" si="10"/>
        <v>-164696</v>
      </c>
      <c r="Q23" s="99"/>
    </row>
    <row r="24" spans="1:17" x14ac:dyDescent="0.2">
      <c r="A24" s="51">
        <v>45383</v>
      </c>
      <c r="B24" s="51">
        <v>45444</v>
      </c>
      <c r="C24" s="80">
        <f>ROUND('4. Rate Calc'!AF27,5)</f>
        <v>3.2499999999999999E-3</v>
      </c>
      <c r="D24" s="23">
        <v>421782222</v>
      </c>
      <c r="E24" s="55">
        <f t="shared" si="11"/>
        <v>1370792</v>
      </c>
      <c r="F24" s="105">
        <f>'4. Rate Calc'!AC27</f>
        <v>427815754.33333331</v>
      </c>
      <c r="G24" s="23">
        <v>5199154</v>
      </c>
      <c r="H24" s="58">
        <f t="shared" si="6"/>
        <v>422616600.33333331</v>
      </c>
      <c r="I24" s="55">
        <f t="shared" si="7"/>
        <v>1373503.9510833332</v>
      </c>
      <c r="J24" s="59">
        <f t="shared" si="8"/>
        <v>-2711.9510833332315</v>
      </c>
      <c r="K24" s="23">
        <v>457765100</v>
      </c>
      <c r="L24" s="23">
        <v>451375457</v>
      </c>
      <c r="M24" s="62">
        <f t="shared" si="9"/>
        <v>1.01416</v>
      </c>
      <c r="N24" s="59">
        <f t="shared" si="10"/>
        <v>-2750</v>
      </c>
      <c r="Q24" s="99"/>
    </row>
    <row r="25" spans="1:17" x14ac:dyDescent="0.2">
      <c r="A25" s="51">
        <v>45413</v>
      </c>
      <c r="B25" s="51">
        <v>45474</v>
      </c>
      <c r="C25" s="80">
        <f>ROUND('4. Rate Calc'!AF28,5)</f>
        <v>-2.33E-3</v>
      </c>
      <c r="D25" s="23">
        <v>467867039</v>
      </c>
      <c r="E25" s="55">
        <f t="shared" si="11"/>
        <v>-1090130</v>
      </c>
      <c r="F25" s="105">
        <f>'4. Rate Calc'!AC28</f>
        <v>470508542</v>
      </c>
      <c r="G25" s="23">
        <v>5468779</v>
      </c>
      <c r="H25" s="58">
        <f t="shared" si="6"/>
        <v>465039763</v>
      </c>
      <c r="I25" s="55">
        <f t="shared" si="7"/>
        <v>-1083542.6477900001</v>
      </c>
      <c r="J25" s="59">
        <f t="shared" si="8"/>
        <v>-6587.3522099999245</v>
      </c>
      <c r="K25" s="23">
        <v>477823165</v>
      </c>
      <c r="L25" s="23">
        <v>470747151</v>
      </c>
      <c r="M25" s="62">
        <f t="shared" si="9"/>
        <v>1.0150300000000001</v>
      </c>
      <c r="N25" s="59">
        <f t="shared" si="10"/>
        <v>-6686</v>
      </c>
      <c r="Q25" s="99"/>
    </row>
    <row r="26" spans="1:17" x14ac:dyDescent="0.2">
      <c r="A26" s="51">
        <v>45444</v>
      </c>
      <c r="B26" s="51">
        <v>45505</v>
      </c>
      <c r="C26" s="80">
        <f>ROUND('4. Rate Calc'!AF29,5)</f>
        <v>1.176E-2</v>
      </c>
      <c r="D26" s="23">
        <v>457517498</v>
      </c>
      <c r="E26" s="55">
        <f t="shared" si="11"/>
        <v>5380406</v>
      </c>
      <c r="F26" s="105">
        <f>'4. Rate Calc'!AC29</f>
        <v>466634874.66666669</v>
      </c>
      <c r="G26" s="23">
        <v>6389643</v>
      </c>
      <c r="H26" s="58">
        <f t="shared" si="6"/>
        <v>460245231.66666669</v>
      </c>
      <c r="I26" s="55">
        <f t="shared" si="7"/>
        <v>5412483.9243999999</v>
      </c>
      <c r="J26" s="59">
        <f t="shared" si="8"/>
        <v>-32077.924399999902</v>
      </c>
      <c r="K26" s="23">
        <v>463052563</v>
      </c>
      <c r="L26" s="23">
        <v>456304749</v>
      </c>
      <c r="M26" s="62">
        <f t="shared" si="9"/>
        <v>1.0147900000000001</v>
      </c>
      <c r="N26" s="59">
        <f t="shared" si="10"/>
        <v>-32552</v>
      </c>
      <c r="Q26" s="99"/>
    </row>
    <row r="27" spans="1:17" x14ac:dyDescent="0.2">
      <c r="A27" s="51">
        <v>45474</v>
      </c>
      <c r="B27" s="51">
        <v>45536</v>
      </c>
      <c r="C27" s="80">
        <f>ROUND('4. Rate Calc'!AF30,5)</f>
        <v>1.9220000000000001E-2</v>
      </c>
      <c r="D27" s="23">
        <v>424929712</v>
      </c>
      <c r="E27" s="55">
        <f t="shared" si="11"/>
        <v>8167149</v>
      </c>
      <c r="F27" s="105">
        <f>'4. Rate Calc'!AC30</f>
        <v>403149812</v>
      </c>
      <c r="G27" s="23">
        <v>7076014</v>
      </c>
      <c r="H27" s="58">
        <f t="shared" si="6"/>
        <v>396073798</v>
      </c>
      <c r="I27" s="55">
        <f t="shared" si="7"/>
        <v>7612538.3975600004</v>
      </c>
      <c r="J27" s="59">
        <f t="shared" si="8"/>
        <v>554610.60243999958</v>
      </c>
      <c r="K27" s="23">
        <v>399193129</v>
      </c>
      <c r="L27" s="23">
        <v>393778375</v>
      </c>
      <c r="M27" s="62">
        <f t="shared" si="9"/>
        <v>1.0137499999999999</v>
      </c>
      <c r="N27" s="59">
        <f t="shared" si="10"/>
        <v>562236</v>
      </c>
      <c r="Q27" s="99"/>
    </row>
    <row r="28" spans="1:17" x14ac:dyDescent="0.2">
      <c r="A28" s="51">
        <v>45505</v>
      </c>
      <c r="B28" s="51">
        <v>45566</v>
      </c>
      <c r="C28" s="80">
        <f>ROUND('4. Rate Calc'!AF31,5)</f>
        <v>1.8069999999999999E-2</v>
      </c>
      <c r="D28" s="23">
        <v>403312019</v>
      </c>
      <c r="E28" s="55">
        <f t="shared" si="11"/>
        <v>7287848</v>
      </c>
      <c r="F28" s="105">
        <f>'4. Rate Calc'!AC31</f>
        <v>382608238</v>
      </c>
      <c r="G28" s="23">
        <v>6747814</v>
      </c>
      <c r="H28" s="58">
        <f t="shared" si="6"/>
        <v>375860424</v>
      </c>
      <c r="I28" s="55">
        <f t="shared" si="7"/>
        <v>6791797.8616800001</v>
      </c>
      <c r="J28" s="59">
        <f t="shared" si="8"/>
        <v>496050.13831999991</v>
      </c>
      <c r="K28" s="23">
        <v>399930296</v>
      </c>
      <c r="L28" s="23">
        <v>394800757</v>
      </c>
      <c r="M28" s="62">
        <f t="shared" si="9"/>
        <v>1.0129900000000001</v>
      </c>
      <c r="N28" s="59">
        <f t="shared" si="10"/>
        <v>502494</v>
      </c>
      <c r="Q28" s="99"/>
    </row>
    <row r="29" spans="1:17" x14ac:dyDescent="0.2">
      <c r="A29" s="51">
        <v>45536</v>
      </c>
      <c r="B29" s="51">
        <v>45597</v>
      </c>
      <c r="C29" s="80">
        <f>ROUND('4. Rate Calc'!AF32,5)</f>
        <v>6.4599999999999996E-3</v>
      </c>
      <c r="D29" s="23">
        <v>373355279</v>
      </c>
      <c r="E29" s="55">
        <f t="shared" si="11"/>
        <v>2411875</v>
      </c>
      <c r="F29" s="105">
        <f>'4. Rate Calc'!AC32</f>
        <v>436365466.66666669</v>
      </c>
      <c r="G29" s="23">
        <v>5414754</v>
      </c>
      <c r="H29" s="58">
        <f t="shared" si="6"/>
        <v>430950712.66666669</v>
      </c>
      <c r="I29" s="55">
        <f t="shared" si="7"/>
        <v>2783941.6038266667</v>
      </c>
      <c r="J29" s="59">
        <f t="shared" si="8"/>
        <v>-372066.60382666672</v>
      </c>
      <c r="K29" s="23">
        <v>406295923</v>
      </c>
      <c r="L29" s="23">
        <v>400861124</v>
      </c>
      <c r="M29" s="62">
        <f t="shared" si="9"/>
        <v>1.01356</v>
      </c>
      <c r="N29" s="59">
        <f t="shared" si="10"/>
        <v>-377112</v>
      </c>
      <c r="Q29" s="99"/>
    </row>
    <row r="30" spans="1:17" x14ac:dyDescent="0.2">
      <c r="A30" s="51">
        <v>45566</v>
      </c>
      <c r="B30" s="51">
        <v>45627</v>
      </c>
      <c r="C30" s="80">
        <f>ROUND('4. Rate Calc'!AF33,5)</f>
        <v>1.74E-3</v>
      </c>
      <c r="D30" s="23">
        <v>484891850</v>
      </c>
      <c r="E30" s="55">
        <f t="shared" si="11"/>
        <v>843712</v>
      </c>
      <c r="F30" s="105">
        <f>'4. Rate Calc'!AC33</f>
        <v>484579507.33333331</v>
      </c>
      <c r="G30" s="23">
        <v>5129539</v>
      </c>
      <c r="H30" s="58">
        <f t="shared" si="6"/>
        <v>479449968.33333331</v>
      </c>
      <c r="I30" s="55">
        <f t="shared" si="7"/>
        <v>834242.9449</v>
      </c>
      <c r="J30" s="59">
        <f t="shared" si="8"/>
        <v>9469.0550999999978</v>
      </c>
      <c r="K30" s="23">
        <v>494553500</v>
      </c>
      <c r="L30" s="23">
        <v>487431491</v>
      </c>
      <c r="M30" s="62">
        <f t="shared" si="9"/>
        <v>1.01461</v>
      </c>
      <c r="N30" s="59">
        <f t="shared" si="10"/>
        <v>9607</v>
      </c>
      <c r="Q30" s="99"/>
    </row>
    <row r="31" spans="1:17" x14ac:dyDescent="0.2">
      <c r="A31" s="51">
        <v>45597</v>
      </c>
      <c r="B31" s="51">
        <v>45658</v>
      </c>
      <c r="C31" s="80">
        <f>ROUND('4. Rate Calc'!AF34,5)</f>
        <v>1.24E-3</v>
      </c>
      <c r="D31" s="23">
        <v>559647068</v>
      </c>
      <c r="E31" s="55">
        <f t="shared" si="11"/>
        <v>693962</v>
      </c>
      <c r="F31" s="105">
        <f>'4. Rate Calc'!AC34</f>
        <v>565030738.66666663</v>
      </c>
      <c r="G31" s="23">
        <v>5434799</v>
      </c>
      <c r="H31" s="58">
        <f t="shared" si="6"/>
        <v>559595939.66666663</v>
      </c>
      <c r="I31" s="55">
        <f t="shared" si="7"/>
        <v>693898.96518666658</v>
      </c>
      <c r="J31" s="59">
        <f t="shared" si="8"/>
        <v>63.034813333419152</v>
      </c>
      <c r="K31" s="23">
        <v>628318548</v>
      </c>
      <c r="L31" s="23">
        <v>619242322</v>
      </c>
      <c r="M31" s="62">
        <f t="shared" si="9"/>
        <v>1.0146599999999999</v>
      </c>
      <c r="N31" s="59">
        <f t="shared" si="10"/>
        <v>64</v>
      </c>
      <c r="Q31" s="99"/>
    </row>
    <row r="32" spans="1:17" x14ac:dyDescent="0.2">
      <c r="A32" s="51">
        <v>45627</v>
      </c>
      <c r="B32" s="51">
        <v>45689</v>
      </c>
      <c r="C32" s="80">
        <f>ROUND('4. Rate Calc'!AF35,5)</f>
        <v>1.9390000000000001E-2</v>
      </c>
      <c r="D32" s="23">
        <v>543430929</v>
      </c>
      <c r="E32" s="55">
        <f t="shared" si="11"/>
        <v>10537126</v>
      </c>
      <c r="F32" s="105">
        <f>'4. Rate Calc'!AC35</f>
        <v>442078320.66666669</v>
      </c>
      <c r="G32" s="23">
        <v>7122009</v>
      </c>
      <c r="H32" s="58">
        <f t="shared" si="6"/>
        <v>434956311.66666669</v>
      </c>
      <c r="I32" s="55">
        <f t="shared" si="7"/>
        <v>8433802.8832166679</v>
      </c>
      <c r="J32" s="59">
        <f t="shared" si="8"/>
        <v>2103323.1167833321</v>
      </c>
      <c r="K32" s="23">
        <v>486703753</v>
      </c>
      <c r="L32" s="23">
        <v>479804054</v>
      </c>
      <c r="M32" s="62">
        <f t="shared" si="9"/>
        <v>1.0143800000000001</v>
      </c>
      <c r="N32" s="59">
        <f t="shared" si="10"/>
        <v>2133569</v>
      </c>
      <c r="Q32" s="99"/>
    </row>
    <row r="33" spans="1:17" x14ac:dyDescent="0.2">
      <c r="A33" s="51">
        <v>45658</v>
      </c>
      <c r="B33" s="51">
        <v>45717</v>
      </c>
      <c r="C33" s="80">
        <f>ROUND('4. Rate Calc'!AF36,5)</f>
        <v>4.2860000000000002E-2</v>
      </c>
      <c r="D33" s="23">
        <v>453592183</v>
      </c>
      <c r="E33" s="55">
        <f t="shared" si="11"/>
        <v>19440961</v>
      </c>
      <c r="F33" s="105">
        <f>'4. Rate Calc'!AC36</f>
        <v>439814949</v>
      </c>
      <c r="G33" s="23">
        <v>9076226</v>
      </c>
      <c r="H33" s="58">
        <f t="shared" si="6"/>
        <v>430738723</v>
      </c>
      <c r="I33" s="55">
        <f t="shared" si="7"/>
        <v>18461461.667780001</v>
      </c>
      <c r="J33" s="59">
        <f t="shared" si="8"/>
        <v>979499.33221999928</v>
      </c>
      <c r="K33" s="23">
        <v>442249970</v>
      </c>
      <c r="L33" s="23">
        <v>436317969</v>
      </c>
      <c r="M33" s="63">
        <f t="shared" si="9"/>
        <v>1.0136000000000001</v>
      </c>
      <c r="N33" s="59">
        <f t="shared" si="10"/>
        <v>992821</v>
      </c>
      <c r="Q33" s="99"/>
    </row>
    <row r="34" spans="1:17" x14ac:dyDescent="0.2">
      <c r="A34" s="51">
        <v>45689</v>
      </c>
      <c r="B34" s="51">
        <v>45748</v>
      </c>
      <c r="C34" s="80">
        <f>ROUND('4. Rate Calc'!AF37,5)</f>
        <v>1.188E-2</v>
      </c>
      <c r="D34" s="23">
        <v>399706746</v>
      </c>
      <c r="E34" s="55">
        <f t="shared" si="11"/>
        <v>4748516</v>
      </c>
      <c r="F34" s="105">
        <f>'4. Rate Calc'!AC37</f>
        <v>391725030.33333331</v>
      </c>
      <c r="G34" s="23">
        <v>6899699</v>
      </c>
      <c r="H34" s="58">
        <f t="shared" si="6"/>
        <v>384825331.33333331</v>
      </c>
      <c r="I34" s="55">
        <f t="shared" si="7"/>
        <v>4571724.9362399997</v>
      </c>
      <c r="J34" s="59">
        <f t="shared" si="8"/>
        <v>176791.06376000028</v>
      </c>
      <c r="K34" s="23">
        <v>394135849</v>
      </c>
      <c r="L34" s="23">
        <v>389099149</v>
      </c>
      <c r="M34" s="62">
        <f t="shared" si="9"/>
        <v>1.01294</v>
      </c>
      <c r="N34" s="59">
        <f t="shared" si="10"/>
        <v>179079</v>
      </c>
      <c r="Q34" s="99"/>
    </row>
    <row r="35" spans="1:17" x14ac:dyDescent="0.2">
      <c r="A35" s="51">
        <v>45717</v>
      </c>
      <c r="B35" s="51">
        <v>45778</v>
      </c>
      <c r="C35" s="80">
        <f>ROUND('4. Rate Calc'!AF38,5)</f>
        <v>1.1039999999999999E-2</v>
      </c>
      <c r="D35" s="23">
        <v>390727869</v>
      </c>
      <c r="E35" s="55">
        <f t="shared" si="11"/>
        <v>4313636</v>
      </c>
      <c r="F35" s="105">
        <f>'4. Rate Calc'!AC38</f>
        <v>408759027</v>
      </c>
      <c r="G35" s="23">
        <v>5932001</v>
      </c>
      <c r="H35" s="58">
        <f t="shared" si="6"/>
        <v>402827026</v>
      </c>
      <c r="I35" s="55">
        <f t="shared" si="7"/>
        <v>4447210.3670399999</v>
      </c>
      <c r="J35" s="59">
        <f t="shared" si="8"/>
        <v>-133574.36703999992</v>
      </c>
      <c r="K35" s="23">
        <v>372175164</v>
      </c>
      <c r="L35" s="23">
        <v>367129626</v>
      </c>
      <c r="M35" s="62">
        <f t="shared" si="9"/>
        <v>1.0137400000000001</v>
      </c>
      <c r="N35" s="59">
        <f t="shared" si="10"/>
        <v>-135410</v>
      </c>
      <c r="Q35" s="99"/>
    </row>
    <row r="36" spans="1:17" x14ac:dyDescent="0.2">
      <c r="A36" s="51">
        <v>45748</v>
      </c>
      <c r="B36" s="51">
        <v>45809</v>
      </c>
      <c r="C36" s="80">
        <f>ROUND('4. Rate Calc'!AF39,5)</f>
        <v>1.0300000000000001E-3</v>
      </c>
      <c r="D36" s="23">
        <v>379889945</v>
      </c>
      <c r="E36" s="55">
        <f t="shared" si="11"/>
        <v>391287</v>
      </c>
      <c r="F36" s="105">
        <f>'4. Rate Calc'!AC39</f>
        <v>441682780.33333331</v>
      </c>
      <c r="G36" s="23">
        <v>5036700</v>
      </c>
      <c r="H36" s="58">
        <f t="shared" si="6"/>
        <v>436646080.33333331</v>
      </c>
      <c r="I36" s="55">
        <f t="shared" si="7"/>
        <v>449745.46274333337</v>
      </c>
      <c r="J36" s="59">
        <f t="shared" si="8"/>
        <v>-58458.462743333366</v>
      </c>
      <c r="K36" s="43">
        <v>441328196</v>
      </c>
      <c r="L36" s="61">
        <f>K36</f>
        <v>441328196</v>
      </c>
      <c r="M36" s="63">
        <f t="shared" si="9"/>
        <v>1</v>
      </c>
      <c r="N36" s="59">
        <f t="shared" si="10"/>
        <v>-58458</v>
      </c>
      <c r="Q36" s="99"/>
    </row>
    <row r="37" spans="1:17" x14ac:dyDescent="0.2">
      <c r="A37" s="51">
        <v>45778</v>
      </c>
      <c r="B37" s="51">
        <v>45839</v>
      </c>
      <c r="C37" s="80">
        <f>ROUND('4. Rate Calc'!AF40,5)</f>
        <v>-4.5900000000000003E-3</v>
      </c>
      <c r="D37" s="23">
        <v>478545953</v>
      </c>
      <c r="E37" s="55">
        <f t="shared" si="11"/>
        <v>-2196526</v>
      </c>
      <c r="F37" s="105">
        <f>'4. Rate Calc'!AC40</f>
        <v>478427561</v>
      </c>
      <c r="G37" s="23">
        <v>5045538</v>
      </c>
      <c r="H37" s="58">
        <f t="shared" si="6"/>
        <v>473382023</v>
      </c>
      <c r="I37" s="55">
        <f t="shared" si="7"/>
        <v>-2172823.48557</v>
      </c>
      <c r="J37" s="59">
        <f t="shared" si="8"/>
        <v>-23702.514429999981</v>
      </c>
      <c r="K37" s="23">
        <v>504760607</v>
      </c>
      <c r="L37" s="61">
        <f t="shared" ref="L37:L42" si="13">K37</f>
        <v>504760607</v>
      </c>
      <c r="M37" s="63">
        <f t="shared" si="9"/>
        <v>1</v>
      </c>
      <c r="N37" s="59">
        <f t="shared" si="10"/>
        <v>-23703</v>
      </c>
      <c r="Q37" s="99"/>
    </row>
    <row r="38" spans="1:17" x14ac:dyDescent="0.2">
      <c r="A38" s="51">
        <v>45809</v>
      </c>
      <c r="B38" s="51">
        <v>45870</v>
      </c>
      <c r="C38" s="80">
        <f>ROUND('4. Rate Calc'!AF41,5)</f>
        <v>9.7099999999999999E-3</v>
      </c>
      <c r="D38" s="23">
        <v>456237701</v>
      </c>
      <c r="E38" s="55">
        <f t="shared" si="11"/>
        <v>4430068</v>
      </c>
      <c r="F38" s="105">
        <f>'4. Rate Calc'!AC41</f>
        <v>466513475</v>
      </c>
      <c r="G38" s="23">
        <v>0</v>
      </c>
      <c r="H38" s="58">
        <f t="shared" si="6"/>
        <v>466513475</v>
      </c>
      <c r="I38" s="55">
        <f t="shared" si="7"/>
        <v>4529845.8422499998</v>
      </c>
      <c r="J38" s="59">
        <f t="shared" si="8"/>
        <v>-99777.842249999754</v>
      </c>
      <c r="K38" s="23">
        <v>437073485</v>
      </c>
      <c r="L38" s="61">
        <f t="shared" si="13"/>
        <v>437073485</v>
      </c>
      <c r="M38" s="63">
        <f t="shared" si="9"/>
        <v>1</v>
      </c>
      <c r="N38" s="59">
        <f t="shared" si="10"/>
        <v>-99778</v>
      </c>
      <c r="Q38" s="99"/>
    </row>
    <row r="39" spans="1:17" x14ac:dyDescent="0.2">
      <c r="A39" s="51">
        <v>45839</v>
      </c>
      <c r="B39" s="51">
        <v>45901</v>
      </c>
      <c r="C39" s="80">
        <f>ROUND('4. Rate Calc'!AF42,5)</f>
        <v>2.3480000000000001E-2</v>
      </c>
      <c r="D39" s="23">
        <v>405197373</v>
      </c>
      <c r="E39" s="55">
        <f t="shared" si="11"/>
        <v>9514034</v>
      </c>
      <c r="F39" s="105">
        <f>'4. Rate Calc'!AC42</f>
        <v>404831629</v>
      </c>
      <c r="G39" s="23">
        <v>0</v>
      </c>
      <c r="H39" s="58">
        <f t="shared" si="6"/>
        <v>404831629</v>
      </c>
      <c r="I39" s="55">
        <f t="shared" si="7"/>
        <v>9505446.6489199996</v>
      </c>
      <c r="J39" s="59">
        <f t="shared" si="8"/>
        <v>8587.3510800004005</v>
      </c>
      <c r="K39" s="23">
        <v>362457407</v>
      </c>
      <c r="L39" s="61">
        <f t="shared" si="13"/>
        <v>362457407</v>
      </c>
      <c r="M39" s="63">
        <f t="shared" si="9"/>
        <v>1</v>
      </c>
      <c r="N39" s="59">
        <f t="shared" si="10"/>
        <v>8587</v>
      </c>
      <c r="Q39" s="99"/>
    </row>
    <row r="40" spans="1:17" x14ac:dyDescent="0.2">
      <c r="A40" s="51">
        <v>45870</v>
      </c>
      <c r="B40" s="51">
        <v>45931</v>
      </c>
      <c r="C40" s="80">
        <f>ROUND('4. Rate Calc'!AF43,5)</f>
        <v>-6.0999999999999997E-4</v>
      </c>
      <c r="D40" s="23">
        <v>351989135</v>
      </c>
      <c r="E40" s="55">
        <f t="shared" si="11"/>
        <v>-214713</v>
      </c>
      <c r="F40" s="105">
        <f>'4. Rate Calc'!AC43</f>
        <v>396880629</v>
      </c>
      <c r="G40" s="23">
        <v>0</v>
      </c>
      <c r="H40" s="58">
        <f t="shared" si="6"/>
        <v>396880629</v>
      </c>
      <c r="I40" s="55">
        <f t="shared" si="7"/>
        <v>-242097.18368999998</v>
      </c>
      <c r="J40" s="59">
        <f t="shared" si="8"/>
        <v>27384.183689999976</v>
      </c>
      <c r="K40" s="23">
        <v>386538129</v>
      </c>
      <c r="L40" s="61">
        <f t="shared" si="13"/>
        <v>386538129</v>
      </c>
      <c r="M40" s="63">
        <f t="shared" si="9"/>
        <v>1</v>
      </c>
      <c r="N40" s="59">
        <f t="shared" si="10"/>
        <v>27384</v>
      </c>
      <c r="Q40" s="99"/>
    </row>
    <row r="41" spans="1:17" x14ac:dyDescent="0.2">
      <c r="A41" s="51">
        <v>45901</v>
      </c>
      <c r="B41" s="51">
        <v>45962</v>
      </c>
      <c r="C41" s="80">
        <f>ROUND('4. Rate Calc'!AF44,5)</f>
        <v>1.74E-3</v>
      </c>
      <c r="D41" s="23">
        <v>374909918</v>
      </c>
      <c r="E41" s="55">
        <f t="shared" si="11"/>
        <v>652343</v>
      </c>
      <c r="F41" s="105">
        <f>'4. Rate Calc'!AC44</f>
        <v>430333213</v>
      </c>
      <c r="G41" s="23">
        <v>0</v>
      </c>
      <c r="H41" s="58">
        <f t="shared" si="6"/>
        <v>430333213</v>
      </c>
      <c r="I41" s="55">
        <f t="shared" si="7"/>
        <v>748779.79061999999</v>
      </c>
      <c r="J41" s="59">
        <f t="shared" si="8"/>
        <v>-96436.790619999985</v>
      </c>
      <c r="K41" s="23">
        <v>409375243</v>
      </c>
      <c r="L41" s="61">
        <f t="shared" si="13"/>
        <v>409375243</v>
      </c>
      <c r="M41" s="63">
        <f t="shared" si="9"/>
        <v>1</v>
      </c>
      <c r="N41" s="59">
        <f t="shared" si="10"/>
        <v>-96437</v>
      </c>
      <c r="Q41" s="99"/>
    </row>
    <row r="42" spans="1:17" x14ac:dyDescent="0.2">
      <c r="A42" s="51">
        <v>45931</v>
      </c>
      <c r="B42" s="51">
        <v>45992</v>
      </c>
      <c r="C42" s="80">
        <f>ROUND('4. Rate Calc'!AF45,5)</f>
        <v>-2.2200000000000002E-3</v>
      </c>
      <c r="D42" s="23">
        <v>445893578</v>
      </c>
      <c r="E42" s="55">
        <f t="shared" si="11"/>
        <v>-989884</v>
      </c>
      <c r="F42" s="105">
        <f>'4. Rate Calc'!AC45</f>
        <v>496200015.33333331</v>
      </c>
      <c r="G42" s="23">
        <v>0</v>
      </c>
      <c r="H42" s="58">
        <f t="shared" si="6"/>
        <v>496200015.33333331</v>
      </c>
      <c r="I42" s="55">
        <f t="shared" si="7"/>
        <v>-1101564.0340400001</v>
      </c>
      <c r="J42" s="59">
        <f t="shared" si="8"/>
        <v>111680.03404000006</v>
      </c>
      <c r="K42" s="23">
        <v>506994775</v>
      </c>
      <c r="L42" s="61">
        <f t="shared" si="13"/>
        <v>506994775</v>
      </c>
      <c r="M42" s="63">
        <f t="shared" si="9"/>
        <v>1</v>
      </c>
      <c r="N42" s="59">
        <f t="shared" si="10"/>
        <v>111680</v>
      </c>
      <c r="Q42" s="99"/>
    </row>
    <row r="43" spans="1:17" x14ac:dyDescent="0.2">
      <c r="A43" s="51">
        <v>45962</v>
      </c>
      <c r="B43" s="51">
        <v>46023</v>
      </c>
      <c r="C43" s="50"/>
      <c r="D43" s="23"/>
      <c r="E43" s="55"/>
      <c r="F43" s="61"/>
      <c r="G43" s="23"/>
      <c r="H43" s="58"/>
      <c r="I43" s="55"/>
      <c r="J43" s="59"/>
      <c r="K43" s="23"/>
      <c r="L43" s="61"/>
      <c r="M43" s="63"/>
      <c r="N43" s="59"/>
    </row>
    <row r="44" spans="1:17" x14ac:dyDescent="0.2">
      <c r="A44" s="51">
        <v>45992</v>
      </c>
      <c r="B44" s="51">
        <v>46054</v>
      </c>
      <c r="C44" s="50"/>
      <c r="D44" s="23"/>
      <c r="E44" s="55"/>
      <c r="F44" s="61"/>
      <c r="G44" s="23"/>
      <c r="H44" s="58"/>
      <c r="I44" s="55"/>
      <c r="J44" s="59"/>
      <c r="K44" s="23"/>
      <c r="L44" s="61"/>
      <c r="M44" s="63"/>
      <c r="N44" s="59"/>
    </row>
    <row r="45" spans="1:17" x14ac:dyDescent="0.2">
      <c r="F45" s="56"/>
    </row>
    <row r="46" spans="1:17" x14ac:dyDescent="0.2">
      <c r="F46" s="56"/>
    </row>
    <row r="47" spans="1:17" x14ac:dyDescent="0.2">
      <c r="F47" s="56"/>
    </row>
    <row r="48" spans="1:17" x14ac:dyDescent="0.2">
      <c r="F48" s="56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17F9E-632B-4BED-9F66-95AA5AEF1D78}">
  <sheetPr>
    <tabColor theme="1"/>
  </sheetPr>
  <dimension ref="A1"/>
  <sheetViews>
    <sheetView workbookViewId="0">
      <selection activeCell="S11" sqref="S11"/>
    </sheetView>
  </sheetViews>
  <sheetFormatPr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5A950-77A7-430A-940F-EDB6A64170D1}">
  <dimension ref="A1:AL53"/>
  <sheetViews>
    <sheetView zoomScale="80" zoomScaleNormal="80" workbookViewId="0">
      <pane xSplit="2" ySplit="7" topLeftCell="M8" activePane="bottomRight" state="frozen"/>
      <selection pane="topRight" activeCell="C1" sqref="C1"/>
      <selection pane="bottomLeft" activeCell="A7" sqref="A7"/>
      <selection pane="bottomRight" activeCell="AF19" sqref="AF19"/>
    </sheetView>
  </sheetViews>
  <sheetFormatPr defaultRowHeight="12.75" x14ac:dyDescent="0.2"/>
  <cols>
    <col min="1" max="2" width="14" style="1" customWidth="1"/>
    <col min="3" max="3" width="13.42578125" style="1" bestFit="1" customWidth="1"/>
    <col min="4" max="5" width="12.28515625" style="1" bestFit="1" customWidth="1"/>
    <col min="6" max="6" width="9" style="1" bestFit="1" customWidth="1"/>
    <col min="7" max="7" width="10.5703125" style="1" bestFit="1" customWidth="1"/>
    <col min="8" max="8" width="9.42578125" style="1" customWidth="1"/>
    <col min="9" max="9" width="13.42578125" style="1" bestFit="1" customWidth="1"/>
    <col min="10" max="10" width="15" style="1" bestFit="1" customWidth="1"/>
    <col min="11" max="11" width="13.42578125" style="1" bestFit="1" customWidth="1"/>
    <col min="12" max="12" width="14.5703125" style="1" bestFit="1" customWidth="1"/>
    <col min="13" max="13" width="13.42578125" style="1" bestFit="1" customWidth="1"/>
    <col min="14" max="14" width="16.28515625" style="1" customWidth="1"/>
    <col min="15" max="15" width="13.42578125" style="1" customWidth="1"/>
    <col min="16" max="16" width="17" style="1" customWidth="1"/>
    <col min="17" max="17" width="13" style="1" bestFit="1" customWidth="1"/>
    <col min="18" max="18" width="13.42578125" style="1" bestFit="1" customWidth="1"/>
    <col min="19" max="19" width="12.85546875" style="1" customWidth="1"/>
    <col min="20" max="20" width="13.42578125" style="1" bestFit="1" customWidth="1"/>
    <col min="21" max="23" width="14.42578125" style="1" customWidth="1"/>
    <col min="24" max="26" width="13.42578125" style="1" bestFit="1" customWidth="1"/>
    <col min="27" max="27" width="7.85546875" style="1" bestFit="1" customWidth="1"/>
    <col min="28" max="28" width="13.42578125" style="1" bestFit="1" customWidth="1"/>
    <col min="29" max="29" width="12.28515625" style="1" bestFit="1" customWidth="1"/>
    <col min="30" max="31" width="13.42578125" style="1" bestFit="1" customWidth="1"/>
    <col min="32" max="32" width="14.5703125" style="1" bestFit="1" customWidth="1"/>
    <col min="33" max="34" width="9.5703125" style="1" bestFit="1" customWidth="1"/>
    <col min="35" max="35" width="10.28515625" style="1" bestFit="1" customWidth="1"/>
    <col min="36" max="36" width="15.28515625" style="1" customWidth="1"/>
    <col min="37" max="37" width="14.5703125" style="1" bestFit="1" customWidth="1"/>
    <col min="38" max="38" width="12.28515625" style="1" bestFit="1" customWidth="1"/>
    <col min="39" max="16384" width="9.140625" style="1"/>
  </cols>
  <sheetData>
    <row r="1" spans="1:35" s="46" customFormat="1" ht="15.75" x14ac:dyDescent="0.25">
      <c r="A1" s="64" t="s">
        <v>111</v>
      </c>
      <c r="B1" s="64"/>
      <c r="C1" s="64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</row>
    <row r="3" spans="1:35" ht="13.5" thickBot="1" x14ac:dyDescent="0.25"/>
    <row r="4" spans="1:35" s="6" customFormat="1" ht="30.75" customHeight="1" thickBot="1" x14ac:dyDescent="0.3">
      <c r="C4" s="161" t="s">
        <v>28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3"/>
      <c r="V4" s="137"/>
      <c r="W4" s="137"/>
      <c r="X4" s="164" t="s">
        <v>38</v>
      </c>
      <c r="Y4" s="165"/>
      <c r="Z4" s="165"/>
      <c r="AA4" s="165"/>
      <c r="AB4" s="165"/>
      <c r="AC4" s="165"/>
      <c r="AD4" s="165"/>
      <c r="AE4" s="165"/>
      <c r="AF4" s="52"/>
      <c r="AG4" s="158" t="s">
        <v>40</v>
      </c>
      <c r="AH4" s="159"/>
      <c r="AI4" s="160"/>
    </row>
    <row r="5" spans="1:35" s="19" customFormat="1" ht="51.75" customHeight="1" x14ac:dyDescent="0.25">
      <c r="C5" s="155" t="s">
        <v>7</v>
      </c>
      <c r="D5" s="156"/>
      <c r="E5" s="156"/>
      <c r="F5" s="156"/>
      <c r="G5" s="156"/>
      <c r="H5" s="156"/>
      <c r="I5" s="157"/>
      <c r="J5" s="155" t="s">
        <v>14</v>
      </c>
      <c r="K5" s="156"/>
      <c r="L5" s="156"/>
      <c r="M5" s="157"/>
      <c r="N5" s="30" t="s">
        <v>15</v>
      </c>
      <c r="O5" s="30" t="s">
        <v>18</v>
      </c>
      <c r="P5" s="30" t="s">
        <v>19</v>
      </c>
      <c r="Q5" s="30" t="s">
        <v>21</v>
      </c>
      <c r="R5" s="30" t="s">
        <v>23</v>
      </c>
      <c r="S5" s="30" t="s">
        <v>25</v>
      </c>
      <c r="T5" s="30" t="s">
        <v>26</v>
      </c>
      <c r="U5" s="66" t="s">
        <v>59</v>
      </c>
      <c r="V5" s="66" t="s">
        <v>112</v>
      </c>
      <c r="W5" s="66" t="s">
        <v>113</v>
      </c>
      <c r="X5" s="155" t="s">
        <v>31</v>
      </c>
      <c r="Y5" s="156"/>
      <c r="Z5" s="157"/>
      <c r="AA5" s="155" t="s">
        <v>32</v>
      </c>
      <c r="AB5" s="156"/>
      <c r="AC5" s="156"/>
      <c r="AD5" s="157"/>
      <c r="AE5" s="30" t="s">
        <v>36</v>
      </c>
      <c r="AF5" s="66" t="s">
        <v>82</v>
      </c>
      <c r="AG5" s="155" t="s">
        <v>39</v>
      </c>
      <c r="AH5" s="156"/>
      <c r="AI5" s="157"/>
    </row>
    <row r="6" spans="1:35" s="19" customFormat="1" ht="39" customHeight="1" x14ac:dyDescent="0.25">
      <c r="A6" s="2" t="s">
        <v>0</v>
      </c>
      <c r="B6" s="2" t="s">
        <v>43</v>
      </c>
      <c r="C6" s="18" t="s">
        <v>1</v>
      </c>
      <c r="D6" s="19" t="s">
        <v>2</v>
      </c>
      <c r="E6" s="19" t="s">
        <v>3</v>
      </c>
      <c r="F6" s="19" t="s">
        <v>4</v>
      </c>
      <c r="G6" s="19" t="s">
        <v>5</v>
      </c>
      <c r="H6" s="19" t="s">
        <v>6</v>
      </c>
      <c r="I6" s="20" t="s">
        <v>11</v>
      </c>
      <c r="J6" s="18" t="s">
        <v>8</v>
      </c>
      <c r="K6" s="19" t="s">
        <v>9</v>
      </c>
      <c r="L6" s="19" t="s">
        <v>10</v>
      </c>
      <c r="M6" s="20" t="s">
        <v>11</v>
      </c>
      <c r="N6" s="21" t="s">
        <v>16</v>
      </c>
      <c r="O6" s="21" t="s">
        <v>17</v>
      </c>
      <c r="P6" s="21" t="s">
        <v>20</v>
      </c>
      <c r="Q6" s="21" t="s">
        <v>22</v>
      </c>
      <c r="R6" s="21" t="s">
        <v>24</v>
      </c>
      <c r="S6" s="21" t="s">
        <v>16</v>
      </c>
      <c r="T6" s="21" t="s">
        <v>27</v>
      </c>
      <c r="U6" s="67"/>
      <c r="V6" s="67"/>
      <c r="W6" s="67"/>
      <c r="X6" s="18" t="s">
        <v>29</v>
      </c>
      <c r="Y6" s="19" t="s">
        <v>30</v>
      </c>
      <c r="Z6" s="20" t="s">
        <v>11</v>
      </c>
      <c r="AA6" s="18" t="s">
        <v>33</v>
      </c>
      <c r="AB6" s="19" t="s">
        <v>34</v>
      </c>
      <c r="AC6" s="19" t="s">
        <v>35</v>
      </c>
      <c r="AD6" s="20" t="s">
        <v>11</v>
      </c>
      <c r="AE6" s="21" t="s">
        <v>37</v>
      </c>
      <c r="AF6" s="67" t="s">
        <v>83</v>
      </c>
      <c r="AG6" s="18" t="s">
        <v>16</v>
      </c>
      <c r="AH6" s="19" t="s">
        <v>41</v>
      </c>
      <c r="AI6" s="20" t="s">
        <v>42</v>
      </c>
    </row>
    <row r="7" spans="1:35" s="2" customFormat="1" x14ac:dyDescent="0.2">
      <c r="C7" s="3" t="s">
        <v>12</v>
      </c>
      <c r="D7" s="4" t="s">
        <v>12</v>
      </c>
      <c r="E7" s="4" t="s">
        <v>12</v>
      </c>
      <c r="F7" s="4" t="s">
        <v>12</v>
      </c>
      <c r="G7" s="4" t="s">
        <v>12</v>
      </c>
      <c r="H7" s="4" t="s">
        <v>13</v>
      </c>
      <c r="I7" s="5"/>
      <c r="J7" s="3" t="s">
        <v>12</v>
      </c>
      <c r="K7" s="4" t="s">
        <v>12</v>
      </c>
      <c r="L7" s="4" t="s">
        <v>13</v>
      </c>
      <c r="M7" s="5"/>
      <c r="N7" s="15" t="s">
        <v>13</v>
      </c>
      <c r="O7" s="8"/>
      <c r="P7" s="15" t="s">
        <v>12</v>
      </c>
      <c r="Q7" s="15" t="s">
        <v>13</v>
      </c>
      <c r="R7" s="8"/>
      <c r="S7" s="15" t="s">
        <v>12</v>
      </c>
      <c r="T7" s="8"/>
      <c r="U7" s="68"/>
      <c r="V7" s="68"/>
      <c r="W7" s="68"/>
      <c r="X7" s="3" t="s">
        <v>12</v>
      </c>
      <c r="Y7" s="4" t="s">
        <v>12</v>
      </c>
      <c r="Z7" s="5"/>
      <c r="AA7" s="3" t="s">
        <v>12</v>
      </c>
      <c r="AB7" s="4" t="s">
        <v>12</v>
      </c>
      <c r="AC7" s="4" t="s">
        <v>12</v>
      </c>
      <c r="AD7" s="5"/>
      <c r="AE7" s="8"/>
      <c r="AF7" s="100"/>
      <c r="AG7" s="24"/>
      <c r="AH7" s="25"/>
      <c r="AI7" s="20"/>
    </row>
    <row r="8" spans="1:35" x14ac:dyDescent="0.2">
      <c r="A8" s="51">
        <v>44805</v>
      </c>
      <c r="B8" s="51">
        <v>44866</v>
      </c>
      <c r="C8" s="9">
        <v>2857098.77</v>
      </c>
      <c r="D8" s="10">
        <v>21793.8</v>
      </c>
      <c r="E8" s="10">
        <v>214750.49</v>
      </c>
      <c r="F8" s="10">
        <v>0</v>
      </c>
      <c r="G8" s="10">
        <v>0</v>
      </c>
      <c r="H8" s="10">
        <v>0</v>
      </c>
      <c r="I8" s="16">
        <f t="shared" ref="I8:I10" si="0">C8+D8+E8+F8+G8-H8</f>
        <v>3093643.0599999996</v>
      </c>
      <c r="J8" s="9">
        <v>0</v>
      </c>
      <c r="K8" s="10">
        <v>23989817</v>
      </c>
      <c r="L8" s="10">
        <v>0</v>
      </c>
      <c r="M8" s="16">
        <f t="shared" ref="M8:M12" si="1">+J8+K8-L8</f>
        <v>23989817</v>
      </c>
      <c r="N8" s="11">
        <v>561120</v>
      </c>
      <c r="O8" s="37">
        <f t="shared" ref="O8:O11" si="2">I8+M8-N8</f>
        <v>26522340.059999999</v>
      </c>
      <c r="P8" s="11">
        <v>-753922.16999999806</v>
      </c>
      <c r="Q8" s="11">
        <v>-546153</v>
      </c>
      <c r="R8" s="37">
        <f t="shared" ref="R8:R47" si="3">+O8+P8-Q8</f>
        <v>26314570.890000001</v>
      </c>
      <c r="S8" s="11">
        <v>942328.33000000007</v>
      </c>
      <c r="T8" s="37">
        <f t="shared" ref="T8:T10" si="4">R8+S8</f>
        <v>27256899.219999999</v>
      </c>
      <c r="U8" s="48"/>
      <c r="V8" s="48"/>
      <c r="W8" s="48"/>
      <c r="X8" s="24">
        <v>128018000</v>
      </c>
      <c r="Y8" s="25">
        <v>307650000</v>
      </c>
      <c r="Z8" s="28">
        <f t="shared" ref="Z8:Z10" si="5">X8+Y8</f>
        <v>435668000</v>
      </c>
      <c r="AA8" s="24">
        <v>0</v>
      </c>
      <c r="AB8" s="25">
        <v>7069000</v>
      </c>
      <c r="AC8" s="25">
        <v>24331856</v>
      </c>
      <c r="AD8" s="28">
        <f t="shared" ref="AD8:AD10" si="6">AA8+AB8+AC8</f>
        <v>31400856</v>
      </c>
      <c r="AE8" s="31">
        <f t="shared" ref="AE8:AE10" si="7">Z8-AD8</f>
        <v>404267144</v>
      </c>
      <c r="AF8" s="101"/>
      <c r="AG8" s="36">
        <f t="shared" ref="AG8:AG21" si="8">T8/AE8</f>
        <v>6.742298904211716E-2</v>
      </c>
      <c r="AH8" s="33">
        <v>2.6120000000000001E-2</v>
      </c>
      <c r="AI8" s="34">
        <f t="shared" ref="AI8:AI10" si="9">+AG8-AH8</f>
        <v>4.1302989042117155E-2</v>
      </c>
    </row>
    <row r="9" spans="1:35" x14ac:dyDescent="0.2">
      <c r="A9" s="51">
        <v>44835</v>
      </c>
      <c r="B9" s="51">
        <v>44896</v>
      </c>
      <c r="C9" s="9">
        <v>0</v>
      </c>
      <c r="D9" s="10">
        <v>0</v>
      </c>
      <c r="E9" s="10">
        <v>504601.2</v>
      </c>
      <c r="F9" s="10">
        <v>0</v>
      </c>
      <c r="G9" s="10">
        <v>0</v>
      </c>
      <c r="H9" s="10">
        <v>0</v>
      </c>
      <c r="I9" s="16">
        <f t="shared" si="0"/>
        <v>504601.2</v>
      </c>
      <c r="J9" s="9">
        <v>0</v>
      </c>
      <c r="K9" s="10">
        <v>25535944</v>
      </c>
      <c r="L9" s="10">
        <v>0</v>
      </c>
      <c r="M9" s="16">
        <f t="shared" si="1"/>
        <v>25535944</v>
      </c>
      <c r="N9" s="11">
        <v>486786</v>
      </c>
      <c r="O9" s="37">
        <f t="shared" si="2"/>
        <v>25553759.199999999</v>
      </c>
      <c r="P9" s="41">
        <v>-901832.16999999806</v>
      </c>
      <c r="Q9" s="11">
        <v>-1682915</v>
      </c>
      <c r="R9" s="37">
        <f t="shared" si="3"/>
        <v>26334842.030000001</v>
      </c>
      <c r="S9" s="11">
        <v>1231254.0400000003</v>
      </c>
      <c r="T9" s="37">
        <f t="shared" si="4"/>
        <v>27566096.07</v>
      </c>
      <c r="U9" s="48"/>
      <c r="V9" s="48"/>
      <c r="W9" s="48"/>
      <c r="X9" s="24">
        <v>0</v>
      </c>
      <c r="Y9" s="25">
        <v>437101000</v>
      </c>
      <c r="Z9" s="28">
        <f t="shared" si="5"/>
        <v>437101000</v>
      </c>
      <c r="AA9" s="24">
        <v>0</v>
      </c>
      <c r="AB9" s="25">
        <v>8431000</v>
      </c>
      <c r="AC9" s="25">
        <v>23617701</v>
      </c>
      <c r="AD9" s="28">
        <f t="shared" si="6"/>
        <v>32048701</v>
      </c>
      <c r="AE9" s="31">
        <f t="shared" si="7"/>
        <v>405052299</v>
      </c>
      <c r="AF9" s="101"/>
      <c r="AG9" s="36">
        <f t="shared" si="8"/>
        <v>6.8055646488257557E-2</v>
      </c>
      <c r="AH9" s="33">
        <v>2.6120000000000001E-2</v>
      </c>
      <c r="AI9" s="34">
        <f t="shared" si="9"/>
        <v>4.1935646488257552E-2</v>
      </c>
    </row>
    <row r="10" spans="1:35" x14ac:dyDescent="0.2">
      <c r="A10" s="51">
        <v>44866</v>
      </c>
      <c r="B10" s="51">
        <v>44927</v>
      </c>
      <c r="C10" s="9">
        <v>1122582.51</v>
      </c>
      <c r="D10" s="10">
        <v>343157.88</v>
      </c>
      <c r="E10" s="10">
        <v>490104.03</v>
      </c>
      <c r="F10" s="10">
        <v>0</v>
      </c>
      <c r="G10" s="10">
        <v>0</v>
      </c>
      <c r="H10" s="10">
        <v>0</v>
      </c>
      <c r="I10" s="16">
        <f t="shared" si="0"/>
        <v>1955844.4200000002</v>
      </c>
      <c r="J10" s="9">
        <v>0</v>
      </c>
      <c r="K10" s="10">
        <v>26299506</v>
      </c>
      <c r="L10" s="10">
        <v>0</v>
      </c>
      <c r="M10" s="16">
        <f t="shared" si="1"/>
        <v>26299506</v>
      </c>
      <c r="N10" s="11">
        <v>847309</v>
      </c>
      <c r="O10" s="37">
        <f t="shared" si="2"/>
        <v>27408041.420000002</v>
      </c>
      <c r="P10" s="11">
        <v>-259372.94999999925</v>
      </c>
      <c r="Q10" s="11">
        <v>-383931</v>
      </c>
      <c r="R10" s="37">
        <f t="shared" si="3"/>
        <v>27532599.470000003</v>
      </c>
      <c r="S10" s="11">
        <v>650679.95000000019</v>
      </c>
      <c r="T10" s="37">
        <f t="shared" si="4"/>
        <v>28183279.420000002</v>
      </c>
      <c r="U10" s="48"/>
      <c r="V10" s="48"/>
      <c r="W10" s="48"/>
      <c r="X10" s="24">
        <v>4982000</v>
      </c>
      <c r="Y10" s="25">
        <v>479292000</v>
      </c>
      <c r="Z10" s="28">
        <f t="shared" si="5"/>
        <v>484274000</v>
      </c>
      <c r="AA10" s="24">
        <v>0</v>
      </c>
      <c r="AB10" s="44">
        <v>17615000</v>
      </c>
      <c r="AC10" s="25">
        <v>25952870</v>
      </c>
      <c r="AD10" s="28">
        <f t="shared" si="6"/>
        <v>43567870</v>
      </c>
      <c r="AE10" s="31">
        <f t="shared" si="7"/>
        <v>440706130</v>
      </c>
      <c r="AF10" s="101"/>
      <c r="AG10" s="36">
        <f t="shared" si="8"/>
        <v>6.3950277750844997E-2</v>
      </c>
      <c r="AH10" s="33">
        <v>2.6120000000000001E-2</v>
      </c>
      <c r="AI10" s="34">
        <f t="shared" si="9"/>
        <v>3.7830277750844993E-2</v>
      </c>
    </row>
    <row r="11" spans="1:35" x14ac:dyDescent="0.2">
      <c r="A11" s="51">
        <v>44896</v>
      </c>
      <c r="B11" s="51">
        <v>44958</v>
      </c>
      <c r="C11" s="9">
        <v>7046750.1299999999</v>
      </c>
      <c r="D11" s="10">
        <v>1077343.8</v>
      </c>
      <c r="E11" s="10">
        <v>503491.9</v>
      </c>
      <c r="F11" s="10">
        <v>0</v>
      </c>
      <c r="G11" s="10">
        <v>0</v>
      </c>
      <c r="H11" s="10">
        <v>0</v>
      </c>
      <c r="I11" s="16">
        <f>C11+D11+E11+F11+G11-H11</f>
        <v>8627585.8300000001</v>
      </c>
      <c r="J11" s="9">
        <v>0</v>
      </c>
      <c r="K11" s="10">
        <v>37013497</v>
      </c>
      <c r="L11" s="10">
        <v>0</v>
      </c>
      <c r="M11" s="16">
        <f t="shared" si="1"/>
        <v>37013497</v>
      </c>
      <c r="N11" s="11">
        <v>1859181</v>
      </c>
      <c r="O11" s="37">
        <f t="shared" si="2"/>
        <v>43781901.829999998</v>
      </c>
      <c r="P11" s="11">
        <v>3525.0200000032783</v>
      </c>
      <c r="Q11" s="11">
        <v>4078665</v>
      </c>
      <c r="R11" s="37">
        <f t="shared" si="3"/>
        <v>39706761.850000001</v>
      </c>
      <c r="S11" s="11">
        <v>1302348.2099999995</v>
      </c>
      <c r="T11" s="37">
        <f>R11+S11</f>
        <v>41009110.060000002</v>
      </c>
      <c r="U11" s="48"/>
      <c r="V11" s="48"/>
      <c r="W11" s="48"/>
      <c r="X11" s="24">
        <v>189231000</v>
      </c>
      <c r="Y11" s="25">
        <v>400310000</v>
      </c>
      <c r="Z11" s="28">
        <f>X11+Y11</f>
        <v>589541000</v>
      </c>
      <c r="AA11" s="24">
        <v>0</v>
      </c>
      <c r="AB11" s="25">
        <v>28200000</v>
      </c>
      <c r="AC11" s="25">
        <v>30469788</v>
      </c>
      <c r="AD11" s="28">
        <f>AA11+AB11+AC11</f>
        <v>58669788</v>
      </c>
      <c r="AE11" s="31">
        <f>Z11-AD11</f>
        <v>530871212</v>
      </c>
      <c r="AF11" s="101"/>
      <c r="AG11" s="36">
        <f t="shared" si="8"/>
        <v>7.7248698239828467E-2</v>
      </c>
      <c r="AH11" s="33">
        <v>2.6120000000000001E-2</v>
      </c>
      <c r="AI11" s="34">
        <f>+AG11-AH11</f>
        <v>5.1128698239828463E-2</v>
      </c>
    </row>
    <row r="12" spans="1:35" x14ac:dyDescent="0.2">
      <c r="A12" s="51">
        <v>44927</v>
      </c>
      <c r="B12" s="51">
        <v>44986</v>
      </c>
      <c r="C12" s="9">
        <v>518411.2</v>
      </c>
      <c r="D12" s="10">
        <v>828922.64</v>
      </c>
      <c r="E12" s="10">
        <v>2371054.9300000002</v>
      </c>
      <c r="F12" s="10">
        <v>0</v>
      </c>
      <c r="G12" s="10">
        <v>0</v>
      </c>
      <c r="H12" s="10">
        <v>0</v>
      </c>
      <c r="I12" s="16">
        <f>C12+D12+E12+F12+G12-H12</f>
        <v>3718388.7700000005</v>
      </c>
      <c r="J12" s="9">
        <v>0</v>
      </c>
      <c r="K12" s="10">
        <v>18050357</v>
      </c>
      <c r="L12" s="10">
        <v>0</v>
      </c>
      <c r="M12" s="16">
        <f t="shared" si="1"/>
        <v>18050357</v>
      </c>
      <c r="N12" s="11">
        <v>1428737</v>
      </c>
      <c r="O12" s="37">
        <f>I12+M12-N12</f>
        <v>20340008.77</v>
      </c>
      <c r="P12" s="11">
        <v>-12787708.145126998</v>
      </c>
      <c r="Q12" s="11">
        <v>4443701</v>
      </c>
      <c r="R12" s="37">
        <f t="shared" si="3"/>
        <v>3108599.6248730011</v>
      </c>
      <c r="S12" s="11">
        <v>509277.74000000057</v>
      </c>
      <c r="T12" s="37">
        <f t="shared" ref="T12:T47" si="10">R12+S12</f>
        <v>3617877.3648730018</v>
      </c>
      <c r="U12" s="48"/>
      <c r="V12" s="48"/>
      <c r="W12" s="48"/>
      <c r="X12" s="24">
        <v>77204000</v>
      </c>
      <c r="Y12" s="25">
        <v>487037000</v>
      </c>
      <c r="Z12" s="28">
        <f>X12+Y12</f>
        <v>564241000</v>
      </c>
      <c r="AA12" s="24">
        <v>0</v>
      </c>
      <c r="AB12" s="25">
        <v>36825000</v>
      </c>
      <c r="AC12" s="25">
        <v>27569150</v>
      </c>
      <c r="AD12" s="28">
        <f>AA12+AB12+AC12</f>
        <v>64394150</v>
      </c>
      <c r="AE12" s="31">
        <f>Z12-AD12</f>
        <v>499846850</v>
      </c>
      <c r="AF12" s="101"/>
      <c r="AG12" s="36">
        <f t="shared" si="8"/>
        <v>7.2379717204839877E-3</v>
      </c>
      <c r="AH12" s="33">
        <v>2.6120000000000001E-2</v>
      </c>
      <c r="AI12" s="34">
        <f>+AG12-AH12</f>
        <v>-1.8882028279516013E-2</v>
      </c>
    </row>
    <row r="13" spans="1:35" x14ac:dyDescent="0.2">
      <c r="A13" s="51">
        <v>44958</v>
      </c>
      <c r="B13" s="51">
        <v>45017</v>
      </c>
      <c r="C13" s="9">
        <v>6587292.4900000002</v>
      </c>
      <c r="D13" s="10">
        <v>-36639.75</v>
      </c>
      <c r="E13" s="10">
        <v>4383285.93</v>
      </c>
      <c r="F13" s="10">
        <v>0</v>
      </c>
      <c r="G13" s="10">
        <v>0</v>
      </c>
      <c r="H13" s="10">
        <v>0</v>
      </c>
      <c r="I13" s="16">
        <f t="shared" ref="I13:I47" si="11">C13+D13+E13+F13+G13-H13</f>
        <v>10933938.67</v>
      </c>
      <c r="J13" s="9">
        <v>0</v>
      </c>
      <c r="K13" s="10">
        <v>4599403</v>
      </c>
      <c r="L13" s="10">
        <v>0</v>
      </c>
      <c r="M13" s="16">
        <f t="shared" ref="M13:M47" si="12">SUM(J13:L13)</f>
        <v>4599403</v>
      </c>
      <c r="N13" s="11">
        <v>552709</v>
      </c>
      <c r="O13" s="37">
        <f t="shared" ref="O13:O47" si="13">I13+M13-N13</f>
        <v>14980632.67</v>
      </c>
      <c r="P13" s="11">
        <v>13765.860000003129</v>
      </c>
      <c r="Q13" s="47">
        <v>-3196384</v>
      </c>
      <c r="R13" s="37">
        <f t="shared" si="3"/>
        <v>18190782.530000001</v>
      </c>
      <c r="S13" s="11">
        <v>-105272.40000000037</v>
      </c>
      <c r="T13" s="37">
        <f t="shared" si="10"/>
        <v>18085510.130000003</v>
      </c>
      <c r="U13" s="48"/>
      <c r="V13" s="48"/>
      <c r="W13" s="48"/>
      <c r="X13" s="24">
        <v>317934000</v>
      </c>
      <c r="Y13" s="25">
        <v>140551000</v>
      </c>
      <c r="Z13" s="28">
        <f t="shared" ref="Z13:Z47" si="14">X13+Y13</f>
        <v>458485000</v>
      </c>
      <c r="AA13" s="24">
        <v>0</v>
      </c>
      <c r="AB13" s="25">
        <v>14970000</v>
      </c>
      <c r="AC13" s="25">
        <v>22393947</v>
      </c>
      <c r="AD13" s="28">
        <f t="shared" ref="AD13:AD47" si="15">AA13+AB13+AC13</f>
        <v>37363947</v>
      </c>
      <c r="AE13" s="31">
        <f t="shared" ref="AE13:AE47" si="16">Z13-AD13</f>
        <v>421121053</v>
      </c>
      <c r="AF13" s="101"/>
      <c r="AG13" s="36">
        <f t="shared" si="8"/>
        <v>4.2946107778658128E-2</v>
      </c>
      <c r="AH13" s="33">
        <v>2.6120000000000001E-2</v>
      </c>
      <c r="AI13" s="34">
        <f t="shared" ref="AI13:AI45" si="17">+AG13-AH13</f>
        <v>1.6826107778658127E-2</v>
      </c>
    </row>
    <row r="14" spans="1:35" x14ac:dyDescent="0.2">
      <c r="A14" s="51">
        <v>44986</v>
      </c>
      <c r="B14" s="51">
        <v>45047</v>
      </c>
      <c r="C14" s="9">
        <v>6740326.6299999999</v>
      </c>
      <c r="D14" s="10">
        <v>160547.45000000001</v>
      </c>
      <c r="E14" s="10">
        <v>3391902.43</v>
      </c>
      <c r="F14" s="10">
        <v>0</v>
      </c>
      <c r="G14" s="10">
        <v>0</v>
      </c>
      <c r="H14" s="10">
        <v>0</v>
      </c>
      <c r="I14" s="16">
        <f t="shared" si="11"/>
        <v>10292776.51</v>
      </c>
      <c r="J14" s="9">
        <v>0</v>
      </c>
      <c r="K14" s="10">
        <v>4073187.29</v>
      </c>
      <c r="L14" s="10">
        <v>0</v>
      </c>
      <c r="M14" s="16">
        <f t="shared" si="12"/>
        <v>4073187.29</v>
      </c>
      <c r="N14" s="11">
        <v>855780.98400000005</v>
      </c>
      <c r="O14" s="37">
        <f t="shared" si="13"/>
        <v>13510182.816000002</v>
      </c>
      <c r="P14" s="11">
        <v>-286579.11926597543</v>
      </c>
      <c r="Q14" s="47">
        <v>1176376</v>
      </c>
      <c r="R14" s="37">
        <f t="shared" si="3"/>
        <v>12047227.696734026</v>
      </c>
      <c r="S14" s="41">
        <v>784504.06999999948</v>
      </c>
      <c r="T14" s="37">
        <f t="shared" si="10"/>
        <v>12831731.766734026</v>
      </c>
      <c r="U14" s="48"/>
      <c r="V14" s="48"/>
      <c r="W14" s="48"/>
      <c r="X14" s="24">
        <v>362421000</v>
      </c>
      <c r="Y14" s="25">
        <v>144299000</v>
      </c>
      <c r="Z14" s="28">
        <f t="shared" si="14"/>
        <v>506720000</v>
      </c>
      <c r="AA14" s="24">
        <v>0</v>
      </c>
      <c r="AB14" s="25">
        <v>31841000</v>
      </c>
      <c r="AC14" s="25">
        <v>23145973</v>
      </c>
      <c r="AD14" s="28">
        <f t="shared" si="15"/>
        <v>54986973</v>
      </c>
      <c r="AE14" s="31">
        <f t="shared" si="16"/>
        <v>451733027</v>
      </c>
      <c r="AF14" s="101"/>
      <c r="AG14" s="36">
        <f t="shared" si="8"/>
        <v>2.840556479111284E-2</v>
      </c>
      <c r="AH14" s="33">
        <v>2.6120000000000001E-2</v>
      </c>
      <c r="AI14" s="34">
        <f t="shared" si="17"/>
        <v>2.2855647911128388E-3</v>
      </c>
    </row>
    <row r="15" spans="1:35" x14ac:dyDescent="0.2">
      <c r="A15" s="51">
        <v>45017</v>
      </c>
      <c r="B15" s="51">
        <v>45078</v>
      </c>
      <c r="C15" s="9">
        <v>2008819.49</v>
      </c>
      <c r="D15" s="10">
        <v>288388.32</v>
      </c>
      <c r="E15" s="10">
        <v>1257326.02</v>
      </c>
      <c r="F15" s="10">
        <v>0</v>
      </c>
      <c r="G15" s="10">
        <v>0</v>
      </c>
      <c r="H15" s="10">
        <v>0</v>
      </c>
      <c r="I15" s="16">
        <f t="shared" si="11"/>
        <v>3554533.83</v>
      </c>
      <c r="J15" s="9">
        <v>0</v>
      </c>
      <c r="K15" s="10">
        <v>9498651</v>
      </c>
      <c r="L15" s="10">
        <v>0</v>
      </c>
      <c r="M15" s="16">
        <f t="shared" si="12"/>
        <v>9498651</v>
      </c>
      <c r="N15" s="11">
        <v>272262</v>
      </c>
      <c r="O15" s="37">
        <f t="shared" si="13"/>
        <v>12780922.83</v>
      </c>
      <c r="P15" s="11">
        <v>-33425.769120000303</v>
      </c>
      <c r="Q15" s="47">
        <v>50207</v>
      </c>
      <c r="R15" s="37">
        <f t="shared" si="3"/>
        <v>12697290.06088</v>
      </c>
      <c r="S15" s="11">
        <v>804948.04999999946</v>
      </c>
      <c r="T15" s="37">
        <f t="shared" si="10"/>
        <v>13502238.110879999</v>
      </c>
      <c r="U15" s="48"/>
      <c r="V15" s="48"/>
      <c r="W15" s="48"/>
      <c r="X15" s="24">
        <v>102677000</v>
      </c>
      <c r="Y15" s="25">
        <v>314286000</v>
      </c>
      <c r="Z15" s="28">
        <f t="shared" si="14"/>
        <v>416963000</v>
      </c>
      <c r="AA15" s="24">
        <v>0</v>
      </c>
      <c r="AB15" s="25">
        <v>8411000</v>
      </c>
      <c r="AC15" s="25">
        <v>19607728</v>
      </c>
      <c r="AD15" s="28">
        <f t="shared" si="15"/>
        <v>28018728</v>
      </c>
      <c r="AE15" s="31">
        <f t="shared" si="16"/>
        <v>388944272</v>
      </c>
      <c r="AF15" s="101"/>
      <c r="AG15" s="36">
        <f t="shared" si="8"/>
        <v>3.4715096950650039E-2</v>
      </c>
      <c r="AH15" s="33">
        <v>2.6120000000000001E-2</v>
      </c>
      <c r="AI15" s="34">
        <f t="shared" si="17"/>
        <v>8.5950969506500378E-3</v>
      </c>
    </row>
    <row r="16" spans="1:35" x14ac:dyDescent="0.2">
      <c r="A16" s="51">
        <v>45047</v>
      </c>
      <c r="B16" s="51">
        <v>45108</v>
      </c>
      <c r="C16" s="9">
        <v>3677601.31</v>
      </c>
      <c r="D16" s="10">
        <v>423217.89</v>
      </c>
      <c r="E16" s="10">
        <v>1656522.68</v>
      </c>
      <c r="F16" s="10">
        <v>0</v>
      </c>
      <c r="G16" s="10">
        <v>0</v>
      </c>
      <c r="H16" s="10">
        <v>0</v>
      </c>
      <c r="I16" s="16">
        <f t="shared" si="11"/>
        <v>5757341.8799999999</v>
      </c>
      <c r="J16" s="9">
        <v>0</v>
      </c>
      <c r="K16" s="10">
        <v>7798248</v>
      </c>
      <c r="L16" s="10">
        <v>0</v>
      </c>
      <c r="M16" s="16">
        <f t="shared" si="12"/>
        <v>7798248</v>
      </c>
      <c r="N16" s="11">
        <v>559930</v>
      </c>
      <c r="O16" s="37">
        <f t="shared" si="13"/>
        <v>12995659.879999999</v>
      </c>
      <c r="P16" s="11">
        <v>12127.689999999478</v>
      </c>
      <c r="Q16" s="47">
        <v>-123902</v>
      </c>
      <c r="R16" s="37">
        <f t="shared" si="3"/>
        <v>13131689.569999998</v>
      </c>
      <c r="S16" s="11">
        <v>-772208.30000000051</v>
      </c>
      <c r="T16" s="37">
        <f t="shared" si="10"/>
        <v>12359481.269999998</v>
      </c>
      <c r="U16" s="48"/>
      <c r="V16" s="48"/>
      <c r="W16" s="48"/>
      <c r="X16" s="24">
        <v>162915000</v>
      </c>
      <c r="Y16" s="25">
        <v>281388000</v>
      </c>
      <c r="Z16" s="28">
        <f t="shared" si="14"/>
        <v>444303000</v>
      </c>
      <c r="AA16" s="24">
        <v>0</v>
      </c>
      <c r="AB16" s="25">
        <v>22433000</v>
      </c>
      <c r="AC16" s="25">
        <v>23355636</v>
      </c>
      <c r="AD16" s="28">
        <f t="shared" si="15"/>
        <v>45788636</v>
      </c>
      <c r="AE16" s="31">
        <f t="shared" si="16"/>
        <v>398514364</v>
      </c>
      <c r="AF16" s="101"/>
      <c r="AG16" s="36">
        <f t="shared" si="8"/>
        <v>3.1013891559502228E-2</v>
      </c>
      <c r="AH16" s="33">
        <v>2.6120000000000001E-2</v>
      </c>
      <c r="AI16" s="34">
        <f t="shared" si="17"/>
        <v>4.8938915595022267E-3</v>
      </c>
    </row>
    <row r="17" spans="1:38" x14ac:dyDescent="0.2">
      <c r="A17" s="51">
        <v>45078</v>
      </c>
      <c r="B17" s="51">
        <v>45139</v>
      </c>
      <c r="C17" s="9">
        <v>7832659.96</v>
      </c>
      <c r="D17" s="10">
        <v>371915.22</v>
      </c>
      <c r="E17" s="10">
        <v>2183171.44</v>
      </c>
      <c r="F17" s="10">
        <v>0</v>
      </c>
      <c r="G17" s="10">
        <v>0</v>
      </c>
      <c r="H17" s="10">
        <v>0</v>
      </c>
      <c r="I17" s="16">
        <f t="shared" si="11"/>
        <v>10387746.619999999</v>
      </c>
      <c r="J17" s="9">
        <v>0</v>
      </c>
      <c r="K17" s="10">
        <v>4265257</v>
      </c>
      <c r="L17" s="10">
        <v>0</v>
      </c>
      <c r="M17" s="16">
        <f t="shared" si="12"/>
        <v>4265257</v>
      </c>
      <c r="N17" s="11">
        <v>1745540</v>
      </c>
      <c r="O17" s="37">
        <f t="shared" si="13"/>
        <v>12907463.619999999</v>
      </c>
      <c r="P17" s="11">
        <v>112701.44070900045</v>
      </c>
      <c r="Q17" s="47">
        <v>136617</v>
      </c>
      <c r="R17" s="37">
        <f t="shared" si="3"/>
        <v>12883548.060709</v>
      </c>
      <c r="S17" s="11">
        <v>637479.33000000007</v>
      </c>
      <c r="T17" s="37">
        <f t="shared" si="10"/>
        <v>13521027.390709</v>
      </c>
      <c r="U17" s="48"/>
      <c r="V17" s="48"/>
      <c r="W17" s="48"/>
      <c r="X17" s="24">
        <v>322868000</v>
      </c>
      <c r="Y17" s="25">
        <v>170792000</v>
      </c>
      <c r="Z17" s="28">
        <f t="shared" si="14"/>
        <v>493660000</v>
      </c>
      <c r="AA17" s="24">
        <v>0</v>
      </c>
      <c r="AB17" s="25">
        <v>53798000</v>
      </c>
      <c r="AC17" s="25">
        <v>22177029</v>
      </c>
      <c r="AD17" s="28">
        <f t="shared" si="15"/>
        <v>75975029</v>
      </c>
      <c r="AE17" s="31">
        <f t="shared" si="16"/>
        <v>417684971</v>
      </c>
      <c r="AF17" s="101"/>
      <c r="AG17" s="36">
        <f t="shared" si="8"/>
        <v>3.2371352405468762E-2</v>
      </c>
      <c r="AH17" s="33">
        <v>2.6120000000000001E-2</v>
      </c>
      <c r="AI17" s="34">
        <f t="shared" si="17"/>
        <v>6.2513524054687609E-3</v>
      </c>
    </row>
    <row r="18" spans="1:38" x14ac:dyDescent="0.2">
      <c r="A18" s="51">
        <v>45108</v>
      </c>
      <c r="B18" s="51">
        <v>45170</v>
      </c>
      <c r="C18" s="9">
        <v>12253057.66</v>
      </c>
      <c r="D18" s="10">
        <v>269148.78000000003</v>
      </c>
      <c r="E18" s="10">
        <v>3195400.7</v>
      </c>
      <c r="F18" s="10">
        <v>0</v>
      </c>
      <c r="G18" s="10">
        <v>0</v>
      </c>
      <c r="H18" s="10">
        <v>0</v>
      </c>
      <c r="I18" s="16">
        <f t="shared" si="11"/>
        <v>15717607.140000001</v>
      </c>
      <c r="J18" s="9">
        <v>0</v>
      </c>
      <c r="K18" s="10">
        <v>5072967</v>
      </c>
      <c r="L18" s="10">
        <v>0</v>
      </c>
      <c r="M18" s="16">
        <f t="shared" si="12"/>
        <v>5072967</v>
      </c>
      <c r="N18" s="11">
        <v>4986720</v>
      </c>
      <c r="O18" s="37">
        <f t="shared" si="13"/>
        <v>15803854.140000001</v>
      </c>
      <c r="P18" s="11">
        <v>-87098.171222999692</v>
      </c>
      <c r="Q18" s="47">
        <v>189157</v>
      </c>
      <c r="R18" s="37">
        <f t="shared" si="3"/>
        <v>15527598.968777001</v>
      </c>
      <c r="S18" s="11">
        <v>1188567.4799999997</v>
      </c>
      <c r="T18" s="37">
        <f t="shared" si="10"/>
        <v>16716166.448777001</v>
      </c>
      <c r="U18" s="48"/>
      <c r="V18" s="48"/>
      <c r="W18" s="48"/>
      <c r="X18" s="24">
        <v>511463000</v>
      </c>
      <c r="Y18" s="25">
        <v>128348000</v>
      </c>
      <c r="Z18" s="28">
        <f t="shared" si="14"/>
        <v>639811000</v>
      </c>
      <c r="AA18" s="24">
        <v>0</v>
      </c>
      <c r="AB18" s="25">
        <v>136516000</v>
      </c>
      <c r="AC18" s="25">
        <v>24361135</v>
      </c>
      <c r="AD18" s="28">
        <f t="shared" si="15"/>
        <v>160877135</v>
      </c>
      <c r="AE18" s="31">
        <f t="shared" si="16"/>
        <v>478933865</v>
      </c>
      <c r="AF18" s="101"/>
      <c r="AG18" s="36">
        <f t="shared" si="8"/>
        <v>3.4902870041935749E-2</v>
      </c>
      <c r="AH18" s="33">
        <v>2.6120000000000001E-2</v>
      </c>
      <c r="AI18" s="34">
        <f t="shared" si="17"/>
        <v>8.7828700419357482E-3</v>
      </c>
      <c r="AJ18" s="99"/>
    </row>
    <row r="19" spans="1:38" x14ac:dyDescent="0.2">
      <c r="A19" s="51">
        <v>45139</v>
      </c>
      <c r="B19" s="51">
        <v>45200</v>
      </c>
      <c r="C19" s="9">
        <v>9555066.0399999991</v>
      </c>
      <c r="D19" s="10">
        <v>227693.73</v>
      </c>
      <c r="E19" s="10">
        <v>2829870.17</v>
      </c>
      <c r="F19" s="10">
        <v>0</v>
      </c>
      <c r="G19" s="10">
        <v>0</v>
      </c>
      <c r="H19" s="10">
        <v>0</v>
      </c>
      <c r="I19" s="16">
        <f t="shared" si="11"/>
        <v>12612629.939999999</v>
      </c>
      <c r="J19" s="9">
        <v>0</v>
      </c>
      <c r="K19" s="10">
        <v>5362326</v>
      </c>
      <c r="L19" s="10">
        <v>0</v>
      </c>
      <c r="M19" s="16">
        <f t="shared" si="12"/>
        <v>5362326</v>
      </c>
      <c r="N19" s="11">
        <v>1317062</v>
      </c>
      <c r="O19" s="37">
        <f t="shared" si="13"/>
        <v>16657893.939999998</v>
      </c>
      <c r="P19" s="47">
        <v>-648422.7833849974</v>
      </c>
      <c r="Q19" s="11">
        <v>285660</v>
      </c>
      <c r="R19" s="37">
        <f t="shared" si="3"/>
        <v>15723811.156615</v>
      </c>
      <c r="S19" s="11">
        <v>1027359.7500000005</v>
      </c>
      <c r="T19" s="37">
        <f t="shared" si="10"/>
        <v>16751170.906615</v>
      </c>
      <c r="U19" s="48"/>
      <c r="V19" s="48"/>
      <c r="W19" s="48"/>
      <c r="X19" s="24">
        <v>381388000</v>
      </c>
      <c r="Y19" s="25">
        <v>154089000</v>
      </c>
      <c r="Z19" s="28">
        <f t="shared" si="14"/>
        <v>535477000</v>
      </c>
      <c r="AA19" s="24">
        <v>0</v>
      </c>
      <c r="AB19" s="43">
        <v>44066000</v>
      </c>
      <c r="AC19" s="25">
        <v>24282269</v>
      </c>
      <c r="AD19" s="28">
        <f t="shared" si="15"/>
        <v>68348269</v>
      </c>
      <c r="AE19" s="31">
        <f t="shared" si="16"/>
        <v>467128731</v>
      </c>
      <c r="AF19" s="101"/>
      <c r="AG19" s="36">
        <f t="shared" si="8"/>
        <v>3.5859860023499605E-2</v>
      </c>
      <c r="AH19" s="33">
        <v>2.6120000000000001E-2</v>
      </c>
      <c r="AI19" s="34">
        <f t="shared" si="17"/>
        <v>9.7398600234996045E-3</v>
      </c>
      <c r="AJ19" s="57"/>
    </row>
    <row r="20" spans="1:38" x14ac:dyDescent="0.2">
      <c r="A20" s="51">
        <v>45170</v>
      </c>
      <c r="B20" s="51">
        <v>45231</v>
      </c>
      <c r="C20" s="9">
        <v>3047271.52</v>
      </c>
      <c r="D20" s="10">
        <v>52501.77</v>
      </c>
      <c r="E20" s="10">
        <v>1494555.02</v>
      </c>
      <c r="F20" s="10">
        <v>0</v>
      </c>
      <c r="G20" s="10">
        <v>0</v>
      </c>
      <c r="H20" s="10">
        <v>0</v>
      </c>
      <c r="I20" s="16">
        <f t="shared" si="11"/>
        <v>4594328.3100000005</v>
      </c>
      <c r="J20" s="9">
        <v>0</v>
      </c>
      <c r="K20" s="10">
        <v>10000868</v>
      </c>
      <c r="L20" s="10">
        <v>0</v>
      </c>
      <c r="M20" s="16">
        <f t="shared" si="12"/>
        <v>10000868</v>
      </c>
      <c r="N20" s="11">
        <v>992568</v>
      </c>
      <c r="O20" s="37">
        <f t="shared" si="13"/>
        <v>13602628.310000001</v>
      </c>
      <c r="P20" s="11">
        <v>-977113.27900000103</v>
      </c>
      <c r="Q20" s="11">
        <v>-252813</v>
      </c>
      <c r="R20" s="37">
        <f t="shared" si="3"/>
        <v>12878328.030999999</v>
      </c>
      <c r="S20" s="11">
        <v>919975.7799999998</v>
      </c>
      <c r="T20" s="37">
        <f t="shared" si="10"/>
        <v>13798303.810999999</v>
      </c>
      <c r="U20" s="48">
        <f t="shared" ref="U20:U47" si="18">AVERAGE(T9:T20)</f>
        <v>18161832.729132336</v>
      </c>
      <c r="V20" s="48">
        <v>0</v>
      </c>
      <c r="W20" s="48">
        <f>SUM(U20:V20)</f>
        <v>18161832.729132336</v>
      </c>
      <c r="X20" s="24">
        <v>142262000</v>
      </c>
      <c r="Y20" s="25">
        <v>305021000</v>
      </c>
      <c r="Z20" s="28">
        <f t="shared" si="14"/>
        <v>447283000</v>
      </c>
      <c r="AA20" s="24">
        <v>0</v>
      </c>
      <c r="AB20" s="25">
        <v>13956000</v>
      </c>
      <c r="AC20" s="25">
        <v>22292386</v>
      </c>
      <c r="AD20" s="28">
        <f t="shared" si="15"/>
        <v>36248386</v>
      </c>
      <c r="AE20" s="31">
        <f t="shared" si="16"/>
        <v>411034614</v>
      </c>
      <c r="AF20" s="101">
        <f>'Historical Sales'!E14</f>
        <v>443997586</v>
      </c>
      <c r="AG20" s="36">
        <f t="shared" si="8"/>
        <v>3.3569688150399908E-2</v>
      </c>
      <c r="AH20" s="33">
        <v>2.6120000000000001E-2</v>
      </c>
      <c r="AI20" s="34">
        <f t="shared" si="17"/>
        <v>7.4496881503999073E-3</v>
      </c>
      <c r="AJ20" s="109"/>
    </row>
    <row r="21" spans="1:38" x14ac:dyDescent="0.2">
      <c r="A21" s="51">
        <v>45200</v>
      </c>
      <c r="B21" s="51">
        <v>45261</v>
      </c>
      <c r="C21" s="9">
        <v>0</v>
      </c>
      <c r="D21" s="10">
        <v>0</v>
      </c>
      <c r="E21" s="10">
        <v>2026821.48</v>
      </c>
      <c r="F21" s="10">
        <v>0</v>
      </c>
      <c r="G21" s="10">
        <v>0</v>
      </c>
      <c r="H21" s="10">
        <v>0</v>
      </c>
      <c r="I21" s="16">
        <f t="shared" si="11"/>
        <v>2026821.48</v>
      </c>
      <c r="J21" s="9">
        <v>0</v>
      </c>
      <c r="K21" s="10">
        <v>9857847</v>
      </c>
      <c r="L21" s="10">
        <v>0</v>
      </c>
      <c r="M21" s="16">
        <f t="shared" si="12"/>
        <v>9857847</v>
      </c>
      <c r="N21" s="11">
        <v>600889</v>
      </c>
      <c r="O21" s="37">
        <f t="shared" si="13"/>
        <v>11283779.48</v>
      </c>
      <c r="P21" s="11">
        <v>-861016.22000000067</v>
      </c>
      <c r="Q21" s="11">
        <v>-771365</v>
      </c>
      <c r="R21" s="37">
        <f t="shared" si="3"/>
        <v>11194128.26</v>
      </c>
      <c r="S21" s="11">
        <v>1584958.66</v>
      </c>
      <c r="T21" s="37">
        <f t="shared" si="10"/>
        <v>12779086.92</v>
      </c>
      <c r="U21" s="48">
        <f t="shared" si="18"/>
        <v>16929581.966632333</v>
      </c>
      <c r="V21" s="48">
        <f>T20-U20</f>
        <v>-4363528.9181323368</v>
      </c>
      <c r="W21" s="48">
        <f>SUM(U21:V21)</f>
        <v>12566053.048499996</v>
      </c>
      <c r="X21" s="24">
        <v>101407000</v>
      </c>
      <c r="Y21" s="25">
        <v>321651000</v>
      </c>
      <c r="Z21" s="28">
        <f t="shared" si="14"/>
        <v>423058000</v>
      </c>
      <c r="AA21" s="24">
        <v>0</v>
      </c>
      <c r="AB21" s="25">
        <v>17792000</v>
      </c>
      <c r="AC21" s="25">
        <v>19606708</v>
      </c>
      <c r="AD21" s="28">
        <f t="shared" si="15"/>
        <v>37398708</v>
      </c>
      <c r="AE21" s="31">
        <f t="shared" si="16"/>
        <v>385659292</v>
      </c>
      <c r="AF21" s="101">
        <f>'Historical Sales'!E15</f>
        <v>463175334</v>
      </c>
      <c r="AG21" s="36">
        <f t="shared" si="8"/>
        <v>3.3135690452908886E-2</v>
      </c>
      <c r="AH21" s="33">
        <v>2.6120000000000001E-2</v>
      </c>
      <c r="AI21" s="34">
        <f t="shared" si="17"/>
        <v>7.0156904529088855E-3</v>
      </c>
      <c r="AJ21" s="99"/>
      <c r="AK21" s="99"/>
      <c r="AL21" s="99"/>
    </row>
    <row r="22" spans="1:38" x14ac:dyDescent="0.2">
      <c r="A22" s="51">
        <v>45231</v>
      </c>
      <c r="B22" s="51">
        <v>45292</v>
      </c>
      <c r="C22" s="9">
        <v>2029176.94</v>
      </c>
      <c r="D22" s="10">
        <v>325357.28000000003</v>
      </c>
      <c r="E22" s="10">
        <v>2404692.9300000002</v>
      </c>
      <c r="F22" s="10">
        <v>0</v>
      </c>
      <c r="G22" s="10">
        <v>0</v>
      </c>
      <c r="H22" s="10">
        <v>0</v>
      </c>
      <c r="I22" s="16">
        <f t="shared" si="11"/>
        <v>4759227.1500000004</v>
      </c>
      <c r="J22" s="9">
        <v>0</v>
      </c>
      <c r="K22" s="10">
        <v>9831389</v>
      </c>
      <c r="L22" s="10">
        <v>0</v>
      </c>
      <c r="M22" s="16">
        <f t="shared" si="12"/>
        <v>9831389</v>
      </c>
      <c r="N22" s="11">
        <v>394932</v>
      </c>
      <c r="O22" s="37">
        <f t="shared" si="13"/>
        <v>14195684.15</v>
      </c>
      <c r="P22" s="11">
        <v>583114.22000000067</v>
      </c>
      <c r="Q22" s="47">
        <v>-114752</v>
      </c>
      <c r="R22" s="37">
        <f t="shared" si="3"/>
        <v>14893550.370000001</v>
      </c>
      <c r="S22" s="11">
        <v>854431.58999999985</v>
      </c>
      <c r="T22" s="37">
        <f t="shared" si="10"/>
        <v>15747981.960000001</v>
      </c>
      <c r="U22" s="48">
        <f t="shared" si="18"/>
        <v>15893307.178299</v>
      </c>
      <c r="V22" s="48">
        <f>T21-U21</f>
        <v>-4150495.0466323327</v>
      </c>
      <c r="W22" s="48">
        <f t="shared" ref="W22:W47" si="19">SUM(U22:V22)</f>
        <v>11742812.131666668</v>
      </c>
      <c r="X22" s="24">
        <v>130632000</v>
      </c>
      <c r="Y22" s="25">
        <v>349965000</v>
      </c>
      <c r="Z22" s="28">
        <f t="shared" si="14"/>
        <v>480597000</v>
      </c>
      <c r="AA22" s="24">
        <v>0</v>
      </c>
      <c r="AB22" s="25">
        <v>13786000</v>
      </c>
      <c r="AC22" s="25">
        <v>22813414</v>
      </c>
      <c r="AD22" s="28">
        <f t="shared" si="15"/>
        <v>36599414</v>
      </c>
      <c r="AE22" s="31">
        <f t="shared" si="16"/>
        <v>443997586</v>
      </c>
      <c r="AF22" s="101">
        <f>'Historical Sales'!H4</f>
        <v>538811681.5</v>
      </c>
      <c r="AG22" s="71">
        <f>(W22+W21+W20)/(AF22+AF21+AF20)</f>
        <v>2.9371473157626844E-2</v>
      </c>
      <c r="AH22" s="33">
        <v>2.6120000000000001E-2</v>
      </c>
      <c r="AI22" s="73">
        <f t="shared" si="17"/>
        <v>3.2514731576268434E-3</v>
      </c>
    </row>
    <row r="23" spans="1:38" x14ac:dyDescent="0.2">
      <c r="A23" s="51">
        <v>45261</v>
      </c>
      <c r="B23" s="51">
        <v>45323</v>
      </c>
      <c r="C23" s="9">
        <v>5926775.2199999997</v>
      </c>
      <c r="D23" s="10">
        <v>445710.76</v>
      </c>
      <c r="E23" s="10">
        <v>2781792.96</v>
      </c>
      <c r="F23" s="10">
        <v>0</v>
      </c>
      <c r="G23" s="10">
        <v>0</v>
      </c>
      <c r="H23" s="10">
        <v>0</v>
      </c>
      <c r="I23" s="16">
        <f t="shared" si="11"/>
        <v>9154278.9399999995</v>
      </c>
      <c r="J23" s="9">
        <v>0</v>
      </c>
      <c r="K23" s="10">
        <v>11363822</v>
      </c>
      <c r="L23" s="10">
        <v>0</v>
      </c>
      <c r="M23" s="16">
        <f t="shared" si="12"/>
        <v>11363822</v>
      </c>
      <c r="N23" s="11">
        <v>1302545</v>
      </c>
      <c r="O23" s="37">
        <f t="shared" si="13"/>
        <v>19215555.939999998</v>
      </c>
      <c r="P23" s="11">
        <v>1215496.5500000007</v>
      </c>
      <c r="Q23" s="47">
        <v>754152</v>
      </c>
      <c r="R23" s="37">
        <f t="shared" si="3"/>
        <v>19676900.489999998</v>
      </c>
      <c r="S23" s="11">
        <v>602316.19000000018</v>
      </c>
      <c r="T23" s="37">
        <f t="shared" si="10"/>
        <v>20279216.68</v>
      </c>
      <c r="U23" s="48">
        <f t="shared" si="18"/>
        <v>14165816.063299006</v>
      </c>
      <c r="V23" s="48">
        <f t="shared" ref="V23:V47" si="20">T22-U22</f>
        <v>-145325.21829899959</v>
      </c>
      <c r="W23" s="48">
        <f t="shared" si="19"/>
        <v>14020490.845000006</v>
      </c>
      <c r="X23" s="24">
        <v>223088000</v>
      </c>
      <c r="Y23" s="25">
        <v>314318000</v>
      </c>
      <c r="Z23" s="28">
        <f t="shared" si="14"/>
        <v>537406000</v>
      </c>
      <c r="AA23" s="24">
        <v>0</v>
      </c>
      <c r="AB23" s="44">
        <v>52216000</v>
      </c>
      <c r="AC23" s="25">
        <v>22014666</v>
      </c>
      <c r="AD23" s="28">
        <f t="shared" si="15"/>
        <v>74230666</v>
      </c>
      <c r="AE23" s="31">
        <f t="shared" si="16"/>
        <v>463175334</v>
      </c>
      <c r="AF23" s="101">
        <f>'Historical Sales'!H5</f>
        <v>444951944.5</v>
      </c>
      <c r="AG23" s="71">
        <f>AG22</f>
        <v>2.9371473157626844E-2</v>
      </c>
      <c r="AH23" s="33">
        <v>2.6120000000000001E-2</v>
      </c>
      <c r="AI23" s="73">
        <f t="shared" si="17"/>
        <v>3.2514731576268434E-3</v>
      </c>
      <c r="AJ23" s="99"/>
      <c r="AK23" s="99"/>
      <c r="AL23" s="99"/>
    </row>
    <row r="24" spans="1:38" x14ac:dyDescent="0.2">
      <c r="A24" s="51">
        <v>45292</v>
      </c>
      <c r="B24" s="51">
        <v>45352</v>
      </c>
      <c r="C24" s="9">
        <v>6815301.1100000003</v>
      </c>
      <c r="D24" s="10">
        <v>209165.03</v>
      </c>
      <c r="E24" s="10">
        <v>3597123.5</v>
      </c>
      <c r="F24" s="10">
        <v>0</v>
      </c>
      <c r="G24" s="10">
        <v>0</v>
      </c>
      <c r="H24" s="10">
        <v>0</v>
      </c>
      <c r="I24" s="16">
        <f t="shared" si="11"/>
        <v>10621589.640000001</v>
      </c>
      <c r="J24" s="9">
        <v>0</v>
      </c>
      <c r="K24" s="10">
        <v>17226102</v>
      </c>
      <c r="L24" s="10">
        <v>0</v>
      </c>
      <c r="M24" s="16">
        <f t="shared" si="12"/>
        <v>17226102</v>
      </c>
      <c r="N24" s="11">
        <v>451514</v>
      </c>
      <c r="O24" s="37">
        <f t="shared" si="13"/>
        <v>27396177.640000001</v>
      </c>
      <c r="P24" s="11">
        <v>-2022209.6829999983</v>
      </c>
      <c r="Q24" s="69">
        <f>'1. Pg4'!N19</f>
        <v>510953</v>
      </c>
      <c r="R24" s="37">
        <f t="shared" si="3"/>
        <v>24863014.957000002</v>
      </c>
      <c r="S24" s="11">
        <v>409541.7100000002</v>
      </c>
      <c r="T24" s="37">
        <f t="shared" si="10"/>
        <v>25272556.667000003</v>
      </c>
      <c r="U24" s="48">
        <f t="shared" si="18"/>
        <v>15970372.671809586</v>
      </c>
      <c r="V24" s="48">
        <f t="shared" si="20"/>
        <v>6113400.6167009939</v>
      </c>
      <c r="W24" s="48">
        <f t="shared" si="19"/>
        <v>22083773.28851058</v>
      </c>
      <c r="X24" s="24">
        <v>279510000</v>
      </c>
      <c r="Y24" s="25">
        <v>344816000</v>
      </c>
      <c r="Z24" s="28">
        <f t="shared" si="14"/>
        <v>624326000</v>
      </c>
      <c r="AA24" s="24">
        <v>0</v>
      </c>
      <c r="AB24" s="25">
        <v>-29247000</v>
      </c>
      <c r="AC24" s="25">
        <v>36104147</v>
      </c>
      <c r="AD24" s="28">
        <f t="shared" si="15"/>
        <v>6857147</v>
      </c>
      <c r="AE24" s="31">
        <f t="shared" si="16"/>
        <v>617468853</v>
      </c>
      <c r="AF24" s="101">
        <f>'Historical Sales'!H6</f>
        <v>447066635</v>
      </c>
      <c r="AG24" s="71">
        <f>AG23</f>
        <v>2.9371473157626844E-2</v>
      </c>
      <c r="AH24" s="33">
        <v>2.6120000000000001E-2</v>
      </c>
      <c r="AI24" s="73">
        <f t="shared" si="17"/>
        <v>3.2514731576268434E-3</v>
      </c>
    </row>
    <row r="25" spans="1:38" x14ac:dyDescent="0.2">
      <c r="A25" s="51">
        <v>45323</v>
      </c>
      <c r="B25" s="51">
        <v>45383</v>
      </c>
      <c r="C25" s="9">
        <v>8255204.3300000001</v>
      </c>
      <c r="D25" s="10">
        <v>532032.34</v>
      </c>
      <c r="E25" s="10">
        <v>4473680.71</v>
      </c>
      <c r="F25" s="10">
        <v>0</v>
      </c>
      <c r="G25" s="10">
        <v>0</v>
      </c>
      <c r="H25" s="10">
        <v>0</v>
      </c>
      <c r="I25" s="16">
        <f t="shared" si="11"/>
        <v>13260917.379999999</v>
      </c>
      <c r="J25" s="9">
        <v>0</v>
      </c>
      <c r="K25" s="10">
        <v>6519881</v>
      </c>
      <c r="L25" s="10">
        <v>0</v>
      </c>
      <c r="M25" s="16">
        <f t="shared" si="12"/>
        <v>6519881</v>
      </c>
      <c r="N25" s="11">
        <v>842803</v>
      </c>
      <c r="O25" s="37">
        <f t="shared" si="13"/>
        <v>18937995.379999999</v>
      </c>
      <c r="P25" s="11">
        <v>-3620640.9087999985</v>
      </c>
      <c r="Q25" s="69">
        <f>'1. Pg4'!N20</f>
        <v>18841</v>
      </c>
      <c r="R25" s="37">
        <f t="shared" si="3"/>
        <v>15298513.4712</v>
      </c>
      <c r="S25" s="11">
        <v>434306.02999999968</v>
      </c>
      <c r="T25" s="37">
        <f t="shared" si="10"/>
        <v>15732819.5012</v>
      </c>
      <c r="U25" s="48">
        <f t="shared" si="18"/>
        <v>15774315.119409585</v>
      </c>
      <c r="V25" s="48">
        <f t="shared" si="20"/>
        <v>9302183.9951904174</v>
      </c>
      <c r="W25" s="48">
        <f t="shared" si="19"/>
        <v>25076499.114600003</v>
      </c>
      <c r="X25" s="24">
        <v>265685000</v>
      </c>
      <c r="Y25" s="25">
        <v>233686000</v>
      </c>
      <c r="Z25" s="28">
        <f t="shared" si="14"/>
        <v>499371000</v>
      </c>
      <c r="AA25" s="24">
        <v>0</v>
      </c>
      <c r="AB25" s="25">
        <v>38386000</v>
      </c>
      <c r="AC25" s="25">
        <v>24653927</v>
      </c>
      <c r="AD25" s="28">
        <f t="shared" si="15"/>
        <v>63039927</v>
      </c>
      <c r="AE25" s="31">
        <f t="shared" si="16"/>
        <v>436331073</v>
      </c>
      <c r="AF25" s="101">
        <f>'Historical Sales'!H7</f>
        <v>388846031.5</v>
      </c>
      <c r="AG25" s="71">
        <f>(W25+W24+W23)/(AF25+AF24+AF23)</f>
        <v>4.7765206972456974E-2</v>
      </c>
      <c r="AH25" s="33">
        <v>2.6120000000000001E-2</v>
      </c>
      <c r="AI25" s="73">
        <f t="shared" si="17"/>
        <v>2.1645206972456973E-2</v>
      </c>
    </row>
    <row r="26" spans="1:38" x14ac:dyDescent="0.2">
      <c r="A26" s="51">
        <v>45352</v>
      </c>
      <c r="B26" s="51">
        <v>45413</v>
      </c>
      <c r="C26" s="9">
        <v>8366721.7599999998</v>
      </c>
      <c r="D26" s="10">
        <v>328573.78999999998</v>
      </c>
      <c r="E26" s="10">
        <v>3403959.6</v>
      </c>
      <c r="F26" s="10">
        <v>0</v>
      </c>
      <c r="G26" s="10">
        <v>0</v>
      </c>
      <c r="H26" s="10">
        <v>0</v>
      </c>
      <c r="I26" s="16">
        <f t="shared" si="11"/>
        <v>12099255.149999999</v>
      </c>
      <c r="J26" s="9">
        <v>0</v>
      </c>
      <c r="K26" s="10">
        <v>3985476</v>
      </c>
      <c r="L26" s="10">
        <v>0</v>
      </c>
      <c r="M26" s="16">
        <f t="shared" si="12"/>
        <v>3985476</v>
      </c>
      <c r="N26" s="11">
        <v>1023450</v>
      </c>
      <c r="O26" s="37">
        <f t="shared" si="13"/>
        <v>15061281.149999999</v>
      </c>
      <c r="P26" s="11">
        <v>-869352.8900000006</v>
      </c>
      <c r="Q26" s="69">
        <f>'1. Pg4'!N21</f>
        <v>-337542</v>
      </c>
      <c r="R26" s="37">
        <f t="shared" si="3"/>
        <v>14529470.259999998</v>
      </c>
      <c r="S26" s="11">
        <v>74328.780000000261</v>
      </c>
      <c r="T26" s="37">
        <f t="shared" si="10"/>
        <v>14603799.039999999</v>
      </c>
      <c r="U26" s="48">
        <f t="shared" si="18"/>
        <v>15921987.392181749</v>
      </c>
      <c r="V26" s="48">
        <f t="shared" si="20"/>
        <v>-41495.618209585547</v>
      </c>
      <c r="W26" s="48">
        <f t="shared" si="19"/>
        <v>15880491.773972163</v>
      </c>
      <c r="X26" s="24">
        <v>313806000</v>
      </c>
      <c r="Y26" s="25">
        <v>180524000</v>
      </c>
      <c r="Z26" s="28">
        <f t="shared" si="14"/>
        <v>494330000</v>
      </c>
      <c r="AA26" s="24">
        <v>0</v>
      </c>
      <c r="AB26" s="25">
        <v>45936000</v>
      </c>
      <c r="AC26" s="25">
        <v>23082423</v>
      </c>
      <c r="AD26" s="28">
        <f t="shared" si="15"/>
        <v>69018423</v>
      </c>
      <c r="AE26" s="31">
        <f t="shared" si="16"/>
        <v>425311577</v>
      </c>
      <c r="AF26" s="101">
        <f>'Historical Sales'!H8</f>
        <v>407199337</v>
      </c>
      <c r="AG26" s="71">
        <f>AG25</f>
        <v>4.7765206972456974E-2</v>
      </c>
      <c r="AH26" s="33">
        <v>2.6120000000000001E-2</v>
      </c>
      <c r="AI26" s="73">
        <f t="shared" si="17"/>
        <v>2.1645206972456973E-2</v>
      </c>
    </row>
    <row r="27" spans="1:38" x14ac:dyDescent="0.2">
      <c r="A27" s="51">
        <v>45383</v>
      </c>
      <c r="B27" s="51">
        <v>45444</v>
      </c>
      <c r="C27" s="9">
        <v>2942490.88</v>
      </c>
      <c r="D27" s="10">
        <v>52688.09</v>
      </c>
      <c r="E27" s="10">
        <v>3071456.95</v>
      </c>
      <c r="F27" s="10">
        <v>0</v>
      </c>
      <c r="G27" s="10">
        <v>0</v>
      </c>
      <c r="H27" s="10">
        <v>0</v>
      </c>
      <c r="I27" s="16">
        <f t="shared" si="11"/>
        <v>6066635.9199999999</v>
      </c>
      <c r="J27" s="9">
        <v>0</v>
      </c>
      <c r="K27" s="10">
        <v>7341757</v>
      </c>
      <c r="L27" s="10">
        <v>0</v>
      </c>
      <c r="M27" s="16">
        <f t="shared" si="12"/>
        <v>7341757</v>
      </c>
      <c r="N27" s="11">
        <v>618931</v>
      </c>
      <c r="O27" s="37">
        <f t="shared" si="13"/>
        <v>12789461.92</v>
      </c>
      <c r="P27" s="11">
        <v>-11541.726415002719</v>
      </c>
      <c r="Q27" s="69">
        <f>'1. Pg4'!N22</f>
        <v>18066</v>
      </c>
      <c r="R27" s="37">
        <f t="shared" si="3"/>
        <v>12759854.193584997</v>
      </c>
      <c r="S27" s="11">
        <v>362160.82000000007</v>
      </c>
      <c r="T27" s="37">
        <f t="shared" si="10"/>
        <v>13122015.013584998</v>
      </c>
      <c r="U27" s="48">
        <f t="shared" si="18"/>
        <v>15890302.134073833</v>
      </c>
      <c r="V27" s="48">
        <f t="shared" si="20"/>
        <v>-1318188.3521817494</v>
      </c>
      <c r="W27" s="48">
        <f t="shared" si="19"/>
        <v>14572113.781892084</v>
      </c>
      <c r="X27" s="24">
        <v>163927000</v>
      </c>
      <c r="Y27" s="25">
        <v>249081000</v>
      </c>
      <c r="Z27" s="28">
        <f t="shared" si="14"/>
        <v>413008000</v>
      </c>
      <c r="AA27" s="24">
        <v>0</v>
      </c>
      <c r="AB27" s="25">
        <v>-7042000</v>
      </c>
      <c r="AC27" s="25">
        <v>22566972</v>
      </c>
      <c r="AD27" s="28">
        <f t="shared" si="15"/>
        <v>15524972</v>
      </c>
      <c r="AE27" s="31">
        <f t="shared" si="16"/>
        <v>397483028</v>
      </c>
      <c r="AF27" s="101">
        <f>'Historical Sales'!H9</f>
        <v>433641620.5</v>
      </c>
      <c r="AG27" s="71">
        <f>AG26</f>
        <v>4.7765206972456974E-2</v>
      </c>
      <c r="AH27" s="33">
        <v>2.6120000000000001E-2</v>
      </c>
      <c r="AI27" s="73">
        <f t="shared" si="17"/>
        <v>2.1645206972456973E-2</v>
      </c>
    </row>
    <row r="28" spans="1:38" x14ac:dyDescent="0.2">
      <c r="A28" s="51">
        <v>45413</v>
      </c>
      <c r="B28" s="51">
        <v>45474</v>
      </c>
      <c r="C28" s="9">
        <v>1353750.64</v>
      </c>
      <c r="D28" s="10">
        <v>347955.04</v>
      </c>
      <c r="E28" s="10">
        <v>3085398</v>
      </c>
      <c r="F28" s="10">
        <v>0</v>
      </c>
      <c r="G28" s="10">
        <v>0</v>
      </c>
      <c r="H28" s="10">
        <v>0</v>
      </c>
      <c r="I28" s="16">
        <f t="shared" si="11"/>
        <v>4787103.68</v>
      </c>
      <c r="J28" s="9">
        <v>0</v>
      </c>
      <c r="K28" s="10">
        <v>8636530</v>
      </c>
      <c r="L28" s="10">
        <v>0</v>
      </c>
      <c r="M28" s="16">
        <f t="shared" si="12"/>
        <v>8636530</v>
      </c>
      <c r="N28" s="11">
        <v>686391</v>
      </c>
      <c r="O28" s="37">
        <f t="shared" si="13"/>
        <v>12737242.68</v>
      </c>
      <c r="P28" s="47">
        <v>-1358851.5700000003</v>
      </c>
      <c r="Q28" s="69">
        <f>'1. Pg4'!N23</f>
        <v>-470134</v>
      </c>
      <c r="R28" s="37">
        <f t="shared" si="3"/>
        <v>11848525.109999999</v>
      </c>
      <c r="S28" s="11">
        <v>-350114.66000000009</v>
      </c>
      <c r="T28" s="37">
        <f t="shared" si="10"/>
        <v>11498410.449999999</v>
      </c>
      <c r="U28" s="48">
        <f t="shared" si="18"/>
        <v>15818546.232407166</v>
      </c>
      <c r="V28" s="48">
        <f t="shared" si="20"/>
        <v>-2768287.1204888355</v>
      </c>
      <c r="W28" s="48">
        <f t="shared" si="19"/>
        <v>13050259.11191833</v>
      </c>
      <c r="X28" s="24">
        <v>161071000</v>
      </c>
      <c r="Y28" s="25">
        <v>292269000</v>
      </c>
      <c r="Z28" s="28">
        <f t="shared" si="14"/>
        <v>453340000</v>
      </c>
      <c r="AA28" s="24">
        <v>0</v>
      </c>
      <c r="AB28" s="25">
        <v>20799000</v>
      </c>
      <c r="AC28" s="25">
        <v>20662593</v>
      </c>
      <c r="AD28" s="28">
        <f t="shared" si="15"/>
        <v>41461593</v>
      </c>
      <c r="AE28" s="31">
        <f t="shared" si="16"/>
        <v>411878407</v>
      </c>
      <c r="AF28" s="101">
        <f>'Historical Sales'!H10</f>
        <v>478729759</v>
      </c>
      <c r="AG28" s="71">
        <f>(W28+W27+W26)/(AF28+AF27+AF26)</f>
        <v>3.2967437154992806E-2</v>
      </c>
      <c r="AH28" s="33">
        <v>2.6120000000000001E-2</v>
      </c>
      <c r="AI28" s="73">
        <f t="shared" si="17"/>
        <v>6.8474371549928047E-3</v>
      </c>
    </row>
    <row r="29" spans="1:38" x14ac:dyDescent="0.2">
      <c r="A29" s="51">
        <v>45444</v>
      </c>
      <c r="B29" s="51">
        <v>45505</v>
      </c>
      <c r="C29" s="9">
        <v>10602993.08</v>
      </c>
      <c r="D29" s="10">
        <v>342138.33</v>
      </c>
      <c r="E29" s="10">
        <v>3166493.66</v>
      </c>
      <c r="F29" s="10">
        <v>0</v>
      </c>
      <c r="G29" s="10">
        <v>0</v>
      </c>
      <c r="H29" s="10">
        <v>0</v>
      </c>
      <c r="I29" s="16">
        <f t="shared" si="11"/>
        <v>14111625.07</v>
      </c>
      <c r="J29" s="9">
        <v>0</v>
      </c>
      <c r="K29" s="10">
        <v>5152879.82</v>
      </c>
      <c r="L29" s="10">
        <v>0</v>
      </c>
      <c r="M29" s="16">
        <f t="shared" si="12"/>
        <v>5152879.82</v>
      </c>
      <c r="N29" s="11">
        <v>2812137.43</v>
      </c>
      <c r="O29" s="37">
        <f t="shared" si="13"/>
        <v>16452367.460000001</v>
      </c>
      <c r="P29" s="11">
        <v>179358.58000000007</v>
      </c>
      <c r="Q29" s="69">
        <f>'1. Pg4'!N24</f>
        <v>261</v>
      </c>
      <c r="R29" s="37">
        <f t="shared" si="3"/>
        <v>16631465.040000001</v>
      </c>
      <c r="S29" s="11">
        <v>1040687.4099999993</v>
      </c>
      <c r="T29" s="37">
        <f t="shared" si="10"/>
        <v>17672152.449999999</v>
      </c>
      <c r="U29" s="48">
        <f t="shared" si="18"/>
        <v>16164473.320681414</v>
      </c>
      <c r="V29" s="48">
        <f t="shared" si="20"/>
        <v>-4320135.7824071664</v>
      </c>
      <c r="W29" s="48">
        <f t="shared" si="19"/>
        <v>11844337.538274247</v>
      </c>
      <c r="X29" s="24">
        <v>393618000</v>
      </c>
      <c r="Y29" s="25">
        <v>181007000</v>
      </c>
      <c r="Z29" s="28">
        <f t="shared" si="14"/>
        <v>574625000</v>
      </c>
      <c r="AA29" s="24">
        <v>0</v>
      </c>
      <c r="AB29" s="25">
        <v>92654000</v>
      </c>
      <c r="AC29" s="25">
        <v>24205900</v>
      </c>
      <c r="AD29" s="28">
        <f t="shared" si="15"/>
        <v>116859900</v>
      </c>
      <c r="AE29" s="31">
        <f t="shared" si="16"/>
        <v>457765100</v>
      </c>
      <c r="AF29" s="101">
        <f>'Historical Sales'!H11</f>
        <v>468243931</v>
      </c>
      <c r="AG29" s="71">
        <f>AG28</f>
        <v>3.2967437154992806E-2</v>
      </c>
      <c r="AH29" s="33">
        <v>2.6120000000000001E-2</v>
      </c>
      <c r="AI29" s="73">
        <f t="shared" si="17"/>
        <v>6.8474371549928047E-3</v>
      </c>
    </row>
    <row r="30" spans="1:38" x14ac:dyDescent="0.2">
      <c r="A30" s="51">
        <v>45474</v>
      </c>
      <c r="B30" s="51">
        <v>45536</v>
      </c>
      <c r="C30" s="9">
        <v>10399040</v>
      </c>
      <c r="D30" s="10">
        <v>348835.01</v>
      </c>
      <c r="E30" s="10">
        <v>3737506.03</v>
      </c>
      <c r="F30" s="10">
        <v>0</v>
      </c>
      <c r="G30" s="10">
        <v>0</v>
      </c>
      <c r="H30" s="10">
        <v>0</v>
      </c>
      <c r="I30" s="16">
        <f t="shared" si="11"/>
        <v>14485381.039999999</v>
      </c>
      <c r="J30" s="9">
        <v>0</v>
      </c>
      <c r="K30" s="10">
        <v>6090275.1200000001</v>
      </c>
      <c r="L30" s="10">
        <v>0</v>
      </c>
      <c r="M30" s="16">
        <f t="shared" si="12"/>
        <v>6090275.1200000001</v>
      </c>
      <c r="N30" s="11">
        <v>3136941.8289999999</v>
      </c>
      <c r="O30" s="37">
        <f t="shared" si="13"/>
        <v>17438714.331</v>
      </c>
      <c r="P30" s="11">
        <v>-668773.56712250784</v>
      </c>
      <c r="Q30" s="69">
        <f>'1. Pg4'!N25</f>
        <v>339141</v>
      </c>
      <c r="R30" s="37">
        <f t="shared" si="3"/>
        <v>16430799.763877492</v>
      </c>
      <c r="S30" s="11">
        <v>1503865.8900000006</v>
      </c>
      <c r="T30" s="37">
        <f t="shared" si="10"/>
        <v>17934665.653877493</v>
      </c>
      <c r="U30" s="48">
        <f t="shared" si="18"/>
        <v>16266014.921106458</v>
      </c>
      <c r="V30" s="48">
        <f t="shared" si="20"/>
        <v>1507679.1293185856</v>
      </c>
      <c r="W30" s="48">
        <f t="shared" si="19"/>
        <v>17773694.050425045</v>
      </c>
      <c r="X30" s="24">
        <v>429775000</v>
      </c>
      <c r="Y30" s="25">
        <v>128951000</v>
      </c>
      <c r="Z30" s="28">
        <f t="shared" si="14"/>
        <v>558726000</v>
      </c>
      <c r="AA30" s="24">
        <v>0</v>
      </c>
      <c r="AB30" s="25">
        <v>55537000</v>
      </c>
      <c r="AC30" s="25">
        <v>25365835</v>
      </c>
      <c r="AD30" s="28">
        <f t="shared" si="15"/>
        <v>80902835</v>
      </c>
      <c r="AE30" s="31">
        <f t="shared" si="16"/>
        <v>477823165</v>
      </c>
      <c r="AF30" s="101">
        <f>'Historical Sales'!H12</f>
        <v>407650879</v>
      </c>
      <c r="AG30" s="71">
        <f>AG29</f>
        <v>3.2967437154992806E-2</v>
      </c>
      <c r="AH30" s="33">
        <v>2.6120000000000001E-2</v>
      </c>
      <c r="AI30" s="73">
        <f t="shared" si="17"/>
        <v>6.8474371549928047E-3</v>
      </c>
    </row>
    <row r="31" spans="1:38" x14ac:dyDescent="0.2">
      <c r="A31" s="51">
        <v>45505</v>
      </c>
      <c r="B31" s="51">
        <v>45566</v>
      </c>
      <c r="C31" s="9">
        <v>8665987.1099999994</v>
      </c>
      <c r="D31" s="10">
        <v>213404.01</v>
      </c>
      <c r="E31" s="10">
        <v>4114423.72</v>
      </c>
      <c r="F31" s="10">
        <v>0</v>
      </c>
      <c r="G31" s="10">
        <v>0</v>
      </c>
      <c r="H31" s="10">
        <v>0</v>
      </c>
      <c r="I31" s="16">
        <f t="shared" si="11"/>
        <v>12993814.84</v>
      </c>
      <c r="J31" s="9">
        <v>0</v>
      </c>
      <c r="K31" s="10">
        <v>6342733</v>
      </c>
      <c r="L31" s="10">
        <v>0</v>
      </c>
      <c r="M31" s="16">
        <f t="shared" si="12"/>
        <v>6342733</v>
      </c>
      <c r="N31" s="11">
        <v>2122386</v>
      </c>
      <c r="O31" s="37">
        <f t="shared" si="13"/>
        <v>17214161.84</v>
      </c>
      <c r="P31" s="11">
        <v>-365940.1099999994</v>
      </c>
      <c r="Q31" s="69">
        <f>'1. Pg4'!N26</f>
        <v>243572</v>
      </c>
      <c r="R31" s="37">
        <f t="shared" si="3"/>
        <v>16604649.73</v>
      </c>
      <c r="S31" s="11">
        <v>27017.479999999981</v>
      </c>
      <c r="T31" s="37">
        <f t="shared" si="10"/>
        <v>16631667.210000001</v>
      </c>
      <c r="U31" s="48">
        <f t="shared" si="18"/>
        <v>16256056.279721873</v>
      </c>
      <c r="V31" s="48">
        <f t="shared" si="20"/>
        <v>1668650.7327710353</v>
      </c>
      <c r="W31" s="48">
        <f t="shared" si="19"/>
        <v>17924707.01249291</v>
      </c>
      <c r="X31" s="24">
        <v>361535000</v>
      </c>
      <c r="Y31" s="25">
        <v>174651000</v>
      </c>
      <c r="Z31" s="28">
        <f t="shared" si="14"/>
        <v>536186000</v>
      </c>
      <c r="AA31" s="24">
        <v>0</v>
      </c>
      <c r="AB31" s="25">
        <v>49751000</v>
      </c>
      <c r="AC31" s="25">
        <v>23382437</v>
      </c>
      <c r="AD31" s="28">
        <f t="shared" si="15"/>
        <v>73133437</v>
      </c>
      <c r="AE31" s="31">
        <f t="shared" si="16"/>
        <v>463052563</v>
      </c>
      <c r="AF31" s="101">
        <f>'Historical Sales'!H13</f>
        <v>395355795.5</v>
      </c>
      <c r="AG31" s="71">
        <f>(W31+W30+W29)/(AF31+AF30+AF29)</f>
        <v>3.7398399965751054E-2</v>
      </c>
      <c r="AH31" s="33">
        <v>2.6120000000000001E-2</v>
      </c>
      <c r="AI31" s="73">
        <f t="shared" si="17"/>
        <v>1.1278399965751053E-2</v>
      </c>
    </row>
    <row r="32" spans="1:38" x14ac:dyDescent="0.2">
      <c r="A32" s="51">
        <v>45536</v>
      </c>
      <c r="B32" s="51">
        <v>45597</v>
      </c>
      <c r="C32" s="9">
        <v>1065990.32</v>
      </c>
      <c r="D32" s="10">
        <v>339748.07</v>
      </c>
      <c r="E32" s="10">
        <v>1321540.5899999994</v>
      </c>
      <c r="F32" s="10">
        <v>0</v>
      </c>
      <c r="G32" s="10">
        <v>0</v>
      </c>
      <c r="H32" s="10">
        <v>0</v>
      </c>
      <c r="I32" s="16">
        <f t="shared" si="11"/>
        <v>2727278.9799999995</v>
      </c>
      <c r="J32" s="9">
        <v>0</v>
      </c>
      <c r="K32" s="10">
        <v>13218989</v>
      </c>
      <c r="L32" s="10">
        <v>0</v>
      </c>
      <c r="M32" s="16">
        <f t="shared" si="12"/>
        <v>13218989</v>
      </c>
      <c r="N32" s="11">
        <v>604551</v>
      </c>
      <c r="O32" s="37">
        <f t="shared" si="13"/>
        <v>15341716.98</v>
      </c>
      <c r="P32" s="11">
        <v>-656352.84276800044</v>
      </c>
      <c r="Q32" s="69">
        <f>'1. Pg4'!N27</f>
        <v>-79432</v>
      </c>
      <c r="R32" s="37">
        <f t="shared" si="3"/>
        <v>14764796.137232</v>
      </c>
      <c r="S32" s="11">
        <v>92268.269999999669</v>
      </c>
      <c r="T32" s="37">
        <f t="shared" si="10"/>
        <v>14857064.407232</v>
      </c>
      <c r="U32" s="48">
        <f t="shared" si="18"/>
        <v>16344286.329407876</v>
      </c>
      <c r="V32" s="48">
        <f t="shared" si="20"/>
        <v>375610.93027812801</v>
      </c>
      <c r="W32" s="48">
        <f t="shared" si="19"/>
        <v>16719897.259686004</v>
      </c>
      <c r="X32" s="24">
        <v>73064000</v>
      </c>
      <c r="Y32" s="25">
        <v>356825000</v>
      </c>
      <c r="Z32" s="28">
        <f t="shared" si="14"/>
        <v>429889000</v>
      </c>
      <c r="AA32" s="24">
        <v>0</v>
      </c>
      <c r="AB32" s="25">
        <v>10901000</v>
      </c>
      <c r="AC32" s="25">
        <v>19794871</v>
      </c>
      <c r="AD32" s="28">
        <f t="shared" si="15"/>
        <v>30695871</v>
      </c>
      <c r="AE32" s="31">
        <f t="shared" si="16"/>
        <v>399193129</v>
      </c>
      <c r="AF32" s="101">
        <f>'Historical Sales'!H14</f>
        <v>442351858</v>
      </c>
      <c r="AG32" s="71">
        <f>AG31</f>
        <v>3.7398399965751054E-2</v>
      </c>
      <c r="AH32" s="33">
        <v>2.6120000000000001E-2</v>
      </c>
      <c r="AI32" s="73">
        <f t="shared" si="17"/>
        <v>1.1278399965751053E-2</v>
      </c>
    </row>
    <row r="33" spans="1:36" x14ac:dyDescent="0.2">
      <c r="A33" s="51">
        <v>45566</v>
      </c>
      <c r="B33" s="51">
        <v>45627</v>
      </c>
      <c r="C33" s="9">
        <v>5748106</v>
      </c>
      <c r="D33" s="10">
        <v>712071</v>
      </c>
      <c r="E33" s="10">
        <v>615648</v>
      </c>
      <c r="F33" s="10">
        <v>0</v>
      </c>
      <c r="G33" s="10">
        <v>0</v>
      </c>
      <c r="H33" s="10">
        <v>0</v>
      </c>
      <c r="I33" s="16">
        <f t="shared" si="11"/>
        <v>7075825</v>
      </c>
      <c r="J33" s="9">
        <v>0</v>
      </c>
      <c r="K33" s="10">
        <v>9837745</v>
      </c>
      <c r="L33" s="10">
        <v>0</v>
      </c>
      <c r="M33" s="16">
        <f t="shared" si="12"/>
        <v>9837745</v>
      </c>
      <c r="N33" s="11">
        <v>1026754</v>
      </c>
      <c r="O33" s="37">
        <f t="shared" si="13"/>
        <v>15886816</v>
      </c>
      <c r="P33" s="11">
        <v>-2035385.928718999</v>
      </c>
      <c r="Q33" s="69">
        <f>'1. Pg4'!N28</f>
        <v>-168915</v>
      </c>
      <c r="R33" s="37">
        <f t="shared" si="3"/>
        <v>14020345.071281001</v>
      </c>
      <c r="S33" s="11">
        <v>153229.8200000003</v>
      </c>
      <c r="T33" s="37">
        <f t="shared" si="10"/>
        <v>14173574.891281001</v>
      </c>
      <c r="U33" s="48">
        <f t="shared" si="18"/>
        <v>16460493.660347959</v>
      </c>
      <c r="V33" s="48">
        <f t="shared" si="20"/>
        <v>-1487221.9221758768</v>
      </c>
      <c r="W33" s="48">
        <f t="shared" si="19"/>
        <v>14973271.738172082</v>
      </c>
      <c r="X33" s="24">
        <v>152494000</v>
      </c>
      <c r="Y33" s="25">
        <v>297185000</v>
      </c>
      <c r="Z33" s="28">
        <f t="shared" si="14"/>
        <v>449679000</v>
      </c>
      <c r="AA33" s="24">
        <v>0</v>
      </c>
      <c r="AB33" s="25">
        <v>28730000</v>
      </c>
      <c r="AC33" s="25">
        <v>21018704</v>
      </c>
      <c r="AD33" s="28">
        <f t="shared" si="15"/>
        <v>49748704</v>
      </c>
      <c r="AE33" s="31">
        <f t="shared" si="16"/>
        <v>399930296</v>
      </c>
      <c r="AF33" s="101">
        <f>'Historical Sales'!H15</f>
        <v>497023273</v>
      </c>
      <c r="AG33" s="71">
        <f>AG32</f>
        <v>3.7398399965751054E-2</v>
      </c>
      <c r="AH33" s="33">
        <v>2.6120000000000001E-2</v>
      </c>
      <c r="AI33" s="73">
        <f t="shared" si="17"/>
        <v>1.1278399965751053E-2</v>
      </c>
    </row>
    <row r="34" spans="1:36" x14ac:dyDescent="0.2">
      <c r="A34" s="51">
        <v>45597</v>
      </c>
      <c r="B34" s="51">
        <v>45658</v>
      </c>
      <c r="C34" s="9">
        <v>8015514.6299999999</v>
      </c>
      <c r="D34" s="10">
        <v>142901.43999999994</v>
      </c>
      <c r="E34" s="10">
        <v>442578.1</v>
      </c>
      <c r="F34" s="10">
        <v>0</v>
      </c>
      <c r="G34" s="10">
        <v>0</v>
      </c>
      <c r="H34" s="10">
        <v>0</v>
      </c>
      <c r="I34" s="16">
        <f t="shared" si="11"/>
        <v>8600994.1699999999</v>
      </c>
      <c r="J34" s="9">
        <v>0</v>
      </c>
      <c r="K34" s="10">
        <v>8381013.4598200005</v>
      </c>
      <c r="L34" s="10">
        <v>0</v>
      </c>
      <c r="M34" s="16">
        <f t="shared" si="12"/>
        <v>8381013.4598200005</v>
      </c>
      <c r="N34" s="11">
        <v>1593671.5960000001</v>
      </c>
      <c r="O34" s="37">
        <f t="shared" si="13"/>
        <v>15388336.03382</v>
      </c>
      <c r="P34" s="11">
        <v>-603897.49623633362</v>
      </c>
      <c r="Q34" s="69">
        <f>'1. Pg4'!N29</f>
        <v>-555288</v>
      </c>
      <c r="R34" s="37">
        <f t="shared" si="3"/>
        <v>15339726.537583666</v>
      </c>
      <c r="S34" s="11">
        <v>296449.27</v>
      </c>
      <c r="T34" s="37">
        <f t="shared" si="10"/>
        <v>15636175.807583665</v>
      </c>
      <c r="U34" s="48">
        <f t="shared" si="18"/>
        <v>16451176.480979929</v>
      </c>
      <c r="V34" s="48">
        <f t="shared" si="20"/>
        <v>-2286918.7690669578</v>
      </c>
      <c r="W34" s="48">
        <f t="shared" si="19"/>
        <v>14164257.711912971</v>
      </c>
      <c r="X34" s="24">
        <v>207643000</v>
      </c>
      <c r="Y34" s="25">
        <v>262120000</v>
      </c>
      <c r="Z34" s="28">
        <f t="shared" si="14"/>
        <v>469763000</v>
      </c>
      <c r="AA34" s="24">
        <v>0</v>
      </c>
      <c r="AB34" s="25">
        <v>44723000</v>
      </c>
      <c r="AC34" s="25">
        <v>18744077</v>
      </c>
      <c r="AD34" s="28">
        <f t="shared" si="15"/>
        <v>63467077</v>
      </c>
      <c r="AE34" s="31">
        <f t="shared" si="16"/>
        <v>406295923</v>
      </c>
      <c r="AF34" s="101">
        <f>'Historical Sales'!K4</f>
        <v>558657851.5</v>
      </c>
      <c r="AG34" s="71">
        <f>(W34+W33+W32)/(AF34+AF33+AF32)</f>
        <v>3.0611760385436674E-2</v>
      </c>
      <c r="AH34" s="33">
        <v>2.6120000000000001E-2</v>
      </c>
      <c r="AI34" s="73">
        <f t="shared" si="17"/>
        <v>4.4917603854366731E-3</v>
      </c>
    </row>
    <row r="35" spans="1:36" x14ac:dyDescent="0.2">
      <c r="A35" s="51">
        <v>45627</v>
      </c>
      <c r="B35" s="51">
        <v>45689</v>
      </c>
      <c r="C35" s="9">
        <v>10015105.620000001</v>
      </c>
      <c r="D35" s="10">
        <v>159819.37000000002</v>
      </c>
      <c r="E35" s="10">
        <v>3597973.61</v>
      </c>
      <c r="F35" s="10">
        <v>0</v>
      </c>
      <c r="G35" s="10">
        <v>0</v>
      </c>
      <c r="H35" s="10">
        <v>0</v>
      </c>
      <c r="I35" s="16">
        <f t="shared" si="11"/>
        <v>13772898.6</v>
      </c>
      <c r="J35" s="9">
        <v>0</v>
      </c>
      <c r="K35" s="10">
        <v>8658526.8800000008</v>
      </c>
      <c r="L35" s="10">
        <v>0</v>
      </c>
      <c r="M35" s="16">
        <f t="shared" si="12"/>
        <v>8658526.8800000008</v>
      </c>
      <c r="N35" s="11">
        <v>2258286.3640000001</v>
      </c>
      <c r="O35" s="37">
        <f t="shared" si="13"/>
        <v>20173139.116</v>
      </c>
      <c r="P35" s="11">
        <v>-570659.91477072239</v>
      </c>
      <c r="Q35" s="69">
        <f>'1. Pg4'!N30</f>
        <v>818976</v>
      </c>
      <c r="R35" s="37">
        <f t="shared" si="3"/>
        <v>18783503.201229278</v>
      </c>
      <c r="S35" s="11">
        <v>528032.65000000026</v>
      </c>
      <c r="T35" s="37">
        <f t="shared" si="10"/>
        <v>19311535.851229277</v>
      </c>
      <c r="U35" s="48">
        <f t="shared" si="18"/>
        <v>16370536.411915703</v>
      </c>
      <c r="V35" s="48">
        <f t="shared" si="20"/>
        <v>-815000.67339626327</v>
      </c>
      <c r="W35" s="48">
        <f t="shared" si="19"/>
        <v>15555535.738519439</v>
      </c>
      <c r="X35" s="24">
        <v>338297000</v>
      </c>
      <c r="Y35" s="25">
        <v>220054000</v>
      </c>
      <c r="Z35" s="28">
        <f t="shared" si="14"/>
        <v>558351000</v>
      </c>
      <c r="AA35" s="24">
        <v>0</v>
      </c>
      <c r="AB35" s="25">
        <v>39662000</v>
      </c>
      <c r="AC35" s="25">
        <v>24135500</v>
      </c>
      <c r="AD35" s="28">
        <f t="shared" si="15"/>
        <v>63797500</v>
      </c>
      <c r="AE35" s="31">
        <f t="shared" si="16"/>
        <v>494553500</v>
      </c>
      <c r="AF35" s="101">
        <f>'Historical Sales'!K5</f>
        <v>428726063</v>
      </c>
      <c r="AG35" s="71">
        <f>AG34</f>
        <v>3.0611760385436674E-2</v>
      </c>
      <c r="AH35" s="33">
        <v>2.6120000000000001E-2</v>
      </c>
      <c r="AI35" s="73">
        <f t="shared" si="17"/>
        <v>4.4917603854366731E-3</v>
      </c>
    </row>
    <row r="36" spans="1:36" x14ac:dyDescent="0.2">
      <c r="A36" s="51">
        <v>45658</v>
      </c>
      <c r="B36" s="51">
        <v>45717</v>
      </c>
      <c r="C36" s="9">
        <v>12290393.289999999</v>
      </c>
      <c r="D36" s="10">
        <v>170057.37</v>
      </c>
      <c r="E36" s="10">
        <v>5396975.4099999983</v>
      </c>
      <c r="F36" s="10">
        <v>0</v>
      </c>
      <c r="G36" s="10">
        <v>0</v>
      </c>
      <c r="H36" s="10">
        <v>0</v>
      </c>
      <c r="I36" s="16">
        <f t="shared" si="11"/>
        <v>17857426.069999997</v>
      </c>
      <c r="J36" s="9">
        <v>0</v>
      </c>
      <c r="K36" s="10">
        <v>15955926.759999998</v>
      </c>
      <c r="L36" s="10">
        <v>0</v>
      </c>
      <c r="M36" s="16">
        <f t="shared" si="12"/>
        <v>15955926.759999998</v>
      </c>
      <c r="N36" s="11">
        <v>1347987.8419999999</v>
      </c>
      <c r="O36" s="37">
        <f t="shared" si="13"/>
        <v>32465364.987999998</v>
      </c>
      <c r="P36" s="11">
        <v>137183.28299999982</v>
      </c>
      <c r="Q36" s="69">
        <f>'1. Pg4'!N31</f>
        <v>450900</v>
      </c>
      <c r="R36" s="37">
        <f t="shared" si="3"/>
        <v>32151648.270999998</v>
      </c>
      <c r="S36" s="11">
        <v>1112829.96</v>
      </c>
      <c r="T36" s="37">
        <f t="shared" si="10"/>
        <v>33264478.230999999</v>
      </c>
      <c r="U36" s="48">
        <f t="shared" si="18"/>
        <v>17036529.875582371</v>
      </c>
      <c r="V36" s="48">
        <f t="shared" si="20"/>
        <v>2940999.4393135738</v>
      </c>
      <c r="W36" s="48">
        <f t="shared" si="19"/>
        <v>19977529.314895943</v>
      </c>
      <c r="X36" s="24">
        <v>406089000</v>
      </c>
      <c r="Y36" s="25">
        <v>275391000</v>
      </c>
      <c r="Z36" s="28">
        <f t="shared" si="14"/>
        <v>681480000</v>
      </c>
      <c r="AA36" s="24">
        <v>0</v>
      </c>
      <c r="AB36" s="25">
        <v>26900000</v>
      </c>
      <c r="AC36" s="25">
        <v>26261452</v>
      </c>
      <c r="AD36" s="28">
        <f t="shared" si="15"/>
        <v>53161452</v>
      </c>
      <c r="AE36" s="31">
        <f t="shared" si="16"/>
        <v>628318548</v>
      </c>
      <c r="AF36" s="101">
        <f>'Historical Sales'!K6</f>
        <v>438522302</v>
      </c>
      <c r="AG36" s="71">
        <f>AG35</f>
        <v>3.0611760385436674E-2</v>
      </c>
      <c r="AH36" s="33">
        <v>3.3799999999999997E-2</v>
      </c>
      <c r="AI36" s="73">
        <f t="shared" si="17"/>
        <v>-3.1882396145633228E-3</v>
      </c>
    </row>
    <row r="37" spans="1:36" x14ac:dyDescent="0.2">
      <c r="A37" s="51">
        <v>45689</v>
      </c>
      <c r="B37" s="51">
        <v>45748</v>
      </c>
      <c r="C37" s="9">
        <v>3464421.5</v>
      </c>
      <c r="D37" s="10">
        <v>269009.71999999997</v>
      </c>
      <c r="E37" s="10">
        <v>5554232.0300000003</v>
      </c>
      <c r="F37" s="10">
        <v>0</v>
      </c>
      <c r="G37" s="10">
        <v>0</v>
      </c>
      <c r="H37" s="10">
        <v>0</v>
      </c>
      <c r="I37" s="16">
        <f t="shared" si="11"/>
        <v>9287663.25</v>
      </c>
      <c r="J37" s="9">
        <v>0</v>
      </c>
      <c r="K37" s="10">
        <v>14684475</v>
      </c>
      <c r="L37" s="10">
        <v>0</v>
      </c>
      <c r="M37" s="16">
        <f t="shared" si="12"/>
        <v>14684475</v>
      </c>
      <c r="N37" s="11">
        <v>1062602</v>
      </c>
      <c r="O37" s="37">
        <f t="shared" si="13"/>
        <v>22909536.25</v>
      </c>
      <c r="P37" s="11">
        <v>-3547089.8900000006</v>
      </c>
      <c r="Q37" s="69">
        <f>'1. Pg4'!N32</f>
        <v>351148</v>
      </c>
      <c r="R37" s="37">
        <f t="shared" si="3"/>
        <v>19011298.359999999</v>
      </c>
      <c r="S37" s="11">
        <v>664148.19999999984</v>
      </c>
      <c r="T37" s="37">
        <f t="shared" si="10"/>
        <v>19675446.559999999</v>
      </c>
      <c r="U37" s="48">
        <f t="shared" si="18"/>
        <v>17365082.130482372</v>
      </c>
      <c r="V37" s="48">
        <f t="shared" si="20"/>
        <v>16227948.355417628</v>
      </c>
      <c r="W37" s="48">
        <f t="shared" si="19"/>
        <v>33593030.4859</v>
      </c>
      <c r="X37" s="24">
        <v>197875000</v>
      </c>
      <c r="Y37" s="25">
        <v>330819000</v>
      </c>
      <c r="Z37" s="28">
        <f t="shared" si="14"/>
        <v>528694000</v>
      </c>
      <c r="AA37" s="24">
        <v>0</v>
      </c>
      <c r="AB37" s="25">
        <v>18116000</v>
      </c>
      <c r="AC37" s="25">
        <v>23874247</v>
      </c>
      <c r="AD37" s="28">
        <f t="shared" si="15"/>
        <v>41990247</v>
      </c>
      <c r="AE37" s="31">
        <f t="shared" si="16"/>
        <v>486703753</v>
      </c>
      <c r="AF37" s="101">
        <f>'Historical Sales'!K7</f>
        <v>393213650</v>
      </c>
      <c r="AG37" s="71">
        <f>(W37+W36+W35)/(AF37+AF36+AF35)</f>
        <v>5.484187124775465E-2</v>
      </c>
      <c r="AH37" s="33">
        <v>3.3799999999999997E-2</v>
      </c>
      <c r="AI37" s="73">
        <f t="shared" si="17"/>
        <v>2.1041871247754654E-2</v>
      </c>
    </row>
    <row r="38" spans="1:36" x14ac:dyDescent="0.2">
      <c r="A38" s="51">
        <v>45717</v>
      </c>
      <c r="B38" s="51">
        <v>45778</v>
      </c>
      <c r="C38" s="9">
        <v>1240119.1299999999</v>
      </c>
      <c r="D38" s="10">
        <v>666930.93000000005</v>
      </c>
      <c r="E38" s="10">
        <v>3686406.49</v>
      </c>
      <c r="F38" s="10">
        <v>0</v>
      </c>
      <c r="G38" s="10">
        <v>0</v>
      </c>
      <c r="H38" s="10">
        <v>0</v>
      </c>
      <c r="I38" s="16">
        <f t="shared" si="11"/>
        <v>5593456.5500000007</v>
      </c>
      <c r="J38" s="9">
        <v>0</v>
      </c>
      <c r="K38" s="10">
        <v>14708709</v>
      </c>
      <c r="L38" s="10">
        <v>0</v>
      </c>
      <c r="M38" s="16">
        <f t="shared" si="12"/>
        <v>14708709</v>
      </c>
      <c r="N38" s="11">
        <v>781349</v>
      </c>
      <c r="O38" s="37">
        <f t="shared" si="13"/>
        <v>19520816.550000001</v>
      </c>
      <c r="P38" s="11">
        <v>-1054863.3747872487</v>
      </c>
      <c r="Q38" s="69">
        <f>'1. Pg4'!N33</f>
        <v>34201</v>
      </c>
      <c r="R38" s="37">
        <f t="shared" si="3"/>
        <v>18431752.175212752</v>
      </c>
      <c r="S38" s="11">
        <v>855564.9499999996</v>
      </c>
      <c r="T38" s="37">
        <f t="shared" si="10"/>
        <v>19287317.125212751</v>
      </c>
      <c r="U38" s="48">
        <f t="shared" si="18"/>
        <v>17755375.304250099</v>
      </c>
      <c r="V38" s="48">
        <f t="shared" si="20"/>
        <v>2310364.4295176268</v>
      </c>
      <c r="W38" s="48">
        <f t="shared" si="19"/>
        <v>20065739.733767726</v>
      </c>
      <c r="X38" s="24">
        <v>108933000</v>
      </c>
      <c r="Y38" s="25">
        <v>377638000</v>
      </c>
      <c r="Z38" s="28">
        <f t="shared" si="14"/>
        <v>486571000</v>
      </c>
      <c r="AA38" s="24">
        <v>0</v>
      </c>
      <c r="AB38" s="25">
        <v>22926000</v>
      </c>
      <c r="AC38" s="25">
        <v>21395030</v>
      </c>
      <c r="AD38" s="28">
        <f t="shared" si="15"/>
        <v>44321030</v>
      </c>
      <c r="AE38" s="31">
        <f t="shared" si="16"/>
        <v>442249970</v>
      </c>
      <c r="AF38" s="101">
        <f>'Historical Sales'!K8</f>
        <v>405196385.5</v>
      </c>
      <c r="AG38" s="71">
        <f>AG37</f>
        <v>5.484187124775465E-2</v>
      </c>
      <c r="AH38" s="33">
        <v>3.3799999999999997E-2</v>
      </c>
      <c r="AI38" s="73">
        <f t="shared" si="17"/>
        <v>2.1041871247754654E-2</v>
      </c>
    </row>
    <row r="39" spans="1:36" x14ac:dyDescent="0.2">
      <c r="A39" s="51">
        <v>45748</v>
      </c>
      <c r="B39" s="51">
        <v>45809</v>
      </c>
      <c r="C39" s="9">
        <v>5166295.41</v>
      </c>
      <c r="D39" s="10">
        <v>96647.53</v>
      </c>
      <c r="E39" s="10">
        <v>2538611.89</v>
      </c>
      <c r="F39" s="10">
        <v>0</v>
      </c>
      <c r="G39" s="10">
        <v>0</v>
      </c>
      <c r="H39" s="10">
        <v>0</v>
      </c>
      <c r="I39" s="16">
        <f t="shared" si="11"/>
        <v>7801554.8300000001</v>
      </c>
      <c r="J39" s="9">
        <v>0</v>
      </c>
      <c r="K39" s="10">
        <v>8191897</v>
      </c>
      <c r="L39" s="10">
        <v>0</v>
      </c>
      <c r="M39" s="16">
        <f t="shared" si="12"/>
        <v>8191897</v>
      </c>
      <c r="N39" s="11">
        <v>1000169</v>
      </c>
      <c r="O39" s="37">
        <f t="shared" si="13"/>
        <v>14993282.83</v>
      </c>
      <c r="P39" s="11">
        <v>-15281.219514999539</v>
      </c>
      <c r="Q39" s="69">
        <f>'1. Pg4'!N34</f>
        <v>-88924</v>
      </c>
      <c r="R39" s="37">
        <f t="shared" si="3"/>
        <v>15066925.610485001</v>
      </c>
      <c r="S39" s="11">
        <v>584116.8399999995</v>
      </c>
      <c r="T39" s="37">
        <f t="shared" si="10"/>
        <v>15651042.450485</v>
      </c>
      <c r="U39" s="48">
        <f t="shared" si="18"/>
        <v>17966127.59065843</v>
      </c>
      <c r="V39" s="48">
        <f t="shared" si="20"/>
        <v>1531941.8209626526</v>
      </c>
      <c r="W39" s="48">
        <f t="shared" si="19"/>
        <v>19498069.411621083</v>
      </c>
      <c r="X39" s="24">
        <v>222436000</v>
      </c>
      <c r="Y39" s="25">
        <v>215967000</v>
      </c>
      <c r="Z39" s="28">
        <f t="shared" si="14"/>
        <v>438403000</v>
      </c>
      <c r="AA39" s="24">
        <v>0</v>
      </c>
      <c r="AB39" s="25">
        <v>25077000</v>
      </c>
      <c r="AC39" s="25">
        <v>19190151</v>
      </c>
      <c r="AD39" s="28">
        <f t="shared" si="15"/>
        <v>44267151</v>
      </c>
      <c r="AE39" s="31">
        <f t="shared" si="16"/>
        <v>394135849</v>
      </c>
      <c r="AF39" s="101">
        <f>'Historical Sales'!K9</f>
        <v>437725035.5</v>
      </c>
      <c r="AG39" s="71">
        <f>AG38</f>
        <v>5.484187124775465E-2</v>
      </c>
      <c r="AH39" s="33">
        <v>3.3799999999999997E-2</v>
      </c>
      <c r="AI39" s="73">
        <f t="shared" si="17"/>
        <v>2.1041871247754654E-2</v>
      </c>
    </row>
    <row r="40" spans="1:36" x14ac:dyDescent="0.2">
      <c r="A40" s="51">
        <v>45778</v>
      </c>
      <c r="B40" s="51">
        <v>45839</v>
      </c>
      <c r="C40" s="9">
        <v>1362557.52</v>
      </c>
      <c r="D40" s="10">
        <v>160652.59</v>
      </c>
      <c r="E40" s="10">
        <v>2950457.55</v>
      </c>
      <c r="F40" s="10">
        <v>0</v>
      </c>
      <c r="G40" s="10">
        <v>0</v>
      </c>
      <c r="H40" s="10">
        <v>0</v>
      </c>
      <c r="I40" s="16">
        <f t="shared" si="11"/>
        <v>4473667.66</v>
      </c>
      <c r="J40" s="9">
        <v>0</v>
      </c>
      <c r="K40" s="10">
        <v>11327156</v>
      </c>
      <c r="L40" s="10">
        <v>0</v>
      </c>
      <c r="M40" s="16">
        <f t="shared" si="12"/>
        <v>11327156</v>
      </c>
      <c r="N40" s="11">
        <v>931449</v>
      </c>
      <c r="O40" s="37">
        <f t="shared" si="13"/>
        <v>14869374.66</v>
      </c>
      <c r="P40" s="11">
        <v>-258432.84999999963</v>
      </c>
      <c r="Q40" s="69">
        <f>'1. Pg4'!N35</f>
        <v>-154333</v>
      </c>
      <c r="R40" s="37">
        <f t="shared" si="3"/>
        <v>14765274.810000001</v>
      </c>
      <c r="S40" s="11">
        <v>-770661.8</v>
      </c>
      <c r="T40" s="37">
        <f t="shared" si="10"/>
        <v>13994613.01</v>
      </c>
      <c r="U40" s="48">
        <f t="shared" si="18"/>
        <v>18174144.470658433</v>
      </c>
      <c r="V40" s="48">
        <f t="shared" si="20"/>
        <v>-2315085.1401734296</v>
      </c>
      <c r="W40" s="48">
        <f t="shared" si="19"/>
        <v>15859059.330485003</v>
      </c>
      <c r="X40" s="24">
        <v>121032000</v>
      </c>
      <c r="Y40" s="25">
        <v>299205000</v>
      </c>
      <c r="Z40" s="28">
        <f t="shared" si="14"/>
        <v>420237000</v>
      </c>
      <c r="AA40" s="24">
        <v>0</v>
      </c>
      <c r="AB40" s="25">
        <v>26745000</v>
      </c>
      <c r="AC40" s="25">
        <v>21316836</v>
      </c>
      <c r="AD40" s="28">
        <f t="shared" si="15"/>
        <v>48061836</v>
      </c>
      <c r="AE40" s="31">
        <f t="shared" si="16"/>
        <v>372175164</v>
      </c>
      <c r="AF40" s="101">
        <f>'Historical Sales'!K10</f>
        <v>478378515</v>
      </c>
      <c r="AG40" s="71">
        <f>(W40+W39+W38)/(AF40+AF39+AF38)</f>
        <v>4.1945713434041833E-2</v>
      </c>
      <c r="AH40" s="33">
        <v>3.3799999999999997E-2</v>
      </c>
      <c r="AI40" s="73">
        <f t="shared" si="17"/>
        <v>8.1457134340418361E-3</v>
      </c>
    </row>
    <row r="41" spans="1:36" x14ac:dyDescent="0.2">
      <c r="A41" s="51">
        <v>45809</v>
      </c>
      <c r="B41" s="51">
        <v>45870</v>
      </c>
      <c r="C41" s="9">
        <v>9601209.5500000007</v>
      </c>
      <c r="D41" s="10">
        <v>1026257.44</v>
      </c>
      <c r="E41" s="10">
        <v>4199683.7</v>
      </c>
      <c r="F41" s="10">
        <v>0</v>
      </c>
      <c r="G41" s="10">
        <v>0</v>
      </c>
      <c r="H41" s="10">
        <v>0</v>
      </c>
      <c r="I41" s="16">
        <f t="shared" si="11"/>
        <v>14827150.690000001</v>
      </c>
      <c r="J41" s="9">
        <v>0</v>
      </c>
      <c r="K41" s="10">
        <v>10322046</v>
      </c>
      <c r="L41" s="10">
        <v>0</v>
      </c>
      <c r="M41" s="16">
        <f t="shared" si="12"/>
        <v>10322046</v>
      </c>
      <c r="N41" s="11">
        <v>4577542</v>
      </c>
      <c r="O41" s="37">
        <f t="shared" si="13"/>
        <v>20571654.690000001</v>
      </c>
      <c r="P41" s="11">
        <v>-2104483.2800000012</v>
      </c>
      <c r="Q41" s="69">
        <f>'1. Pg4'!N36</f>
        <v>-228273</v>
      </c>
      <c r="R41" s="37">
        <f t="shared" si="3"/>
        <v>18695444.41</v>
      </c>
      <c r="S41" s="11">
        <v>1772570.5700000005</v>
      </c>
      <c r="T41" s="37">
        <f t="shared" si="10"/>
        <v>20468014.98</v>
      </c>
      <c r="U41" s="48">
        <f t="shared" si="18"/>
        <v>18407133.014825098</v>
      </c>
      <c r="V41" s="48">
        <f t="shared" si="20"/>
        <v>-4179531.4606584329</v>
      </c>
      <c r="W41" s="48">
        <f t="shared" si="19"/>
        <v>14227601.554166665</v>
      </c>
      <c r="X41" s="24">
        <v>293362000</v>
      </c>
      <c r="Y41" s="25">
        <v>255678000</v>
      </c>
      <c r="Z41" s="28">
        <f t="shared" si="14"/>
        <v>549040000</v>
      </c>
      <c r="AA41" s="24">
        <v>0</v>
      </c>
      <c r="AB41" s="25">
        <v>90341000</v>
      </c>
      <c r="AC41" s="25">
        <v>17370804</v>
      </c>
      <c r="AD41" s="28">
        <f t="shared" si="15"/>
        <v>107711804</v>
      </c>
      <c r="AE41" s="31">
        <f t="shared" si="16"/>
        <v>441328196</v>
      </c>
      <c r="AF41" s="101">
        <f>'Historical Sales'!K11</f>
        <v>465090647</v>
      </c>
      <c r="AG41" s="71">
        <f>AG40</f>
        <v>4.1945713434041833E-2</v>
      </c>
      <c r="AH41" s="33">
        <v>3.3799999999999997E-2</v>
      </c>
      <c r="AI41" s="73">
        <f t="shared" si="17"/>
        <v>8.1457134340418361E-3</v>
      </c>
    </row>
    <row r="42" spans="1:36" x14ac:dyDescent="0.2">
      <c r="A42" s="51">
        <v>45839</v>
      </c>
      <c r="B42" s="51">
        <v>45901</v>
      </c>
      <c r="C42" s="9">
        <v>9639698.9399999995</v>
      </c>
      <c r="D42" s="10">
        <v>310596.71999999997</v>
      </c>
      <c r="E42" s="10">
        <v>5005996.97</v>
      </c>
      <c r="F42" s="10">
        <v>0</v>
      </c>
      <c r="G42" s="10">
        <v>0</v>
      </c>
      <c r="H42" s="10">
        <v>0</v>
      </c>
      <c r="I42" s="16">
        <f t="shared" si="11"/>
        <v>14956292.629999999</v>
      </c>
      <c r="J42" s="9">
        <v>0</v>
      </c>
      <c r="K42" s="10">
        <v>10472232.41</v>
      </c>
      <c r="L42" s="10">
        <v>0</v>
      </c>
      <c r="M42" s="16">
        <f t="shared" si="12"/>
        <v>10472232.41</v>
      </c>
      <c r="N42" s="11">
        <v>3555853.0819999999</v>
      </c>
      <c r="O42" s="37">
        <f t="shared" si="13"/>
        <v>21872671.958000001</v>
      </c>
      <c r="P42" s="11">
        <v>-164316.07600000128</v>
      </c>
      <c r="Q42" s="69">
        <f>'1. Pg4'!N37</f>
        <v>301675</v>
      </c>
      <c r="R42" s="37">
        <f t="shared" si="3"/>
        <v>21406680.881999999</v>
      </c>
      <c r="S42" s="11">
        <v>1457841.25</v>
      </c>
      <c r="T42" s="37">
        <f t="shared" si="10"/>
        <v>22864522.131999999</v>
      </c>
      <c r="U42" s="48">
        <f t="shared" si="18"/>
        <v>18817954.388001975</v>
      </c>
      <c r="V42" s="48">
        <f t="shared" si="20"/>
        <v>2060881.9651749022</v>
      </c>
      <c r="W42" s="48">
        <f t="shared" si="19"/>
        <v>20878836.353176877</v>
      </c>
      <c r="X42" s="24">
        <v>410518000</v>
      </c>
      <c r="Y42" s="25">
        <v>162349000</v>
      </c>
      <c r="Z42" s="28">
        <f t="shared" si="14"/>
        <v>572867000</v>
      </c>
      <c r="AA42" s="24">
        <v>0</v>
      </c>
      <c r="AB42" s="25">
        <v>45144000</v>
      </c>
      <c r="AC42" s="25">
        <v>22962393</v>
      </c>
      <c r="AD42" s="28">
        <f t="shared" si="15"/>
        <v>68106393</v>
      </c>
      <c r="AE42" s="31">
        <f t="shared" si="16"/>
        <v>504760607</v>
      </c>
      <c r="AF42" s="101">
        <f>'Historical Sales'!K12</f>
        <v>405113871.5</v>
      </c>
      <c r="AG42" s="71">
        <f>AG41</f>
        <v>4.1945713434041833E-2</v>
      </c>
      <c r="AH42" s="33">
        <v>3.3799999999999997E-2</v>
      </c>
      <c r="AI42" s="73">
        <f t="shared" si="17"/>
        <v>8.1457134340418361E-3</v>
      </c>
    </row>
    <row r="43" spans="1:36" x14ac:dyDescent="0.2">
      <c r="A43" s="51">
        <v>45870</v>
      </c>
      <c r="B43" s="51">
        <v>45931</v>
      </c>
      <c r="C43" s="9">
        <v>7211243.7999999998</v>
      </c>
      <c r="D43" s="10">
        <v>229206.49</v>
      </c>
      <c r="E43" s="10">
        <v>4478586.49</v>
      </c>
      <c r="F43" s="10">
        <v>0</v>
      </c>
      <c r="G43" s="10">
        <v>0</v>
      </c>
      <c r="H43" s="10">
        <v>0</v>
      </c>
      <c r="I43" s="16">
        <f t="shared" si="11"/>
        <v>11919036.780000001</v>
      </c>
      <c r="J43" s="9">
        <v>0</v>
      </c>
      <c r="K43" s="10">
        <v>5494884</v>
      </c>
      <c r="L43" s="10">
        <v>0</v>
      </c>
      <c r="M43" s="16">
        <f t="shared" si="12"/>
        <v>5494884</v>
      </c>
      <c r="N43" s="11">
        <v>2117358</v>
      </c>
      <c r="O43" s="37">
        <f t="shared" si="13"/>
        <v>15296562.780000001</v>
      </c>
      <c r="P43" s="11">
        <v>-2691105.2349900007</v>
      </c>
      <c r="Q43" s="69">
        <f>'1. Pg4'!N38</f>
        <v>110473</v>
      </c>
      <c r="R43" s="37">
        <f t="shared" si="3"/>
        <v>12494984.54501</v>
      </c>
      <c r="S43" s="11">
        <v>467096.12</v>
      </c>
      <c r="T43" s="37">
        <f t="shared" si="10"/>
        <v>12962080.66501</v>
      </c>
      <c r="U43" s="48">
        <f t="shared" si="18"/>
        <v>18512155.509252805</v>
      </c>
      <c r="V43" s="48">
        <f t="shared" si="20"/>
        <v>4046567.7439980246</v>
      </c>
      <c r="W43" s="48">
        <f t="shared" si="19"/>
        <v>22558723.25325083</v>
      </c>
      <c r="X43" s="24">
        <v>350400000</v>
      </c>
      <c r="Y43" s="25">
        <v>169471000</v>
      </c>
      <c r="Z43" s="28">
        <f t="shared" si="14"/>
        <v>519871000</v>
      </c>
      <c r="AA43" s="24">
        <v>0</v>
      </c>
      <c r="AB43" s="25">
        <v>61334000</v>
      </c>
      <c r="AC43" s="25">
        <v>21463515</v>
      </c>
      <c r="AD43" s="28">
        <f t="shared" si="15"/>
        <v>82797515</v>
      </c>
      <c r="AE43" s="31">
        <f t="shared" si="16"/>
        <v>437073485</v>
      </c>
      <c r="AF43" s="101">
        <f>'Historical Sales'!K13</f>
        <v>392794794</v>
      </c>
      <c r="AG43" s="71">
        <f>(W43+W42+W41)/(AF43+AF42+AF41)</f>
        <v>4.5657317933492043E-2</v>
      </c>
      <c r="AH43" s="33">
        <v>3.3799999999999997E-2</v>
      </c>
      <c r="AI43" s="73">
        <f t="shared" si="17"/>
        <v>1.1857317933492047E-2</v>
      </c>
    </row>
    <row r="44" spans="1:36" x14ac:dyDescent="0.2">
      <c r="A44" s="51">
        <v>45901</v>
      </c>
      <c r="B44" s="51">
        <v>45962</v>
      </c>
      <c r="C44" s="9">
        <v>2473641.0099999998</v>
      </c>
      <c r="D44" s="10">
        <v>191928.15</v>
      </c>
      <c r="E44" s="10">
        <v>2137023.79</v>
      </c>
      <c r="F44" s="10">
        <v>0</v>
      </c>
      <c r="G44" s="10">
        <v>0</v>
      </c>
      <c r="H44" s="10">
        <v>0</v>
      </c>
      <c r="I44" s="16">
        <f t="shared" si="11"/>
        <v>4802592.9499999993</v>
      </c>
      <c r="J44" s="9">
        <v>0</v>
      </c>
      <c r="K44" s="10">
        <v>11149256</v>
      </c>
      <c r="L44" s="10">
        <v>0</v>
      </c>
      <c r="M44" s="16">
        <f t="shared" si="12"/>
        <v>11149256</v>
      </c>
      <c r="N44" s="11">
        <v>1018688</v>
      </c>
      <c r="O44" s="37">
        <f t="shared" si="13"/>
        <v>14933160.949999999</v>
      </c>
      <c r="P44" s="11">
        <v>-366791.87999999896</v>
      </c>
      <c r="Q44" s="69">
        <f>'1. Pg4'!N39</f>
        <v>-246299</v>
      </c>
      <c r="R44" s="37">
        <f t="shared" si="3"/>
        <v>14812668.07</v>
      </c>
      <c r="S44" s="11">
        <v>734418.41999999993</v>
      </c>
      <c r="T44" s="37">
        <f t="shared" si="10"/>
        <v>15547086.49</v>
      </c>
      <c r="U44" s="48">
        <f t="shared" si="18"/>
        <v>18569657.349483475</v>
      </c>
      <c r="V44" s="48">
        <f t="shared" si="20"/>
        <v>-5550074.8442428056</v>
      </c>
      <c r="W44" s="48">
        <f t="shared" si="19"/>
        <v>13019582.505240669</v>
      </c>
      <c r="X44" s="24">
        <v>135750000</v>
      </c>
      <c r="Y44" s="25">
        <v>276022000</v>
      </c>
      <c r="Z44" s="28">
        <f t="shared" si="14"/>
        <v>411772000</v>
      </c>
      <c r="AA44" s="24">
        <v>0</v>
      </c>
      <c r="AB44" s="25">
        <v>32495000</v>
      </c>
      <c r="AC44" s="25">
        <v>16819593</v>
      </c>
      <c r="AD44" s="28">
        <f t="shared" si="15"/>
        <v>49314593</v>
      </c>
      <c r="AE44" s="31">
        <f t="shared" si="16"/>
        <v>362457407</v>
      </c>
      <c r="AF44" s="101">
        <f>'Historical Sales'!K14</f>
        <v>425146754.5</v>
      </c>
      <c r="AG44" s="71">
        <f>AG43</f>
        <v>4.5657317933492043E-2</v>
      </c>
      <c r="AH44" s="33">
        <v>3.3799999999999997E-2</v>
      </c>
      <c r="AI44" s="73">
        <f t="shared" si="17"/>
        <v>1.1857317933492047E-2</v>
      </c>
    </row>
    <row r="45" spans="1:36" x14ac:dyDescent="0.2">
      <c r="A45" s="51">
        <v>45931</v>
      </c>
      <c r="B45" s="51">
        <v>45992</v>
      </c>
      <c r="C45" s="9">
        <v>9776000.9299999997</v>
      </c>
      <c r="D45" s="10">
        <v>299158.57000000007</v>
      </c>
      <c r="E45" s="10">
        <v>618586.98</v>
      </c>
      <c r="F45" s="10">
        <v>0</v>
      </c>
      <c r="G45" s="10">
        <v>0</v>
      </c>
      <c r="H45" s="10">
        <v>0</v>
      </c>
      <c r="I45" s="16">
        <f t="shared" si="11"/>
        <v>10693746.48</v>
      </c>
      <c r="J45" s="9">
        <v>0</v>
      </c>
      <c r="K45" s="10">
        <v>10013201.297</v>
      </c>
      <c r="L45" s="10">
        <v>0</v>
      </c>
      <c r="M45" s="16">
        <f t="shared" si="12"/>
        <v>10013201.297</v>
      </c>
      <c r="N45" s="11">
        <v>2824145.1169999996</v>
      </c>
      <c r="O45" s="37">
        <f t="shared" si="13"/>
        <v>17882802.660000004</v>
      </c>
      <c r="P45" s="11">
        <v>-1697616.4776785076</v>
      </c>
      <c r="Q45" s="69">
        <f>'1. Pg4'!N40</f>
        <v>-712880</v>
      </c>
      <c r="R45" s="37">
        <f t="shared" si="3"/>
        <v>16898066.182321496</v>
      </c>
      <c r="S45" s="11">
        <v>-488036.95999999979</v>
      </c>
      <c r="T45" s="37">
        <f t="shared" si="10"/>
        <v>16410029.222321497</v>
      </c>
      <c r="U45" s="48">
        <f t="shared" si="18"/>
        <v>18756028.543736853</v>
      </c>
      <c r="V45" s="48">
        <f t="shared" si="20"/>
        <v>-3022570.8594834749</v>
      </c>
      <c r="W45" s="48">
        <f t="shared" si="19"/>
        <v>15733457.684253378</v>
      </c>
      <c r="X45" s="24">
        <v>253108000</v>
      </c>
      <c r="Y45" s="25">
        <v>207166000</v>
      </c>
      <c r="Z45" s="28">
        <f t="shared" si="14"/>
        <v>460274000</v>
      </c>
      <c r="AA45" s="24">
        <v>0</v>
      </c>
      <c r="AB45" s="25">
        <v>53883000</v>
      </c>
      <c r="AC45" s="25">
        <v>19852871</v>
      </c>
      <c r="AD45" s="28">
        <f t="shared" si="15"/>
        <v>73735871</v>
      </c>
      <c r="AE45" s="31">
        <f t="shared" si="16"/>
        <v>386538129</v>
      </c>
      <c r="AF45" s="101">
        <f>'Historical Sales'!K15</f>
        <v>478864417</v>
      </c>
      <c r="AG45" s="71">
        <f>AG44</f>
        <v>4.5657317933492043E-2</v>
      </c>
      <c r="AH45" s="33">
        <v>3.3799999999999997E-2</v>
      </c>
      <c r="AI45" s="73">
        <f t="shared" si="17"/>
        <v>1.1857317933492047E-2</v>
      </c>
    </row>
    <row r="46" spans="1:36" x14ac:dyDescent="0.2">
      <c r="A46" s="51">
        <v>45962</v>
      </c>
      <c r="B46" s="51">
        <v>46023</v>
      </c>
      <c r="C46" s="9">
        <v>8506193.7199999988</v>
      </c>
      <c r="D46" s="10">
        <v>295059.15999999992</v>
      </c>
      <c r="E46" s="10">
        <v>3778212.0999999996</v>
      </c>
      <c r="F46" s="10">
        <v>0</v>
      </c>
      <c r="G46" s="10">
        <v>0</v>
      </c>
      <c r="H46" s="10">
        <v>0</v>
      </c>
      <c r="I46" s="16">
        <f t="shared" si="11"/>
        <v>12579464.979999999</v>
      </c>
      <c r="J46" s="9">
        <v>0</v>
      </c>
      <c r="K46" s="10">
        <v>10549355</v>
      </c>
      <c r="L46" s="10">
        <v>0</v>
      </c>
      <c r="M46" s="16">
        <f t="shared" si="12"/>
        <v>10549355</v>
      </c>
      <c r="N46" s="11">
        <v>5875246.2100000009</v>
      </c>
      <c r="O46" s="37">
        <f t="shared" si="13"/>
        <v>17253573.769999996</v>
      </c>
      <c r="P46" s="11">
        <v>-2550539.322004931</v>
      </c>
      <c r="Q46" s="69">
        <f>'1. Pg4'!N41</f>
        <v>-476109</v>
      </c>
      <c r="R46" s="37">
        <f t="shared" si="3"/>
        <v>15179143.447995065</v>
      </c>
      <c r="S46" s="11">
        <v>690056.16000000038</v>
      </c>
      <c r="T46" s="37">
        <f t="shared" si="10"/>
        <v>15869199.607995065</v>
      </c>
      <c r="U46" s="48">
        <f t="shared" si="18"/>
        <v>18775447.193771135</v>
      </c>
      <c r="V46" s="48">
        <f t="shared" si="20"/>
        <v>-2345999.3214153554</v>
      </c>
      <c r="W46" s="48">
        <f t="shared" si="19"/>
        <v>16429447.87235578</v>
      </c>
      <c r="X46" s="24">
        <v>338098000</v>
      </c>
      <c r="Y46" s="25">
        <v>221814000</v>
      </c>
      <c r="Z46" s="28">
        <f t="shared" si="14"/>
        <v>559912000</v>
      </c>
      <c r="AA46" s="24">
        <v>0</v>
      </c>
      <c r="AB46" s="25">
        <v>127655000</v>
      </c>
      <c r="AC46" s="25">
        <v>22881757</v>
      </c>
      <c r="AD46" s="28">
        <f t="shared" si="15"/>
        <v>150536757</v>
      </c>
      <c r="AE46" s="31">
        <f t="shared" si="16"/>
        <v>409375243</v>
      </c>
      <c r="AF46" s="101"/>
      <c r="AG46" s="71"/>
      <c r="AH46" s="33"/>
      <c r="AI46" s="73"/>
    </row>
    <row r="47" spans="1:36" ht="13.5" thickBot="1" x14ac:dyDescent="0.25">
      <c r="A47" s="51">
        <v>45992</v>
      </c>
      <c r="B47" s="51">
        <v>46054</v>
      </c>
      <c r="C47" s="12">
        <v>7484498.2699999986</v>
      </c>
      <c r="D47" s="13">
        <v>422823.41</v>
      </c>
      <c r="E47" s="13">
        <v>5135400.88</v>
      </c>
      <c r="F47" s="13">
        <v>0</v>
      </c>
      <c r="G47" s="13">
        <v>0</v>
      </c>
      <c r="H47" s="13">
        <v>0</v>
      </c>
      <c r="I47" s="17">
        <f t="shared" si="11"/>
        <v>13042722.559999999</v>
      </c>
      <c r="J47" s="12">
        <v>0</v>
      </c>
      <c r="K47" s="13">
        <v>11195248.76</v>
      </c>
      <c r="L47" s="13">
        <v>0</v>
      </c>
      <c r="M47" s="17">
        <f t="shared" si="12"/>
        <v>11195248.76</v>
      </c>
      <c r="N47" s="14">
        <v>2073214.496</v>
      </c>
      <c r="O47" s="38">
        <f t="shared" si="13"/>
        <v>22164756.824000001</v>
      </c>
      <c r="P47" s="14">
        <v>-874632.74927384034</v>
      </c>
      <c r="Q47" s="70">
        <f>'1. Pg4'!N42</f>
        <v>257153</v>
      </c>
      <c r="R47" s="38">
        <f t="shared" si="3"/>
        <v>21032971.074726161</v>
      </c>
      <c r="S47" s="14">
        <v>63926.51999999932</v>
      </c>
      <c r="T47" s="38">
        <f t="shared" si="10"/>
        <v>21096897.59472616</v>
      </c>
      <c r="U47" s="49">
        <f t="shared" si="18"/>
        <v>18924227.339062542</v>
      </c>
      <c r="V47" s="49">
        <f t="shared" si="20"/>
        <v>-2906247.5857760701</v>
      </c>
      <c r="W47" s="49">
        <f t="shared" si="19"/>
        <v>16017979.753286472</v>
      </c>
      <c r="X47" s="26">
        <v>344193000</v>
      </c>
      <c r="Y47" s="27">
        <v>239435000</v>
      </c>
      <c r="Z47" s="29">
        <f t="shared" si="14"/>
        <v>583628000</v>
      </c>
      <c r="AA47" s="26">
        <v>0</v>
      </c>
      <c r="AB47" s="27">
        <v>46709000</v>
      </c>
      <c r="AC47" s="27">
        <v>29924225</v>
      </c>
      <c r="AD47" s="29">
        <f t="shared" si="15"/>
        <v>76633225</v>
      </c>
      <c r="AE47" s="32">
        <f t="shared" si="16"/>
        <v>506994775</v>
      </c>
      <c r="AF47" s="102"/>
      <c r="AG47" s="72"/>
      <c r="AH47" s="40"/>
      <c r="AI47" s="74"/>
      <c r="AJ47" s="99"/>
    </row>
    <row r="48" spans="1:36" x14ac:dyDescent="0.2"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7:35" x14ac:dyDescent="0.2"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7:35" x14ac:dyDescent="0.2"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7:35" x14ac:dyDescent="0.2">
      <c r="Q51" s="99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7:35" x14ac:dyDescent="0.2"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7:35" x14ac:dyDescent="0.2"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</sheetData>
  <mergeCells count="8">
    <mergeCell ref="C4:U4"/>
    <mergeCell ref="X4:AE4"/>
    <mergeCell ref="AG4:AI4"/>
    <mergeCell ref="C5:I5"/>
    <mergeCell ref="J5:M5"/>
    <mergeCell ref="X5:Z5"/>
    <mergeCell ref="AA5:AD5"/>
    <mergeCell ref="AG5:AI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27843-BD92-4376-93E9-FCBACC46AAF4}">
  <dimension ref="A3:U48"/>
  <sheetViews>
    <sheetView zoomScale="80" zoomScaleNormal="80" workbookViewId="0">
      <selection activeCell="C39" sqref="C39"/>
    </sheetView>
  </sheetViews>
  <sheetFormatPr defaultRowHeight="12.75" x14ac:dyDescent="0.2"/>
  <cols>
    <col min="1" max="3" width="9.140625" style="1"/>
    <col min="4" max="4" width="14.28515625" style="1" customWidth="1"/>
    <col min="5" max="5" width="13.85546875" style="1" bestFit="1" customWidth="1"/>
    <col min="6" max="6" width="13.42578125" style="1" bestFit="1" customWidth="1"/>
    <col min="7" max="7" width="12" style="1" bestFit="1" customWidth="1"/>
    <col min="8" max="8" width="13.42578125" style="1" bestFit="1" customWidth="1"/>
    <col min="9" max="9" width="15.5703125" style="1" customWidth="1"/>
    <col min="10" max="10" width="13" style="1" bestFit="1" customWidth="1"/>
    <col min="11" max="12" width="13.42578125" style="1" bestFit="1" customWidth="1"/>
    <col min="13" max="13" width="9.140625" style="1"/>
    <col min="14" max="14" width="13" style="1" bestFit="1" customWidth="1"/>
    <col min="15" max="15" width="10.7109375" style="1" bestFit="1" customWidth="1"/>
    <col min="16" max="16384" width="9.140625" style="1"/>
  </cols>
  <sheetData>
    <row r="3" spans="1:21" ht="38.25" x14ac:dyDescent="0.2">
      <c r="A3" s="2" t="s">
        <v>0</v>
      </c>
      <c r="B3" s="2" t="s">
        <v>52</v>
      </c>
      <c r="C3" s="2" t="s">
        <v>45</v>
      </c>
      <c r="D3" s="2" t="s">
        <v>46</v>
      </c>
      <c r="E3" s="2" t="s">
        <v>47</v>
      </c>
      <c r="F3" s="2" t="s">
        <v>48</v>
      </c>
      <c r="G3" s="2" t="s">
        <v>54</v>
      </c>
      <c r="H3" s="2" t="s">
        <v>55</v>
      </c>
      <c r="I3" s="2" t="s">
        <v>49</v>
      </c>
      <c r="J3" s="2" t="s">
        <v>50</v>
      </c>
      <c r="K3" s="2" t="s">
        <v>57</v>
      </c>
      <c r="L3" s="2" t="s">
        <v>53</v>
      </c>
      <c r="M3" s="2" t="s">
        <v>56</v>
      </c>
      <c r="N3" s="2" t="s">
        <v>51</v>
      </c>
      <c r="O3" s="2"/>
      <c r="P3" s="2"/>
      <c r="Q3" s="2"/>
      <c r="R3" s="2"/>
      <c r="S3" s="2"/>
      <c r="T3" s="2"/>
      <c r="U3" s="2"/>
    </row>
    <row r="4" spans="1:21" s="54" customFormat="1" x14ac:dyDescent="0.25">
      <c r="A4" s="2"/>
      <c r="B4" s="4"/>
      <c r="C4" s="53"/>
      <c r="D4" s="53"/>
      <c r="E4" s="4"/>
      <c r="F4" s="4"/>
      <c r="G4" s="53" t="s">
        <v>58</v>
      </c>
      <c r="H4" s="53"/>
      <c r="I4" s="53"/>
      <c r="J4" s="53"/>
    </row>
    <row r="5" spans="1:21" s="54" customFormat="1" x14ac:dyDescent="0.2">
      <c r="A5" s="51">
        <v>44805</v>
      </c>
      <c r="B5" s="51">
        <v>44866</v>
      </c>
      <c r="C5" s="50">
        <f>ROUND('1. Rate Calc'!AG8,5)</f>
        <v>4.1300000000000003E-2</v>
      </c>
      <c r="D5" s="23">
        <v>389522664</v>
      </c>
      <c r="E5" s="55">
        <f t="shared" ref="E5:E7" si="0">ROUND(C5*D5,0)</f>
        <v>16087286</v>
      </c>
      <c r="F5" s="56">
        <v>404267144</v>
      </c>
      <c r="G5" s="23">
        <v>5579291</v>
      </c>
      <c r="H5" s="58">
        <f t="shared" ref="H5:H7" si="1">F5-G5</f>
        <v>398687853</v>
      </c>
      <c r="I5" s="55">
        <f t="shared" ref="I5:I7" si="2">C5*H5</f>
        <v>16465808.328900002</v>
      </c>
      <c r="J5" s="59">
        <f t="shared" ref="J5:J7" si="3">E5-I5</f>
        <v>-378522.32890000194</v>
      </c>
      <c r="K5" s="23">
        <v>440706130</v>
      </c>
      <c r="L5" s="23">
        <v>434496172</v>
      </c>
      <c r="M5" s="62">
        <f t="shared" ref="M5:M7" si="4">ROUND(K5/L5,5)</f>
        <v>1.0142899999999999</v>
      </c>
      <c r="N5" s="59">
        <f t="shared" ref="N5:N7" si="5">ROUND(J5*M5,0)</f>
        <v>-383931</v>
      </c>
    </row>
    <row r="6" spans="1:21" s="54" customFormat="1" x14ac:dyDescent="0.2">
      <c r="A6" s="51">
        <v>44835</v>
      </c>
      <c r="B6" s="51">
        <v>44896</v>
      </c>
      <c r="C6" s="50">
        <f>ROUND('1. Rate Calc'!AG9,5)</f>
        <v>4.1939999999999998E-2</v>
      </c>
      <c r="D6" s="23">
        <v>495513800</v>
      </c>
      <c r="E6" s="55">
        <f t="shared" si="0"/>
        <v>20781849</v>
      </c>
      <c r="F6" s="56">
        <v>405052299</v>
      </c>
      <c r="G6" s="23">
        <v>5389072</v>
      </c>
      <c r="H6" s="58">
        <f t="shared" si="1"/>
        <v>399663227</v>
      </c>
      <c r="I6" s="55">
        <f t="shared" si="2"/>
        <v>16761875.740379998</v>
      </c>
      <c r="J6" s="59">
        <f t="shared" si="3"/>
        <v>4019973.2596200015</v>
      </c>
      <c r="K6" s="23">
        <v>530871212</v>
      </c>
      <c r="L6" s="23">
        <v>523234196</v>
      </c>
      <c r="M6" s="62">
        <f t="shared" si="4"/>
        <v>1.0145999999999999</v>
      </c>
      <c r="N6" s="59">
        <f t="shared" si="5"/>
        <v>4078665</v>
      </c>
    </row>
    <row r="7" spans="1:21" s="54" customFormat="1" x14ac:dyDescent="0.2">
      <c r="A7" s="51">
        <v>44866</v>
      </c>
      <c r="B7" s="51">
        <v>44927</v>
      </c>
      <c r="C7" s="50">
        <f>ROUND('1. Rate Calc'!AG10,5)</f>
        <v>3.7830000000000003E-2</v>
      </c>
      <c r="D7" s="23">
        <v>550260592</v>
      </c>
      <c r="E7" s="55">
        <f t="shared" si="0"/>
        <v>20816358</v>
      </c>
      <c r="F7" s="61">
        <f>K5</f>
        <v>440706130</v>
      </c>
      <c r="G7" s="23">
        <v>6209958</v>
      </c>
      <c r="H7" s="58">
        <f t="shared" si="1"/>
        <v>434496172</v>
      </c>
      <c r="I7" s="55">
        <f t="shared" si="2"/>
        <v>16436990.186760001</v>
      </c>
      <c r="J7" s="59">
        <f t="shared" si="3"/>
        <v>4379367.8132399991</v>
      </c>
      <c r="K7" s="23">
        <v>499846850</v>
      </c>
      <c r="L7" s="23">
        <v>492610248</v>
      </c>
      <c r="M7" s="62">
        <f t="shared" si="4"/>
        <v>1.0146900000000001</v>
      </c>
      <c r="N7" s="59">
        <f t="shared" si="5"/>
        <v>4443701</v>
      </c>
    </row>
    <row r="8" spans="1:21" x14ac:dyDescent="0.2">
      <c r="A8" s="51">
        <v>44896</v>
      </c>
      <c r="B8" s="51">
        <v>44958</v>
      </c>
      <c r="C8" s="50">
        <f>ROUND('1. Rate Calc'!AG11,5)</f>
        <v>5.1130000000000002E-2</v>
      </c>
      <c r="D8" s="23">
        <v>461611640</v>
      </c>
      <c r="E8" s="55">
        <f>ROUND(C8*D8,0)</f>
        <v>23602203</v>
      </c>
      <c r="F8" s="61">
        <f>K6</f>
        <v>530871212</v>
      </c>
      <c r="G8" s="23">
        <v>7637016</v>
      </c>
      <c r="H8" s="58">
        <f>F8-G8</f>
        <v>523234196</v>
      </c>
      <c r="I8" s="55">
        <f>C8*H8</f>
        <v>26752964.44148</v>
      </c>
      <c r="J8" s="59">
        <f>E8-I8</f>
        <v>-3150761.4414799996</v>
      </c>
      <c r="K8" s="23">
        <v>421121053</v>
      </c>
      <c r="L8" s="23">
        <v>415109658</v>
      </c>
      <c r="M8" s="62">
        <f>ROUND(K8/L8,5)</f>
        <v>1.01448</v>
      </c>
      <c r="N8" s="59">
        <f>ROUND(J8*M8,0)</f>
        <v>-3196384</v>
      </c>
    </row>
    <row r="9" spans="1:21" x14ac:dyDescent="0.2">
      <c r="A9" s="51">
        <v>44927</v>
      </c>
      <c r="B9" s="51">
        <v>44986</v>
      </c>
      <c r="C9" s="50">
        <f>ROUND('1. Rate Calc'!AG12,5)</f>
        <v>-1.8880000000000001E-2</v>
      </c>
      <c r="D9" s="23">
        <v>431163653</v>
      </c>
      <c r="E9" s="55">
        <f>ROUND(C9*D9,0)</f>
        <v>-8140370</v>
      </c>
      <c r="F9" s="61">
        <f>K7</f>
        <v>499846850</v>
      </c>
      <c r="G9" s="23">
        <v>7236602</v>
      </c>
      <c r="H9" s="58">
        <f t="shared" ref="H9:H42" si="6">F9-G9</f>
        <v>492610248</v>
      </c>
      <c r="I9" s="55">
        <f t="shared" ref="I9:I42" si="7">C9*H9</f>
        <v>-9300481.4822400007</v>
      </c>
      <c r="J9" s="59">
        <f t="shared" ref="J9:J42" si="8">E9-I9</f>
        <v>1160111.4822400007</v>
      </c>
      <c r="K9" s="23">
        <v>451733027</v>
      </c>
      <c r="L9" s="23">
        <v>445486178</v>
      </c>
      <c r="M9" s="62">
        <f t="shared" ref="M9:M42" si="9">ROUND(K9/L9,5)</f>
        <v>1.0140199999999999</v>
      </c>
      <c r="N9" s="59">
        <f t="shared" ref="N9:N42" si="10">ROUND(J9*M9,0)</f>
        <v>1176376</v>
      </c>
    </row>
    <row r="10" spans="1:21" x14ac:dyDescent="0.2">
      <c r="A10" s="51">
        <v>44958</v>
      </c>
      <c r="B10" s="51">
        <v>45017</v>
      </c>
      <c r="C10" s="50">
        <f>ROUND('1. Rate Calc'!AG13,5)</f>
        <v>1.6830000000000001E-2</v>
      </c>
      <c r="D10" s="23">
        <v>418054513</v>
      </c>
      <c r="E10" s="55">
        <f t="shared" ref="E10:E42" si="11">ROUND(C10*D10,0)</f>
        <v>7035857</v>
      </c>
      <c r="F10" s="61">
        <f>K8</f>
        <v>421121053</v>
      </c>
      <c r="G10" s="23">
        <v>6011395</v>
      </c>
      <c r="H10" s="58">
        <f t="shared" si="6"/>
        <v>415109658</v>
      </c>
      <c r="I10" s="55">
        <f t="shared" si="7"/>
        <v>6986295.5441400008</v>
      </c>
      <c r="J10" s="59">
        <f t="shared" si="8"/>
        <v>49561.455859999172</v>
      </c>
      <c r="K10" s="23">
        <v>388944272</v>
      </c>
      <c r="L10" s="23">
        <v>383942498</v>
      </c>
      <c r="M10" s="62">
        <f t="shared" si="9"/>
        <v>1.0130300000000001</v>
      </c>
      <c r="N10" s="59">
        <f t="shared" si="10"/>
        <v>50207</v>
      </c>
    </row>
    <row r="11" spans="1:21" x14ac:dyDescent="0.2">
      <c r="A11" s="51">
        <v>44986</v>
      </c>
      <c r="B11" s="51">
        <v>45047</v>
      </c>
      <c r="C11" s="50">
        <f>ROUND('1. Rate Calc'!AG14,5)</f>
        <v>2.2899999999999999E-3</v>
      </c>
      <c r="D11" s="23">
        <v>392087302</v>
      </c>
      <c r="E11" s="55">
        <f t="shared" si="11"/>
        <v>897880</v>
      </c>
      <c r="F11" s="61">
        <f t="shared" ref="F11:F18" si="12">K9</f>
        <v>451733027</v>
      </c>
      <c r="G11" s="23">
        <v>6246849</v>
      </c>
      <c r="H11" s="58">
        <f t="shared" si="6"/>
        <v>445486178</v>
      </c>
      <c r="I11" s="55">
        <f t="shared" si="7"/>
        <v>1020163.34762</v>
      </c>
      <c r="J11" s="59">
        <f t="shared" si="8"/>
        <v>-122283.34762000002</v>
      </c>
      <c r="K11" s="23">
        <v>398514364</v>
      </c>
      <c r="L11" s="23">
        <v>393305168</v>
      </c>
      <c r="M11" s="62">
        <f t="shared" si="9"/>
        <v>1.0132399999999999</v>
      </c>
      <c r="N11" s="59">
        <f t="shared" si="10"/>
        <v>-123902</v>
      </c>
      <c r="O11" s="57"/>
    </row>
    <row r="12" spans="1:21" x14ac:dyDescent="0.2">
      <c r="A12" s="51">
        <v>45017</v>
      </c>
      <c r="B12" s="51">
        <v>45078</v>
      </c>
      <c r="C12" s="50">
        <f>ROUND('1. Rate Calc'!AG15,5)</f>
        <v>8.6E-3</v>
      </c>
      <c r="D12" s="23">
        <v>399620595</v>
      </c>
      <c r="E12" s="55">
        <f t="shared" si="11"/>
        <v>3436737</v>
      </c>
      <c r="F12" s="61">
        <f t="shared" si="12"/>
        <v>388944272</v>
      </c>
      <c r="G12" s="23">
        <v>5001774</v>
      </c>
      <c r="H12" s="58">
        <f t="shared" si="6"/>
        <v>383942498</v>
      </c>
      <c r="I12" s="55">
        <f t="shared" si="7"/>
        <v>3301905.4827999999</v>
      </c>
      <c r="J12" s="59">
        <f t="shared" si="8"/>
        <v>134831.51720000012</v>
      </c>
      <c r="K12" s="23">
        <v>417684971</v>
      </c>
      <c r="L12" s="23">
        <v>412226079</v>
      </c>
      <c r="M12" s="62">
        <f t="shared" si="9"/>
        <v>1.0132399999999999</v>
      </c>
      <c r="N12" s="59">
        <f t="shared" si="10"/>
        <v>136617</v>
      </c>
    </row>
    <row r="13" spans="1:21" x14ac:dyDescent="0.2">
      <c r="A13" s="51">
        <v>45047</v>
      </c>
      <c r="B13" s="51">
        <v>45108</v>
      </c>
      <c r="C13" s="50">
        <f>ROUND('1. Rate Calc'!AG16,5)</f>
        <v>4.8900000000000002E-3</v>
      </c>
      <c r="D13" s="23">
        <v>431455321</v>
      </c>
      <c r="E13" s="55">
        <f t="shared" si="11"/>
        <v>2109817</v>
      </c>
      <c r="F13" s="61">
        <f t="shared" si="12"/>
        <v>398514364</v>
      </c>
      <c r="G13" s="23">
        <v>5209196</v>
      </c>
      <c r="H13" s="58">
        <f t="shared" si="6"/>
        <v>393305168</v>
      </c>
      <c r="I13" s="55">
        <f t="shared" si="7"/>
        <v>1923262.2715200002</v>
      </c>
      <c r="J13" s="59">
        <f t="shared" si="8"/>
        <v>186554.72847999982</v>
      </c>
      <c r="K13" s="23">
        <v>478933865</v>
      </c>
      <c r="L13" s="23">
        <v>472342583</v>
      </c>
      <c r="M13" s="62">
        <f t="shared" si="9"/>
        <v>1.0139499999999999</v>
      </c>
      <c r="N13" s="59">
        <f t="shared" si="10"/>
        <v>189157</v>
      </c>
    </row>
    <row r="14" spans="1:21" x14ac:dyDescent="0.2">
      <c r="A14" s="51">
        <v>45078</v>
      </c>
      <c r="B14" s="51">
        <v>45139</v>
      </c>
      <c r="C14" s="50">
        <f>ROUND('1. Rate Calc'!AG17,5)</f>
        <v>6.2500000000000003E-3</v>
      </c>
      <c r="D14" s="23">
        <v>457300706</v>
      </c>
      <c r="E14" s="55">
        <f t="shared" si="11"/>
        <v>2858129</v>
      </c>
      <c r="F14" s="61">
        <f t="shared" si="12"/>
        <v>417684971</v>
      </c>
      <c r="G14" s="23">
        <v>5458892</v>
      </c>
      <c r="H14" s="58">
        <f t="shared" si="6"/>
        <v>412226079</v>
      </c>
      <c r="I14" s="55">
        <f t="shared" si="7"/>
        <v>2576412.9937500004</v>
      </c>
      <c r="J14" s="59">
        <f t="shared" si="8"/>
        <v>281716.00624999963</v>
      </c>
      <c r="K14" s="23">
        <v>467128731</v>
      </c>
      <c r="L14" s="23">
        <v>460678769</v>
      </c>
      <c r="M14" s="63">
        <f t="shared" si="9"/>
        <v>1.014</v>
      </c>
      <c r="N14" s="59">
        <f t="shared" si="10"/>
        <v>285660</v>
      </c>
    </row>
    <row r="15" spans="1:21" x14ac:dyDescent="0.2">
      <c r="A15" s="51">
        <v>45108</v>
      </c>
      <c r="B15" s="51">
        <v>45170</v>
      </c>
      <c r="C15" s="50">
        <f>ROUND('1. Rate Calc'!AG18,5)</f>
        <v>8.7799999999999996E-3</v>
      </c>
      <c r="D15" s="23">
        <v>443924653</v>
      </c>
      <c r="E15" s="55">
        <f t="shared" si="11"/>
        <v>3897658</v>
      </c>
      <c r="F15" s="61">
        <f t="shared" si="12"/>
        <v>478933865</v>
      </c>
      <c r="G15" s="23">
        <v>6591282</v>
      </c>
      <c r="H15" s="58">
        <f t="shared" si="6"/>
        <v>472342583</v>
      </c>
      <c r="I15" s="55">
        <f t="shared" si="7"/>
        <v>4147167.8787399996</v>
      </c>
      <c r="J15" s="59">
        <f t="shared" si="8"/>
        <v>-249509.87873999961</v>
      </c>
      <c r="K15" s="23">
        <v>411034614</v>
      </c>
      <c r="L15" s="23">
        <v>405662012</v>
      </c>
      <c r="M15" s="62">
        <f t="shared" si="9"/>
        <v>1.0132399999999999</v>
      </c>
      <c r="N15" s="59">
        <f t="shared" si="10"/>
        <v>-252813</v>
      </c>
    </row>
    <row r="16" spans="1:21" x14ac:dyDescent="0.2">
      <c r="A16" s="51">
        <v>45139</v>
      </c>
      <c r="B16" s="51">
        <v>45200</v>
      </c>
      <c r="C16" s="50">
        <f>ROUND('1. Rate Calc'!AG19,5)</f>
        <v>9.7400000000000004E-3</v>
      </c>
      <c r="D16" s="23">
        <v>382542719</v>
      </c>
      <c r="E16" s="55">
        <f t="shared" si="11"/>
        <v>3725966</v>
      </c>
      <c r="F16" s="61">
        <f t="shared" si="12"/>
        <v>467128731</v>
      </c>
      <c r="G16" s="23">
        <v>6449962</v>
      </c>
      <c r="H16" s="58">
        <f t="shared" si="6"/>
        <v>460678769</v>
      </c>
      <c r="I16" s="55">
        <f t="shared" si="7"/>
        <v>4487011.2100600004</v>
      </c>
      <c r="J16" s="59">
        <f t="shared" si="8"/>
        <v>-761045.21006000042</v>
      </c>
      <c r="K16" s="23">
        <v>385659292</v>
      </c>
      <c r="L16" s="23">
        <v>380499296</v>
      </c>
      <c r="M16" s="62">
        <f t="shared" si="9"/>
        <v>1.01356</v>
      </c>
      <c r="N16" s="59">
        <f t="shared" si="10"/>
        <v>-771365</v>
      </c>
    </row>
    <row r="17" spans="1:14" x14ac:dyDescent="0.2">
      <c r="A17" s="51">
        <v>45170</v>
      </c>
      <c r="B17" s="51">
        <v>45231</v>
      </c>
      <c r="C17" s="50">
        <f>ROUND('1. Rate Calc'!AG20,5)</f>
        <v>7.45E-3</v>
      </c>
      <c r="D17" s="23">
        <v>390469701</v>
      </c>
      <c r="E17" s="55">
        <f t="shared" si="11"/>
        <v>2908999</v>
      </c>
      <c r="F17" s="61">
        <f t="shared" si="12"/>
        <v>411034614</v>
      </c>
      <c r="G17" s="23">
        <v>5372602</v>
      </c>
      <c r="H17" s="58">
        <f t="shared" si="6"/>
        <v>405662012</v>
      </c>
      <c r="I17" s="55">
        <f t="shared" si="7"/>
        <v>3022181.9893999998</v>
      </c>
      <c r="J17" s="59">
        <f t="shared" si="8"/>
        <v>-113182.98939999985</v>
      </c>
      <c r="K17" s="23">
        <v>443997586</v>
      </c>
      <c r="L17" s="23">
        <v>437927110</v>
      </c>
      <c r="M17" s="62">
        <f t="shared" si="9"/>
        <v>1.01386</v>
      </c>
      <c r="N17" s="59">
        <f t="shared" si="10"/>
        <v>-114752</v>
      </c>
    </row>
    <row r="18" spans="1:14" x14ac:dyDescent="0.2">
      <c r="A18" s="51">
        <v>45200</v>
      </c>
      <c r="B18" s="51">
        <v>45261</v>
      </c>
      <c r="C18" s="50">
        <f>ROUND('1. Rate Calc'!AG21,5)</f>
        <v>7.0200000000000002E-3</v>
      </c>
      <c r="D18" s="23">
        <v>486349190</v>
      </c>
      <c r="E18" s="55">
        <f t="shared" si="11"/>
        <v>3414171</v>
      </c>
      <c r="F18" s="61">
        <f t="shared" si="12"/>
        <v>385659292</v>
      </c>
      <c r="G18" s="23">
        <v>5159996</v>
      </c>
      <c r="H18" s="58">
        <f t="shared" si="6"/>
        <v>380499296</v>
      </c>
      <c r="I18" s="55">
        <f t="shared" si="7"/>
        <v>2671105.0579200001</v>
      </c>
      <c r="J18" s="59">
        <f t="shared" si="8"/>
        <v>743065.94207999995</v>
      </c>
      <c r="K18" s="23">
        <v>463175334</v>
      </c>
      <c r="L18" s="23">
        <v>456366124</v>
      </c>
      <c r="M18" s="62">
        <f t="shared" si="9"/>
        <v>1.01492</v>
      </c>
      <c r="N18" s="59">
        <f t="shared" si="10"/>
        <v>754152</v>
      </c>
    </row>
    <row r="19" spans="1:14" x14ac:dyDescent="0.2">
      <c r="A19" s="51">
        <v>45231</v>
      </c>
      <c r="B19" s="51">
        <v>45292</v>
      </c>
      <c r="C19" s="80">
        <f>ROUND('1a. Rate Calc'!AI22,5)</f>
        <v>3.2499999999999999E-3</v>
      </c>
      <c r="D19" s="23">
        <v>546889251</v>
      </c>
      <c r="E19" s="55">
        <f t="shared" si="11"/>
        <v>1777390</v>
      </c>
      <c r="F19" s="105">
        <f>AVERAGE('1a. Rate Calc'!AF20:AF22)</f>
        <v>481994867.16666669</v>
      </c>
      <c r="G19" s="23">
        <v>6070476</v>
      </c>
      <c r="H19" s="58">
        <f t="shared" si="6"/>
        <v>475924391.16666669</v>
      </c>
      <c r="I19" s="55">
        <f t="shared" si="7"/>
        <v>1546754.2712916667</v>
      </c>
      <c r="J19" s="59">
        <f t="shared" si="8"/>
        <v>230635.72870833334</v>
      </c>
      <c r="K19" s="23">
        <v>617468853</v>
      </c>
      <c r="L19" s="23">
        <v>609228451</v>
      </c>
      <c r="M19" s="62">
        <f t="shared" si="9"/>
        <v>1.01353</v>
      </c>
      <c r="N19" s="59">
        <f t="shared" si="10"/>
        <v>233756</v>
      </c>
    </row>
    <row r="20" spans="1:14" x14ac:dyDescent="0.2">
      <c r="A20" s="51">
        <v>45261</v>
      </c>
      <c r="B20" s="51">
        <v>45323</v>
      </c>
      <c r="C20" s="80">
        <f>ROUND('1a. Rate Calc'!AI23,5)</f>
        <v>3.2499999999999999E-3</v>
      </c>
      <c r="D20" s="23">
        <v>488138208</v>
      </c>
      <c r="E20" s="55">
        <f t="shared" si="11"/>
        <v>1586449</v>
      </c>
      <c r="F20" s="105">
        <f>F19</f>
        <v>481994867.16666669</v>
      </c>
      <c r="G20" s="23">
        <v>6809210</v>
      </c>
      <c r="H20" s="58">
        <f t="shared" si="6"/>
        <v>475185657.16666669</v>
      </c>
      <c r="I20" s="55">
        <f t="shared" si="7"/>
        <v>1544353.3857916666</v>
      </c>
      <c r="J20" s="59">
        <f t="shared" si="8"/>
        <v>42095.614208333427</v>
      </c>
      <c r="K20" s="23">
        <v>436331073</v>
      </c>
      <c r="L20" s="23">
        <v>430039328</v>
      </c>
      <c r="M20" s="62">
        <f t="shared" si="9"/>
        <v>1.0146299999999999</v>
      </c>
      <c r="N20" s="59">
        <f t="shared" si="10"/>
        <v>42711</v>
      </c>
    </row>
    <row r="21" spans="1:14" x14ac:dyDescent="0.2">
      <c r="A21" s="51">
        <v>45292</v>
      </c>
      <c r="B21" s="51">
        <v>45352</v>
      </c>
      <c r="C21" s="80">
        <f>ROUND('1a. Rate Calc'!AI24,5)</f>
        <v>3.2499999999999999E-3</v>
      </c>
      <c r="D21" s="23">
        <v>444721245</v>
      </c>
      <c r="E21" s="55">
        <f t="shared" si="11"/>
        <v>1445344</v>
      </c>
      <c r="F21" s="105">
        <f>F20</f>
        <v>481994867.16666669</v>
      </c>
      <c r="G21" s="23">
        <v>8240402</v>
      </c>
      <c r="H21" s="58">
        <f t="shared" si="6"/>
        <v>473754465.16666669</v>
      </c>
      <c r="I21" s="55">
        <f t="shared" si="7"/>
        <v>1539702.0117916667</v>
      </c>
      <c r="J21" s="59">
        <f t="shared" si="8"/>
        <v>-94358.011791666737</v>
      </c>
      <c r="K21" s="23">
        <v>425311577</v>
      </c>
      <c r="L21" s="23">
        <v>419402259</v>
      </c>
      <c r="M21" s="62">
        <f t="shared" si="9"/>
        <v>1.0140899999999999</v>
      </c>
      <c r="N21" s="59">
        <f t="shared" si="10"/>
        <v>-95688</v>
      </c>
    </row>
    <row r="22" spans="1:14" x14ac:dyDescent="0.2">
      <c r="A22" s="51">
        <v>45323</v>
      </c>
      <c r="B22" s="51">
        <v>45383</v>
      </c>
      <c r="C22" s="80">
        <f>ROUND('1a. Rate Calc'!AI25,5)</f>
        <v>2.1649999999999999E-2</v>
      </c>
      <c r="D22" s="23">
        <v>422497434</v>
      </c>
      <c r="E22" s="55">
        <f t="shared" si="11"/>
        <v>9147069</v>
      </c>
      <c r="F22" s="105">
        <f>AVERAGE('1a. Rate Calc'!AF23:AF25)</f>
        <v>426954870.33333331</v>
      </c>
      <c r="G22" s="23">
        <v>6291745</v>
      </c>
      <c r="H22" s="58">
        <f t="shared" si="6"/>
        <v>420663125.33333331</v>
      </c>
      <c r="I22" s="55">
        <f t="shared" si="7"/>
        <v>9107356.6634666659</v>
      </c>
      <c r="J22" s="59">
        <f t="shared" si="8"/>
        <v>39712.336533334106</v>
      </c>
      <c r="K22" s="23">
        <v>397483028</v>
      </c>
      <c r="L22" s="23">
        <v>392283874</v>
      </c>
      <c r="M22" s="62">
        <f t="shared" si="9"/>
        <v>1.01325</v>
      </c>
      <c r="N22" s="59">
        <f t="shared" si="10"/>
        <v>40239</v>
      </c>
    </row>
    <row r="23" spans="1:14" x14ac:dyDescent="0.2">
      <c r="A23" s="51">
        <v>45352</v>
      </c>
      <c r="B23" s="51">
        <v>45413</v>
      </c>
      <c r="C23" s="80">
        <f>ROUND('1a. Rate Calc'!AI26,5)</f>
        <v>2.1649999999999999E-2</v>
      </c>
      <c r="D23" s="23">
        <v>373320238</v>
      </c>
      <c r="E23" s="55">
        <f t="shared" si="11"/>
        <v>8082383</v>
      </c>
      <c r="F23" s="105">
        <f>F22</f>
        <v>426954870.33333331</v>
      </c>
      <c r="G23" s="23">
        <v>5909318</v>
      </c>
      <c r="H23" s="58">
        <f t="shared" si="6"/>
        <v>421045552.33333331</v>
      </c>
      <c r="I23" s="55">
        <f t="shared" si="7"/>
        <v>9115636.2080166657</v>
      </c>
      <c r="J23" s="59">
        <f t="shared" si="8"/>
        <v>-1033253.2080166657</v>
      </c>
      <c r="K23" s="23">
        <v>411878407</v>
      </c>
      <c r="L23" s="23">
        <v>406409628</v>
      </c>
      <c r="M23" s="62">
        <f t="shared" si="9"/>
        <v>1.01346</v>
      </c>
      <c r="N23" s="59">
        <f t="shared" si="10"/>
        <v>-1047161</v>
      </c>
    </row>
    <row r="24" spans="1:14" x14ac:dyDescent="0.2">
      <c r="A24" s="51">
        <v>45383</v>
      </c>
      <c r="B24" s="51">
        <v>45444</v>
      </c>
      <c r="C24" s="80">
        <f>ROUND('1a. Rate Calc'!AI27,5)</f>
        <v>2.1649999999999999E-2</v>
      </c>
      <c r="D24" s="23">
        <v>421782222</v>
      </c>
      <c r="E24" s="55">
        <f t="shared" si="11"/>
        <v>9131585</v>
      </c>
      <c r="F24" s="105">
        <f>F23</f>
        <v>426954870.33333331</v>
      </c>
      <c r="G24" s="23">
        <v>5199154</v>
      </c>
      <c r="H24" s="58">
        <f t="shared" si="6"/>
        <v>421755716.33333331</v>
      </c>
      <c r="I24" s="55">
        <f t="shared" si="7"/>
        <v>9131011.2586166654</v>
      </c>
      <c r="J24" s="59">
        <f t="shared" si="8"/>
        <v>573.74138333462179</v>
      </c>
      <c r="K24" s="23">
        <v>457765100</v>
      </c>
      <c r="L24" s="23">
        <v>451375457</v>
      </c>
      <c r="M24" s="62">
        <f t="shared" si="9"/>
        <v>1.01416</v>
      </c>
      <c r="N24" s="59">
        <f t="shared" si="10"/>
        <v>582</v>
      </c>
    </row>
    <row r="25" spans="1:14" x14ac:dyDescent="0.2">
      <c r="A25" s="51">
        <v>45413</v>
      </c>
      <c r="B25" s="51">
        <v>45474</v>
      </c>
      <c r="C25" s="80">
        <f>ROUND('1a. Rate Calc'!AI28,5)</f>
        <v>6.8500000000000002E-3</v>
      </c>
      <c r="D25" s="23">
        <v>467867039</v>
      </c>
      <c r="E25" s="55">
        <f t="shared" si="11"/>
        <v>3204889</v>
      </c>
      <c r="F25" s="105">
        <f>AVERAGE('1a. Rate Calc'!AF26:AF28)</f>
        <v>439856905.5</v>
      </c>
      <c r="G25" s="23">
        <v>5468779</v>
      </c>
      <c r="H25" s="58">
        <f t="shared" si="6"/>
        <v>434388126.5</v>
      </c>
      <c r="I25" s="55">
        <f t="shared" si="7"/>
        <v>2975558.6665250002</v>
      </c>
      <c r="J25" s="59">
        <f t="shared" si="8"/>
        <v>229330.33347499976</v>
      </c>
      <c r="K25" s="23">
        <v>477823165</v>
      </c>
      <c r="L25" s="23">
        <v>470747151</v>
      </c>
      <c r="M25" s="62">
        <f t="shared" si="9"/>
        <v>1.0150300000000001</v>
      </c>
      <c r="N25" s="59">
        <f t="shared" si="10"/>
        <v>232777</v>
      </c>
    </row>
    <row r="26" spans="1:14" x14ac:dyDescent="0.2">
      <c r="A26" s="51">
        <v>45444</v>
      </c>
      <c r="B26" s="51">
        <v>45505</v>
      </c>
      <c r="C26" s="80">
        <f>ROUND('1a. Rate Calc'!AI29,5)</f>
        <v>6.8500000000000002E-3</v>
      </c>
      <c r="D26" s="23">
        <v>457517498</v>
      </c>
      <c r="E26" s="55">
        <f t="shared" si="11"/>
        <v>3133995</v>
      </c>
      <c r="F26" s="105">
        <f>F25</f>
        <v>439856905.5</v>
      </c>
      <c r="G26" s="23">
        <v>6389643</v>
      </c>
      <c r="H26" s="58">
        <f t="shared" si="6"/>
        <v>433467262.5</v>
      </c>
      <c r="I26" s="55">
        <f t="shared" si="7"/>
        <v>2969250.7481249999</v>
      </c>
      <c r="J26" s="59">
        <f t="shared" si="8"/>
        <v>164744.25187500007</v>
      </c>
      <c r="K26" s="23">
        <v>463052563</v>
      </c>
      <c r="L26" s="23">
        <v>456304749</v>
      </c>
      <c r="M26" s="62">
        <f t="shared" si="9"/>
        <v>1.0147900000000001</v>
      </c>
      <c r="N26" s="59">
        <f t="shared" si="10"/>
        <v>167181</v>
      </c>
    </row>
    <row r="27" spans="1:14" x14ac:dyDescent="0.2">
      <c r="A27" s="51">
        <v>45474</v>
      </c>
      <c r="B27" s="51">
        <v>45536</v>
      </c>
      <c r="C27" s="80">
        <f>ROUND('1a. Rate Calc'!AI30,5)</f>
        <v>6.8500000000000002E-3</v>
      </c>
      <c r="D27" s="23">
        <v>424929712</v>
      </c>
      <c r="E27" s="55">
        <f t="shared" si="11"/>
        <v>2910769</v>
      </c>
      <c r="F27" s="105">
        <f>F26</f>
        <v>439856905.5</v>
      </c>
      <c r="G27" s="23">
        <v>7076014</v>
      </c>
      <c r="H27" s="58">
        <f t="shared" si="6"/>
        <v>432780891.5</v>
      </c>
      <c r="I27" s="55">
        <f t="shared" si="7"/>
        <v>2964549.1067750002</v>
      </c>
      <c r="J27" s="59">
        <f t="shared" si="8"/>
        <v>-53780.106775000226</v>
      </c>
      <c r="K27" s="23">
        <v>399193129</v>
      </c>
      <c r="L27" s="23">
        <v>393778375</v>
      </c>
      <c r="M27" s="62">
        <f t="shared" si="9"/>
        <v>1.0137499999999999</v>
      </c>
      <c r="N27" s="59">
        <f t="shared" si="10"/>
        <v>-54520</v>
      </c>
    </row>
    <row r="28" spans="1:14" x14ac:dyDescent="0.2">
      <c r="A28" s="51">
        <v>45505</v>
      </c>
      <c r="B28" s="51">
        <v>45566</v>
      </c>
      <c r="C28" s="80">
        <f>ROUND('1a. Rate Calc'!AI31,5)</f>
        <v>1.128E-2</v>
      </c>
      <c r="D28" s="23">
        <v>403312019</v>
      </c>
      <c r="E28" s="55">
        <f t="shared" si="11"/>
        <v>4549360</v>
      </c>
      <c r="F28" s="105">
        <f>AVERAGE('1a. Rate Calc'!AF29:AF31)</f>
        <v>423750201.83333331</v>
      </c>
      <c r="G28" s="23">
        <v>6747814</v>
      </c>
      <c r="H28" s="58">
        <f t="shared" si="6"/>
        <v>417002387.83333331</v>
      </c>
      <c r="I28" s="55">
        <f t="shared" si="7"/>
        <v>4703786.9347599996</v>
      </c>
      <c r="J28" s="59">
        <f t="shared" si="8"/>
        <v>-154426.93475999963</v>
      </c>
      <c r="K28" s="23">
        <v>399930296</v>
      </c>
      <c r="L28" s="23">
        <v>394800757</v>
      </c>
      <c r="M28" s="62">
        <f t="shared" si="9"/>
        <v>1.0129900000000001</v>
      </c>
      <c r="N28" s="59">
        <f t="shared" si="10"/>
        <v>-156433</v>
      </c>
    </row>
    <row r="29" spans="1:14" x14ac:dyDescent="0.2">
      <c r="A29" s="51">
        <v>45536</v>
      </c>
      <c r="B29" s="51">
        <v>45597</v>
      </c>
      <c r="C29" s="80">
        <f>ROUND('1a. Rate Calc'!AI32,5)</f>
        <v>1.128E-2</v>
      </c>
      <c r="D29" s="23">
        <v>373355279</v>
      </c>
      <c r="E29" s="55">
        <f t="shared" si="11"/>
        <v>4211448</v>
      </c>
      <c r="F29" s="105">
        <f>F28</f>
        <v>423750201.83333331</v>
      </c>
      <c r="G29" s="23">
        <v>5414754</v>
      </c>
      <c r="H29" s="58">
        <f t="shared" si="6"/>
        <v>418335447.83333331</v>
      </c>
      <c r="I29" s="55">
        <f t="shared" si="7"/>
        <v>4718823.8515599994</v>
      </c>
      <c r="J29" s="59">
        <f t="shared" si="8"/>
        <v>-507375.8515599994</v>
      </c>
      <c r="K29" s="23">
        <v>406295923</v>
      </c>
      <c r="L29" s="23">
        <v>400861124</v>
      </c>
      <c r="M29" s="62">
        <f t="shared" si="9"/>
        <v>1.01356</v>
      </c>
      <c r="N29" s="59">
        <f t="shared" si="10"/>
        <v>-514256</v>
      </c>
    </row>
    <row r="30" spans="1:14" x14ac:dyDescent="0.2">
      <c r="A30" s="51">
        <v>45566</v>
      </c>
      <c r="B30" s="51">
        <v>45627</v>
      </c>
      <c r="C30" s="80">
        <f>ROUND('1a. Rate Calc'!AI33,5)</f>
        <v>1.128E-2</v>
      </c>
      <c r="D30" s="23">
        <v>484891850</v>
      </c>
      <c r="E30" s="55">
        <f t="shared" si="11"/>
        <v>5469580</v>
      </c>
      <c r="F30" s="105">
        <f>F29</f>
        <v>423750201.83333331</v>
      </c>
      <c r="G30" s="23">
        <v>5129539</v>
      </c>
      <c r="H30" s="58">
        <f t="shared" si="6"/>
        <v>418620662.83333331</v>
      </c>
      <c r="I30" s="55">
        <f t="shared" si="7"/>
        <v>4722041.0767599996</v>
      </c>
      <c r="J30" s="59">
        <f t="shared" si="8"/>
        <v>747538.92324000038</v>
      </c>
      <c r="K30" s="23">
        <v>494553500</v>
      </c>
      <c r="L30" s="23">
        <v>487431491</v>
      </c>
      <c r="M30" s="62">
        <f t="shared" si="9"/>
        <v>1.01461</v>
      </c>
      <c r="N30" s="59">
        <f t="shared" si="10"/>
        <v>758460</v>
      </c>
    </row>
    <row r="31" spans="1:14" x14ac:dyDescent="0.2">
      <c r="A31" s="51">
        <v>45597</v>
      </c>
      <c r="B31" s="51">
        <v>45658</v>
      </c>
      <c r="C31" s="80">
        <f>ROUND('1a. Rate Calc'!AI34,5)</f>
        <v>4.4900000000000001E-3</v>
      </c>
      <c r="D31" s="23">
        <v>559647068</v>
      </c>
      <c r="E31" s="55">
        <f t="shared" si="11"/>
        <v>2512815</v>
      </c>
      <c r="F31" s="105">
        <f>AVERAGE('1a. Rate Calc'!AF32:AF34)</f>
        <v>499344327.5</v>
      </c>
      <c r="G31" s="23">
        <v>5434799</v>
      </c>
      <c r="H31" s="58">
        <f t="shared" si="6"/>
        <v>493909528.5</v>
      </c>
      <c r="I31" s="55">
        <f t="shared" si="7"/>
        <v>2217653.7829650003</v>
      </c>
      <c r="J31" s="59">
        <f t="shared" si="8"/>
        <v>295161.21703499975</v>
      </c>
      <c r="K31" s="23">
        <v>628318548</v>
      </c>
      <c r="L31" s="23">
        <v>619242322</v>
      </c>
      <c r="M31" s="62">
        <f t="shared" si="9"/>
        <v>1.0146599999999999</v>
      </c>
      <c r="N31" s="59">
        <f t="shared" si="10"/>
        <v>299488</v>
      </c>
    </row>
    <row r="32" spans="1:14" x14ac:dyDescent="0.2">
      <c r="A32" s="51">
        <v>45627</v>
      </c>
      <c r="B32" s="51">
        <v>45689</v>
      </c>
      <c r="C32" s="80">
        <f>ROUND('1a. Rate Calc'!AI35,5)</f>
        <v>4.4900000000000001E-3</v>
      </c>
      <c r="D32" s="23">
        <v>543430929</v>
      </c>
      <c r="E32" s="55">
        <f t="shared" si="11"/>
        <v>2440005</v>
      </c>
      <c r="F32" s="105">
        <f>F31</f>
        <v>499344327.5</v>
      </c>
      <c r="G32" s="23">
        <v>7122009</v>
      </c>
      <c r="H32" s="58">
        <f t="shared" si="6"/>
        <v>492222318.5</v>
      </c>
      <c r="I32" s="55">
        <f t="shared" si="7"/>
        <v>2210078.2100650002</v>
      </c>
      <c r="J32" s="59">
        <f t="shared" si="8"/>
        <v>229926.78993499978</v>
      </c>
      <c r="K32" s="23">
        <v>486703753</v>
      </c>
      <c r="L32" s="23">
        <v>479804054</v>
      </c>
      <c r="M32" s="62">
        <f t="shared" si="9"/>
        <v>1.0143800000000001</v>
      </c>
      <c r="N32" s="59">
        <f t="shared" si="10"/>
        <v>233233</v>
      </c>
    </row>
    <row r="33" spans="1:14" x14ac:dyDescent="0.2">
      <c r="A33" s="51">
        <v>45658</v>
      </c>
      <c r="B33" s="51">
        <v>45717</v>
      </c>
      <c r="C33" s="80">
        <f>ROUND('1a. Rate Calc'!AI36,5)</f>
        <v>-3.1900000000000001E-3</v>
      </c>
      <c r="D33" s="23">
        <v>453592183</v>
      </c>
      <c r="E33" s="55">
        <f t="shared" si="11"/>
        <v>-1446959</v>
      </c>
      <c r="F33" s="105">
        <f>F32</f>
        <v>499344327.5</v>
      </c>
      <c r="G33" s="23">
        <v>9076226</v>
      </c>
      <c r="H33" s="58">
        <f t="shared" si="6"/>
        <v>490268101.5</v>
      </c>
      <c r="I33" s="55">
        <f t="shared" si="7"/>
        <v>-1563955.2437850002</v>
      </c>
      <c r="J33" s="59">
        <f t="shared" si="8"/>
        <v>116996.24378500017</v>
      </c>
      <c r="K33" s="23">
        <v>442249970</v>
      </c>
      <c r="L33" s="23">
        <v>436317969</v>
      </c>
      <c r="M33" s="63">
        <f t="shared" si="9"/>
        <v>1.0136000000000001</v>
      </c>
      <c r="N33" s="59">
        <f t="shared" si="10"/>
        <v>118587</v>
      </c>
    </row>
    <row r="34" spans="1:14" x14ac:dyDescent="0.2">
      <c r="A34" s="51">
        <v>45689</v>
      </c>
      <c r="B34" s="51">
        <v>45748</v>
      </c>
      <c r="C34" s="80">
        <f>ROUND('1a. Rate Calc'!AI37,5)</f>
        <v>2.104E-2</v>
      </c>
      <c r="D34" s="23">
        <v>399706746</v>
      </c>
      <c r="E34" s="55">
        <f t="shared" si="11"/>
        <v>8409830</v>
      </c>
      <c r="F34" s="105">
        <f>AVERAGE('1a. Rate Calc'!AF35:AF37)</f>
        <v>420154005</v>
      </c>
      <c r="G34" s="23">
        <v>6899699</v>
      </c>
      <c r="H34" s="58">
        <f t="shared" si="6"/>
        <v>413254306</v>
      </c>
      <c r="I34" s="55">
        <f t="shared" si="7"/>
        <v>8694870.5982399993</v>
      </c>
      <c r="J34" s="59">
        <f t="shared" si="8"/>
        <v>-285040.59823999926</v>
      </c>
      <c r="K34" s="23">
        <v>394135849</v>
      </c>
      <c r="L34" s="23">
        <v>389099149</v>
      </c>
      <c r="M34" s="62">
        <f t="shared" si="9"/>
        <v>1.01294</v>
      </c>
      <c r="N34" s="59">
        <f t="shared" si="10"/>
        <v>-288729</v>
      </c>
    </row>
    <row r="35" spans="1:14" x14ac:dyDescent="0.2">
      <c r="A35" s="51">
        <v>45717</v>
      </c>
      <c r="B35" s="51">
        <v>45778</v>
      </c>
      <c r="C35" s="80">
        <f>ROUND('1a. Rate Calc'!AI38,5)</f>
        <v>2.104E-2</v>
      </c>
      <c r="D35" s="23">
        <v>390727869</v>
      </c>
      <c r="E35" s="55">
        <f t="shared" si="11"/>
        <v>8220914</v>
      </c>
      <c r="F35" s="105">
        <f>F34</f>
        <v>420154005</v>
      </c>
      <c r="G35" s="23">
        <v>5932001</v>
      </c>
      <c r="H35" s="58">
        <f t="shared" si="6"/>
        <v>414222004</v>
      </c>
      <c r="I35" s="55">
        <f t="shared" si="7"/>
        <v>8715230.964159999</v>
      </c>
      <c r="J35" s="59">
        <f t="shared" si="8"/>
        <v>-494316.96415999904</v>
      </c>
      <c r="K35" s="23">
        <v>372175164</v>
      </c>
      <c r="L35" s="23">
        <v>367129626</v>
      </c>
      <c r="M35" s="62">
        <f t="shared" si="9"/>
        <v>1.0137400000000001</v>
      </c>
      <c r="N35" s="59">
        <f t="shared" si="10"/>
        <v>-501109</v>
      </c>
    </row>
    <row r="36" spans="1:14" x14ac:dyDescent="0.2">
      <c r="A36" s="51">
        <v>45748</v>
      </c>
      <c r="B36" s="51">
        <v>45809</v>
      </c>
      <c r="C36" s="80">
        <f>ROUND('1a. Rate Calc'!AI39,5)</f>
        <v>2.104E-2</v>
      </c>
      <c r="D36" s="23">
        <v>379889945</v>
      </c>
      <c r="E36" s="55">
        <f t="shared" si="11"/>
        <v>7992884</v>
      </c>
      <c r="F36" s="105">
        <f>F35</f>
        <v>420154005</v>
      </c>
      <c r="G36" s="23">
        <v>5036700</v>
      </c>
      <c r="H36" s="58">
        <f t="shared" si="6"/>
        <v>415117305</v>
      </c>
      <c r="I36" s="55">
        <f t="shared" si="7"/>
        <v>8734068.0972000007</v>
      </c>
      <c r="J36" s="59">
        <f t="shared" si="8"/>
        <v>-741184.09720000066</v>
      </c>
      <c r="K36" s="43">
        <v>441328196</v>
      </c>
      <c r="L36" s="61">
        <f>K36</f>
        <v>441328196</v>
      </c>
      <c r="M36" s="63">
        <f t="shared" si="9"/>
        <v>1</v>
      </c>
      <c r="N36" s="59">
        <f t="shared" si="10"/>
        <v>-741184</v>
      </c>
    </row>
    <row r="37" spans="1:14" x14ac:dyDescent="0.2">
      <c r="A37" s="51">
        <v>45778</v>
      </c>
      <c r="B37" s="51">
        <v>45839</v>
      </c>
      <c r="C37" s="80">
        <f>ROUND('1a. Rate Calc'!AI40,5)</f>
        <v>8.1499999999999993E-3</v>
      </c>
      <c r="D37" s="23">
        <v>478545953</v>
      </c>
      <c r="E37" s="55">
        <f t="shared" si="11"/>
        <v>3900150</v>
      </c>
      <c r="F37" s="105">
        <f>AVERAGE('1a. Rate Calc'!AF38:AF40)</f>
        <v>440433312</v>
      </c>
      <c r="G37" s="23">
        <v>5045538</v>
      </c>
      <c r="H37" s="58">
        <f t="shared" si="6"/>
        <v>435387774</v>
      </c>
      <c r="I37" s="55">
        <f t="shared" si="7"/>
        <v>3548410.3580999998</v>
      </c>
      <c r="J37" s="59">
        <f t="shared" si="8"/>
        <v>351739.64190000016</v>
      </c>
      <c r="K37" s="23">
        <v>504760607</v>
      </c>
      <c r="L37" s="61">
        <f t="shared" ref="L37:L42" si="13">K37</f>
        <v>504760607</v>
      </c>
      <c r="M37" s="63">
        <f t="shared" si="9"/>
        <v>1</v>
      </c>
      <c r="N37" s="59">
        <f t="shared" si="10"/>
        <v>351740</v>
      </c>
    </row>
    <row r="38" spans="1:14" x14ac:dyDescent="0.2">
      <c r="A38" s="51">
        <v>45809</v>
      </c>
      <c r="B38" s="51">
        <v>45870</v>
      </c>
      <c r="C38" s="80">
        <f>ROUND('1a. Rate Calc'!AI41,5)</f>
        <v>8.1499999999999993E-3</v>
      </c>
      <c r="D38" s="23">
        <v>456237701</v>
      </c>
      <c r="E38" s="55">
        <f t="shared" si="11"/>
        <v>3718337</v>
      </c>
      <c r="F38" s="105">
        <f>F37</f>
        <v>440433312</v>
      </c>
      <c r="G38" s="23">
        <v>0</v>
      </c>
      <c r="H38" s="58">
        <f t="shared" si="6"/>
        <v>440433312</v>
      </c>
      <c r="I38" s="55">
        <f t="shared" si="7"/>
        <v>3589531.4927999997</v>
      </c>
      <c r="J38" s="59">
        <f t="shared" si="8"/>
        <v>128805.50720000034</v>
      </c>
      <c r="K38" s="23">
        <v>437073485</v>
      </c>
      <c r="L38" s="61">
        <f t="shared" si="13"/>
        <v>437073485</v>
      </c>
      <c r="M38" s="63">
        <f t="shared" si="9"/>
        <v>1</v>
      </c>
      <c r="N38" s="59">
        <f t="shared" si="10"/>
        <v>128806</v>
      </c>
    </row>
    <row r="39" spans="1:14" x14ac:dyDescent="0.2">
      <c r="A39" s="51">
        <v>45839</v>
      </c>
      <c r="B39" s="51">
        <v>45901</v>
      </c>
      <c r="C39" s="80">
        <f>ROUND('1a. Rate Calc'!AI42,5)</f>
        <v>8.1499999999999993E-3</v>
      </c>
      <c r="D39" s="23">
        <v>405197373</v>
      </c>
      <c r="E39" s="55">
        <f t="shared" si="11"/>
        <v>3302359</v>
      </c>
      <c r="F39" s="105">
        <f>F38</f>
        <v>440433312</v>
      </c>
      <c r="G39" s="23">
        <v>0</v>
      </c>
      <c r="H39" s="58">
        <f t="shared" si="6"/>
        <v>440433312</v>
      </c>
      <c r="I39" s="55">
        <f t="shared" si="7"/>
        <v>3589531.4927999997</v>
      </c>
      <c r="J39" s="59">
        <f t="shared" si="8"/>
        <v>-287172.49279999966</v>
      </c>
      <c r="K39" s="23">
        <v>362457407</v>
      </c>
      <c r="L39" s="61">
        <f t="shared" si="13"/>
        <v>362457407</v>
      </c>
      <c r="M39" s="63">
        <f t="shared" si="9"/>
        <v>1</v>
      </c>
      <c r="N39" s="59">
        <f t="shared" si="10"/>
        <v>-287172</v>
      </c>
    </row>
    <row r="40" spans="1:14" x14ac:dyDescent="0.2">
      <c r="A40" s="51">
        <v>45870</v>
      </c>
      <c r="B40" s="51">
        <v>45931</v>
      </c>
      <c r="C40" s="80">
        <f>ROUND('1a. Rate Calc'!AI43,5)</f>
        <v>1.1860000000000001E-2</v>
      </c>
      <c r="D40" s="23">
        <v>351989135</v>
      </c>
      <c r="E40" s="55">
        <f t="shared" si="11"/>
        <v>4174591</v>
      </c>
      <c r="F40" s="105">
        <f>AVERAGE('1a. Rate Calc'!AF41:AF43)</f>
        <v>420999770.83333331</v>
      </c>
      <c r="G40" s="23">
        <v>0</v>
      </c>
      <c r="H40" s="58">
        <f t="shared" si="6"/>
        <v>420999770.83333331</v>
      </c>
      <c r="I40" s="55">
        <f t="shared" si="7"/>
        <v>4993057.2820833335</v>
      </c>
      <c r="J40" s="59">
        <f t="shared" si="8"/>
        <v>-818466.28208333347</v>
      </c>
      <c r="K40" s="23">
        <v>386538129</v>
      </c>
      <c r="L40" s="61">
        <f t="shared" si="13"/>
        <v>386538129</v>
      </c>
      <c r="M40" s="63">
        <f t="shared" si="9"/>
        <v>1</v>
      </c>
      <c r="N40" s="59">
        <f t="shared" si="10"/>
        <v>-818466</v>
      </c>
    </row>
    <row r="41" spans="1:14" x14ac:dyDescent="0.2">
      <c r="A41" s="51">
        <v>45901</v>
      </c>
      <c r="B41" s="51">
        <v>45962</v>
      </c>
      <c r="C41" s="80">
        <f>ROUND('1a. Rate Calc'!AI44,5)</f>
        <v>1.1860000000000001E-2</v>
      </c>
      <c r="D41" s="23">
        <v>374909918</v>
      </c>
      <c r="E41" s="55">
        <f t="shared" si="11"/>
        <v>4446432</v>
      </c>
      <c r="F41" s="105">
        <f>F40</f>
        <v>420999770.83333331</v>
      </c>
      <c r="G41" s="23">
        <v>0</v>
      </c>
      <c r="H41" s="58">
        <f t="shared" si="6"/>
        <v>420999770.83333331</v>
      </c>
      <c r="I41" s="55">
        <f t="shared" si="7"/>
        <v>4993057.2820833335</v>
      </c>
      <c r="J41" s="59">
        <f t="shared" si="8"/>
        <v>-546625.28208333347</v>
      </c>
      <c r="K41" s="23">
        <v>409375243</v>
      </c>
      <c r="L41" s="61">
        <f t="shared" si="13"/>
        <v>409375243</v>
      </c>
      <c r="M41" s="63">
        <f t="shared" si="9"/>
        <v>1</v>
      </c>
      <c r="N41" s="59">
        <f t="shared" si="10"/>
        <v>-546625</v>
      </c>
    </row>
    <row r="42" spans="1:14" x14ac:dyDescent="0.2">
      <c r="A42" s="51">
        <v>45931</v>
      </c>
      <c r="B42" s="51">
        <v>45992</v>
      </c>
      <c r="C42" s="80">
        <f>ROUND('1a. Rate Calc'!AI45,5)</f>
        <v>1.1860000000000001E-2</v>
      </c>
      <c r="D42" s="23">
        <v>445893578</v>
      </c>
      <c r="E42" s="55">
        <f t="shared" si="11"/>
        <v>5288298</v>
      </c>
      <c r="F42" s="105">
        <f>F41</f>
        <v>420999770.83333331</v>
      </c>
      <c r="G42" s="23">
        <v>0</v>
      </c>
      <c r="H42" s="58">
        <f t="shared" si="6"/>
        <v>420999770.83333331</v>
      </c>
      <c r="I42" s="55">
        <f t="shared" si="7"/>
        <v>4993057.2820833335</v>
      </c>
      <c r="J42" s="59">
        <f t="shared" si="8"/>
        <v>295240.71791666653</v>
      </c>
      <c r="K42" s="23">
        <v>506994775</v>
      </c>
      <c r="L42" s="61">
        <f t="shared" si="13"/>
        <v>506994775</v>
      </c>
      <c r="M42" s="63">
        <f t="shared" si="9"/>
        <v>1</v>
      </c>
      <c r="N42" s="59">
        <f t="shared" si="10"/>
        <v>295241</v>
      </c>
    </row>
    <row r="43" spans="1:14" x14ac:dyDescent="0.2">
      <c r="A43" s="51">
        <v>45962</v>
      </c>
      <c r="B43" s="51">
        <v>46023</v>
      </c>
      <c r="C43" s="23"/>
      <c r="D43" s="23"/>
      <c r="E43" s="55"/>
      <c r="F43" s="61"/>
      <c r="G43" s="23"/>
      <c r="H43" s="58"/>
      <c r="I43" s="55"/>
      <c r="J43" s="59"/>
      <c r="K43" s="23"/>
      <c r="L43" s="61"/>
      <c r="M43" s="63"/>
      <c r="N43" s="59"/>
    </row>
    <row r="44" spans="1:14" x14ac:dyDescent="0.2">
      <c r="A44" s="51">
        <v>45992</v>
      </c>
      <c r="B44" s="51">
        <v>46054</v>
      </c>
      <c r="C44" s="23"/>
      <c r="D44" s="23"/>
      <c r="E44" s="55"/>
      <c r="F44" s="61"/>
      <c r="G44" s="23"/>
      <c r="H44" s="58"/>
      <c r="I44" s="55"/>
      <c r="J44" s="59"/>
      <c r="K44" s="23"/>
      <c r="L44" s="61"/>
      <c r="M44" s="63"/>
      <c r="N44" s="59"/>
    </row>
    <row r="45" spans="1:14" x14ac:dyDescent="0.2">
      <c r="F45" s="56"/>
    </row>
    <row r="46" spans="1:14" x14ac:dyDescent="0.2">
      <c r="F46" s="56"/>
    </row>
    <row r="47" spans="1:14" x14ac:dyDescent="0.2">
      <c r="F47" s="56"/>
    </row>
    <row r="48" spans="1:14" x14ac:dyDescent="0.2">
      <c r="F48" s="5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73A66-E08A-4D60-8C6C-DCD8D8C5A938}">
  <sheetPr>
    <tabColor theme="1"/>
  </sheetPr>
  <dimension ref="A1"/>
  <sheetViews>
    <sheetView workbookViewId="0">
      <selection activeCell="V40" sqref="V40"/>
    </sheetView>
  </sheetViews>
  <sheetFormatPr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F91A0-BA9D-4607-BA43-73875A0AA442}">
  <sheetPr>
    <tabColor theme="1"/>
  </sheetPr>
  <dimension ref="A1"/>
  <sheetViews>
    <sheetView workbookViewId="0">
      <selection activeCell="J26" sqref="J26"/>
    </sheetView>
  </sheetViews>
  <sheetFormatPr defaultRowHeight="15" x14ac:dyDescent="0.2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AEED9-2869-470F-ADD3-2FBAC2235CA7}">
  <dimension ref="B1:U28"/>
  <sheetViews>
    <sheetView workbookViewId="0">
      <selection activeCell="N30" sqref="N30"/>
    </sheetView>
  </sheetViews>
  <sheetFormatPr defaultRowHeight="12.75" x14ac:dyDescent="0.2"/>
  <cols>
    <col min="1" max="1" width="9.140625" style="1"/>
    <col min="2" max="2" width="10.85546875" style="45" bestFit="1" customWidth="1"/>
    <col min="3" max="7" width="11.28515625" style="1" customWidth="1"/>
    <col min="8" max="19" width="11.140625" style="1" customWidth="1"/>
    <col min="20" max="16384" width="9.140625" style="1"/>
  </cols>
  <sheetData>
    <row r="1" spans="2:21" ht="13.5" thickBot="1" x14ac:dyDescent="0.25"/>
    <row r="2" spans="2:21" ht="15.75" customHeight="1" thickBot="1" x14ac:dyDescent="0.25">
      <c r="C2" s="170" t="s">
        <v>86</v>
      </c>
      <c r="D2" s="171"/>
      <c r="E2" s="171"/>
      <c r="F2" s="171"/>
      <c r="G2" s="172"/>
      <c r="H2" s="167" t="s">
        <v>80</v>
      </c>
      <c r="I2" s="168"/>
      <c r="J2" s="168"/>
      <c r="K2" s="168"/>
      <c r="L2" s="168"/>
      <c r="M2" s="169"/>
      <c r="N2" s="167" t="s">
        <v>81</v>
      </c>
      <c r="O2" s="168"/>
      <c r="P2" s="168"/>
      <c r="Q2" s="168"/>
      <c r="R2" s="168"/>
      <c r="S2" s="169"/>
    </row>
    <row r="3" spans="2:21" s="91" customFormat="1" ht="25.5" x14ac:dyDescent="0.2">
      <c r="B3" s="92"/>
      <c r="C3" s="92">
        <v>2021</v>
      </c>
      <c r="D3" s="93">
        <v>2022</v>
      </c>
      <c r="E3" s="93">
        <v>2023</v>
      </c>
      <c r="F3" s="93">
        <v>2024</v>
      </c>
      <c r="G3" s="94">
        <v>2025</v>
      </c>
      <c r="H3" s="92" t="s">
        <v>74</v>
      </c>
      <c r="I3" s="93" t="s">
        <v>76</v>
      </c>
      <c r="J3" s="94" t="s">
        <v>77</v>
      </c>
      <c r="K3" s="92" t="s">
        <v>75</v>
      </c>
      <c r="L3" s="93" t="s">
        <v>76</v>
      </c>
      <c r="M3" s="94" t="s">
        <v>77</v>
      </c>
      <c r="N3" s="92" t="s">
        <v>74</v>
      </c>
      <c r="O3" s="93" t="s">
        <v>78</v>
      </c>
      <c r="P3" s="94" t="s">
        <v>79</v>
      </c>
      <c r="Q3" s="92" t="s">
        <v>75</v>
      </c>
      <c r="R3" s="93" t="s">
        <v>78</v>
      </c>
      <c r="S3" s="94" t="s">
        <v>79</v>
      </c>
    </row>
    <row r="4" spans="2:21" x14ac:dyDescent="0.2">
      <c r="B4" s="95" t="s">
        <v>62</v>
      </c>
      <c r="C4" s="106">
        <v>539353036</v>
      </c>
      <c r="D4" s="25">
        <v>577776513</v>
      </c>
      <c r="E4" s="25">
        <v>499846850</v>
      </c>
      <c r="F4" s="25">
        <v>617468853</v>
      </c>
      <c r="G4" s="96">
        <v>628318548</v>
      </c>
      <c r="H4" s="82">
        <f t="shared" ref="H4:H15" si="0">AVERAGE(D4:E4)</f>
        <v>538811681.5</v>
      </c>
      <c r="I4" s="57">
        <f t="shared" ref="I4:I15" si="1">H4-F4</f>
        <v>-78657171.5</v>
      </c>
      <c r="J4" s="83">
        <f t="shared" ref="J4:J15" si="2">(H4-F4)/F4</f>
        <v>-0.12738646025275707</v>
      </c>
      <c r="K4" s="82">
        <f t="shared" ref="K4:K15" si="3">AVERAGE(E4:F4)</f>
        <v>558657851.5</v>
      </c>
      <c r="L4" s="57">
        <f t="shared" ref="L4:L15" si="4">K4-G4</f>
        <v>-69660696.5</v>
      </c>
      <c r="M4" s="84">
        <f t="shared" ref="M4:M15" si="5">(K4-G4)/G4</f>
        <v>-0.11086843882253178</v>
      </c>
      <c r="N4" s="82">
        <f t="shared" ref="N4:N15" si="6">AVERAGE(C4:E4)</f>
        <v>538992133</v>
      </c>
      <c r="O4" s="57">
        <f t="shared" ref="O4:O15" si="7">N4-F4</f>
        <v>-78476720</v>
      </c>
      <c r="P4" s="83">
        <f t="shared" ref="P4:P15" si="8">(N4-F4)/F4</f>
        <v>-0.12709421636203566</v>
      </c>
      <c r="Q4" s="82">
        <f t="shared" ref="Q4:Q15" si="9">AVERAGE(D4:F4)</f>
        <v>565030738.66666663</v>
      </c>
      <c r="R4" s="57">
        <f>Q4-G4</f>
        <v>-63287809.333333373</v>
      </c>
      <c r="S4" s="85">
        <f t="shared" ref="S4:S15" si="10">(Q4-G4)/G4</f>
        <v>-0.10072567415809182</v>
      </c>
      <c r="U4" s="81"/>
    </row>
    <row r="5" spans="2:21" x14ac:dyDescent="0.2">
      <c r="B5" s="95" t="s">
        <v>63</v>
      </c>
      <c r="C5" s="106">
        <v>486722816</v>
      </c>
      <c r="D5" s="25">
        <v>468782836</v>
      </c>
      <c r="E5" s="25">
        <v>421121053</v>
      </c>
      <c r="F5" s="25">
        <v>436331073</v>
      </c>
      <c r="G5" s="96">
        <v>486703753</v>
      </c>
      <c r="H5" s="82">
        <f t="shared" si="0"/>
        <v>444951944.5</v>
      </c>
      <c r="I5" s="57">
        <f t="shared" si="1"/>
        <v>8620871.5</v>
      </c>
      <c r="J5" s="85">
        <f t="shared" si="2"/>
        <v>1.9757638255572967E-2</v>
      </c>
      <c r="K5" s="82">
        <f t="shared" si="3"/>
        <v>428726063</v>
      </c>
      <c r="L5" s="57">
        <f t="shared" si="4"/>
        <v>-57977690</v>
      </c>
      <c r="M5" s="84">
        <f t="shared" si="5"/>
        <v>-0.11912316196994684</v>
      </c>
      <c r="N5" s="82">
        <f t="shared" si="6"/>
        <v>458875568.33333331</v>
      </c>
      <c r="O5" s="57">
        <f t="shared" si="7"/>
        <v>22544495.333333313</v>
      </c>
      <c r="P5" s="84">
        <f t="shared" si="8"/>
        <v>5.166832418862205E-2</v>
      </c>
      <c r="Q5" s="82">
        <f t="shared" si="9"/>
        <v>442078320.66666669</v>
      </c>
      <c r="R5" s="57">
        <f t="shared" ref="R5:R15" si="11">Q5-H5</f>
        <v>-2873623.8333333135</v>
      </c>
      <c r="S5" s="85">
        <f t="shared" si="10"/>
        <v>-9.1689106686081615E-2</v>
      </c>
      <c r="U5" s="81"/>
    </row>
    <row r="6" spans="2:21" x14ac:dyDescent="0.2">
      <c r="B6" s="95" t="s">
        <v>64</v>
      </c>
      <c r="C6" s="106">
        <v>435529780</v>
      </c>
      <c r="D6" s="25">
        <v>442400243</v>
      </c>
      <c r="E6" s="25">
        <v>451733027</v>
      </c>
      <c r="F6" s="25">
        <v>425311577</v>
      </c>
      <c r="G6" s="96">
        <v>442249970</v>
      </c>
      <c r="H6" s="82">
        <f t="shared" si="0"/>
        <v>447066635</v>
      </c>
      <c r="I6" s="57">
        <f t="shared" si="1"/>
        <v>21755058</v>
      </c>
      <c r="J6" s="84">
        <f t="shared" si="2"/>
        <v>5.1150871917131004E-2</v>
      </c>
      <c r="K6" s="82">
        <f t="shared" si="3"/>
        <v>438522302</v>
      </c>
      <c r="L6" s="57">
        <f t="shared" si="4"/>
        <v>-3727668</v>
      </c>
      <c r="M6" s="83">
        <f t="shared" si="5"/>
        <v>-8.4288711201043164E-3</v>
      </c>
      <c r="N6" s="82">
        <f t="shared" si="6"/>
        <v>443221016.66666669</v>
      </c>
      <c r="O6" s="57">
        <f t="shared" si="7"/>
        <v>17909439.666666687</v>
      </c>
      <c r="P6" s="85">
        <f t="shared" si="8"/>
        <v>4.210898699958663E-2</v>
      </c>
      <c r="Q6" s="82">
        <f t="shared" si="9"/>
        <v>439814949</v>
      </c>
      <c r="R6" s="57">
        <f t="shared" si="11"/>
        <v>-7251686</v>
      </c>
      <c r="S6" s="83">
        <f t="shared" si="10"/>
        <v>-5.5059834147642792E-3</v>
      </c>
      <c r="U6" s="81"/>
    </row>
    <row r="7" spans="2:21" x14ac:dyDescent="0.2">
      <c r="B7" s="95" t="s">
        <v>65</v>
      </c>
      <c r="C7" s="106">
        <v>378251895</v>
      </c>
      <c r="D7" s="25">
        <v>388747791</v>
      </c>
      <c r="E7" s="25">
        <v>388944272</v>
      </c>
      <c r="F7" s="25">
        <v>397483028</v>
      </c>
      <c r="G7" s="96">
        <v>394135849</v>
      </c>
      <c r="H7" s="82">
        <f t="shared" si="0"/>
        <v>388846031.5</v>
      </c>
      <c r="I7" s="57">
        <f t="shared" si="1"/>
        <v>-8636996.5</v>
      </c>
      <c r="J7" s="85">
        <f t="shared" si="2"/>
        <v>-2.1729220851160469E-2</v>
      </c>
      <c r="K7" s="82">
        <f t="shared" si="3"/>
        <v>393213650</v>
      </c>
      <c r="L7" s="57">
        <f t="shared" si="4"/>
        <v>-922199</v>
      </c>
      <c r="M7" s="85">
        <f t="shared" si="5"/>
        <v>-2.3397998490616873E-3</v>
      </c>
      <c r="N7" s="82">
        <f t="shared" si="6"/>
        <v>385314652.66666669</v>
      </c>
      <c r="O7" s="57">
        <f t="shared" si="7"/>
        <v>-12168375.333333313</v>
      </c>
      <c r="P7" s="84">
        <f t="shared" si="8"/>
        <v>-3.0613572092777038E-2</v>
      </c>
      <c r="Q7" s="82">
        <f t="shared" si="9"/>
        <v>391725030.33333331</v>
      </c>
      <c r="R7" s="57">
        <f t="shared" si="11"/>
        <v>2878998.8333333135</v>
      </c>
      <c r="S7" s="84">
        <f t="shared" si="10"/>
        <v>-6.116720092281396E-3</v>
      </c>
      <c r="U7" s="81"/>
    </row>
    <row r="8" spans="2:21" x14ac:dyDescent="0.2">
      <c r="B8" s="95" t="s">
        <v>66</v>
      </c>
      <c r="C8" s="106">
        <v>377519768</v>
      </c>
      <c r="D8" s="25">
        <v>415884310</v>
      </c>
      <c r="E8" s="25">
        <v>398514364</v>
      </c>
      <c r="F8" s="25">
        <v>411878407</v>
      </c>
      <c r="G8" s="96">
        <v>372175164</v>
      </c>
      <c r="H8" s="82">
        <f t="shared" si="0"/>
        <v>407199337</v>
      </c>
      <c r="I8" s="57">
        <f t="shared" si="1"/>
        <v>-4679070</v>
      </c>
      <c r="J8" s="85">
        <f t="shared" si="2"/>
        <v>-1.136031877485629E-2</v>
      </c>
      <c r="K8" s="82">
        <f t="shared" si="3"/>
        <v>405196385.5</v>
      </c>
      <c r="L8" s="57">
        <f t="shared" si="4"/>
        <v>33021221.5</v>
      </c>
      <c r="M8" s="85">
        <f t="shared" si="5"/>
        <v>8.872494646096267E-2</v>
      </c>
      <c r="N8" s="82">
        <f t="shared" si="6"/>
        <v>397306147.33333331</v>
      </c>
      <c r="O8" s="57">
        <f t="shared" si="7"/>
        <v>-14572259.666666687</v>
      </c>
      <c r="P8" s="84">
        <f t="shared" si="8"/>
        <v>-3.5380003950211174E-2</v>
      </c>
      <c r="Q8" s="82">
        <f t="shared" si="9"/>
        <v>408759027</v>
      </c>
      <c r="R8" s="57">
        <f t="shared" si="11"/>
        <v>1559690</v>
      </c>
      <c r="S8" s="84">
        <f t="shared" si="10"/>
        <v>9.8297432334845433E-2</v>
      </c>
      <c r="U8" s="81"/>
    </row>
    <row r="9" spans="2:21" x14ac:dyDescent="0.2">
      <c r="B9" s="95" t="s">
        <v>67</v>
      </c>
      <c r="C9" s="107">
        <v>416164022</v>
      </c>
      <c r="D9" s="25">
        <v>449598270</v>
      </c>
      <c r="E9" s="25">
        <v>417684971</v>
      </c>
      <c r="F9" s="25">
        <v>457765100</v>
      </c>
      <c r="G9" s="96">
        <v>441328196</v>
      </c>
      <c r="H9" s="82">
        <f t="shared" si="0"/>
        <v>433641620.5</v>
      </c>
      <c r="I9" s="57">
        <f t="shared" si="1"/>
        <v>-24123479.5</v>
      </c>
      <c r="J9" s="85">
        <f t="shared" si="2"/>
        <v>-5.2698380676027945E-2</v>
      </c>
      <c r="K9" s="82">
        <f t="shared" si="3"/>
        <v>437725035.5</v>
      </c>
      <c r="L9" s="57">
        <f t="shared" si="4"/>
        <v>-3603160.5</v>
      </c>
      <c r="M9" s="84">
        <f t="shared" si="5"/>
        <v>-8.1643559887118571E-3</v>
      </c>
      <c r="N9" s="82">
        <f t="shared" si="6"/>
        <v>427815754.33333331</v>
      </c>
      <c r="O9" s="57">
        <f t="shared" si="7"/>
        <v>-29949345.666666687</v>
      </c>
      <c r="P9" s="84">
        <f t="shared" si="8"/>
        <v>-6.5425139807876759E-2</v>
      </c>
      <c r="Q9" s="82">
        <f t="shared" si="9"/>
        <v>441682780.33333331</v>
      </c>
      <c r="R9" s="57">
        <f t="shared" si="11"/>
        <v>8041159.8333333135</v>
      </c>
      <c r="S9" s="85">
        <f t="shared" si="10"/>
        <v>8.0344817427734322E-4</v>
      </c>
      <c r="U9" s="81"/>
    </row>
    <row r="10" spans="2:21" x14ac:dyDescent="0.2">
      <c r="B10" s="95" t="s">
        <v>68</v>
      </c>
      <c r="C10" s="106">
        <v>454066108</v>
      </c>
      <c r="D10" s="25">
        <v>478525653</v>
      </c>
      <c r="E10" s="25">
        <v>478933865</v>
      </c>
      <c r="F10" s="25">
        <v>477823165</v>
      </c>
      <c r="G10" s="96">
        <v>504760607</v>
      </c>
      <c r="H10" s="82">
        <f t="shared" si="0"/>
        <v>478729759</v>
      </c>
      <c r="I10" s="57">
        <f t="shared" si="1"/>
        <v>906594</v>
      </c>
      <c r="J10" s="85">
        <f t="shared" si="2"/>
        <v>1.8973420847019839E-3</v>
      </c>
      <c r="K10" s="82">
        <f t="shared" si="3"/>
        <v>478378515</v>
      </c>
      <c r="L10" s="57">
        <f t="shared" si="4"/>
        <v>-26382092</v>
      </c>
      <c r="M10" s="83">
        <f t="shared" si="5"/>
        <v>-5.2266543058499808E-2</v>
      </c>
      <c r="N10" s="82">
        <f t="shared" si="6"/>
        <v>470508542</v>
      </c>
      <c r="O10" s="57">
        <f t="shared" si="7"/>
        <v>-7314623</v>
      </c>
      <c r="P10" s="84">
        <f t="shared" si="8"/>
        <v>-1.5308221818839613E-2</v>
      </c>
      <c r="Q10" s="82">
        <f t="shared" si="9"/>
        <v>478427561</v>
      </c>
      <c r="R10" s="57">
        <f t="shared" si="11"/>
        <v>-302198</v>
      </c>
      <c r="S10" s="83">
        <f t="shared" si="10"/>
        <v>-5.2169376204906574E-2</v>
      </c>
      <c r="U10" s="81"/>
    </row>
    <row r="11" spans="2:21" x14ac:dyDescent="0.2">
      <c r="B11" s="95" t="s">
        <v>69</v>
      </c>
      <c r="C11" s="106">
        <v>463416762</v>
      </c>
      <c r="D11" s="25">
        <v>469359131</v>
      </c>
      <c r="E11" s="25">
        <v>467128731</v>
      </c>
      <c r="F11" s="25">
        <v>463052563</v>
      </c>
      <c r="G11" s="96">
        <v>437073485</v>
      </c>
      <c r="H11" s="82">
        <f t="shared" si="0"/>
        <v>468243931</v>
      </c>
      <c r="I11" s="57">
        <f t="shared" si="1"/>
        <v>5191368</v>
      </c>
      <c r="J11" s="83">
        <f t="shared" si="2"/>
        <v>1.1211185111181427E-2</v>
      </c>
      <c r="K11" s="82">
        <f t="shared" si="3"/>
        <v>465090647</v>
      </c>
      <c r="L11" s="57">
        <f t="shared" si="4"/>
        <v>28017162</v>
      </c>
      <c r="M11" s="85">
        <f t="shared" si="5"/>
        <v>6.4101719645610622E-2</v>
      </c>
      <c r="N11" s="82">
        <f t="shared" si="6"/>
        <v>466634874.66666669</v>
      </c>
      <c r="O11" s="57">
        <f t="shared" si="7"/>
        <v>3582311.6666666865</v>
      </c>
      <c r="P11" s="83">
        <f t="shared" si="8"/>
        <v>7.7362959476086225E-3</v>
      </c>
      <c r="Q11" s="82">
        <f t="shared" si="9"/>
        <v>466513475</v>
      </c>
      <c r="R11" s="57">
        <f t="shared" si="11"/>
        <v>-1730456</v>
      </c>
      <c r="S11" s="84">
        <f t="shared" si="10"/>
        <v>6.7357071545989577E-2</v>
      </c>
      <c r="U11" s="81"/>
    </row>
    <row r="12" spans="2:21" x14ac:dyDescent="0.2">
      <c r="B12" s="95" t="s">
        <v>70</v>
      </c>
      <c r="C12" s="106">
        <v>394147678</v>
      </c>
      <c r="D12" s="25">
        <v>404267144</v>
      </c>
      <c r="E12" s="25">
        <v>411034614</v>
      </c>
      <c r="F12" s="25">
        <v>399193129</v>
      </c>
      <c r="G12" s="96">
        <v>362457407</v>
      </c>
      <c r="H12" s="82">
        <f t="shared" si="0"/>
        <v>407650879</v>
      </c>
      <c r="I12" s="57">
        <f t="shared" si="1"/>
        <v>8457750</v>
      </c>
      <c r="J12" s="84">
        <f t="shared" si="2"/>
        <v>2.1187113167972386E-2</v>
      </c>
      <c r="K12" s="82">
        <f t="shared" si="3"/>
        <v>405113871.5</v>
      </c>
      <c r="L12" s="57">
        <f t="shared" si="4"/>
        <v>42656464.5</v>
      </c>
      <c r="M12" s="83">
        <f t="shared" si="5"/>
        <v>0.11768683347668489</v>
      </c>
      <c r="N12" s="82">
        <f t="shared" si="6"/>
        <v>403149812</v>
      </c>
      <c r="O12" s="57">
        <f t="shared" si="7"/>
        <v>3956683</v>
      </c>
      <c r="P12" s="85">
        <f t="shared" si="8"/>
        <v>9.9117011605678214E-3</v>
      </c>
      <c r="Q12" s="82">
        <f t="shared" si="9"/>
        <v>404831629</v>
      </c>
      <c r="R12" s="57">
        <f t="shared" si="11"/>
        <v>-2819250</v>
      </c>
      <c r="S12" s="83">
        <f t="shared" si="10"/>
        <v>0.11690814198204535</v>
      </c>
      <c r="U12" s="81"/>
    </row>
    <row r="13" spans="2:21" x14ac:dyDescent="0.2">
      <c r="B13" s="95" t="s">
        <v>71</v>
      </c>
      <c r="C13" s="106">
        <v>357113123</v>
      </c>
      <c r="D13" s="25">
        <v>405052299</v>
      </c>
      <c r="E13" s="25">
        <v>385659292</v>
      </c>
      <c r="F13" s="25">
        <v>399930296</v>
      </c>
      <c r="G13" s="96">
        <v>386538129</v>
      </c>
      <c r="H13" s="82">
        <f t="shared" si="0"/>
        <v>395355795.5</v>
      </c>
      <c r="I13" s="57">
        <f t="shared" si="1"/>
        <v>-4574500.5</v>
      </c>
      <c r="J13" s="85">
        <f t="shared" si="2"/>
        <v>-1.1438244478482821E-2</v>
      </c>
      <c r="K13" s="82">
        <f t="shared" si="3"/>
        <v>392794794</v>
      </c>
      <c r="L13" s="57">
        <f t="shared" si="4"/>
        <v>6256665</v>
      </c>
      <c r="M13" s="85">
        <f t="shared" si="5"/>
        <v>1.6186410940070547E-2</v>
      </c>
      <c r="N13" s="82">
        <f t="shared" si="6"/>
        <v>382608238</v>
      </c>
      <c r="O13" s="57">
        <f t="shared" si="7"/>
        <v>-17322058</v>
      </c>
      <c r="P13" s="84">
        <f t="shared" si="8"/>
        <v>-4.3312692669824647E-2</v>
      </c>
      <c r="Q13" s="82">
        <f t="shared" si="9"/>
        <v>396880629</v>
      </c>
      <c r="R13" s="57">
        <f t="shared" si="11"/>
        <v>1524833.5</v>
      </c>
      <c r="S13" s="84">
        <f t="shared" si="10"/>
        <v>2.675673943669345E-2</v>
      </c>
      <c r="U13" s="81"/>
    </row>
    <row r="14" spans="2:21" x14ac:dyDescent="0.2">
      <c r="B14" s="95" t="s">
        <v>72</v>
      </c>
      <c r="C14" s="106">
        <v>424392684</v>
      </c>
      <c r="D14" s="25">
        <v>440706130</v>
      </c>
      <c r="E14" s="25">
        <v>443997586</v>
      </c>
      <c r="F14" s="25">
        <v>406295923</v>
      </c>
      <c r="G14" s="96">
        <v>409375243</v>
      </c>
      <c r="H14" s="82">
        <f t="shared" si="0"/>
        <v>442351858</v>
      </c>
      <c r="I14" s="57">
        <f t="shared" si="1"/>
        <v>36055935</v>
      </c>
      <c r="J14" s="84">
        <f t="shared" si="2"/>
        <v>8.8743039146863406E-2</v>
      </c>
      <c r="K14" s="82">
        <f t="shared" si="3"/>
        <v>425146754.5</v>
      </c>
      <c r="L14" s="57">
        <f t="shared" si="4"/>
        <v>15771511.5</v>
      </c>
      <c r="M14" s="85">
        <f t="shared" si="5"/>
        <v>3.8525806749872271E-2</v>
      </c>
      <c r="N14" s="82">
        <f t="shared" si="6"/>
        <v>436365466.66666669</v>
      </c>
      <c r="O14" s="57">
        <f t="shared" si="7"/>
        <v>30069543.666666687</v>
      </c>
      <c r="P14" s="85">
        <f t="shared" si="8"/>
        <v>7.400897219110586E-2</v>
      </c>
      <c r="Q14" s="82">
        <f t="shared" si="9"/>
        <v>430333213</v>
      </c>
      <c r="R14" s="57">
        <f t="shared" si="11"/>
        <v>-12018645</v>
      </c>
      <c r="S14" s="84">
        <f t="shared" si="10"/>
        <v>5.11950108326409E-2</v>
      </c>
      <c r="U14" s="81"/>
    </row>
    <row r="15" spans="2:21" ht="13.5" thickBot="1" x14ac:dyDescent="0.25">
      <c r="B15" s="97" t="s">
        <v>73</v>
      </c>
      <c r="C15" s="108">
        <v>459691976</v>
      </c>
      <c r="D15" s="27">
        <v>530871212</v>
      </c>
      <c r="E15" s="27">
        <v>463175334</v>
      </c>
      <c r="F15" s="27">
        <v>494553500</v>
      </c>
      <c r="G15" s="98">
        <v>506994775</v>
      </c>
      <c r="H15" s="86">
        <f t="shared" si="0"/>
        <v>497023273</v>
      </c>
      <c r="I15" s="87">
        <f t="shared" si="1"/>
        <v>2469773</v>
      </c>
      <c r="J15" s="89">
        <f t="shared" si="2"/>
        <v>4.9939450433572913E-3</v>
      </c>
      <c r="K15" s="86">
        <f t="shared" si="3"/>
        <v>478864417</v>
      </c>
      <c r="L15" s="87">
        <f t="shared" si="4"/>
        <v>-28130358</v>
      </c>
      <c r="M15" s="88">
        <f t="shared" si="5"/>
        <v>-5.5484512636249553E-2</v>
      </c>
      <c r="N15" s="86">
        <f t="shared" si="6"/>
        <v>484579507.33333331</v>
      </c>
      <c r="O15" s="87">
        <f t="shared" si="7"/>
        <v>-9973992.6666666865</v>
      </c>
      <c r="P15" s="88">
        <f t="shared" si="8"/>
        <v>-2.0167671782055301E-2</v>
      </c>
      <c r="Q15" s="86">
        <f t="shared" si="9"/>
        <v>496200015.33333331</v>
      </c>
      <c r="R15" s="87">
        <f t="shared" si="11"/>
        <v>-823257.66666668653</v>
      </c>
      <c r="S15" s="89">
        <f t="shared" si="10"/>
        <v>-2.1291658610617215E-2</v>
      </c>
      <c r="U15" s="81"/>
    </row>
    <row r="16" spans="2:21" x14ac:dyDescent="0.2">
      <c r="C16" s="56"/>
    </row>
    <row r="17" spans="3:3" x14ac:dyDescent="0.2">
      <c r="C17" s="56"/>
    </row>
    <row r="18" spans="3:3" x14ac:dyDescent="0.2">
      <c r="C18" s="56"/>
    </row>
    <row r="19" spans="3:3" x14ac:dyDescent="0.2">
      <c r="C19" s="56"/>
    </row>
    <row r="20" spans="3:3" x14ac:dyDescent="0.2">
      <c r="C20" s="56"/>
    </row>
    <row r="21" spans="3:3" x14ac:dyDescent="0.2">
      <c r="C21" s="56"/>
    </row>
    <row r="22" spans="3:3" x14ac:dyDescent="0.2">
      <c r="C22" s="56"/>
    </row>
    <row r="23" spans="3:3" x14ac:dyDescent="0.2">
      <c r="C23" s="56"/>
    </row>
    <row r="24" spans="3:3" x14ac:dyDescent="0.2">
      <c r="C24" s="56"/>
    </row>
    <row r="25" spans="3:3" x14ac:dyDescent="0.2">
      <c r="C25" s="56"/>
    </row>
    <row r="26" spans="3:3" x14ac:dyDescent="0.2">
      <c r="C26" s="56"/>
    </row>
    <row r="27" spans="3:3" x14ac:dyDescent="0.2">
      <c r="C27" s="56"/>
    </row>
    <row r="28" spans="3:3" x14ac:dyDescent="0.2">
      <c r="C28" s="56"/>
    </row>
  </sheetData>
  <mergeCells count="3">
    <mergeCell ref="H2:M2"/>
    <mergeCell ref="N2:S2"/>
    <mergeCell ref="C2:G2"/>
  </mergeCells>
  <phoneticPr fontId="9" type="noConversion"/>
  <pageMargins left="0.7" right="0.7" top="0.75" bottom="0.75" header="0.3" footer="0.3"/>
  <pageSetup orientation="portrait" horizontalDpi="1200" verticalDpi="1200" r:id="rId1"/>
  <ignoredErrors>
    <ignoredError sqref="K4:K15 Q4:Q15 H4:H15 N4:N15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5055C-4325-4410-8E3E-56ED04C74C96}">
  <dimension ref="A1:I24"/>
  <sheetViews>
    <sheetView workbookViewId="0">
      <selection activeCell="B4" sqref="B4"/>
    </sheetView>
  </sheetViews>
  <sheetFormatPr defaultRowHeight="12.75" x14ac:dyDescent="0.2"/>
  <cols>
    <col min="1" max="1" width="9.140625" style="1"/>
    <col min="2" max="2" width="11.140625" style="127" bestFit="1" customWidth="1"/>
    <col min="3" max="3" width="12" style="127" bestFit="1" customWidth="1"/>
    <col min="4" max="4" width="9.140625" style="1"/>
    <col min="5" max="6" width="14.42578125" style="1" customWidth="1"/>
    <col min="7" max="7" width="9.140625" style="1"/>
    <col min="8" max="8" width="11.28515625" style="1" customWidth="1"/>
    <col min="9" max="9" width="12.5703125" style="1" customWidth="1"/>
    <col min="10" max="16384" width="9.140625" style="1"/>
  </cols>
  <sheetData>
    <row r="1" spans="1:9" x14ac:dyDescent="0.2">
      <c r="A1" s="45"/>
      <c r="B1" s="126"/>
      <c r="C1" s="126"/>
    </row>
    <row r="2" spans="1:9" ht="13.5" thickBot="1" x14ac:dyDescent="0.25">
      <c r="A2" s="173" t="s">
        <v>94</v>
      </c>
      <c r="B2" s="173"/>
      <c r="C2" s="173"/>
    </row>
    <row r="3" spans="1:9" s="19" customFormat="1" ht="28.5" customHeight="1" x14ac:dyDescent="0.25">
      <c r="A3" s="124"/>
      <c r="B3" s="125">
        <v>2024</v>
      </c>
      <c r="C3" s="7">
        <v>2025</v>
      </c>
      <c r="E3" s="124" t="s">
        <v>96</v>
      </c>
      <c r="F3" s="7" t="s">
        <v>95</v>
      </c>
      <c r="H3" s="124" t="s">
        <v>97</v>
      </c>
      <c r="I3" s="7" t="s">
        <v>95</v>
      </c>
    </row>
    <row r="4" spans="1:9" x14ac:dyDescent="0.2">
      <c r="A4" s="130" t="s">
        <v>62</v>
      </c>
      <c r="B4" s="131">
        <v>621565000</v>
      </c>
      <c r="C4" s="132">
        <v>668149000</v>
      </c>
      <c r="E4" s="24">
        <v>617468853</v>
      </c>
      <c r="F4" s="128">
        <f t="shared" ref="F4:F15" si="0">E4-B4</f>
        <v>-4096147</v>
      </c>
      <c r="H4" s="24">
        <v>628318548</v>
      </c>
      <c r="I4" s="128">
        <f>H4-C4</f>
        <v>-39830452</v>
      </c>
    </row>
    <row r="5" spans="1:9" x14ac:dyDescent="0.2">
      <c r="A5" s="130" t="s">
        <v>63</v>
      </c>
      <c r="B5" s="131">
        <v>541399000</v>
      </c>
      <c r="C5" s="132">
        <v>563773000</v>
      </c>
      <c r="E5" s="24">
        <v>436331073</v>
      </c>
      <c r="F5" s="128">
        <f t="shared" si="0"/>
        <v>-105067927</v>
      </c>
      <c r="H5" s="24">
        <v>486703753</v>
      </c>
      <c r="I5" s="128">
        <f t="shared" ref="I5:I15" si="1">H5-C5</f>
        <v>-77069247</v>
      </c>
    </row>
    <row r="6" spans="1:9" x14ac:dyDescent="0.2">
      <c r="A6" s="130" t="s">
        <v>64</v>
      </c>
      <c r="B6" s="131">
        <v>506421000</v>
      </c>
      <c r="C6" s="132">
        <v>546465000</v>
      </c>
      <c r="E6" s="24">
        <v>425311577</v>
      </c>
      <c r="F6" s="128">
        <f t="shared" si="0"/>
        <v>-81109423</v>
      </c>
      <c r="H6" s="24">
        <v>442249970</v>
      </c>
      <c r="I6" s="128">
        <f t="shared" si="1"/>
        <v>-104215030</v>
      </c>
    </row>
    <row r="7" spans="1:9" x14ac:dyDescent="0.2">
      <c r="A7" s="130" t="s">
        <v>65</v>
      </c>
      <c r="B7" s="131">
        <v>433660000</v>
      </c>
      <c r="C7" s="132">
        <v>472722000</v>
      </c>
      <c r="E7" s="24">
        <v>397483028</v>
      </c>
      <c r="F7" s="128">
        <f t="shared" si="0"/>
        <v>-36176972</v>
      </c>
      <c r="H7" s="24">
        <v>394135849</v>
      </c>
      <c r="I7" s="128">
        <f t="shared" si="1"/>
        <v>-78586151</v>
      </c>
    </row>
    <row r="8" spans="1:9" x14ac:dyDescent="0.2">
      <c r="A8" s="130" t="s">
        <v>66</v>
      </c>
      <c r="B8" s="131">
        <v>439738000</v>
      </c>
      <c r="C8" s="132">
        <v>480580000</v>
      </c>
      <c r="E8" s="24">
        <v>411878407</v>
      </c>
      <c r="F8" s="128">
        <f t="shared" si="0"/>
        <v>-27859593</v>
      </c>
      <c r="H8" s="24">
        <v>372175164</v>
      </c>
      <c r="I8" s="128">
        <f t="shared" si="1"/>
        <v>-108404836</v>
      </c>
    </row>
    <row r="9" spans="1:9" x14ac:dyDescent="0.2">
      <c r="A9" s="130" t="s">
        <v>67</v>
      </c>
      <c r="B9" s="131">
        <v>470207000</v>
      </c>
      <c r="C9" s="132">
        <v>507224000</v>
      </c>
      <c r="E9" s="24">
        <v>457765100</v>
      </c>
      <c r="F9" s="128">
        <f t="shared" si="0"/>
        <v>-12441900</v>
      </c>
      <c r="H9" s="24">
        <v>441328196</v>
      </c>
      <c r="I9" s="128">
        <f t="shared" si="1"/>
        <v>-65895804</v>
      </c>
    </row>
    <row r="10" spans="1:9" x14ac:dyDescent="0.2">
      <c r="A10" s="130" t="s">
        <v>68</v>
      </c>
      <c r="B10" s="131">
        <v>510379000</v>
      </c>
      <c r="C10" s="132">
        <v>549254000</v>
      </c>
      <c r="E10" s="24">
        <v>477823165</v>
      </c>
      <c r="F10" s="128">
        <f t="shared" si="0"/>
        <v>-32555835</v>
      </c>
      <c r="H10" s="24">
        <v>504760607</v>
      </c>
      <c r="I10" s="128">
        <f t="shared" si="1"/>
        <v>-44493393</v>
      </c>
    </row>
    <row r="11" spans="1:9" x14ac:dyDescent="0.2">
      <c r="A11" s="130" t="s">
        <v>69</v>
      </c>
      <c r="B11" s="131">
        <v>510042000</v>
      </c>
      <c r="C11" s="132">
        <v>548181000</v>
      </c>
      <c r="E11" s="24">
        <v>463052563</v>
      </c>
      <c r="F11" s="128">
        <f t="shared" si="0"/>
        <v>-46989437</v>
      </c>
      <c r="H11" s="24">
        <v>437073485</v>
      </c>
      <c r="I11" s="128">
        <f t="shared" si="1"/>
        <v>-111107515</v>
      </c>
    </row>
    <row r="12" spans="1:9" x14ac:dyDescent="0.2">
      <c r="A12" s="130" t="s">
        <v>70</v>
      </c>
      <c r="B12" s="131">
        <v>446478000</v>
      </c>
      <c r="C12" s="132">
        <v>483072000</v>
      </c>
      <c r="E12" s="24">
        <v>399193129</v>
      </c>
      <c r="F12" s="128">
        <f t="shared" si="0"/>
        <v>-47284871</v>
      </c>
      <c r="H12" s="24">
        <v>362457407</v>
      </c>
      <c r="I12" s="128">
        <f t="shared" si="1"/>
        <v>-120614593</v>
      </c>
    </row>
    <row r="13" spans="1:9" x14ac:dyDescent="0.2">
      <c r="A13" s="130" t="s">
        <v>71</v>
      </c>
      <c r="B13" s="131">
        <v>436429000</v>
      </c>
      <c r="C13" s="132">
        <v>472910000</v>
      </c>
      <c r="E13" s="24">
        <v>399930296</v>
      </c>
      <c r="F13" s="128">
        <f t="shared" si="0"/>
        <v>-36498704</v>
      </c>
      <c r="H13" s="24">
        <v>386538129</v>
      </c>
      <c r="I13" s="128">
        <f t="shared" si="1"/>
        <v>-86371871</v>
      </c>
    </row>
    <row r="14" spans="1:9" x14ac:dyDescent="0.2">
      <c r="A14" s="130" t="s">
        <v>72</v>
      </c>
      <c r="B14" s="131">
        <v>474334000</v>
      </c>
      <c r="C14" s="132">
        <v>508842000</v>
      </c>
      <c r="E14" s="24">
        <v>406295923</v>
      </c>
      <c r="F14" s="128">
        <f t="shared" si="0"/>
        <v>-68038077</v>
      </c>
      <c r="H14" s="24">
        <v>409375243</v>
      </c>
      <c r="I14" s="128">
        <f t="shared" si="1"/>
        <v>-99466757</v>
      </c>
    </row>
    <row r="15" spans="1:9" ht="13.5" thickBot="1" x14ac:dyDescent="0.25">
      <c r="A15" s="133" t="s">
        <v>73</v>
      </c>
      <c r="B15" s="134">
        <v>567434000</v>
      </c>
      <c r="C15" s="135">
        <v>605225000</v>
      </c>
      <c r="E15" s="26">
        <v>494553500</v>
      </c>
      <c r="F15" s="129">
        <f t="shared" si="0"/>
        <v>-72880500</v>
      </c>
      <c r="H15" s="26">
        <v>506994775</v>
      </c>
      <c r="I15" s="129">
        <f t="shared" si="1"/>
        <v>-98230225</v>
      </c>
    </row>
    <row r="16" spans="1:9" x14ac:dyDescent="0.2">
      <c r="B16" s="110"/>
    </row>
    <row r="17" spans="2:2" x14ac:dyDescent="0.2">
      <c r="B17" s="110"/>
    </row>
    <row r="18" spans="2:2" x14ac:dyDescent="0.2">
      <c r="B18" s="110"/>
    </row>
    <row r="19" spans="2:2" x14ac:dyDescent="0.2">
      <c r="B19" s="110"/>
    </row>
    <row r="20" spans="2:2" x14ac:dyDescent="0.2">
      <c r="B20" s="110"/>
    </row>
    <row r="21" spans="2:2" x14ac:dyDescent="0.2">
      <c r="B21" s="110"/>
    </row>
    <row r="22" spans="2:2" x14ac:dyDescent="0.2">
      <c r="B22" s="110"/>
    </row>
    <row r="23" spans="2:2" x14ac:dyDescent="0.2">
      <c r="B23" s="110"/>
    </row>
    <row r="24" spans="2:2" x14ac:dyDescent="0.2">
      <c r="B24" s="110"/>
    </row>
  </sheetData>
  <mergeCells count="1">
    <mergeCell ref="A2:C2"/>
  </mergeCells>
  <phoneticPr fontId="9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8A2EC-6AB4-4A5C-B45F-3BB6974E83D8}">
  <dimension ref="B1:R28"/>
  <sheetViews>
    <sheetView workbookViewId="0">
      <selection activeCell="M4" sqref="M4"/>
    </sheetView>
  </sheetViews>
  <sheetFormatPr defaultRowHeight="15" x14ac:dyDescent="0.25"/>
  <cols>
    <col min="1" max="1" width="3.5703125" customWidth="1"/>
    <col min="4" max="4" width="4.28515625" customWidth="1"/>
    <col min="5" max="6" width="12.28515625" bestFit="1" customWidth="1"/>
    <col min="7" max="7" width="12.28515625" customWidth="1"/>
    <col min="8" max="9" width="12.28515625" bestFit="1" customWidth="1"/>
    <col min="10" max="10" width="4.7109375" customWidth="1"/>
    <col min="13" max="13" width="12.28515625" bestFit="1" customWidth="1"/>
    <col min="14" max="16" width="12.28515625" customWidth="1"/>
    <col min="17" max="17" width="12.28515625" bestFit="1" customWidth="1"/>
    <col min="18" max="18" width="12.28515625" style="1" bestFit="1" customWidth="1"/>
    <col min="19" max="19" width="12.28515625" bestFit="1" customWidth="1"/>
  </cols>
  <sheetData>
    <row r="1" spans="2:18" ht="15.75" thickBot="1" x14ac:dyDescent="0.3"/>
    <row r="2" spans="2:18" x14ac:dyDescent="0.25">
      <c r="E2" s="174" t="s">
        <v>91</v>
      </c>
      <c r="F2" s="175"/>
      <c r="G2" s="175"/>
      <c r="H2" s="175"/>
      <c r="I2" s="176"/>
      <c r="J2" s="2"/>
      <c r="M2" s="174" t="s">
        <v>92</v>
      </c>
      <c r="N2" s="175"/>
      <c r="O2" s="175"/>
      <c r="P2" s="175"/>
      <c r="Q2" s="176"/>
    </row>
    <row r="3" spans="2:18" ht="38.25" x14ac:dyDescent="0.25">
      <c r="B3" s="2" t="s">
        <v>44</v>
      </c>
      <c r="C3" s="2" t="s">
        <v>93</v>
      </c>
      <c r="D3" s="2"/>
      <c r="E3" s="100" t="s">
        <v>115</v>
      </c>
      <c r="F3" s="4" t="s">
        <v>107</v>
      </c>
      <c r="G3" s="4" t="s">
        <v>108</v>
      </c>
      <c r="H3" s="4" t="s">
        <v>109</v>
      </c>
      <c r="I3" s="111" t="s">
        <v>110</v>
      </c>
      <c r="J3" s="4"/>
      <c r="K3" s="2" t="s">
        <v>44</v>
      </c>
      <c r="L3" s="2" t="s">
        <v>93</v>
      </c>
      <c r="M3" s="100" t="s">
        <v>115</v>
      </c>
      <c r="N3" s="4" t="s">
        <v>107</v>
      </c>
      <c r="O3" s="4" t="s">
        <v>108</v>
      </c>
      <c r="P3" s="4" t="s">
        <v>109</v>
      </c>
      <c r="Q3" s="111" t="s">
        <v>110</v>
      </c>
    </row>
    <row r="4" spans="2:18" x14ac:dyDescent="0.25">
      <c r="B4" s="22">
        <v>45292</v>
      </c>
      <c r="C4" s="110">
        <v>1936.1066406369155</v>
      </c>
      <c r="D4" s="110"/>
      <c r="E4" s="112">
        <v>9.3486206784917057E-3</v>
      </c>
      <c r="F4" s="50">
        <v>9.139519237739039E-3</v>
      </c>
      <c r="G4" s="50">
        <v>4.4210207196444598E-3</v>
      </c>
      <c r="H4" s="50">
        <v>9.8956307202450085E-3</v>
      </c>
      <c r="I4" s="113">
        <v>3.0974616210956846E-3</v>
      </c>
      <c r="J4" s="50"/>
      <c r="K4" s="22">
        <v>45292</v>
      </c>
      <c r="L4" s="110">
        <v>1936.1066406369155</v>
      </c>
      <c r="M4" s="117">
        <f>C4*E4</f>
        <v>18.099926576423378</v>
      </c>
      <c r="N4" s="118">
        <f>C4*F4</f>
        <v>17.695083888415393</v>
      </c>
      <c r="O4" s="118">
        <f>L4*G4</f>
        <v>8.5595675736970342</v>
      </c>
      <c r="P4" s="118">
        <f>C4*H4</f>
        <v>19.158996350757025</v>
      </c>
      <c r="Q4" s="119">
        <f t="shared" ref="Q4:Q27" si="0">C4*I4</f>
        <v>5.99701601372134</v>
      </c>
    </row>
    <row r="5" spans="2:18" x14ac:dyDescent="0.25">
      <c r="B5" s="22">
        <v>45323</v>
      </c>
      <c r="C5" s="110">
        <v>1424.4790845537505</v>
      </c>
      <c r="D5" s="110"/>
      <c r="E5" s="112">
        <v>1.7663023817067077E-2</v>
      </c>
      <c r="F5" s="50">
        <v>9.139519237739039E-3</v>
      </c>
      <c r="G5" s="50">
        <v>4.4210207196444598E-3</v>
      </c>
      <c r="H5" s="50">
        <v>6.3966684888771934E-3</v>
      </c>
      <c r="I5" s="113">
        <v>1.8073280443444546E-2</v>
      </c>
      <c r="J5" s="50"/>
      <c r="K5" s="22">
        <v>45323</v>
      </c>
      <c r="L5" s="110">
        <v>1424.4790845537505</v>
      </c>
      <c r="M5" s="117">
        <f t="shared" ref="M5:M27" si="1">C5*E5</f>
        <v>25.160607997386801</v>
      </c>
      <c r="N5" s="118">
        <f t="shared" ref="N5:N27" si="2">C5*F5</f>
        <v>13.019053997035897</v>
      </c>
      <c r="O5" s="118">
        <f t="shared" ref="O5:O27" si="3">L5*G5</f>
        <v>6.2976515475123032</v>
      </c>
      <c r="P5" s="118">
        <f t="shared" ref="P5:P27" si="4">C5*H5</f>
        <v>9.1119204732296062</v>
      </c>
      <c r="Q5" s="119">
        <f t="shared" si="0"/>
        <v>25.745009980961086</v>
      </c>
    </row>
    <row r="6" spans="2:18" x14ac:dyDescent="0.25">
      <c r="B6" s="22">
        <v>45352</v>
      </c>
      <c r="C6" s="110">
        <v>1152.1886446606688</v>
      </c>
      <c r="D6" s="110"/>
      <c r="E6" s="112">
        <v>1.3964499075129869E-2</v>
      </c>
      <c r="F6" s="50">
        <v>9.139519237739039E-3</v>
      </c>
      <c r="G6" s="50">
        <v>4.4210207196444598E-3</v>
      </c>
      <c r="H6" s="50">
        <v>9.6182183508513354E-3</v>
      </c>
      <c r="I6" s="113">
        <v>3.1954014315882517E-2</v>
      </c>
      <c r="J6" s="50"/>
      <c r="K6" s="22">
        <v>45352</v>
      </c>
      <c r="L6" s="110">
        <v>1152.1886446606688</v>
      </c>
      <c r="M6" s="117">
        <f t="shared" si="1"/>
        <v>16.089737262739046</v>
      </c>
      <c r="N6" s="118">
        <f t="shared" si="2"/>
        <v>10.530450283380652</v>
      </c>
      <c r="O6" s="118">
        <f t="shared" si="3"/>
        <v>5.0938498709838846</v>
      </c>
      <c r="P6" s="118">
        <f t="shared" si="4"/>
        <v>11.082001965717774</v>
      </c>
      <c r="Q6" s="119">
        <f t="shared" si="0"/>
        <v>36.81705244608429</v>
      </c>
    </row>
    <row r="7" spans="2:18" x14ac:dyDescent="0.25">
      <c r="B7" s="22">
        <v>45383</v>
      </c>
      <c r="C7" s="110">
        <v>798.9561255303696</v>
      </c>
      <c r="D7" s="110"/>
      <c r="E7" s="112">
        <v>8.6754969074595324E-3</v>
      </c>
      <c r="F7" s="50">
        <v>9.7438622250540959E-3</v>
      </c>
      <c r="G7" s="50">
        <v>8.1652370583999816E-3</v>
      </c>
      <c r="H7" s="50">
        <v>9.0096120373793602E-3</v>
      </c>
      <c r="I7" s="113">
        <v>1.3043593693527481E-2</v>
      </c>
      <c r="J7" s="50"/>
      <c r="K7" s="22">
        <v>45383</v>
      </c>
      <c r="L7" s="110">
        <v>798.9561255303696</v>
      </c>
      <c r="M7" s="117">
        <f t="shared" si="1"/>
        <v>6.9313413962345711</v>
      </c>
      <c r="N7" s="118">
        <f t="shared" si="2"/>
        <v>7.7849184110309464</v>
      </c>
      <c r="O7" s="118">
        <f t="shared" si="3"/>
        <v>6.5236661642162419</v>
      </c>
      <c r="P7" s="118">
        <f t="shared" si="4"/>
        <v>7.1982847259163929</v>
      </c>
      <c r="Q7" s="119">
        <f t="shared" si="0"/>
        <v>10.42125908037308</v>
      </c>
    </row>
    <row r="8" spans="2:18" x14ac:dyDescent="0.25">
      <c r="B8" s="22">
        <v>45413</v>
      </c>
      <c r="C8" s="110">
        <v>1007.203576456905</v>
      </c>
      <c r="D8" s="110"/>
      <c r="E8" s="112">
        <v>1.289877103147841E-2</v>
      </c>
      <c r="F8" s="50">
        <v>9.7438622250540959E-3</v>
      </c>
      <c r="G8" s="50">
        <v>8.1652370583999816E-3</v>
      </c>
      <c r="H8" s="50">
        <v>9.4388093303295166E-3</v>
      </c>
      <c r="I8" s="113">
        <v>8.9931215402404181E-3</v>
      </c>
      <c r="J8" s="50"/>
      <c r="K8" s="22">
        <v>45413</v>
      </c>
      <c r="L8" s="110">
        <v>1007.203576456905</v>
      </c>
      <c r="M8" s="117">
        <f t="shared" si="1"/>
        <v>12.991688314803776</v>
      </c>
      <c r="N8" s="118">
        <f t="shared" si="2"/>
        <v>9.8140528815778207</v>
      </c>
      <c r="O8" s="118">
        <f t="shared" si="3"/>
        <v>8.22405596783892</v>
      </c>
      <c r="P8" s="118">
        <f t="shared" si="4"/>
        <v>9.5068025150026934</v>
      </c>
      <c r="Q8" s="119">
        <f t="shared" si="0"/>
        <v>9.0579041788417793</v>
      </c>
    </row>
    <row r="9" spans="2:18" x14ac:dyDescent="0.25">
      <c r="B9" s="22">
        <v>45444</v>
      </c>
      <c r="C9" s="110">
        <v>968.36616353068212</v>
      </c>
      <c r="D9" s="110"/>
      <c r="E9" s="112">
        <v>7.1050966287420879E-3</v>
      </c>
      <c r="F9" s="50">
        <v>9.7438622250540959E-3</v>
      </c>
      <c r="G9" s="50">
        <v>8.1652370583999816E-3</v>
      </c>
      <c r="H9" s="50">
        <v>9.344828402111701E-3</v>
      </c>
      <c r="I9" s="113">
        <v>3.2516649896778757E-3</v>
      </c>
      <c r="J9" s="50"/>
      <c r="K9" s="22">
        <v>45444</v>
      </c>
      <c r="L9" s="110">
        <v>968.36616353068212</v>
      </c>
      <c r="M9" s="117">
        <f t="shared" si="1"/>
        <v>6.8803351638897592</v>
      </c>
      <c r="N9" s="118">
        <f t="shared" si="2"/>
        <v>9.435626480847171</v>
      </c>
      <c r="O9" s="118">
        <f t="shared" si="3"/>
        <v>7.906939284561342</v>
      </c>
      <c r="P9" s="118">
        <f t="shared" si="4"/>
        <v>9.049215628605463</v>
      </c>
      <c r="Q9" s="119">
        <f t="shared" si="0"/>
        <v>3.1488023511413994</v>
      </c>
    </row>
    <row r="10" spans="2:18" x14ac:dyDescent="0.25">
      <c r="B10" s="22">
        <v>45474</v>
      </c>
      <c r="C10" s="110">
        <v>1347.7827656905047</v>
      </c>
      <c r="D10" s="110"/>
      <c r="E10" s="112">
        <v>2.1182767640450725E-3</v>
      </c>
      <c r="F10" s="50">
        <v>9.8293450525224237E-3</v>
      </c>
      <c r="G10" s="50">
        <v>6.5202994857378842E-3</v>
      </c>
      <c r="H10" s="50">
        <v>9.1244129684572468E-3</v>
      </c>
      <c r="I10" s="113">
        <v>-2.3309049021260943E-3</v>
      </c>
      <c r="J10" s="50"/>
      <c r="K10" s="22">
        <v>45474</v>
      </c>
      <c r="L10" s="110">
        <v>1347.7827656905047</v>
      </c>
      <c r="M10" s="117">
        <f t="shared" si="1"/>
        <v>2.8549769155426006</v>
      </c>
      <c r="N10" s="118">
        <f t="shared" si="2"/>
        <v>13.247821859814952</v>
      </c>
      <c r="O10" s="118">
        <f t="shared" si="3"/>
        <v>8.7879472740181814</v>
      </c>
      <c r="P10" s="118">
        <f t="shared" si="4"/>
        <v>12.297726545929615</v>
      </c>
      <c r="Q10" s="119">
        <f t="shared" si="0"/>
        <v>-3.1415534555490625</v>
      </c>
    </row>
    <row r="11" spans="2:18" x14ac:dyDescent="0.25">
      <c r="B11" s="22">
        <v>45505</v>
      </c>
      <c r="C11" s="110">
        <v>1258.963298893384</v>
      </c>
      <c r="D11" s="110"/>
      <c r="E11" s="112">
        <v>1.2021200475964635E-2</v>
      </c>
      <c r="F11" s="50">
        <v>9.8293450525224237E-3</v>
      </c>
      <c r="G11" s="50">
        <v>6.5202994857378842E-3</v>
      </c>
      <c r="H11" s="50">
        <v>9.6639834066559772E-3</v>
      </c>
      <c r="I11" s="113">
        <v>1.1757930711085354E-2</v>
      </c>
      <c r="J11" s="50"/>
      <c r="K11" s="22">
        <v>45505</v>
      </c>
      <c r="L11" s="110">
        <v>1258.963298893384</v>
      </c>
      <c r="M11" s="117">
        <f t="shared" si="1"/>
        <v>15.134250207879155</v>
      </c>
      <c r="N11" s="118">
        <f t="shared" si="2"/>
        <v>12.374784673284994</v>
      </c>
      <c r="O11" s="118">
        <f t="shared" si="3"/>
        <v>8.2088177503374027</v>
      </c>
      <c r="P11" s="118">
        <f t="shared" si="4"/>
        <v>12.166600430094533</v>
      </c>
      <c r="Q11" s="119">
        <f t="shared" si="0"/>
        <v>14.802803236187849</v>
      </c>
    </row>
    <row r="12" spans="2:18" x14ac:dyDescent="0.25">
      <c r="B12" s="22">
        <v>45536</v>
      </c>
      <c r="C12" s="110">
        <v>864.9880971492787</v>
      </c>
      <c r="D12" s="110"/>
      <c r="E12" s="112">
        <v>1.3755154240120384E-2</v>
      </c>
      <c r="F12" s="50">
        <v>9.8293450525224237E-3</v>
      </c>
      <c r="G12" s="50">
        <v>6.5202994857378842E-3</v>
      </c>
      <c r="H12" s="50">
        <v>9.9137471321205338E-3</v>
      </c>
      <c r="I12" s="113">
        <v>1.9224167626394655E-2</v>
      </c>
      <c r="J12" s="50"/>
      <c r="K12" s="22">
        <v>45536</v>
      </c>
      <c r="L12" s="110">
        <v>864.9880971492787</v>
      </c>
      <c r="M12" s="117">
        <f t="shared" si="1"/>
        <v>11.898044692156564</v>
      </c>
      <c r="N12" s="118">
        <f t="shared" si="2"/>
        <v>8.502266473205049</v>
      </c>
      <c r="O12" s="118">
        <f t="shared" si="3"/>
        <v>5.6399814450118333</v>
      </c>
      <c r="P12" s="118">
        <f t="shared" si="4"/>
        <v>8.5752732674320598</v>
      </c>
      <c r="Q12" s="119">
        <f t="shared" si="0"/>
        <v>16.628676174433878</v>
      </c>
    </row>
    <row r="13" spans="2:18" x14ac:dyDescent="0.25">
      <c r="B13" s="22">
        <v>45566</v>
      </c>
      <c r="C13" s="110">
        <v>858.31000863406098</v>
      </c>
      <c r="D13" s="110"/>
      <c r="E13" s="112">
        <v>1.0161669841443035E-2</v>
      </c>
      <c r="F13" s="50">
        <v>1.2059439517948824E-2</v>
      </c>
      <c r="G13" s="50">
        <v>7.1492216857268719E-3</v>
      </c>
      <c r="H13" s="50">
        <v>9.9381372979022685E-3</v>
      </c>
      <c r="I13" s="113">
        <v>1.8070870793534772E-2</v>
      </c>
      <c r="J13" s="50"/>
      <c r="K13" s="22">
        <v>45566</v>
      </c>
      <c r="L13" s="110">
        <v>858.31000863406098</v>
      </c>
      <c r="M13" s="117">
        <f t="shared" si="1"/>
        <v>8.7218629293454484</v>
      </c>
      <c r="N13" s="118">
        <f t="shared" si="2"/>
        <v>10.350737636772591</v>
      </c>
      <c r="O13" s="118">
        <f t="shared" si="3"/>
        <v>6.1362485268030476</v>
      </c>
      <c r="P13" s="118">
        <f t="shared" si="4"/>
        <v>8.5300027099689792</v>
      </c>
      <c r="Q13" s="119">
        <f t="shared" si="0"/>
        <v>15.51040926682383</v>
      </c>
    </row>
    <row r="14" spans="2:18" x14ac:dyDescent="0.25">
      <c r="B14" s="22">
        <v>45597</v>
      </c>
      <c r="C14" s="110">
        <v>1013.0035394847489</v>
      </c>
      <c r="D14" s="110"/>
      <c r="E14" s="112">
        <v>1.249977395716147E-2</v>
      </c>
      <c r="F14" s="50">
        <v>1.2059439517948824E-2</v>
      </c>
      <c r="G14" s="50">
        <v>7.1492216857268719E-3</v>
      </c>
      <c r="H14" s="50">
        <v>1.0232412544681661E-2</v>
      </c>
      <c r="I14" s="113">
        <v>6.4568134582724361E-3</v>
      </c>
      <c r="J14" s="50"/>
      <c r="K14" s="22">
        <v>45597</v>
      </c>
      <c r="L14" s="110">
        <v>1013.0035394847489</v>
      </c>
      <c r="M14" s="117">
        <f t="shared" si="1"/>
        <v>12.662315261363856</v>
      </c>
      <c r="N14" s="118">
        <f t="shared" si="2"/>
        <v>12.216254915884413</v>
      </c>
      <c r="O14" s="118">
        <f t="shared" si="3"/>
        <v>7.2421868722024447</v>
      </c>
      <c r="P14" s="118">
        <f t="shared" si="4"/>
        <v>10.365470125230669</v>
      </c>
      <c r="Q14" s="119">
        <f t="shared" si="0"/>
        <v>6.5407748870227396</v>
      </c>
    </row>
    <row r="15" spans="2:18" x14ac:dyDescent="0.25">
      <c r="B15" s="22">
        <v>45627</v>
      </c>
      <c r="C15" s="110">
        <v>1567.0713936579702</v>
      </c>
      <c r="D15" s="110"/>
      <c r="E15" s="112">
        <v>1.0261489566574373E-2</v>
      </c>
      <c r="F15" s="50">
        <v>1.2059439517948824E-2</v>
      </c>
      <c r="G15" s="50">
        <v>7.1492216857268719E-3</v>
      </c>
      <c r="H15" s="50">
        <v>1.043662148184368E-2</v>
      </c>
      <c r="I15" s="113">
        <v>1.7436749737605173E-3</v>
      </c>
      <c r="J15" s="50"/>
      <c r="K15" s="22">
        <v>45627</v>
      </c>
      <c r="L15" s="110">
        <v>1567.0713936579702</v>
      </c>
      <c r="M15" s="117">
        <f t="shared" si="1"/>
        <v>16.080486756098423</v>
      </c>
      <c r="N15" s="118">
        <f t="shared" si="2"/>
        <v>18.898002692126067</v>
      </c>
      <c r="O15" s="118">
        <f t="shared" si="3"/>
        <v>11.203340790621793</v>
      </c>
      <c r="P15" s="118">
        <f t="shared" si="4"/>
        <v>16.354930970633486</v>
      </c>
      <c r="Q15" s="119">
        <f t="shared" si="0"/>
        <v>2.7324631712174186</v>
      </c>
      <c r="R15" s="123"/>
    </row>
    <row r="16" spans="2:18" x14ac:dyDescent="0.25">
      <c r="B16" s="22">
        <v>45658</v>
      </c>
      <c r="C16" s="110">
        <v>2179.4770758439618</v>
      </c>
      <c r="D16" s="110"/>
      <c r="E16" s="112">
        <v>1.2060374523678554E-2</v>
      </c>
      <c r="F16" s="50">
        <v>6.6332624185078161E-3</v>
      </c>
      <c r="G16" s="50">
        <v>1.9431887514186133E-3</v>
      </c>
      <c r="H16" s="50">
        <v>1.0703941722482489E-2</v>
      </c>
      <c r="I16" s="113">
        <v>1.2378033012163843E-3</v>
      </c>
      <c r="J16" s="50"/>
      <c r="K16" s="22">
        <v>45658</v>
      </c>
      <c r="L16" s="110">
        <v>2179.4770758439618</v>
      </c>
      <c r="M16" s="117">
        <f t="shared" si="1"/>
        <v>26.285309800449948</v>
      </c>
      <c r="N16" s="118">
        <f t="shared" si="2"/>
        <v>14.45704337919506</v>
      </c>
      <c r="O16" s="118">
        <f t="shared" si="3"/>
        <v>4.2351353377547181</v>
      </c>
      <c r="P16" s="118">
        <f t="shared" si="4"/>
        <v>23.328995605320312</v>
      </c>
      <c r="Q16" s="119">
        <f t="shared" si="0"/>
        <v>2.6977639194050878</v>
      </c>
    </row>
    <row r="17" spans="2:18" x14ac:dyDescent="0.25">
      <c r="B17" s="22">
        <v>45689</v>
      </c>
      <c r="C17" s="110">
        <v>1448.096720523251</v>
      </c>
      <c r="D17" s="110"/>
      <c r="E17" s="112">
        <v>1.2688082141222894E-2</v>
      </c>
      <c r="F17" s="50">
        <v>6.6332624185078161E-3</v>
      </c>
      <c r="G17" s="50">
        <v>1.9431887514186133E-3</v>
      </c>
      <c r="H17" s="50">
        <v>1.0382076174524347E-2</v>
      </c>
      <c r="I17" s="113">
        <v>1.9394344202372054E-2</v>
      </c>
      <c r="J17" s="50"/>
      <c r="K17" s="22">
        <v>45689</v>
      </c>
      <c r="L17" s="110">
        <v>1448.096720523251</v>
      </c>
      <c r="M17" s="117">
        <f t="shared" si="1"/>
        <v>18.373570138434502</v>
      </c>
      <c r="N17" s="118">
        <f t="shared" si="2"/>
        <v>9.6056055546112962</v>
      </c>
      <c r="O17" s="118">
        <f t="shared" si="3"/>
        <v>2.8139252582869645</v>
      </c>
      <c r="P17" s="118">
        <f t="shared" si="4"/>
        <v>15.034250460551286</v>
      </c>
      <c r="Q17" s="119">
        <f t="shared" si="0"/>
        <v>28.084886236154098</v>
      </c>
    </row>
    <row r="18" spans="2:18" x14ac:dyDescent="0.25">
      <c r="B18" s="22">
        <v>45717</v>
      </c>
      <c r="C18" s="110">
        <v>1412.5539653642566</v>
      </c>
      <c r="D18" s="110"/>
      <c r="E18" s="112">
        <v>1.6767258172044289E-2</v>
      </c>
      <c r="F18" s="50">
        <v>-1.0467375814921798E-3</v>
      </c>
      <c r="G18" s="50">
        <v>-5.7368112485813826E-3</v>
      </c>
      <c r="H18" s="50">
        <v>4.0668251728326332E-3</v>
      </c>
      <c r="I18" s="113">
        <v>4.2857954232019518E-2</v>
      </c>
      <c r="J18" s="50"/>
      <c r="K18" s="22">
        <v>45717</v>
      </c>
      <c r="L18" s="110">
        <v>1412.5539653642566</v>
      </c>
      <c r="M18" s="117">
        <f t="shared" si="1"/>
        <v>23.684657019207396</v>
      </c>
      <c r="N18" s="118">
        <f t="shared" si="2"/>
        <v>-1.4785733214325703</v>
      </c>
      <c r="O18" s="118">
        <f t="shared" si="3"/>
        <v>-8.1035554777299037</v>
      </c>
      <c r="P18" s="118">
        <f t="shared" si="4"/>
        <v>5.7446100243279137</v>
      </c>
      <c r="Q18" s="119">
        <f t="shared" si="0"/>
        <v>60.539173197838991</v>
      </c>
    </row>
    <row r="19" spans="2:18" x14ac:dyDescent="0.25">
      <c r="B19" s="22">
        <v>45748</v>
      </c>
      <c r="C19" s="110">
        <v>810.86810972339288</v>
      </c>
      <c r="D19" s="110"/>
      <c r="E19" s="112">
        <v>5.8663133189359243E-3</v>
      </c>
      <c r="F19" s="50">
        <v>6.5173159100028744E-3</v>
      </c>
      <c r="G19" s="50">
        <v>1.6518446331302006E-3</v>
      </c>
      <c r="H19" s="50">
        <v>4.3756313721781265E-3</v>
      </c>
      <c r="I19" s="113">
        <v>1.1877514007144659E-2</v>
      </c>
      <c r="J19" s="50"/>
      <c r="K19" s="22">
        <v>45748</v>
      </c>
      <c r="L19" s="110">
        <v>810.86810972339288</v>
      </c>
      <c r="M19" s="117">
        <f t="shared" si="1"/>
        <v>4.756806391970736</v>
      </c>
      <c r="N19" s="118">
        <f t="shared" si="2"/>
        <v>5.2846836324142252</v>
      </c>
      <c r="O19" s="118">
        <f t="shared" si="3"/>
        <v>1.3394281352230171</v>
      </c>
      <c r="P19" s="118">
        <f t="shared" si="4"/>
        <v>3.5480599396044532</v>
      </c>
      <c r="Q19" s="119">
        <f t="shared" si="0"/>
        <v>9.6310973311865116</v>
      </c>
    </row>
    <row r="20" spans="2:18" x14ac:dyDescent="0.25">
      <c r="B20" s="22">
        <v>45778</v>
      </c>
      <c r="C20" s="110">
        <v>668.91737865493712</v>
      </c>
      <c r="D20" s="110"/>
      <c r="E20" s="112">
        <v>1.6255969761202589E-2</v>
      </c>
      <c r="F20" s="50">
        <v>6.5173159100028744E-3</v>
      </c>
      <c r="G20" s="50">
        <v>1.6518446331302006E-3</v>
      </c>
      <c r="H20" s="50">
        <v>5.1860135796870724E-3</v>
      </c>
      <c r="I20" s="113">
        <v>1.1039858974448417E-2</v>
      </c>
      <c r="J20" s="50"/>
      <c r="K20" s="22">
        <v>45778</v>
      </c>
      <c r="L20" s="110">
        <v>668.91737865493712</v>
      </c>
      <c r="M20" s="117">
        <f t="shared" si="1"/>
        <v>10.87390068015756</v>
      </c>
      <c r="N20" s="118">
        <f t="shared" si="2"/>
        <v>4.3595458743852387</v>
      </c>
      <c r="O20" s="118">
        <f t="shared" si="3"/>
        <v>1.10494758193868</v>
      </c>
      <c r="P20" s="118">
        <f t="shared" si="4"/>
        <v>3.4690146093931835</v>
      </c>
      <c r="Q20" s="119">
        <f t="shared" si="0"/>
        <v>7.3847535259082182</v>
      </c>
    </row>
    <row r="21" spans="2:18" x14ac:dyDescent="0.25">
      <c r="B21" s="22">
        <v>45809</v>
      </c>
      <c r="C21" s="110">
        <v>1287.2863765308241</v>
      </c>
      <c r="D21" s="110"/>
      <c r="E21" s="112">
        <v>6.8925010530696551E-3</v>
      </c>
      <c r="F21" s="50">
        <v>6.5173159100028744E-3</v>
      </c>
      <c r="G21" s="50">
        <v>1.6518446331302006E-3</v>
      </c>
      <c r="H21" s="50">
        <v>5.6618999024397182E-3</v>
      </c>
      <c r="I21" s="113">
        <v>1.0282526180341103E-3</v>
      </c>
      <c r="J21" s="50"/>
      <c r="K21" s="22">
        <v>45809</v>
      </c>
      <c r="L21" s="110">
        <v>1287.2863765308241</v>
      </c>
      <c r="M21" s="117">
        <f t="shared" si="1"/>
        <v>8.8726227058409251</v>
      </c>
      <c r="N21" s="118">
        <f t="shared" si="2"/>
        <v>8.389651982494291</v>
      </c>
      <c r="O21" s="118">
        <f t="shared" si="3"/>
        <v>2.1263970923740643</v>
      </c>
      <c r="P21" s="118">
        <f t="shared" si="4"/>
        <v>7.2884866096918515</v>
      </c>
      <c r="Q21" s="119">
        <f t="shared" si="0"/>
        <v>1.3236555868274633</v>
      </c>
    </row>
    <row r="22" spans="2:18" x14ac:dyDescent="0.25">
      <c r="B22" s="22">
        <v>45839</v>
      </c>
      <c r="C22" s="110">
        <v>1384.9268551318205</v>
      </c>
      <c r="D22" s="110"/>
      <c r="E22" s="112">
        <v>9.0876895181538839E-3</v>
      </c>
      <c r="F22" s="50">
        <v>7.1403803595584958E-3</v>
      </c>
      <c r="G22" s="50">
        <v>8.815338573215023E-4</v>
      </c>
      <c r="H22" s="50">
        <v>6.4113048006838105E-3</v>
      </c>
      <c r="I22" s="113">
        <v>-4.5882840595799189E-3</v>
      </c>
      <c r="J22" s="50"/>
      <c r="K22" s="22">
        <v>45839</v>
      </c>
      <c r="L22" s="110">
        <v>1384.9268551318205</v>
      </c>
      <c r="M22" s="117">
        <f t="shared" si="1"/>
        <v>12.585785264791268</v>
      </c>
      <c r="N22" s="118">
        <f t="shared" si="2"/>
        <v>9.888904515808365</v>
      </c>
      <c r="O22" s="118">
        <f t="shared" si="3"/>
        <v>1.2208599127124911</v>
      </c>
      <c r="P22" s="118">
        <f t="shared" si="4"/>
        <v>8.8791881949025733</v>
      </c>
      <c r="Q22" s="119">
        <f t="shared" si="0"/>
        <v>-6.3544378130854797</v>
      </c>
    </row>
    <row r="23" spans="2:18" x14ac:dyDescent="0.25">
      <c r="B23" s="22">
        <v>45870</v>
      </c>
      <c r="C23" s="110">
        <v>1201.6772725525618</v>
      </c>
      <c r="D23" s="110"/>
      <c r="E23" s="112">
        <v>1.2204749218425195E-2</v>
      </c>
      <c r="F23" s="50">
        <v>7.1403803595584958E-3</v>
      </c>
      <c r="G23" s="50">
        <v>8.815338573215023E-4</v>
      </c>
      <c r="H23" s="50">
        <v>7.0500610257018051E-3</v>
      </c>
      <c r="I23" s="113">
        <v>9.7104258885555295E-3</v>
      </c>
      <c r="J23" s="50"/>
      <c r="K23" s="22">
        <v>45870</v>
      </c>
      <c r="L23" s="110">
        <v>1201.6772725525618</v>
      </c>
      <c r="M23" s="117">
        <f t="shared" si="1"/>
        <v>14.6661697529852</v>
      </c>
      <c r="N23" s="118">
        <f t="shared" si="2"/>
        <v>8.5804327954621336</v>
      </c>
      <c r="O23" s="118">
        <f t="shared" si="3"/>
        <v>1.0593192013288422</v>
      </c>
      <c r="P23" s="118">
        <f t="shared" si="4"/>
        <v>8.4718981046944624</v>
      </c>
      <c r="Q23" s="119">
        <f t="shared" si="0"/>
        <v>11.668798097083195</v>
      </c>
    </row>
    <row r="24" spans="2:18" x14ac:dyDescent="0.25">
      <c r="B24" s="22">
        <v>45901</v>
      </c>
      <c r="C24" s="110">
        <v>828.24005260162721</v>
      </c>
      <c r="D24" s="110"/>
      <c r="E24" s="112">
        <v>1.0088968007362746E-2</v>
      </c>
      <c r="F24" s="50">
        <v>7.1403803595584958E-3</v>
      </c>
      <c r="G24" s="50">
        <v>8.815338573215023E-4</v>
      </c>
      <c r="H24" s="50">
        <v>7.756602358061887E-3</v>
      </c>
      <c r="I24" s="113">
        <v>2.3482826910740218E-2</v>
      </c>
      <c r="J24" s="50"/>
      <c r="K24" s="22">
        <v>45901</v>
      </c>
      <c r="L24" s="110">
        <v>828.24005260162721</v>
      </c>
      <c r="M24" s="117">
        <f t="shared" si="1"/>
        <v>8.3560873931142545</v>
      </c>
      <c r="N24" s="118">
        <f t="shared" si="2"/>
        <v>5.9139490045963541</v>
      </c>
      <c r="O24" s="118">
        <f t="shared" si="3"/>
        <v>0.73012164835807636</v>
      </c>
      <c r="P24" s="118">
        <f t="shared" si="4"/>
        <v>6.4243287450510831</v>
      </c>
      <c r="Q24" s="119">
        <f t="shared" si="0"/>
        <v>19.449417795786385</v>
      </c>
    </row>
    <row r="25" spans="2:18" x14ac:dyDescent="0.25">
      <c r="B25" s="22">
        <v>45931</v>
      </c>
      <c r="C25" s="110">
        <v>892.67732253893985</v>
      </c>
      <c r="D25" s="110"/>
      <c r="E25" s="112">
        <v>-4.3068870398075033E-3</v>
      </c>
      <c r="F25" s="50">
        <v>1.0499578016394645E-2</v>
      </c>
      <c r="G25" s="50">
        <v>1.7909249128457566E-3</v>
      </c>
      <c r="H25" s="50">
        <v>7.2712406049497344E-3</v>
      </c>
      <c r="I25" s="113">
        <v>-6.1034370914081482E-4</v>
      </c>
      <c r="J25" s="50"/>
      <c r="K25" s="22">
        <v>45931</v>
      </c>
      <c r="L25" s="110">
        <v>892.67732253893985</v>
      </c>
      <c r="M25" s="117">
        <f t="shared" si="1"/>
        <v>-3.8446603911730226</v>
      </c>
      <c r="N25" s="118">
        <f t="shared" si="2"/>
        <v>9.3727351914638852</v>
      </c>
      <c r="O25" s="118">
        <f t="shared" si="3"/>
        <v>1.5987180560674341</v>
      </c>
      <c r="P25" s="118">
        <f t="shared" si="4"/>
        <v>6.4908715947629503</v>
      </c>
      <c r="Q25" s="119">
        <f t="shared" si="0"/>
        <v>-0.544839988104308</v>
      </c>
    </row>
    <row r="26" spans="2:18" x14ac:dyDescent="0.25">
      <c r="B26" s="22">
        <v>45962</v>
      </c>
      <c r="C26" s="110">
        <v>1051.1351087165672</v>
      </c>
      <c r="D26" s="110"/>
      <c r="E26" s="112">
        <v>1.1185648451653797E-2</v>
      </c>
      <c r="F26" s="50">
        <v>1.0499578016394645E-2</v>
      </c>
      <c r="G26" s="50">
        <v>1.7909249128457566E-3</v>
      </c>
      <c r="H26" s="50">
        <v>7.6854154514822831E-3</v>
      </c>
      <c r="I26" s="113">
        <v>1.7357198283461384E-3</v>
      </c>
      <c r="J26" s="50"/>
      <c r="K26" s="22">
        <v>45962</v>
      </c>
      <c r="L26" s="110">
        <v>1051.1351087165672</v>
      </c>
      <c r="M26" s="117">
        <f t="shared" si="1"/>
        <v>11.757627801294415</v>
      </c>
      <c r="N26" s="118">
        <f t="shared" si="2"/>
        <v>11.036475079741065</v>
      </c>
      <c r="O26" s="118">
        <f t="shared" si="3"/>
        <v>1.8825040529673329</v>
      </c>
      <c r="P26" s="118">
        <f t="shared" si="4"/>
        <v>8.0784100061258144</v>
      </c>
      <c r="Q26" s="119">
        <f t="shared" si="0"/>
        <v>1.8244760504701194</v>
      </c>
    </row>
    <row r="27" spans="2:18" ht="15.75" thickBot="1" x14ac:dyDescent="0.3">
      <c r="B27" s="22">
        <v>45992</v>
      </c>
      <c r="C27" s="110">
        <v>1429.7812586466628</v>
      </c>
      <c r="D27" s="110"/>
      <c r="E27" s="114">
        <v>5.8608615610117459E-3</v>
      </c>
      <c r="F27" s="115">
        <v>1.0499578016394645E-2</v>
      </c>
      <c r="G27" s="115">
        <v>1.7909249128457566E-3</v>
      </c>
      <c r="H27" s="115">
        <v>8.1652137351026916E-3</v>
      </c>
      <c r="I27" s="116">
        <v>-2.2204660658968547E-3</v>
      </c>
      <c r="J27" s="50"/>
      <c r="K27" s="22">
        <v>45992</v>
      </c>
      <c r="L27" s="110">
        <v>1429.7812586466628</v>
      </c>
      <c r="M27" s="120">
        <f t="shared" si="1"/>
        <v>8.3797500194572194</v>
      </c>
      <c r="N27" s="121">
        <f t="shared" si="2"/>
        <v>15.012099871539567</v>
      </c>
      <c r="O27" s="121">
        <f t="shared" si="3"/>
        <v>2.5606308760302707</v>
      </c>
      <c r="P27" s="121">
        <f t="shared" si="4"/>
        <v>11.674469571294145</v>
      </c>
      <c r="Q27" s="122">
        <f t="shared" si="0"/>
        <v>-3.1747807664802088</v>
      </c>
      <c r="R27" s="123"/>
    </row>
    <row r="28" spans="2:18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mergeCells count="2">
    <mergeCell ref="E2:I2"/>
    <mergeCell ref="M2:Q2"/>
  </mergeCells>
  <pageMargins left="0.7" right="0.7" top="0.75" bottom="0.75" header="0.3" footer="0.3"/>
  <ignoredErrors>
    <ignoredError sqref="F3:L3 N3:Q3" numberStoredAsText="1"/>
  </ignoredError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07842-CF1C-409C-8715-9ADF85879366}">
  <dimension ref="A1:D26"/>
  <sheetViews>
    <sheetView tabSelected="1" workbookViewId="0">
      <selection activeCell="E14" sqref="E14"/>
    </sheetView>
  </sheetViews>
  <sheetFormatPr defaultRowHeight="12.75" x14ac:dyDescent="0.2"/>
  <cols>
    <col min="1" max="1" width="11" style="1" customWidth="1"/>
    <col min="2" max="3" width="8.7109375" style="1" customWidth="1"/>
    <col min="4" max="4" width="10" style="1" customWidth="1"/>
    <col min="5" max="16384" width="9.140625" style="1"/>
  </cols>
  <sheetData>
    <row r="1" spans="1:4" x14ac:dyDescent="0.2">
      <c r="A1" s="45" t="s">
        <v>104</v>
      </c>
    </row>
    <row r="2" spans="1:4" s="2" customFormat="1" ht="31.5" customHeight="1" x14ac:dyDescent="0.25">
      <c r="A2" s="2" t="s">
        <v>101</v>
      </c>
      <c r="B2" s="2" t="s">
        <v>102</v>
      </c>
      <c r="C2" s="2" t="s">
        <v>103</v>
      </c>
      <c r="D2" s="2" t="s">
        <v>105</v>
      </c>
    </row>
    <row r="3" spans="1:4" x14ac:dyDescent="0.2">
      <c r="A3" s="136">
        <v>45992</v>
      </c>
      <c r="B3" s="1">
        <v>2825</v>
      </c>
      <c r="C3" s="1">
        <v>474.76</v>
      </c>
      <c r="D3" s="1">
        <v>342</v>
      </c>
    </row>
    <row r="4" spans="1:4" x14ac:dyDescent="0.2">
      <c r="A4" s="136">
        <v>45962</v>
      </c>
      <c r="B4" s="1">
        <v>1733</v>
      </c>
      <c r="C4" s="1">
        <v>309.63</v>
      </c>
      <c r="D4" s="1">
        <v>314</v>
      </c>
    </row>
    <row r="5" spans="1:4" x14ac:dyDescent="0.2">
      <c r="A5" s="136">
        <v>45931</v>
      </c>
      <c r="B5" s="1">
        <v>1292</v>
      </c>
      <c r="C5" s="1">
        <v>205.38</v>
      </c>
      <c r="D5" s="1">
        <v>312</v>
      </c>
    </row>
    <row r="6" spans="1:4" x14ac:dyDescent="0.2">
      <c r="A6" s="136">
        <v>45901</v>
      </c>
      <c r="B6" s="1">
        <v>1301</v>
      </c>
      <c r="C6" s="1">
        <v>233.09</v>
      </c>
      <c r="D6" s="1">
        <v>311</v>
      </c>
    </row>
    <row r="7" spans="1:4" x14ac:dyDescent="0.2">
      <c r="A7" s="136">
        <v>45870</v>
      </c>
      <c r="B7" s="1">
        <v>1653</v>
      </c>
      <c r="C7" s="1">
        <v>293.24</v>
      </c>
      <c r="D7" s="1">
        <v>313</v>
      </c>
    </row>
    <row r="8" spans="1:4" x14ac:dyDescent="0.2">
      <c r="A8" s="136">
        <v>45839</v>
      </c>
      <c r="B8" s="1">
        <v>1975</v>
      </c>
      <c r="C8" s="1">
        <v>338.61</v>
      </c>
      <c r="D8" s="1">
        <v>311</v>
      </c>
    </row>
    <row r="9" spans="1:4" x14ac:dyDescent="0.2">
      <c r="A9" s="136">
        <v>45809</v>
      </c>
      <c r="B9" s="1">
        <v>1800</v>
      </c>
      <c r="C9" s="1">
        <v>292.61</v>
      </c>
      <c r="D9" s="1">
        <v>309</v>
      </c>
    </row>
    <row r="10" spans="1:4" x14ac:dyDescent="0.2">
      <c r="A10" s="136">
        <v>45778</v>
      </c>
      <c r="B10" s="1">
        <v>1694</v>
      </c>
      <c r="C10" s="1">
        <v>278.45</v>
      </c>
      <c r="D10" s="1">
        <v>307</v>
      </c>
    </row>
    <row r="11" spans="1:4" x14ac:dyDescent="0.2">
      <c r="A11" s="136">
        <v>45748</v>
      </c>
      <c r="B11" s="1">
        <v>2065</v>
      </c>
      <c r="C11" s="1">
        <v>312.68</v>
      </c>
      <c r="D11" s="1">
        <v>307</v>
      </c>
    </row>
    <row r="12" spans="1:4" x14ac:dyDescent="0.2">
      <c r="A12" s="136">
        <v>45717</v>
      </c>
      <c r="B12" s="1">
        <v>5451</v>
      </c>
      <c r="C12" s="1">
        <v>837.76</v>
      </c>
      <c r="D12" s="1">
        <v>309</v>
      </c>
    </row>
    <row r="13" spans="1:4" x14ac:dyDescent="0.2">
      <c r="A13" s="136">
        <v>45689</v>
      </c>
      <c r="B13" s="1">
        <v>2792</v>
      </c>
      <c r="C13" s="1">
        <v>416.24</v>
      </c>
      <c r="D13" s="1">
        <v>305</v>
      </c>
    </row>
    <row r="14" spans="1:4" x14ac:dyDescent="0.2">
      <c r="A14" s="136">
        <v>45658</v>
      </c>
      <c r="B14" s="1">
        <v>3137</v>
      </c>
      <c r="C14" s="1">
        <v>463.84</v>
      </c>
      <c r="D14" s="1">
        <v>306</v>
      </c>
    </row>
    <row r="15" spans="1:4" x14ac:dyDescent="0.2">
      <c r="A15" s="136">
        <v>45627</v>
      </c>
      <c r="B15" s="1">
        <v>2994</v>
      </c>
      <c r="C15" s="1">
        <v>432.5</v>
      </c>
      <c r="D15" s="1">
        <v>301</v>
      </c>
    </row>
    <row r="16" spans="1:4" x14ac:dyDescent="0.2">
      <c r="A16" s="136">
        <v>45597</v>
      </c>
      <c r="B16" s="1">
        <v>2001</v>
      </c>
      <c r="C16" s="1">
        <v>293.56</v>
      </c>
      <c r="D16" s="1">
        <v>275</v>
      </c>
    </row>
    <row r="17" spans="1:4" x14ac:dyDescent="0.2">
      <c r="A17" s="136">
        <v>45566</v>
      </c>
      <c r="B17" s="1">
        <v>1284</v>
      </c>
      <c r="C17" s="1">
        <v>192.86</v>
      </c>
      <c r="D17" s="1">
        <v>283</v>
      </c>
    </row>
    <row r="18" spans="1:4" x14ac:dyDescent="0.2">
      <c r="A18" s="136">
        <v>45536</v>
      </c>
      <c r="B18" s="1">
        <v>1649</v>
      </c>
      <c r="C18" s="1">
        <v>253.62</v>
      </c>
      <c r="D18" s="1">
        <v>288</v>
      </c>
    </row>
    <row r="19" spans="1:4" x14ac:dyDescent="0.2">
      <c r="A19" s="136">
        <v>45505</v>
      </c>
      <c r="B19" s="1">
        <v>1911</v>
      </c>
      <c r="C19" s="1">
        <v>288.17</v>
      </c>
      <c r="D19" s="1">
        <v>286</v>
      </c>
    </row>
    <row r="20" spans="1:4" x14ac:dyDescent="0.2">
      <c r="A20" s="136">
        <v>45474</v>
      </c>
      <c r="B20" s="1">
        <v>2114</v>
      </c>
      <c r="C20" s="1">
        <v>295.69</v>
      </c>
      <c r="D20" s="1">
        <v>286</v>
      </c>
    </row>
    <row r="21" spans="1:4" x14ac:dyDescent="0.2">
      <c r="A21" s="136">
        <v>45444</v>
      </c>
      <c r="B21" s="1">
        <v>1811</v>
      </c>
      <c r="C21" s="1">
        <v>266.01</v>
      </c>
      <c r="D21" s="1">
        <v>288</v>
      </c>
    </row>
    <row r="22" spans="1:4" x14ac:dyDescent="0.2">
      <c r="A22" s="136">
        <v>45413</v>
      </c>
      <c r="B22" s="1">
        <v>2029</v>
      </c>
      <c r="C22" s="1">
        <v>307.45999999999998</v>
      </c>
      <c r="D22" s="1">
        <v>297</v>
      </c>
    </row>
    <row r="23" spans="1:4" x14ac:dyDescent="0.2">
      <c r="A23" s="136">
        <v>45383</v>
      </c>
      <c r="B23" s="1">
        <v>2121</v>
      </c>
      <c r="C23" s="1">
        <v>308.22000000000003</v>
      </c>
      <c r="D23" s="1">
        <v>302</v>
      </c>
    </row>
    <row r="24" spans="1:4" x14ac:dyDescent="0.2">
      <c r="A24" s="136">
        <v>45352</v>
      </c>
      <c r="B24" s="1">
        <v>2518</v>
      </c>
      <c r="C24" s="1">
        <v>372.63</v>
      </c>
      <c r="D24" s="1">
        <v>310</v>
      </c>
    </row>
    <row r="25" spans="1:4" x14ac:dyDescent="0.2">
      <c r="A25" s="136">
        <v>45323</v>
      </c>
      <c r="B25" s="1">
        <v>2992</v>
      </c>
      <c r="C25" s="1">
        <v>433.27</v>
      </c>
      <c r="D25" s="1">
        <v>298</v>
      </c>
    </row>
    <row r="26" spans="1:4" x14ac:dyDescent="0.2">
      <c r="A26" s="136">
        <v>45292</v>
      </c>
      <c r="B26" s="1">
        <v>3425</v>
      </c>
      <c r="C26" s="1">
        <v>428.04</v>
      </c>
      <c r="D26" s="1">
        <v>300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D3394-A2BB-41C6-BAF8-B9008FBC251D}">
  <dimension ref="A1:AE53"/>
  <sheetViews>
    <sheetView zoomScale="80" zoomScaleNormal="80" workbookViewId="0">
      <pane xSplit="2" ySplit="7" topLeftCell="J8" activePane="bottomRight" state="frozen"/>
      <selection pane="topRight" activeCell="C1" sqref="C1"/>
      <selection pane="bottomLeft" activeCell="A7" sqref="A7"/>
      <selection pane="bottomRight" activeCell="AA38" sqref="AA38"/>
    </sheetView>
  </sheetViews>
  <sheetFormatPr defaultRowHeight="12.75" x14ac:dyDescent="0.2"/>
  <cols>
    <col min="1" max="2" width="14" style="1" customWidth="1"/>
    <col min="3" max="3" width="13.140625" style="1" customWidth="1"/>
    <col min="4" max="5" width="12.28515625" style="1" bestFit="1" customWidth="1"/>
    <col min="6" max="6" width="9.42578125" style="1" customWidth="1"/>
    <col min="7" max="7" width="10.7109375" style="1" customWidth="1"/>
    <col min="8" max="8" width="9.42578125" style="1" customWidth="1"/>
    <col min="9" max="9" width="13.42578125" style="1" bestFit="1" customWidth="1"/>
    <col min="10" max="12" width="14.140625" style="1" customWidth="1"/>
    <col min="13" max="13" width="13.42578125" style="1" bestFit="1" customWidth="1"/>
    <col min="14" max="14" width="16.28515625" style="1" customWidth="1"/>
    <col min="15" max="15" width="13.42578125" style="1" customWidth="1"/>
    <col min="16" max="16" width="14.140625" style="1" customWidth="1"/>
    <col min="17" max="17" width="12.85546875" style="1" customWidth="1"/>
    <col min="18" max="18" width="13.42578125" style="1" bestFit="1" customWidth="1"/>
    <col min="19" max="19" width="12.85546875" style="1" customWidth="1"/>
    <col min="20" max="20" width="13.7109375" style="1" customWidth="1"/>
    <col min="21" max="23" width="13.42578125" style="1" bestFit="1" customWidth="1"/>
    <col min="24" max="24" width="7.85546875" style="1" bestFit="1" customWidth="1"/>
    <col min="25" max="25" width="13.42578125" style="1" bestFit="1" customWidth="1"/>
    <col min="26" max="26" width="12.28515625" style="1" bestFit="1" customWidth="1"/>
    <col min="27" max="27" width="13.42578125" style="1" bestFit="1" customWidth="1"/>
    <col min="28" max="28" width="15.85546875" style="1" customWidth="1"/>
    <col min="29" max="31" width="11.28515625" style="1" customWidth="1"/>
    <col min="32" max="16384" width="9.140625" style="1"/>
  </cols>
  <sheetData>
    <row r="1" spans="1:31" s="46" customFormat="1" ht="15.75" x14ac:dyDescent="0.25">
      <c r="A1" s="64" t="s">
        <v>61</v>
      </c>
      <c r="B1" s="64"/>
      <c r="C1" s="64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</row>
    <row r="3" spans="1:31" ht="13.5" thickBot="1" x14ac:dyDescent="0.25"/>
    <row r="4" spans="1:31" s="6" customFormat="1" ht="30.75" customHeight="1" thickBot="1" x14ac:dyDescent="0.3">
      <c r="C4" s="161" t="s">
        <v>28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3"/>
      <c r="U4" s="164" t="s">
        <v>38</v>
      </c>
      <c r="V4" s="165"/>
      <c r="W4" s="165"/>
      <c r="X4" s="165"/>
      <c r="Y4" s="165"/>
      <c r="Z4" s="165"/>
      <c r="AA4" s="165"/>
      <c r="AB4" s="166"/>
      <c r="AC4" s="158" t="s">
        <v>40</v>
      </c>
      <c r="AD4" s="159"/>
      <c r="AE4" s="160"/>
    </row>
    <row r="5" spans="1:31" s="19" customFormat="1" ht="51.75" customHeight="1" x14ac:dyDescent="0.25">
      <c r="C5" s="155" t="s">
        <v>7</v>
      </c>
      <c r="D5" s="156"/>
      <c r="E5" s="156"/>
      <c r="F5" s="156"/>
      <c r="G5" s="156"/>
      <c r="H5" s="156"/>
      <c r="I5" s="157"/>
      <c r="J5" s="155" t="s">
        <v>14</v>
      </c>
      <c r="K5" s="156"/>
      <c r="L5" s="156"/>
      <c r="M5" s="157"/>
      <c r="N5" s="30" t="s">
        <v>15</v>
      </c>
      <c r="O5" s="30" t="s">
        <v>18</v>
      </c>
      <c r="P5" s="30" t="s">
        <v>19</v>
      </c>
      <c r="Q5" s="7" t="s">
        <v>21</v>
      </c>
      <c r="R5" s="30" t="s">
        <v>23</v>
      </c>
      <c r="S5" s="30" t="s">
        <v>25</v>
      </c>
      <c r="T5" s="30" t="s">
        <v>26</v>
      </c>
      <c r="U5" s="155" t="s">
        <v>31</v>
      </c>
      <c r="V5" s="156"/>
      <c r="W5" s="157"/>
      <c r="X5" s="155" t="s">
        <v>32</v>
      </c>
      <c r="Y5" s="156"/>
      <c r="Z5" s="156"/>
      <c r="AA5" s="157"/>
      <c r="AB5" s="30" t="s">
        <v>36</v>
      </c>
      <c r="AC5" s="155" t="s">
        <v>39</v>
      </c>
      <c r="AD5" s="156"/>
      <c r="AE5" s="157"/>
    </row>
    <row r="6" spans="1:31" s="19" customFormat="1" ht="39" customHeight="1" x14ac:dyDescent="0.25">
      <c r="A6" s="2" t="s">
        <v>0</v>
      </c>
      <c r="B6" s="2" t="s">
        <v>43</v>
      </c>
      <c r="C6" s="18" t="s">
        <v>1</v>
      </c>
      <c r="D6" s="19" t="s">
        <v>2</v>
      </c>
      <c r="E6" s="19" t="s">
        <v>3</v>
      </c>
      <c r="F6" s="19" t="s">
        <v>4</v>
      </c>
      <c r="G6" s="19" t="s">
        <v>5</v>
      </c>
      <c r="H6" s="19" t="s">
        <v>6</v>
      </c>
      <c r="I6" s="20" t="s">
        <v>11</v>
      </c>
      <c r="J6" s="18" t="s">
        <v>8</v>
      </c>
      <c r="K6" s="19" t="s">
        <v>9</v>
      </c>
      <c r="L6" s="19" t="s">
        <v>10</v>
      </c>
      <c r="M6" s="20" t="s">
        <v>11</v>
      </c>
      <c r="N6" s="21" t="s">
        <v>16</v>
      </c>
      <c r="O6" s="21" t="s">
        <v>17</v>
      </c>
      <c r="P6" s="21" t="s">
        <v>20</v>
      </c>
      <c r="Q6" s="20" t="s">
        <v>22</v>
      </c>
      <c r="R6" s="21" t="s">
        <v>24</v>
      </c>
      <c r="S6" s="21" t="s">
        <v>16</v>
      </c>
      <c r="T6" s="21" t="s">
        <v>27</v>
      </c>
      <c r="U6" s="18" t="s">
        <v>29</v>
      </c>
      <c r="V6" s="19" t="s">
        <v>30</v>
      </c>
      <c r="W6" s="20" t="s">
        <v>11</v>
      </c>
      <c r="X6" s="18" t="s">
        <v>33</v>
      </c>
      <c r="Y6" s="19" t="s">
        <v>34</v>
      </c>
      <c r="Z6" s="19" t="s">
        <v>35</v>
      </c>
      <c r="AA6" s="20" t="s">
        <v>11</v>
      </c>
      <c r="AB6" s="21" t="s">
        <v>37</v>
      </c>
      <c r="AC6" s="18" t="s">
        <v>16</v>
      </c>
      <c r="AD6" s="19" t="s">
        <v>41</v>
      </c>
      <c r="AE6" s="20" t="s">
        <v>42</v>
      </c>
    </row>
    <row r="7" spans="1:31" s="2" customFormat="1" x14ac:dyDescent="0.2">
      <c r="C7" s="3" t="s">
        <v>12</v>
      </c>
      <c r="D7" s="4" t="s">
        <v>12</v>
      </c>
      <c r="E7" s="4" t="s">
        <v>12</v>
      </c>
      <c r="F7" s="4" t="s">
        <v>12</v>
      </c>
      <c r="G7" s="4" t="s">
        <v>12</v>
      </c>
      <c r="H7" s="4" t="s">
        <v>13</v>
      </c>
      <c r="I7" s="5"/>
      <c r="J7" s="3" t="s">
        <v>12</v>
      </c>
      <c r="K7" s="4" t="s">
        <v>12</v>
      </c>
      <c r="L7" s="4" t="s">
        <v>13</v>
      </c>
      <c r="M7" s="5"/>
      <c r="N7" s="15" t="s">
        <v>13</v>
      </c>
      <c r="O7" s="8"/>
      <c r="P7" s="15" t="s">
        <v>12</v>
      </c>
      <c r="Q7" s="4" t="s">
        <v>13</v>
      </c>
      <c r="R7" s="8"/>
      <c r="S7" s="15" t="s">
        <v>12</v>
      </c>
      <c r="T7" s="8"/>
      <c r="U7" s="3" t="s">
        <v>12</v>
      </c>
      <c r="V7" s="4" t="s">
        <v>12</v>
      </c>
      <c r="W7" s="5"/>
      <c r="X7" s="3" t="s">
        <v>12</v>
      </c>
      <c r="Y7" s="4" t="s">
        <v>12</v>
      </c>
      <c r="Z7" s="4" t="s">
        <v>12</v>
      </c>
      <c r="AA7" s="5"/>
      <c r="AB7" s="8"/>
      <c r="AC7" s="24"/>
      <c r="AD7" s="25"/>
      <c r="AE7" s="20"/>
    </row>
    <row r="8" spans="1:31" x14ac:dyDescent="0.2">
      <c r="A8" s="51">
        <v>44805</v>
      </c>
      <c r="B8" s="51">
        <v>44866</v>
      </c>
      <c r="C8" s="9">
        <v>2857098.77</v>
      </c>
      <c r="D8" s="10">
        <v>21793.8</v>
      </c>
      <c r="E8" s="10">
        <v>214750.49</v>
      </c>
      <c r="F8" s="10">
        <v>0</v>
      </c>
      <c r="G8" s="10">
        <v>0</v>
      </c>
      <c r="H8" s="10">
        <v>0</v>
      </c>
      <c r="I8" s="16">
        <f t="shared" ref="I8:I10" si="0">C8+D8+E8+F8+G8-H8</f>
        <v>3093643.0599999996</v>
      </c>
      <c r="J8" s="9">
        <v>0</v>
      </c>
      <c r="K8" s="10">
        <v>23989817</v>
      </c>
      <c r="L8" s="10">
        <v>0</v>
      </c>
      <c r="M8" s="16">
        <f t="shared" ref="M8:M12" si="1">+J8+K8-L8</f>
        <v>23989817</v>
      </c>
      <c r="N8" s="11">
        <v>561120</v>
      </c>
      <c r="O8" s="37">
        <f t="shared" ref="O8:O11" si="2">I8+M8-N8</f>
        <v>26522340.059999999</v>
      </c>
      <c r="P8" s="11">
        <v>-753922.16999999806</v>
      </c>
      <c r="Q8" s="41">
        <v>-546153</v>
      </c>
      <c r="R8" s="37">
        <f t="shared" ref="R8:R10" si="3">+O8+P8-Q8</f>
        <v>26314570.890000001</v>
      </c>
      <c r="S8" s="11">
        <v>942328.33000000007</v>
      </c>
      <c r="T8" s="37">
        <f t="shared" ref="T8:T10" si="4">R8+S8</f>
        <v>27256899.219999999</v>
      </c>
      <c r="U8" s="24">
        <v>128018000</v>
      </c>
      <c r="V8" s="25">
        <v>307650000</v>
      </c>
      <c r="W8" s="28">
        <f t="shared" ref="W8:W10" si="5">U8+V8</f>
        <v>435668000</v>
      </c>
      <c r="X8" s="24">
        <v>0</v>
      </c>
      <c r="Y8" s="25">
        <v>7069000</v>
      </c>
      <c r="Z8" s="25">
        <v>24331856</v>
      </c>
      <c r="AA8" s="28">
        <f t="shared" ref="AA8:AA10" si="6">X8+Y8+Z8</f>
        <v>31400856</v>
      </c>
      <c r="AB8" s="31">
        <f t="shared" ref="AB8:AB10" si="7">W8-AA8</f>
        <v>404267144</v>
      </c>
      <c r="AC8" s="36">
        <f t="shared" ref="AC8:AC10" si="8">T8/AB8</f>
        <v>6.742298904211716E-2</v>
      </c>
      <c r="AD8" s="33">
        <v>2.6120000000000001E-2</v>
      </c>
      <c r="AE8" s="34">
        <f t="shared" ref="AE8:AE10" si="9">+AC8-AD8</f>
        <v>4.1302989042117155E-2</v>
      </c>
    </row>
    <row r="9" spans="1:31" x14ac:dyDescent="0.2">
      <c r="A9" s="51">
        <v>44835</v>
      </c>
      <c r="B9" s="51">
        <v>44896</v>
      </c>
      <c r="C9" s="9">
        <v>0</v>
      </c>
      <c r="D9" s="10">
        <v>0</v>
      </c>
      <c r="E9" s="10">
        <v>504601.2</v>
      </c>
      <c r="F9" s="10">
        <v>0</v>
      </c>
      <c r="G9" s="10">
        <v>0</v>
      </c>
      <c r="H9" s="10">
        <v>0</v>
      </c>
      <c r="I9" s="16">
        <f t="shared" si="0"/>
        <v>504601.2</v>
      </c>
      <c r="J9" s="9">
        <v>0</v>
      </c>
      <c r="K9" s="10">
        <v>25535944</v>
      </c>
      <c r="L9" s="10">
        <v>0</v>
      </c>
      <c r="M9" s="16">
        <f t="shared" si="1"/>
        <v>25535944</v>
      </c>
      <c r="N9" s="11">
        <v>486786</v>
      </c>
      <c r="O9" s="37">
        <f t="shared" si="2"/>
        <v>25553759.199999999</v>
      </c>
      <c r="P9" s="41">
        <v>-901832.16999999806</v>
      </c>
      <c r="Q9" s="41">
        <v>-1682915</v>
      </c>
      <c r="R9" s="37">
        <f t="shared" si="3"/>
        <v>26334842.030000001</v>
      </c>
      <c r="S9" s="11">
        <v>1231254.0400000003</v>
      </c>
      <c r="T9" s="37">
        <f t="shared" si="4"/>
        <v>27566096.07</v>
      </c>
      <c r="U9" s="24">
        <v>0</v>
      </c>
      <c r="V9" s="25">
        <v>437101000</v>
      </c>
      <c r="W9" s="28">
        <f t="shared" si="5"/>
        <v>437101000</v>
      </c>
      <c r="X9" s="24">
        <v>0</v>
      </c>
      <c r="Y9" s="25">
        <v>8431000</v>
      </c>
      <c r="Z9" s="25">
        <v>23617701</v>
      </c>
      <c r="AA9" s="28">
        <f t="shared" si="6"/>
        <v>32048701</v>
      </c>
      <c r="AB9" s="31">
        <f t="shared" si="7"/>
        <v>405052299</v>
      </c>
      <c r="AC9" s="36">
        <f t="shared" si="8"/>
        <v>6.8055646488257557E-2</v>
      </c>
      <c r="AD9" s="33">
        <v>2.6120000000000001E-2</v>
      </c>
      <c r="AE9" s="34">
        <f t="shared" si="9"/>
        <v>4.1935646488257552E-2</v>
      </c>
    </row>
    <row r="10" spans="1:31" x14ac:dyDescent="0.2">
      <c r="A10" s="51">
        <v>44866</v>
      </c>
      <c r="B10" s="51">
        <v>44927</v>
      </c>
      <c r="C10" s="9">
        <v>1122582.51</v>
      </c>
      <c r="D10" s="10">
        <v>343157.88</v>
      </c>
      <c r="E10" s="10">
        <v>490104.03</v>
      </c>
      <c r="F10" s="10">
        <v>0</v>
      </c>
      <c r="G10" s="10">
        <v>0</v>
      </c>
      <c r="H10" s="10">
        <v>0</v>
      </c>
      <c r="I10" s="16">
        <f t="shared" si="0"/>
        <v>1955844.4200000002</v>
      </c>
      <c r="J10" s="9">
        <v>0</v>
      </c>
      <c r="K10" s="10">
        <v>26299506</v>
      </c>
      <c r="L10" s="10">
        <v>0</v>
      </c>
      <c r="M10" s="16">
        <f t="shared" si="1"/>
        <v>26299506</v>
      </c>
      <c r="N10" s="11">
        <v>847309</v>
      </c>
      <c r="O10" s="37">
        <f t="shared" si="2"/>
        <v>27408041.420000002</v>
      </c>
      <c r="P10" s="11">
        <v>-259372.94999999925</v>
      </c>
      <c r="Q10" s="41">
        <v>-383931</v>
      </c>
      <c r="R10" s="37">
        <f t="shared" si="3"/>
        <v>27532599.470000003</v>
      </c>
      <c r="S10" s="11">
        <v>650679.95000000019</v>
      </c>
      <c r="T10" s="37">
        <f t="shared" si="4"/>
        <v>28183279.420000002</v>
      </c>
      <c r="U10" s="24">
        <v>4982000</v>
      </c>
      <c r="V10" s="25">
        <v>479292000</v>
      </c>
      <c r="W10" s="28">
        <f t="shared" si="5"/>
        <v>484274000</v>
      </c>
      <c r="X10" s="24">
        <v>0</v>
      </c>
      <c r="Y10" s="44">
        <v>17615000</v>
      </c>
      <c r="Z10" s="25">
        <v>25952870</v>
      </c>
      <c r="AA10" s="28">
        <f t="shared" si="6"/>
        <v>43567870</v>
      </c>
      <c r="AB10" s="31">
        <f t="shared" si="7"/>
        <v>440706130</v>
      </c>
      <c r="AC10" s="36">
        <f t="shared" si="8"/>
        <v>6.3950277750844997E-2</v>
      </c>
      <c r="AD10" s="33">
        <v>2.6120000000000001E-2</v>
      </c>
      <c r="AE10" s="34">
        <f t="shared" si="9"/>
        <v>3.7830277750844993E-2</v>
      </c>
    </row>
    <row r="11" spans="1:31" x14ac:dyDescent="0.2">
      <c r="A11" s="51">
        <v>44896</v>
      </c>
      <c r="B11" s="51">
        <v>44958</v>
      </c>
      <c r="C11" s="9">
        <v>7046750.1299999999</v>
      </c>
      <c r="D11" s="10">
        <v>1077343.8</v>
      </c>
      <c r="E11" s="10">
        <v>503491.9</v>
      </c>
      <c r="F11" s="10">
        <v>0</v>
      </c>
      <c r="G11" s="10">
        <v>0</v>
      </c>
      <c r="H11" s="10">
        <v>0</v>
      </c>
      <c r="I11" s="16">
        <f>C11+D11+E11+F11+G11-H11</f>
        <v>8627585.8300000001</v>
      </c>
      <c r="J11" s="9">
        <v>0</v>
      </c>
      <c r="K11" s="10">
        <v>37013497</v>
      </c>
      <c r="L11" s="10">
        <v>0</v>
      </c>
      <c r="M11" s="16">
        <f t="shared" si="1"/>
        <v>37013497</v>
      </c>
      <c r="N11" s="11">
        <v>1859181</v>
      </c>
      <c r="O11" s="37">
        <f t="shared" si="2"/>
        <v>43781901.829999998</v>
      </c>
      <c r="P11" s="11">
        <v>3525.0200000032783</v>
      </c>
      <c r="Q11" s="41">
        <v>4078665</v>
      </c>
      <c r="R11" s="37">
        <f>+O11+P11-Q11</f>
        <v>39706761.850000001</v>
      </c>
      <c r="S11" s="11">
        <v>1302348.2099999995</v>
      </c>
      <c r="T11" s="37">
        <f>R11+S11</f>
        <v>41009110.060000002</v>
      </c>
      <c r="U11" s="24">
        <v>189231000</v>
      </c>
      <c r="V11" s="25">
        <v>400310000</v>
      </c>
      <c r="W11" s="28">
        <f>U11+V11</f>
        <v>589541000</v>
      </c>
      <c r="X11" s="24">
        <v>0</v>
      </c>
      <c r="Y11" s="25">
        <v>28200000</v>
      </c>
      <c r="Z11" s="25">
        <v>30469788</v>
      </c>
      <c r="AA11" s="28">
        <f>X11+Y11+Z11</f>
        <v>58669788</v>
      </c>
      <c r="AB11" s="31">
        <f>W11-AA11</f>
        <v>530871212</v>
      </c>
      <c r="AC11" s="36">
        <f>T11/AB11</f>
        <v>7.7248698239828467E-2</v>
      </c>
      <c r="AD11" s="33">
        <v>2.6120000000000001E-2</v>
      </c>
      <c r="AE11" s="34">
        <f>+AC11-AD11</f>
        <v>5.1128698239828463E-2</v>
      </c>
    </row>
    <row r="12" spans="1:31" x14ac:dyDescent="0.2">
      <c r="A12" s="51">
        <v>44927</v>
      </c>
      <c r="B12" s="51">
        <v>44986</v>
      </c>
      <c r="C12" s="9">
        <v>518411.2</v>
      </c>
      <c r="D12" s="10">
        <v>828922.64</v>
      </c>
      <c r="E12" s="10">
        <v>2371054.9300000002</v>
      </c>
      <c r="F12" s="10">
        <v>0</v>
      </c>
      <c r="G12" s="10">
        <v>0</v>
      </c>
      <c r="H12" s="10">
        <v>0</v>
      </c>
      <c r="I12" s="16">
        <f>C12+D12+E12+F12+G12-H12</f>
        <v>3718388.7700000005</v>
      </c>
      <c r="J12" s="9">
        <v>0</v>
      </c>
      <c r="K12" s="10">
        <v>18050357</v>
      </c>
      <c r="L12" s="10">
        <v>0</v>
      </c>
      <c r="M12" s="16">
        <f t="shared" si="1"/>
        <v>18050357</v>
      </c>
      <c r="N12" s="11">
        <v>1428737</v>
      </c>
      <c r="O12" s="37">
        <f>I12+M12-N12</f>
        <v>20340008.77</v>
      </c>
      <c r="P12" s="11">
        <v>-12787708.145126998</v>
      </c>
      <c r="Q12" s="41">
        <v>4443701</v>
      </c>
      <c r="R12" s="37">
        <f>+O12+P12-Q12</f>
        <v>3108599.6248730011</v>
      </c>
      <c r="S12" s="11">
        <v>509277.74000000057</v>
      </c>
      <c r="T12" s="37">
        <f t="shared" ref="T12" si="10">R12+S12</f>
        <v>3617877.3648730018</v>
      </c>
      <c r="U12" s="24">
        <v>77204000</v>
      </c>
      <c r="V12" s="25">
        <v>487037000</v>
      </c>
      <c r="W12" s="28">
        <f>U12+V12</f>
        <v>564241000</v>
      </c>
      <c r="X12" s="24">
        <v>0</v>
      </c>
      <c r="Y12" s="25">
        <v>36825000</v>
      </c>
      <c r="Z12" s="25">
        <v>27569150</v>
      </c>
      <c r="AA12" s="28">
        <f>X12+Y12+Z12</f>
        <v>64394150</v>
      </c>
      <c r="AB12" s="31">
        <f>W12-AA12</f>
        <v>499846850</v>
      </c>
      <c r="AC12" s="36">
        <f>T12/AB12</f>
        <v>7.2379717204839877E-3</v>
      </c>
      <c r="AD12" s="33">
        <v>2.6120000000000001E-2</v>
      </c>
      <c r="AE12" s="34">
        <f>+AC12-AD12</f>
        <v>-1.8882028279516013E-2</v>
      </c>
    </row>
    <row r="13" spans="1:31" x14ac:dyDescent="0.2">
      <c r="A13" s="51">
        <v>44958</v>
      </c>
      <c r="B13" s="51">
        <v>45017</v>
      </c>
      <c r="C13" s="9">
        <v>6587292.4900000002</v>
      </c>
      <c r="D13" s="10">
        <v>-36639.75</v>
      </c>
      <c r="E13" s="10">
        <v>4383285.93</v>
      </c>
      <c r="F13" s="10">
        <v>0</v>
      </c>
      <c r="G13" s="10">
        <v>0</v>
      </c>
      <c r="H13" s="10">
        <v>0</v>
      </c>
      <c r="I13" s="16">
        <f t="shared" ref="I13:I47" si="11">C13+D13+E13+F13+G13-H13</f>
        <v>10933938.67</v>
      </c>
      <c r="J13" s="9">
        <v>0</v>
      </c>
      <c r="K13" s="10">
        <v>4599403</v>
      </c>
      <c r="L13" s="10">
        <v>0</v>
      </c>
      <c r="M13" s="16">
        <f t="shared" ref="M13:M47" si="12">SUM(J13:L13)</f>
        <v>4599403</v>
      </c>
      <c r="N13" s="11">
        <v>552709</v>
      </c>
      <c r="O13" s="37">
        <f t="shared" ref="O13:O47" si="13">I13+M13-N13</f>
        <v>14980632.67</v>
      </c>
      <c r="P13" s="11">
        <v>13765.860000003129</v>
      </c>
      <c r="Q13" s="60">
        <v>-3196384</v>
      </c>
      <c r="R13" s="37">
        <f t="shared" ref="R13:R47" si="14">+O13+P13-Q13</f>
        <v>18190782.530000001</v>
      </c>
      <c r="S13" s="11">
        <v>-105272.40000000037</v>
      </c>
      <c r="T13" s="37">
        <f t="shared" ref="T13:T47" si="15">R13+S13</f>
        <v>18085510.130000003</v>
      </c>
      <c r="U13" s="24">
        <v>317934000</v>
      </c>
      <c r="V13" s="25">
        <v>140551000</v>
      </c>
      <c r="W13" s="28">
        <f t="shared" ref="W13:W47" si="16">U13+V13</f>
        <v>458485000</v>
      </c>
      <c r="X13" s="24">
        <v>0</v>
      </c>
      <c r="Y13" s="25">
        <v>14970000</v>
      </c>
      <c r="Z13" s="25">
        <v>22393947</v>
      </c>
      <c r="AA13" s="28">
        <f t="shared" ref="AA13:AA47" si="17">X13+Y13+Z13</f>
        <v>37363947</v>
      </c>
      <c r="AB13" s="31">
        <f t="shared" ref="AB13:AB47" si="18">W13-AA13</f>
        <v>421121053</v>
      </c>
      <c r="AC13" s="36">
        <f t="shared" ref="AC13:AC47" si="19">T13/AB13</f>
        <v>4.2946107778658128E-2</v>
      </c>
      <c r="AD13" s="33">
        <v>2.6120000000000001E-2</v>
      </c>
      <c r="AE13" s="34">
        <f t="shared" ref="AE13:AE47" si="20">+AC13-AD13</f>
        <v>1.6826107778658127E-2</v>
      </c>
    </row>
    <row r="14" spans="1:31" x14ac:dyDescent="0.2">
      <c r="A14" s="51">
        <v>44986</v>
      </c>
      <c r="B14" s="51">
        <v>45047</v>
      </c>
      <c r="C14" s="9">
        <v>6740326.6299999999</v>
      </c>
      <c r="D14" s="10">
        <v>160547.45000000001</v>
      </c>
      <c r="E14" s="10">
        <v>3391902.43</v>
      </c>
      <c r="F14" s="10">
        <v>0</v>
      </c>
      <c r="G14" s="10">
        <v>0</v>
      </c>
      <c r="H14" s="10">
        <v>0</v>
      </c>
      <c r="I14" s="16">
        <f t="shared" si="11"/>
        <v>10292776.51</v>
      </c>
      <c r="J14" s="9">
        <v>0</v>
      </c>
      <c r="K14" s="10">
        <v>4073187.29</v>
      </c>
      <c r="L14" s="10">
        <v>0</v>
      </c>
      <c r="M14" s="16">
        <f t="shared" si="12"/>
        <v>4073187.29</v>
      </c>
      <c r="N14" s="11">
        <v>855780.98400000005</v>
      </c>
      <c r="O14" s="37">
        <f t="shared" si="13"/>
        <v>13510182.816000002</v>
      </c>
      <c r="P14" s="11">
        <v>-286579.11926597543</v>
      </c>
      <c r="Q14" s="60">
        <v>1176376</v>
      </c>
      <c r="R14" s="37">
        <f t="shared" si="14"/>
        <v>12047227.696734026</v>
      </c>
      <c r="S14" s="41">
        <v>784504.06999999948</v>
      </c>
      <c r="T14" s="37">
        <f t="shared" si="15"/>
        <v>12831731.766734026</v>
      </c>
      <c r="U14" s="24">
        <v>362421000</v>
      </c>
      <c r="V14" s="25">
        <v>144299000</v>
      </c>
      <c r="W14" s="28">
        <f t="shared" si="16"/>
        <v>506720000</v>
      </c>
      <c r="X14" s="24">
        <v>0</v>
      </c>
      <c r="Y14" s="25">
        <v>31841000</v>
      </c>
      <c r="Z14" s="25">
        <v>23145973</v>
      </c>
      <c r="AA14" s="28">
        <f t="shared" si="17"/>
        <v>54986973</v>
      </c>
      <c r="AB14" s="31">
        <f t="shared" si="18"/>
        <v>451733027</v>
      </c>
      <c r="AC14" s="36">
        <f t="shared" si="19"/>
        <v>2.840556479111284E-2</v>
      </c>
      <c r="AD14" s="33">
        <v>2.6120000000000001E-2</v>
      </c>
      <c r="AE14" s="34">
        <f t="shared" si="20"/>
        <v>2.2855647911128388E-3</v>
      </c>
    </row>
    <row r="15" spans="1:31" x14ac:dyDescent="0.2">
      <c r="A15" s="51">
        <v>45017</v>
      </c>
      <c r="B15" s="51">
        <v>45078</v>
      </c>
      <c r="C15" s="9">
        <v>2008819.49</v>
      </c>
      <c r="D15" s="10">
        <v>288388.32</v>
      </c>
      <c r="E15" s="10">
        <v>1257326.02</v>
      </c>
      <c r="F15" s="10">
        <v>0</v>
      </c>
      <c r="G15" s="10">
        <v>0</v>
      </c>
      <c r="H15" s="10">
        <v>0</v>
      </c>
      <c r="I15" s="16">
        <f t="shared" si="11"/>
        <v>3554533.83</v>
      </c>
      <c r="J15" s="9">
        <v>0</v>
      </c>
      <c r="K15" s="10">
        <v>9498651</v>
      </c>
      <c r="L15" s="10">
        <v>0</v>
      </c>
      <c r="M15" s="16">
        <f t="shared" si="12"/>
        <v>9498651</v>
      </c>
      <c r="N15" s="11">
        <v>272262</v>
      </c>
      <c r="O15" s="37">
        <f t="shared" si="13"/>
        <v>12780922.83</v>
      </c>
      <c r="P15" s="11">
        <v>-33425.769120000303</v>
      </c>
      <c r="Q15" s="60">
        <v>50207</v>
      </c>
      <c r="R15" s="37">
        <f t="shared" si="14"/>
        <v>12697290.06088</v>
      </c>
      <c r="S15" s="11">
        <v>804948.04999999946</v>
      </c>
      <c r="T15" s="37">
        <f t="shared" si="15"/>
        <v>13502238.110879999</v>
      </c>
      <c r="U15" s="24">
        <v>102677000</v>
      </c>
      <c r="V15" s="25">
        <v>314286000</v>
      </c>
      <c r="W15" s="28">
        <f t="shared" si="16"/>
        <v>416963000</v>
      </c>
      <c r="X15" s="24">
        <v>0</v>
      </c>
      <c r="Y15" s="25">
        <v>8411000</v>
      </c>
      <c r="Z15" s="25">
        <v>19607728</v>
      </c>
      <c r="AA15" s="28">
        <f t="shared" si="17"/>
        <v>28018728</v>
      </c>
      <c r="AB15" s="31">
        <f t="shared" si="18"/>
        <v>388944272</v>
      </c>
      <c r="AC15" s="36">
        <f t="shared" si="19"/>
        <v>3.4715096950650039E-2</v>
      </c>
      <c r="AD15" s="33">
        <v>2.6120000000000001E-2</v>
      </c>
      <c r="AE15" s="34">
        <f t="shared" si="20"/>
        <v>8.5950969506500378E-3</v>
      </c>
    </row>
    <row r="16" spans="1:31" x14ac:dyDescent="0.2">
      <c r="A16" s="51">
        <v>45047</v>
      </c>
      <c r="B16" s="51">
        <v>45108</v>
      </c>
      <c r="C16" s="9">
        <v>3677601.31</v>
      </c>
      <c r="D16" s="10">
        <v>423217.89</v>
      </c>
      <c r="E16" s="10">
        <v>1656522.68</v>
      </c>
      <c r="F16" s="10">
        <v>0</v>
      </c>
      <c r="G16" s="10">
        <v>0</v>
      </c>
      <c r="H16" s="10">
        <v>0</v>
      </c>
      <c r="I16" s="16">
        <f t="shared" si="11"/>
        <v>5757341.8799999999</v>
      </c>
      <c r="J16" s="9">
        <v>0</v>
      </c>
      <c r="K16" s="10">
        <v>7798248</v>
      </c>
      <c r="L16" s="10">
        <v>0</v>
      </c>
      <c r="M16" s="16">
        <f t="shared" si="12"/>
        <v>7798248</v>
      </c>
      <c r="N16" s="11">
        <v>559930</v>
      </c>
      <c r="O16" s="37">
        <f t="shared" si="13"/>
        <v>12995659.879999999</v>
      </c>
      <c r="P16" s="11">
        <v>12127.689999999478</v>
      </c>
      <c r="Q16" s="60">
        <v>-123902</v>
      </c>
      <c r="R16" s="37">
        <f t="shared" si="14"/>
        <v>13131689.569999998</v>
      </c>
      <c r="S16" s="11">
        <v>-772208.30000000051</v>
      </c>
      <c r="T16" s="37">
        <f t="shared" si="15"/>
        <v>12359481.269999998</v>
      </c>
      <c r="U16" s="24">
        <v>162915000</v>
      </c>
      <c r="V16" s="25">
        <v>281388000</v>
      </c>
      <c r="W16" s="28">
        <f t="shared" si="16"/>
        <v>444303000</v>
      </c>
      <c r="X16" s="24">
        <v>0</v>
      </c>
      <c r="Y16" s="25">
        <v>22433000</v>
      </c>
      <c r="Z16" s="25">
        <v>23355636</v>
      </c>
      <c r="AA16" s="28">
        <f t="shared" si="17"/>
        <v>45788636</v>
      </c>
      <c r="AB16" s="31">
        <f t="shared" si="18"/>
        <v>398514364</v>
      </c>
      <c r="AC16" s="36">
        <f t="shared" si="19"/>
        <v>3.1013891559502228E-2</v>
      </c>
      <c r="AD16" s="33">
        <v>2.6120000000000001E-2</v>
      </c>
      <c r="AE16" s="34">
        <f t="shared" si="20"/>
        <v>4.8938915595022267E-3</v>
      </c>
    </row>
    <row r="17" spans="1:31" x14ac:dyDescent="0.2">
      <c r="A17" s="51">
        <v>45078</v>
      </c>
      <c r="B17" s="51">
        <v>45139</v>
      </c>
      <c r="C17" s="9">
        <v>7832659.96</v>
      </c>
      <c r="D17" s="10">
        <v>371915.22</v>
      </c>
      <c r="E17" s="10">
        <v>2183171.44</v>
      </c>
      <c r="F17" s="10">
        <v>0</v>
      </c>
      <c r="G17" s="10">
        <v>0</v>
      </c>
      <c r="H17" s="10">
        <v>0</v>
      </c>
      <c r="I17" s="16">
        <f t="shared" si="11"/>
        <v>10387746.619999999</v>
      </c>
      <c r="J17" s="9">
        <v>0</v>
      </c>
      <c r="K17" s="10">
        <v>4265257</v>
      </c>
      <c r="L17" s="10">
        <v>0</v>
      </c>
      <c r="M17" s="16">
        <f t="shared" si="12"/>
        <v>4265257</v>
      </c>
      <c r="N17" s="11">
        <v>1745540</v>
      </c>
      <c r="O17" s="37">
        <f t="shared" si="13"/>
        <v>12907463.619999999</v>
      </c>
      <c r="P17" s="11">
        <v>112701.44070900045</v>
      </c>
      <c r="Q17" s="60">
        <v>136617</v>
      </c>
      <c r="R17" s="37">
        <f t="shared" si="14"/>
        <v>12883548.060709</v>
      </c>
      <c r="S17" s="11">
        <v>637479.33000000007</v>
      </c>
      <c r="T17" s="37">
        <f t="shared" si="15"/>
        <v>13521027.390709</v>
      </c>
      <c r="U17" s="24">
        <v>322868000</v>
      </c>
      <c r="V17" s="25">
        <v>170792000</v>
      </c>
      <c r="W17" s="28">
        <f t="shared" si="16"/>
        <v>493660000</v>
      </c>
      <c r="X17" s="24">
        <v>0</v>
      </c>
      <c r="Y17" s="25">
        <v>53798000</v>
      </c>
      <c r="Z17" s="25">
        <v>22177029</v>
      </c>
      <c r="AA17" s="28">
        <f t="shared" si="17"/>
        <v>75975029</v>
      </c>
      <c r="AB17" s="31">
        <f t="shared" si="18"/>
        <v>417684971</v>
      </c>
      <c r="AC17" s="36">
        <f t="shared" si="19"/>
        <v>3.2371352405468762E-2</v>
      </c>
      <c r="AD17" s="33">
        <v>2.6120000000000001E-2</v>
      </c>
      <c r="AE17" s="34">
        <f t="shared" si="20"/>
        <v>6.2513524054687609E-3</v>
      </c>
    </row>
    <row r="18" spans="1:31" x14ac:dyDescent="0.2">
      <c r="A18" s="51">
        <v>45108</v>
      </c>
      <c r="B18" s="51">
        <v>45170</v>
      </c>
      <c r="C18" s="9">
        <v>12253057.66</v>
      </c>
      <c r="D18" s="10">
        <v>269148.78000000003</v>
      </c>
      <c r="E18" s="10">
        <v>3195400.7</v>
      </c>
      <c r="F18" s="10">
        <v>0</v>
      </c>
      <c r="G18" s="10">
        <v>0</v>
      </c>
      <c r="H18" s="10">
        <v>0</v>
      </c>
      <c r="I18" s="16">
        <f t="shared" si="11"/>
        <v>15717607.140000001</v>
      </c>
      <c r="J18" s="9">
        <v>0</v>
      </c>
      <c r="K18" s="10">
        <v>5072967</v>
      </c>
      <c r="L18" s="10">
        <v>0</v>
      </c>
      <c r="M18" s="16">
        <f t="shared" si="12"/>
        <v>5072967</v>
      </c>
      <c r="N18" s="11">
        <v>4986720</v>
      </c>
      <c r="O18" s="37">
        <f t="shared" si="13"/>
        <v>15803854.140000001</v>
      </c>
      <c r="P18" s="11">
        <v>-87098.171222999692</v>
      </c>
      <c r="Q18" s="60">
        <v>189157</v>
      </c>
      <c r="R18" s="37">
        <f t="shared" si="14"/>
        <v>15527598.968777001</v>
      </c>
      <c r="S18" s="11">
        <v>1188567.4799999997</v>
      </c>
      <c r="T18" s="37">
        <f t="shared" si="15"/>
        <v>16716166.448777001</v>
      </c>
      <c r="U18" s="24">
        <v>511463000</v>
      </c>
      <c r="V18" s="25">
        <v>128348000</v>
      </c>
      <c r="W18" s="28">
        <f t="shared" si="16"/>
        <v>639811000</v>
      </c>
      <c r="X18" s="24">
        <v>0</v>
      </c>
      <c r="Y18" s="25">
        <v>136516000</v>
      </c>
      <c r="Z18" s="25">
        <v>24361135</v>
      </c>
      <c r="AA18" s="28">
        <f t="shared" si="17"/>
        <v>160877135</v>
      </c>
      <c r="AB18" s="31">
        <f t="shared" si="18"/>
        <v>478933865</v>
      </c>
      <c r="AC18" s="36">
        <f t="shared" si="19"/>
        <v>3.4902870041935749E-2</v>
      </c>
      <c r="AD18" s="33">
        <v>2.6120000000000001E-2</v>
      </c>
      <c r="AE18" s="34">
        <f t="shared" si="20"/>
        <v>8.7828700419357482E-3</v>
      </c>
    </row>
    <row r="19" spans="1:31" x14ac:dyDescent="0.2">
      <c r="A19" s="51">
        <v>45139</v>
      </c>
      <c r="B19" s="51">
        <v>45200</v>
      </c>
      <c r="C19" s="9">
        <v>9555066.0399999991</v>
      </c>
      <c r="D19" s="10">
        <v>227693.73</v>
      </c>
      <c r="E19" s="10">
        <v>2829870.17</v>
      </c>
      <c r="F19" s="10">
        <v>0</v>
      </c>
      <c r="G19" s="10">
        <v>0</v>
      </c>
      <c r="H19" s="10">
        <v>0</v>
      </c>
      <c r="I19" s="16">
        <f t="shared" si="11"/>
        <v>12612629.939999999</v>
      </c>
      <c r="J19" s="9">
        <v>0</v>
      </c>
      <c r="K19" s="10">
        <v>5362326</v>
      </c>
      <c r="L19" s="10">
        <v>0</v>
      </c>
      <c r="M19" s="16">
        <f t="shared" si="12"/>
        <v>5362326</v>
      </c>
      <c r="N19" s="11">
        <v>1317062</v>
      </c>
      <c r="O19" s="37">
        <f t="shared" si="13"/>
        <v>16657893.939999998</v>
      </c>
      <c r="P19" s="47">
        <v>-648422.7833849974</v>
      </c>
      <c r="Q19" s="41">
        <v>285660</v>
      </c>
      <c r="R19" s="37">
        <f t="shared" si="14"/>
        <v>15723811.156615</v>
      </c>
      <c r="S19" s="11">
        <v>1027359.7500000005</v>
      </c>
      <c r="T19" s="37">
        <f t="shared" si="15"/>
        <v>16751170.906615</v>
      </c>
      <c r="U19" s="24">
        <v>381388000</v>
      </c>
      <c r="V19" s="25">
        <v>154089000</v>
      </c>
      <c r="W19" s="28">
        <f t="shared" si="16"/>
        <v>535477000</v>
      </c>
      <c r="X19" s="24">
        <v>0</v>
      </c>
      <c r="Y19" s="43">
        <v>44066000</v>
      </c>
      <c r="Z19" s="25">
        <v>24282269</v>
      </c>
      <c r="AA19" s="28">
        <f t="shared" si="17"/>
        <v>68348269</v>
      </c>
      <c r="AB19" s="31">
        <f t="shared" si="18"/>
        <v>467128731</v>
      </c>
      <c r="AC19" s="36">
        <f t="shared" si="19"/>
        <v>3.5859860023499605E-2</v>
      </c>
      <c r="AD19" s="33">
        <v>2.6120000000000001E-2</v>
      </c>
      <c r="AE19" s="34">
        <f t="shared" si="20"/>
        <v>9.7398600234996045E-3</v>
      </c>
    </row>
    <row r="20" spans="1:31" x14ac:dyDescent="0.2">
      <c r="A20" s="51">
        <v>45170</v>
      </c>
      <c r="B20" s="51">
        <v>45231</v>
      </c>
      <c r="C20" s="9">
        <v>3047271.52</v>
      </c>
      <c r="D20" s="10">
        <v>52501.77</v>
      </c>
      <c r="E20" s="10">
        <v>1494555.02</v>
      </c>
      <c r="F20" s="10">
        <v>0</v>
      </c>
      <c r="G20" s="10">
        <v>0</v>
      </c>
      <c r="H20" s="10">
        <v>0</v>
      </c>
      <c r="I20" s="16">
        <f t="shared" si="11"/>
        <v>4594328.3100000005</v>
      </c>
      <c r="J20" s="9">
        <v>0</v>
      </c>
      <c r="K20" s="10">
        <v>10000868</v>
      </c>
      <c r="L20" s="10">
        <v>0</v>
      </c>
      <c r="M20" s="16">
        <f t="shared" si="12"/>
        <v>10000868</v>
      </c>
      <c r="N20" s="11">
        <v>992568</v>
      </c>
      <c r="O20" s="37">
        <f t="shared" si="13"/>
        <v>13602628.310000001</v>
      </c>
      <c r="P20" s="11">
        <v>-977113.27900000103</v>
      </c>
      <c r="Q20" s="41">
        <v>-252813</v>
      </c>
      <c r="R20" s="37">
        <f t="shared" si="14"/>
        <v>12878328.030999999</v>
      </c>
      <c r="S20" s="11">
        <v>919975.7799999998</v>
      </c>
      <c r="T20" s="37">
        <f t="shared" si="15"/>
        <v>13798303.810999999</v>
      </c>
      <c r="U20" s="24">
        <v>142262000</v>
      </c>
      <c r="V20" s="25">
        <v>305021000</v>
      </c>
      <c r="W20" s="28">
        <f t="shared" si="16"/>
        <v>447283000</v>
      </c>
      <c r="X20" s="24">
        <v>0</v>
      </c>
      <c r="Y20" s="25">
        <v>13956000</v>
      </c>
      <c r="Z20" s="25">
        <v>22292386</v>
      </c>
      <c r="AA20" s="28">
        <f t="shared" si="17"/>
        <v>36248386</v>
      </c>
      <c r="AB20" s="31">
        <f t="shared" si="18"/>
        <v>411034614</v>
      </c>
      <c r="AC20" s="36">
        <f t="shared" si="19"/>
        <v>3.3569688150399908E-2</v>
      </c>
      <c r="AD20" s="33">
        <v>2.6120000000000001E-2</v>
      </c>
      <c r="AE20" s="34">
        <f t="shared" si="20"/>
        <v>7.4496881503999073E-3</v>
      </c>
    </row>
    <row r="21" spans="1:31" x14ac:dyDescent="0.2">
      <c r="A21" s="51">
        <v>45200</v>
      </c>
      <c r="B21" s="51">
        <v>45261</v>
      </c>
      <c r="C21" s="9">
        <v>0</v>
      </c>
      <c r="D21" s="10">
        <v>0</v>
      </c>
      <c r="E21" s="10">
        <v>2026821.48</v>
      </c>
      <c r="F21" s="10">
        <v>0</v>
      </c>
      <c r="G21" s="10">
        <v>0</v>
      </c>
      <c r="H21" s="10">
        <v>0</v>
      </c>
      <c r="I21" s="16">
        <f t="shared" si="11"/>
        <v>2026821.48</v>
      </c>
      <c r="J21" s="9">
        <v>0</v>
      </c>
      <c r="K21" s="10">
        <v>9857847</v>
      </c>
      <c r="L21" s="10">
        <v>0</v>
      </c>
      <c r="M21" s="16">
        <f t="shared" si="12"/>
        <v>9857847</v>
      </c>
      <c r="N21" s="11">
        <v>600889</v>
      </c>
      <c r="O21" s="37">
        <f t="shared" si="13"/>
        <v>11283779.48</v>
      </c>
      <c r="P21" s="11">
        <v>-861016.22000000067</v>
      </c>
      <c r="Q21" s="41">
        <v>-771365</v>
      </c>
      <c r="R21" s="37">
        <f t="shared" si="14"/>
        <v>11194128.26</v>
      </c>
      <c r="S21" s="11">
        <v>1584958.66</v>
      </c>
      <c r="T21" s="37">
        <f t="shared" si="15"/>
        <v>12779086.92</v>
      </c>
      <c r="U21" s="24">
        <v>101407000</v>
      </c>
      <c r="V21" s="25">
        <v>321651000</v>
      </c>
      <c r="W21" s="28">
        <f t="shared" si="16"/>
        <v>423058000</v>
      </c>
      <c r="X21" s="24">
        <v>0</v>
      </c>
      <c r="Y21" s="25">
        <v>17792000</v>
      </c>
      <c r="Z21" s="25">
        <v>19606708</v>
      </c>
      <c r="AA21" s="28">
        <f t="shared" si="17"/>
        <v>37398708</v>
      </c>
      <c r="AB21" s="31">
        <f t="shared" si="18"/>
        <v>385659292</v>
      </c>
      <c r="AC21" s="36">
        <f t="shared" si="19"/>
        <v>3.3135690452908886E-2</v>
      </c>
      <c r="AD21" s="33">
        <v>2.6120000000000001E-2</v>
      </c>
      <c r="AE21" s="34">
        <f t="shared" si="20"/>
        <v>7.0156904529088855E-3</v>
      </c>
    </row>
    <row r="22" spans="1:31" x14ac:dyDescent="0.2">
      <c r="A22" s="51">
        <v>45231</v>
      </c>
      <c r="B22" s="51">
        <v>45292</v>
      </c>
      <c r="C22" s="9">
        <v>2029176.94</v>
      </c>
      <c r="D22" s="10">
        <v>325357.28000000003</v>
      </c>
      <c r="E22" s="10">
        <v>2404692.9300000002</v>
      </c>
      <c r="F22" s="10">
        <v>0</v>
      </c>
      <c r="G22" s="10">
        <v>0</v>
      </c>
      <c r="H22" s="10">
        <v>0</v>
      </c>
      <c r="I22" s="16">
        <f t="shared" si="11"/>
        <v>4759227.1500000004</v>
      </c>
      <c r="J22" s="9">
        <v>0</v>
      </c>
      <c r="K22" s="10">
        <v>9831389</v>
      </c>
      <c r="L22" s="10">
        <v>0</v>
      </c>
      <c r="M22" s="16">
        <f t="shared" si="12"/>
        <v>9831389</v>
      </c>
      <c r="N22" s="11">
        <v>394932</v>
      </c>
      <c r="O22" s="37">
        <f t="shared" si="13"/>
        <v>14195684.15</v>
      </c>
      <c r="P22" s="11">
        <v>583114.22000000067</v>
      </c>
      <c r="Q22" s="41">
        <v>-114752</v>
      </c>
      <c r="R22" s="37">
        <f t="shared" si="14"/>
        <v>14893550.370000001</v>
      </c>
      <c r="S22" s="11">
        <v>854431.58999999985</v>
      </c>
      <c r="T22" s="37">
        <f t="shared" si="15"/>
        <v>15747981.960000001</v>
      </c>
      <c r="U22" s="24">
        <v>130632000</v>
      </c>
      <c r="V22" s="25">
        <v>349965000</v>
      </c>
      <c r="W22" s="28">
        <f t="shared" si="16"/>
        <v>480597000</v>
      </c>
      <c r="X22" s="24">
        <v>0</v>
      </c>
      <c r="Y22" s="25">
        <v>13786000</v>
      </c>
      <c r="Z22" s="25">
        <v>22813414</v>
      </c>
      <c r="AA22" s="28">
        <f t="shared" si="17"/>
        <v>36599414</v>
      </c>
      <c r="AB22" s="31">
        <f t="shared" si="18"/>
        <v>443997586</v>
      </c>
      <c r="AC22" s="36">
        <f t="shared" si="19"/>
        <v>3.5468620678491707E-2</v>
      </c>
      <c r="AD22" s="33">
        <v>2.6120000000000001E-2</v>
      </c>
      <c r="AE22" s="34">
        <f t="shared" si="20"/>
        <v>9.3486206784917057E-3</v>
      </c>
    </row>
    <row r="23" spans="1:31" x14ac:dyDescent="0.2">
      <c r="A23" s="51">
        <v>45261</v>
      </c>
      <c r="B23" s="51">
        <v>45323</v>
      </c>
      <c r="C23" s="9">
        <v>5926775.2199999997</v>
      </c>
      <c r="D23" s="10">
        <v>445710.76</v>
      </c>
      <c r="E23" s="10">
        <v>2781792.96</v>
      </c>
      <c r="F23" s="10">
        <v>0</v>
      </c>
      <c r="G23" s="10">
        <v>0</v>
      </c>
      <c r="H23" s="10">
        <v>0</v>
      </c>
      <c r="I23" s="16">
        <f t="shared" si="11"/>
        <v>9154278.9399999995</v>
      </c>
      <c r="J23" s="9">
        <v>0</v>
      </c>
      <c r="K23" s="10">
        <v>11363822</v>
      </c>
      <c r="L23" s="10">
        <v>0</v>
      </c>
      <c r="M23" s="16">
        <f t="shared" si="12"/>
        <v>11363822</v>
      </c>
      <c r="N23" s="11">
        <v>1302545</v>
      </c>
      <c r="O23" s="37">
        <f t="shared" si="13"/>
        <v>19215555.939999998</v>
      </c>
      <c r="P23" s="11">
        <v>1215496.5500000007</v>
      </c>
      <c r="Q23" s="41">
        <v>754152</v>
      </c>
      <c r="R23" s="37">
        <f t="shared" si="14"/>
        <v>19676900.489999998</v>
      </c>
      <c r="S23" s="11">
        <v>602316.19000000018</v>
      </c>
      <c r="T23" s="37">
        <f t="shared" si="15"/>
        <v>20279216.68</v>
      </c>
      <c r="U23" s="24">
        <v>223088000</v>
      </c>
      <c r="V23" s="25">
        <v>314318000</v>
      </c>
      <c r="W23" s="28">
        <f t="shared" si="16"/>
        <v>537406000</v>
      </c>
      <c r="X23" s="24">
        <v>0</v>
      </c>
      <c r="Y23" s="44">
        <v>52216000</v>
      </c>
      <c r="Z23" s="25">
        <v>22014666</v>
      </c>
      <c r="AA23" s="28">
        <f t="shared" si="17"/>
        <v>74230666</v>
      </c>
      <c r="AB23" s="31">
        <f t="shared" si="18"/>
        <v>463175334</v>
      </c>
      <c r="AC23" s="36">
        <f t="shared" si="19"/>
        <v>4.3783023817067078E-2</v>
      </c>
      <c r="AD23" s="33">
        <v>2.6120000000000001E-2</v>
      </c>
      <c r="AE23" s="34">
        <f t="shared" si="20"/>
        <v>1.7663023817067077E-2</v>
      </c>
    </row>
    <row r="24" spans="1:31" x14ac:dyDescent="0.2">
      <c r="A24" s="51">
        <v>45292</v>
      </c>
      <c r="B24" s="51">
        <v>45352</v>
      </c>
      <c r="C24" s="9">
        <v>6815301.1100000003</v>
      </c>
      <c r="D24" s="10">
        <v>209165.03</v>
      </c>
      <c r="E24" s="10">
        <v>3597123.5</v>
      </c>
      <c r="F24" s="10">
        <v>0</v>
      </c>
      <c r="G24" s="10">
        <v>0</v>
      </c>
      <c r="H24" s="10">
        <v>0</v>
      </c>
      <c r="I24" s="16">
        <f t="shared" si="11"/>
        <v>10621589.640000001</v>
      </c>
      <c r="J24" s="9">
        <v>0</v>
      </c>
      <c r="K24" s="10">
        <v>17226102</v>
      </c>
      <c r="L24" s="10">
        <v>0</v>
      </c>
      <c r="M24" s="16">
        <f t="shared" si="12"/>
        <v>17226102</v>
      </c>
      <c r="N24" s="11">
        <v>451514</v>
      </c>
      <c r="O24" s="37">
        <f t="shared" si="13"/>
        <v>27396177.640000001</v>
      </c>
      <c r="P24" s="11">
        <v>-2022209.6829999983</v>
      </c>
      <c r="Q24" s="41">
        <v>1032580</v>
      </c>
      <c r="R24" s="37">
        <f t="shared" si="14"/>
        <v>24341387.957000002</v>
      </c>
      <c r="S24" s="11">
        <v>409541.7100000002</v>
      </c>
      <c r="T24" s="37">
        <f t="shared" si="15"/>
        <v>24750929.667000003</v>
      </c>
      <c r="U24" s="24">
        <v>279510000</v>
      </c>
      <c r="V24" s="25">
        <v>344816000</v>
      </c>
      <c r="W24" s="28">
        <f t="shared" si="16"/>
        <v>624326000</v>
      </c>
      <c r="X24" s="24">
        <v>0</v>
      </c>
      <c r="Y24" s="25">
        <v>-29247000</v>
      </c>
      <c r="Z24" s="25">
        <v>36104147</v>
      </c>
      <c r="AA24" s="28">
        <f t="shared" si="17"/>
        <v>6857147</v>
      </c>
      <c r="AB24" s="31">
        <f t="shared" si="18"/>
        <v>617468853</v>
      </c>
      <c r="AC24" s="36">
        <f t="shared" si="19"/>
        <v>4.008449907512987E-2</v>
      </c>
      <c r="AD24" s="33">
        <v>2.6120000000000001E-2</v>
      </c>
      <c r="AE24" s="34">
        <f t="shared" si="20"/>
        <v>1.3964499075129869E-2</v>
      </c>
    </row>
    <row r="25" spans="1:31" x14ac:dyDescent="0.2">
      <c r="A25" s="51">
        <v>45323</v>
      </c>
      <c r="B25" s="51">
        <v>45383</v>
      </c>
      <c r="C25" s="9">
        <v>8255204.3300000001</v>
      </c>
      <c r="D25" s="10">
        <v>532032.34</v>
      </c>
      <c r="E25" s="10">
        <v>4473680.71</v>
      </c>
      <c r="F25" s="10">
        <v>0</v>
      </c>
      <c r="G25" s="10">
        <v>0</v>
      </c>
      <c r="H25" s="10">
        <v>0</v>
      </c>
      <c r="I25" s="16">
        <f t="shared" si="11"/>
        <v>13260917.379999999</v>
      </c>
      <c r="J25" s="9">
        <v>0</v>
      </c>
      <c r="K25" s="10">
        <v>6519881</v>
      </c>
      <c r="L25" s="10">
        <v>0</v>
      </c>
      <c r="M25" s="16">
        <f t="shared" si="12"/>
        <v>6519881</v>
      </c>
      <c r="N25" s="11">
        <v>842803</v>
      </c>
      <c r="O25" s="37">
        <f t="shared" si="13"/>
        <v>18937995.379999999</v>
      </c>
      <c r="P25" s="11">
        <v>-3620640.9087999985</v>
      </c>
      <c r="Q25" s="41">
        <v>569304</v>
      </c>
      <c r="R25" s="37">
        <f t="shared" si="14"/>
        <v>14748050.4712</v>
      </c>
      <c r="S25" s="11">
        <v>434306.02999999968</v>
      </c>
      <c r="T25" s="37">
        <f t="shared" si="15"/>
        <v>15182356.5012</v>
      </c>
      <c r="U25" s="24">
        <v>265685000</v>
      </c>
      <c r="V25" s="25">
        <v>233686000</v>
      </c>
      <c r="W25" s="28">
        <f t="shared" si="16"/>
        <v>499371000</v>
      </c>
      <c r="X25" s="24">
        <v>0</v>
      </c>
      <c r="Y25" s="25">
        <v>38386000</v>
      </c>
      <c r="Z25" s="25">
        <v>24653927</v>
      </c>
      <c r="AA25" s="28">
        <f t="shared" si="17"/>
        <v>63039927</v>
      </c>
      <c r="AB25" s="31">
        <f t="shared" si="18"/>
        <v>436331073</v>
      </c>
      <c r="AC25" s="36">
        <f t="shared" si="19"/>
        <v>3.4795496907459533E-2</v>
      </c>
      <c r="AD25" s="33">
        <v>2.6120000000000001E-2</v>
      </c>
      <c r="AE25" s="34">
        <f t="shared" si="20"/>
        <v>8.6754969074595324E-3</v>
      </c>
    </row>
    <row r="26" spans="1:31" x14ac:dyDescent="0.2">
      <c r="A26" s="51">
        <v>45352</v>
      </c>
      <c r="B26" s="51">
        <v>45413</v>
      </c>
      <c r="C26" s="9">
        <v>8366721.7599999998</v>
      </c>
      <c r="D26" s="10">
        <v>328573.78999999998</v>
      </c>
      <c r="E26" s="10">
        <v>3403959.6</v>
      </c>
      <c r="F26" s="10">
        <v>0</v>
      </c>
      <c r="G26" s="10">
        <v>0</v>
      </c>
      <c r="H26" s="10">
        <v>0</v>
      </c>
      <c r="I26" s="16">
        <f t="shared" si="11"/>
        <v>12099255.149999999</v>
      </c>
      <c r="J26" s="9">
        <v>0</v>
      </c>
      <c r="K26" s="10">
        <v>3985476</v>
      </c>
      <c r="L26" s="10">
        <v>0</v>
      </c>
      <c r="M26" s="16">
        <f t="shared" si="12"/>
        <v>3985476</v>
      </c>
      <c r="N26" s="11">
        <v>1023450</v>
      </c>
      <c r="O26" s="37">
        <f t="shared" si="13"/>
        <v>15061281.149999999</v>
      </c>
      <c r="P26" s="11">
        <v>-869352.8900000006</v>
      </c>
      <c r="Q26" s="41">
        <v>-2328878</v>
      </c>
      <c r="R26" s="37">
        <f t="shared" si="14"/>
        <v>16520806.259999998</v>
      </c>
      <c r="S26" s="11">
        <v>74328.780000000261</v>
      </c>
      <c r="T26" s="37">
        <f t="shared" si="15"/>
        <v>16595135.039999999</v>
      </c>
      <c r="U26" s="24">
        <v>313806000</v>
      </c>
      <c r="V26" s="25">
        <v>180524000</v>
      </c>
      <c r="W26" s="28">
        <f t="shared" si="16"/>
        <v>494330000</v>
      </c>
      <c r="X26" s="24">
        <v>0</v>
      </c>
      <c r="Y26" s="25">
        <v>45936000</v>
      </c>
      <c r="Z26" s="25">
        <v>23082423</v>
      </c>
      <c r="AA26" s="28">
        <f t="shared" si="17"/>
        <v>69018423</v>
      </c>
      <c r="AB26" s="31">
        <f t="shared" si="18"/>
        <v>425311577</v>
      </c>
      <c r="AC26" s="36">
        <f t="shared" si="19"/>
        <v>3.9018771031478411E-2</v>
      </c>
      <c r="AD26" s="33">
        <v>2.6120000000000001E-2</v>
      </c>
      <c r="AE26" s="34">
        <f t="shared" si="20"/>
        <v>1.289877103147841E-2</v>
      </c>
    </row>
    <row r="27" spans="1:31" x14ac:dyDescent="0.2">
      <c r="A27" s="51">
        <v>45383</v>
      </c>
      <c r="B27" s="51">
        <v>45444</v>
      </c>
      <c r="C27" s="9">
        <v>2942490.88</v>
      </c>
      <c r="D27" s="10">
        <v>52688.09</v>
      </c>
      <c r="E27" s="10">
        <v>3071456.95</v>
      </c>
      <c r="F27" s="10">
        <v>0</v>
      </c>
      <c r="G27" s="10">
        <v>0</v>
      </c>
      <c r="H27" s="10">
        <v>0</v>
      </c>
      <c r="I27" s="16">
        <f t="shared" si="11"/>
        <v>6066635.9199999999</v>
      </c>
      <c r="J27" s="9">
        <v>0</v>
      </c>
      <c r="K27" s="10">
        <v>7341757</v>
      </c>
      <c r="L27" s="10">
        <v>0</v>
      </c>
      <c r="M27" s="16">
        <f t="shared" si="12"/>
        <v>7341757</v>
      </c>
      <c r="N27" s="11">
        <v>618931</v>
      </c>
      <c r="O27" s="37">
        <f t="shared" si="13"/>
        <v>12789461.92</v>
      </c>
      <c r="P27" s="11">
        <v>-11541.726415002719</v>
      </c>
      <c r="Q27" s="41">
        <v>-66331</v>
      </c>
      <c r="R27" s="37">
        <f t="shared" si="14"/>
        <v>12844251.193584997</v>
      </c>
      <c r="S27" s="11">
        <v>362160.82000000007</v>
      </c>
      <c r="T27" s="37">
        <f t="shared" si="15"/>
        <v>13206412.013584998</v>
      </c>
      <c r="U27" s="24">
        <v>163927000</v>
      </c>
      <c r="V27" s="25">
        <v>249081000</v>
      </c>
      <c r="W27" s="28">
        <f t="shared" si="16"/>
        <v>413008000</v>
      </c>
      <c r="X27" s="24">
        <v>0</v>
      </c>
      <c r="Y27" s="25">
        <v>-7042000</v>
      </c>
      <c r="Z27" s="25">
        <v>22566972</v>
      </c>
      <c r="AA27" s="28">
        <f t="shared" si="17"/>
        <v>15524972</v>
      </c>
      <c r="AB27" s="31">
        <f t="shared" si="18"/>
        <v>397483028</v>
      </c>
      <c r="AC27" s="36">
        <f t="shared" si="19"/>
        <v>3.3225096628742089E-2</v>
      </c>
      <c r="AD27" s="33">
        <v>2.6120000000000001E-2</v>
      </c>
      <c r="AE27" s="34">
        <f t="shared" si="20"/>
        <v>7.1050966287420879E-3</v>
      </c>
    </row>
    <row r="28" spans="1:31" x14ac:dyDescent="0.2">
      <c r="A28" s="51">
        <v>45413</v>
      </c>
      <c r="B28" s="51">
        <v>45474</v>
      </c>
      <c r="C28" s="9">
        <v>1353750.64</v>
      </c>
      <c r="D28" s="10">
        <v>347955.04</v>
      </c>
      <c r="E28" s="10">
        <v>3085398</v>
      </c>
      <c r="F28" s="10">
        <v>0</v>
      </c>
      <c r="G28" s="10">
        <v>0</v>
      </c>
      <c r="H28" s="10">
        <v>0</v>
      </c>
      <c r="I28" s="16">
        <f t="shared" si="11"/>
        <v>4787103.68</v>
      </c>
      <c r="J28" s="9">
        <v>0</v>
      </c>
      <c r="K28" s="10">
        <v>8636530</v>
      </c>
      <c r="L28" s="10">
        <v>0</v>
      </c>
      <c r="M28" s="16">
        <f t="shared" si="12"/>
        <v>8636530</v>
      </c>
      <c r="N28" s="11">
        <v>686391</v>
      </c>
      <c r="O28" s="37">
        <f t="shared" si="13"/>
        <v>12737242.68</v>
      </c>
      <c r="P28" s="47">
        <v>-1358851.5700000003</v>
      </c>
      <c r="Q28" s="41">
        <v>-602460</v>
      </c>
      <c r="R28" s="37">
        <f t="shared" si="14"/>
        <v>11980851.109999999</v>
      </c>
      <c r="S28" s="11">
        <v>-350114.66000000009</v>
      </c>
      <c r="T28" s="37">
        <f t="shared" si="15"/>
        <v>11630736.449999999</v>
      </c>
      <c r="U28" s="24">
        <v>161071000</v>
      </c>
      <c r="V28" s="25">
        <v>292269000</v>
      </c>
      <c r="W28" s="28">
        <f t="shared" si="16"/>
        <v>453340000</v>
      </c>
      <c r="X28" s="24">
        <v>0</v>
      </c>
      <c r="Y28" s="25">
        <v>20799000</v>
      </c>
      <c r="Z28" s="25">
        <v>20662593</v>
      </c>
      <c r="AA28" s="28">
        <f t="shared" si="17"/>
        <v>41461593</v>
      </c>
      <c r="AB28" s="31">
        <f t="shared" si="18"/>
        <v>411878407</v>
      </c>
      <c r="AC28" s="36">
        <f t="shared" si="19"/>
        <v>2.8238276764045073E-2</v>
      </c>
      <c r="AD28" s="33">
        <v>2.6120000000000001E-2</v>
      </c>
      <c r="AE28" s="34">
        <f t="shared" si="20"/>
        <v>2.1182767640450725E-3</v>
      </c>
    </row>
    <row r="29" spans="1:31" x14ac:dyDescent="0.2">
      <c r="A29" s="51">
        <v>45444</v>
      </c>
      <c r="B29" s="51">
        <v>45505</v>
      </c>
      <c r="C29" s="9">
        <v>10602993.08</v>
      </c>
      <c r="D29" s="10">
        <v>342138.33</v>
      </c>
      <c r="E29" s="10">
        <v>3166493.66</v>
      </c>
      <c r="F29" s="10">
        <v>0</v>
      </c>
      <c r="G29" s="10">
        <v>0</v>
      </c>
      <c r="H29" s="10">
        <v>0</v>
      </c>
      <c r="I29" s="16">
        <f t="shared" si="11"/>
        <v>14111625.07</v>
      </c>
      <c r="J29" s="9">
        <v>0</v>
      </c>
      <c r="K29" s="10">
        <v>5152879.82</v>
      </c>
      <c r="L29" s="10">
        <v>0</v>
      </c>
      <c r="M29" s="16">
        <f t="shared" si="12"/>
        <v>5152879.82</v>
      </c>
      <c r="N29" s="11">
        <v>2812137.43</v>
      </c>
      <c r="O29" s="37">
        <f t="shared" si="13"/>
        <v>16452367.460000001</v>
      </c>
      <c r="P29" s="11">
        <v>179358.58000000007</v>
      </c>
      <c r="Q29" s="41">
        <v>212703</v>
      </c>
      <c r="R29" s="37">
        <f t="shared" si="14"/>
        <v>16419023.040000001</v>
      </c>
      <c r="S29" s="11">
        <v>1040687.4099999993</v>
      </c>
      <c r="T29" s="37">
        <f t="shared" si="15"/>
        <v>17459710.449999999</v>
      </c>
      <c r="U29" s="24">
        <v>393618000</v>
      </c>
      <c r="V29" s="25">
        <v>181007000</v>
      </c>
      <c r="W29" s="28">
        <f t="shared" si="16"/>
        <v>574625000</v>
      </c>
      <c r="X29" s="24">
        <v>0</v>
      </c>
      <c r="Y29" s="25">
        <v>92654000</v>
      </c>
      <c r="Z29" s="25">
        <v>24205900</v>
      </c>
      <c r="AA29" s="28">
        <f t="shared" si="17"/>
        <v>116859900</v>
      </c>
      <c r="AB29" s="31">
        <f t="shared" si="18"/>
        <v>457765100</v>
      </c>
      <c r="AC29" s="36">
        <f t="shared" si="19"/>
        <v>3.8141200475964636E-2</v>
      </c>
      <c r="AD29" s="33">
        <v>2.6120000000000001E-2</v>
      </c>
      <c r="AE29" s="34">
        <f t="shared" si="20"/>
        <v>1.2021200475964635E-2</v>
      </c>
    </row>
    <row r="30" spans="1:31" x14ac:dyDescent="0.2">
      <c r="A30" s="51">
        <v>45474</v>
      </c>
      <c r="B30" s="51">
        <v>45536</v>
      </c>
      <c r="C30" s="9">
        <v>10399040</v>
      </c>
      <c r="D30" s="10">
        <v>348835.01</v>
      </c>
      <c r="E30" s="10">
        <v>3737506.03</v>
      </c>
      <c r="F30" s="10">
        <v>0</v>
      </c>
      <c r="G30" s="10">
        <v>0</v>
      </c>
      <c r="H30" s="10">
        <v>0</v>
      </c>
      <c r="I30" s="16">
        <f t="shared" si="11"/>
        <v>14485381.039999999</v>
      </c>
      <c r="J30" s="9">
        <v>0</v>
      </c>
      <c r="K30" s="10">
        <v>6090275.1200000001</v>
      </c>
      <c r="L30" s="10">
        <v>0</v>
      </c>
      <c r="M30" s="16">
        <f t="shared" si="12"/>
        <v>6090275.1200000001</v>
      </c>
      <c r="N30" s="11">
        <v>3136941.8289999999</v>
      </c>
      <c r="O30" s="37">
        <f t="shared" si="13"/>
        <v>17438714.331</v>
      </c>
      <c r="P30" s="11">
        <v>-668773.56712250784</v>
      </c>
      <c r="Q30" s="41">
        <v>-779465.75</v>
      </c>
      <c r="R30" s="37">
        <f t="shared" si="14"/>
        <v>17549406.513877492</v>
      </c>
      <c r="S30" s="11">
        <v>1503865.8900000006</v>
      </c>
      <c r="T30" s="37">
        <f t="shared" si="15"/>
        <v>19053272.403877493</v>
      </c>
      <c r="U30" s="24">
        <v>429775000</v>
      </c>
      <c r="V30" s="25">
        <v>128951000</v>
      </c>
      <c r="W30" s="28">
        <f t="shared" si="16"/>
        <v>558726000</v>
      </c>
      <c r="X30" s="24">
        <v>0</v>
      </c>
      <c r="Y30" s="25">
        <v>55537000</v>
      </c>
      <c r="Z30" s="25">
        <v>25365835</v>
      </c>
      <c r="AA30" s="28">
        <f t="shared" si="17"/>
        <v>80902835</v>
      </c>
      <c r="AB30" s="31">
        <f t="shared" si="18"/>
        <v>477823165</v>
      </c>
      <c r="AC30" s="36">
        <f t="shared" si="19"/>
        <v>3.9875154240120385E-2</v>
      </c>
      <c r="AD30" s="33">
        <v>2.6120000000000001E-2</v>
      </c>
      <c r="AE30" s="34">
        <f t="shared" si="20"/>
        <v>1.3755154240120384E-2</v>
      </c>
    </row>
    <row r="31" spans="1:31" x14ac:dyDescent="0.2">
      <c r="A31" s="51">
        <v>45505</v>
      </c>
      <c r="B31" s="51">
        <v>45566</v>
      </c>
      <c r="C31" s="9">
        <v>8665987.1099999994</v>
      </c>
      <c r="D31" s="10">
        <v>213404.01</v>
      </c>
      <c r="E31" s="10">
        <v>4114423.72</v>
      </c>
      <c r="F31" s="10">
        <v>0</v>
      </c>
      <c r="G31" s="10">
        <v>0</v>
      </c>
      <c r="H31" s="10">
        <v>0</v>
      </c>
      <c r="I31" s="16">
        <f t="shared" si="11"/>
        <v>12993814.84</v>
      </c>
      <c r="J31" s="9">
        <v>0</v>
      </c>
      <c r="K31" s="10">
        <v>6342733</v>
      </c>
      <c r="L31" s="10">
        <v>0</v>
      </c>
      <c r="M31" s="16">
        <f t="shared" si="12"/>
        <v>6342733</v>
      </c>
      <c r="N31" s="11">
        <v>2122386</v>
      </c>
      <c r="O31" s="37">
        <f t="shared" si="13"/>
        <v>17214161.84</v>
      </c>
      <c r="P31" s="11">
        <v>-365940.1099999994</v>
      </c>
      <c r="Q31" s="41">
        <v>74919</v>
      </c>
      <c r="R31" s="37">
        <f t="shared" si="14"/>
        <v>16773302.73</v>
      </c>
      <c r="S31" s="11">
        <v>27017.479999999981</v>
      </c>
      <c r="T31" s="37">
        <f t="shared" si="15"/>
        <v>16800320.210000001</v>
      </c>
      <c r="U31" s="24">
        <v>361535000</v>
      </c>
      <c r="V31" s="25">
        <v>174651000</v>
      </c>
      <c r="W31" s="28">
        <f t="shared" si="16"/>
        <v>536186000</v>
      </c>
      <c r="X31" s="24">
        <v>0</v>
      </c>
      <c r="Y31" s="25">
        <v>49751000</v>
      </c>
      <c r="Z31" s="25">
        <v>23382437</v>
      </c>
      <c r="AA31" s="28">
        <f t="shared" si="17"/>
        <v>73133437</v>
      </c>
      <c r="AB31" s="31">
        <f t="shared" si="18"/>
        <v>463052563</v>
      </c>
      <c r="AC31" s="36">
        <f t="shared" si="19"/>
        <v>3.6281669841443036E-2</v>
      </c>
      <c r="AD31" s="33">
        <v>2.6120000000000001E-2</v>
      </c>
      <c r="AE31" s="34">
        <f t="shared" si="20"/>
        <v>1.0161669841443035E-2</v>
      </c>
    </row>
    <row r="32" spans="1:31" x14ac:dyDescent="0.2">
      <c r="A32" s="51">
        <v>45536</v>
      </c>
      <c r="B32" s="51">
        <v>45597</v>
      </c>
      <c r="C32" s="9">
        <v>1065990.32</v>
      </c>
      <c r="D32" s="10">
        <v>339748.07</v>
      </c>
      <c r="E32" s="10">
        <v>1321540.5899999994</v>
      </c>
      <c r="F32" s="10">
        <v>0</v>
      </c>
      <c r="G32" s="10">
        <v>0</v>
      </c>
      <c r="H32" s="10">
        <v>0</v>
      </c>
      <c r="I32" s="16">
        <f t="shared" si="11"/>
        <v>2727278.9799999995</v>
      </c>
      <c r="J32" s="9">
        <v>0</v>
      </c>
      <c r="K32" s="10">
        <v>13218989</v>
      </c>
      <c r="L32" s="10">
        <v>0</v>
      </c>
      <c r="M32" s="16">
        <f t="shared" si="12"/>
        <v>13218989</v>
      </c>
      <c r="N32" s="11">
        <v>604551</v>
      </c>
      <c r="O32" s="37">
        <f t="shared" si="13"/>
        <v>15341716.98</v>
      </c>
      <c r="P32" s="11">
        <v>-656352.84276800044</v>
      </c>
      <c r="Q32" s="41">
        <v>-639116</v>
      </c>
      <c r="R32" s="37">
        <f t="shared" si="14"/>
        <v>15324480.137232</v>
      </c>
      <c r="S32" s="11">
        <v>92268.269999999669</v>
      </c>
      <c r="T32" s="37">
        <f t="shared" si="15"/>
        <v>15416748.407232</v>
      </c>
      <c r="U32" s="24">
        <v>73064000</v>
      </c>
      <c r="V32" s="25">
        <v>356825000</v>
      </c>
      <c r="W32" s="28">
        <f t="shared" si="16"/>
        <v>429889000</v>
      </c>
      <c r="X32" s="24">
        <v>0</v>
      </c>
      <c r="Y32" s="25">
        <v>10901000</v>
      </c>
      <c r="Z32" s="25">
        <v>19794871</v>
      </c>
      <c r="AA32" s="28">
        <f t="shared" si="17"/>
        <v>30695871</v>
      </c>
      <c r="AB32" s="31">
        <f t="shared" si="18"/>
        <v>399193129</v>
      </c>
      <c r="AC32" s="36">
        <f t="shared" si="19"/>
        <v>3.8619773957161471E-2</v>
      </c>
      <c r="AD32" s="33">
        <v>2.6120000000000001E-2</v>
      </c>
      <c r="AE32" s="34">
        <f t="shared" si="20"/>
        <v>1.249977395716147E-2</v>
      </c>
    </row>
    <row r="33" spans="1:31" x14ac:dyDescent="0.2">
      <c r="A33" s="51">
        <v>45566</v>
      </c>
      <c r="B33" s="51">
        <v>45627</v>
      </c>
      <c r="C33" s="9">
        <v>5748106</v>
      </c>
      <c r="D33" s="10">
        <v>712071</v>
      </c>
      <c r="E33" s="10">
        <v>615648</v>
      </c>
      <c r="F33" s="10">
        <v>0</v>
      </c>
      <c r="G33" s="10">
        <v>0</v>
      </c>
      <c r="H33" s="10">
        <v>0</v>
      </c>
      <c r="I33" s="16">
        <f t="shared" si="11"/>
        <v>7075825</v>
      </c>
      <c r="J33" s="9">
        <v>0</v>
      </c>
      <c r="K33" s="10">
        <v>9837745</v>
      </c>
      <c r="L33" s="10">
        <v>0</v>
      </c>
      <c r="M33" s="16">
        <f t="shared" si="12"/>
        <v>9837745</v>
      </c>
      <c r="N33" s="11">
        <v>1026754</v>
      </c>
      <c r="O33" s="37">
        <f t="shared" si="13"/>
        <v>15886816</v>
      </c>
      <c r="P33" s="11">
        <v>-2035385.928718999</v>
      </c>
      <c r="Q33" s="41">
        <v>-545400</v>
      </c>
      <c r="R33" s="37">
        <f t="shared" si="14"/>
        <v>14396830.071281001</v>
      </c>
      <c r="S33" s="11">
        <v>153229.8200000003</v>
      </c>
      <c r="T33" s="37">
        <f t="shared" si="15"/>
        <v>14550059.891281001</v>
      </c>
      <c r="U33" s="24">
        <v>152494000</v>
      </c>
      <c r="V33" s="25">
        <v>297185000</v>
      </c>
      <c r="W33" s="28">
        <f t="shared" si="16"/>
        <v>449679000</v>
      </c>
      <c r="X33" s="24">
        <v>0</v>
      </c>
      <c r="Y33" s="25">
        <v>28730000</v>
      </c>
      <c r="Z33" s="25">
        <v>21018704</v>
      </c>
      <c r="AA33" s="28">
        <f t="shared" si="17"/>
        <v>49748704</v>
      </c>
      <c r="AB33" s="31">
        <f t="shared" si="18"/>
        <v>399930296</v>
      </c>
      <c r="AC33" s="36">
        <f t="shared" si="19"/>
        <v>3.6381489566574374E-2</v>
      </c>
      <c r="AD33" s="33">
        <v>2.6120000000000001E-2</v>
      </c>
      <c r="AE33" s="34">
        <f t="shared" si="20"/>
        <v>1.0261489566574373E-2</v>
      </c>
    </row>
    <row r="34" spans="1:31" x14ac:dyDescent="0.2">
      <c r="A34" s="51">
        <v>45597</v>
      </c>
      <c r="B34" s="51">
        <v>45658</v>
      </c>
      <c r="C34" s="9">
        <v>8015514.6299999999</v>
      </c>
      <c r="D34" s="10">
        <v>142901.43999999994</v>
      </c>
      <c r="E34" s="10">
        <v>442578.1</v>
      </c>
      <c r="F34" s="10">
        <v>0</v>
      </c>
      <c r="G34" s="10">
        <v>0</v>
      </c>
      <c r="H34" s="10">
        <v>0</v>
      </c>
      <c r="I34" s="16">
        <f t="shared" si="11"/>
        <v>8600994.1699999999</v>
      </c>
      <c r="J34" s="9">
        <v>0</v>
      </c>
      <c r="K34" s="10">
        <v>8381013.4598200005</v>
      </c>
      <c r="L34" s="10">
        <v>0</v>
      </c>
      <c r="M34" s="16">
        <f t="shared" si="12"/>
        <v>8381013.4598200005</v>
      </c>
      <c r="N34" s="11">
        <v>1593671.5960000001</v>
      </c>
      <c r="O34" s="37">
        <f t="shared" si="13"/>
        <v>15388336.03382</v>
      </c>
      <c r="P34" s="11">
        <v>-603897.49623633362</v>
      </c>
      <c r="Q34" s="41">
        <v>-431642.7</v>
      </c>
      <c r="R34" s="37">
        <f t="shared" si="14"/>
        <v>15216081.237583665</v>
      </c>
      <c r="S34" s="11">
        <v>296449.27</v>
      </c>
      <c r="T34" s="37">
        <f t="shared" si="15"/>
        <v>15512530.507583665</v>
      </c>
      <c r="U34" s="24">
        <v>207643000</v>
      </c>
      <c r="V34" s="25">
        <v>262120000</v>
      </c>
      <c r="W34" s="28">
        <f t="shared" si="16"/>
        <v>469763000</v>
      </c>
      <c r="X34" s="24">
        <v>0</v>
      </c>
      <c r="Y34" s="25">
        <v>44723000</v>
      </c>
      <c r="Z34" s="25">
        <v>18744077</v>
      </c>
      <c r="AA34" s="28">
        <f t="shared" si="17"/>
        <v>63467077</v>
      </c>
      <c r="AB34" s="31">
        <f t="shared" si="18"/>
        <v>406295923</v>
      </c>
      <c r="AC34" s="36">
        <f t="shared" si="19"/>
        <v>3.8180374523678555E-2</v>
      </c>
      <c r="AD34" s="33">
        <v>2.6120000000000001E-2</v>
      </c>
      <c r="AE34" s="34">
        <f t="shared" si="20"/>
        <v>1.2060374523678554E-2</v>
      </c>
    </row>
    <row r="35" spans="1:31" x14ac:dyDescent="0.2">
      <c r="A35" s="51">
        <v>45627</v>
      </c>
      <c r="B35" s="51">
        <v>45689</v>
      </c>
      <c r="C35" s="9">
        <v>10015105.620000001</v>
      </c>
      <c r="D35" s="10">
        <v>159819.37000000002</v>
      </c>
      <c r="E35" s="10">
        <v>3597973.61</v>
      </c>
      <c r="F35" s="10">
        <v>0</v>
      </c>
      <c r="G35" s="10">
        <v>0</v>
      </c>
      <c r="H35" s="10">
        <v>0</v>
      </c>
      <c r="I35" s="16">
        <f t="shared" si="11"/>
        <v>13772898.6</v>
      </c>
      <c r="J35" s="9">
        <v>0</v>
      </c>
      <c r="K35" s="10">
        <v>8658526.8800000008</v>
      </c>
      <c r="L35" s="10">
        <v>0</v>
      </c>
      <c r="M35" s="16">
        <f t="shared" si="12"/>
        <v>8658526.8800000008</v>
      </c>
      <c r="N35" s="11">
        <v>2258286.3640000001</v>
      </c>
      <c r="O35" s="37">
        <f t="shared" si="13"/>
        <v>20173139.116</v>
      </c>
      <c r="P35" s="11">
        <v>-570659.91477072239</v>
      </c>
      <c r="Q35" s="41">
        <v>937839</v>
      </c>
      <c r="R35" s="37">
        <f t="shared" si="14"/>
        <v>18664640.201229278</v>
      </c>
      <c r="S35" s="11">
        <v>528032.65000000026</v>
      </c>
      <c r="T35" s="37">
        <f t="shared" si="15"/>
        <v>19192672.851229277</v>
      </c>
      <c r="U35" s="24">
        <v>338297000</v>
      </c>
      <c r="V35" s="25">
        <v>220054000</v>
      </c>
      <c r="W35" s="28">
        <f t="shared" si="16"/>
        <v>558351000</v>
      </c>
      <c r="X35" s="24">
        <v>0</v>
      </c>
      <c r="Y35" s="25">
        <v>39662000</v>
      </c>
      <c r="Z35" s="25">
        <v>24135500</v>
      </c>
      <c r="AA35" s="28">
        <f t="shared" si="17"/>
        <v>63797500</v>
      </c>
      <c r="AB35" s="31">
        <f t="shared" si="18"/>
        <v>494553500</v>
      </c>
      <c r="AC35" s="36">
        <f t="shared" si="19"/>
        <v>3.8808082141222895E-2</v>
      </c>
      <c r="AD35" s="33">
        <v>2.6120000000000001E-2</v>
      </c>
      <c r="AE35" s="34">
        <f t="shared" si="20"/>
        <v>1.2688082141222894E-2</v>
      </c>
    </row>
    <row r="36" spans="1:31" x14ac:dyDescent="0.2">
      <c r="A36" s="51">
        <v>45658</v>
      </c>
      <c r="B36" s="51">
        <v>45717</v>
      </c>
      <c r="C36" s="9">
        <v>12290393.289999999</v>
      </c>
      <c r="D36" s="10">
        <v>170057.37</v>
      </c>
      <c r="E36" s="10">
        <v>5396975.4099999983</v>
      </c>
      <c r="F36" s="10">
        <v>0</v>
      </c>
      <c r="G36" s="10">
        <v>0</v>
      </c>
      <c r="H36" s="10">
        <v>0</v>
      </c>
      <c r="I36" s="16">
        <f t="shared" si="11"/>
        <v>17857426.069999997</v>
      </c>
      <c r="J36" s="9">
        <v>0</v>
      </c>
      <c r="K36" s="10">
        <v>15955926.759999998</v>
      </c>
      <c r="L36" s="10">
        <v>0</v>
      </c>
      <c r="M36" s="16">
        <f t="shared" si="12"/>
        <v>15955926.759999998</v>
      </c>
      <c r="N36" s="11">
        <v>1347987.8419999999</v>
      </c>
      <c r="O36" s="37">
        <f t="shared" si="13"/>
        <v>32465364.987999998</v>
      </c>
      <c r="P36" s="11">
        <v>137183.28299999982</v>
      </c>
      <c r="Q36" s="41">
        <v>1943032</v>
      </c>
      <c r="R36" s="37">
        <f t="shared" si="14"/>
        <v>30659516.270999998</v>
      </c>
      <c r="S36" s="11">
        <v>1112829.96</v>
      </c>
      <c r="T36" s="37">
        <f t="shared" si="15"/>
        <v>31772346.230999999</v>
      </c>
      <c r="U36" s="24">
        <v>406089000</v>
      </c>
      <c r="V36" s="25">
        <v>275391000</v>
      </c>
      <c r="W36" s="28">
        <f t="shared" si="16"/>
        <v>681480000</v>
      </c>
      <c r="X36" s="24">
        <v>0</v>
      </c>
      <c r="Y36" s="25">
        <v>26900000</v>
      </c>
      <c r="Z36" s="25">
        <v>26261452</v>
      </c>
      <c r="AA36" s="28">
        <f t="shared" si="17"/>
        <v>53161452</v>
      </c>
      <c r="AB36" s="31">
        <f t="shared" si="18"/>
        <v>628318548</v>
      </c>
      <c r="AC36" s="36">
        <f t="shared" si="19"/>
        <v>5.0567258172044285E-2</v>
      </c>
      <c r="AD36" s="33">
        <v>3.3799999999999997E-2</v>
      </c>
      <c r="AE36" s="34">
        <f t="shared" si="20"/>
        <v>1.6767258172044289E-2</v>
      </c>
    </row>
    <row r="37" spans="1:31" x14ac:dyDescent="0.2">
      <c r="A37" s="51">
        <v>45689</v>
      </c>
      <c r="B37" s="51">
        <v>45748</v>
      </c>
      <c r="C37" s="9">
        <v>3464421.5</v>
      </c>
      <c r="D37" s="10">
        <v>269009.71999999997</v>
      </c>
      <c r="E37" s="10">
        <v>5554232.0300000003</v>
      </c>
      <c r="F37" s="10">
        <v>0</v>
      </c>
      <c r="G37" s="10">
        <v>0</v>
      </c>
      <c r="H37" s="10">
        <v>0</v>
      </c>
      <c r="I37" s="16">
        <f t="shared" si="11"/>
        <v>9287663.25</v>
      </c>
      <c r="J37" s="9">
        <v>0</v>
      </c>
      <c r="K37" s="10">
        <v>14684475</v>
      </c>
      <c r="L37" s="10">
        <v>0</v>
      </c>
      <c r="M37" s="16">
        <f t="shared" si="12"/>
        <v>14684475</v>
      </c>
      <c r="N37" s="11">
        <v>1062602</v>
      </c>
      <c r="O37" s="37">
        <f t="shared" si="13"/>
        <v>22909536.25</v>
      </c>
      <c r="P37" s="11">
        <v>-3547089.8900000006</v>
      </c>
      <c r="Q37" s="41">
        <v>720851</v>
      </c>
      <c r="R37" s="37">
        <f t="shared" si="14"/>
        <v>18641595.359999999</v>
      </c>
      <c r="S37" s="11">
        <v>664148.19999999984</v>
      </c>
      <c r="T37" s="37">
        <f t="shared" si="15"/>
        <v>19305743.559999999</v>
      </c>
      <c r="U37" s="24">
        <v>197875000</v>
      </c>
      <c r="V37" s="25">
        <v>330819000</v>
      </c>
      <c r="W37" s="28">
        <f t="shared" si="16"/>
        <v>528694000</v>
      </c>
      <c r="X37" s="24">
        <v>0</v>
      </c>
      <c r="Y37" s="25">
        <v>18116000</v>
      </c>
      <c r="Z37" s="25">
        <v>23874247</v>
      </c>
      <c r="AA37" s="28">
        <f t="shared" si="17"/>
        <v>41990247</v>
      </c>
      <c r="AB37" s="31">
        <f t="shared" si="18"/>
        <v>486703753</v>
      </c>
      <c r="AC37" s="36">
        <f t="shared" si="19"/>
        <v>3.9666313318935921E-2</v>
      </c>
      <c r="AD37" s="33">
        <v>3.3799999999999997E-2</v>
      </c>
      <c r="AE37" s="34">
        <f t="shared" si="20"/>
        <v>5.8663133189359243E-3</v>
      </c>
    </row>
    <row r="38" spans="1:31" x14ac:dyDescent="0.2">
      <c r="A38" s="51">
        <v>45717</v>
      </c>
      <c r="B38" s="51">
        <v>45778</v>
      </c>
      <c r="C38" s="9">
        <v>1240119.1299999999</v>
      </c>
      <c r="D38" s="10">
        <v>666930.93000000005</v>
      </c>
      <c r="E38" s="10">
        <v>3686406.49</v>
      </c>
      <c r="F38" s="10">
        <v>0</v>
      </c>
      <c r="G38" s="10">
        <v>0</v>
      </c>
      <c r="H38" s="10">
        <v>0</v>
      </c>
      <c r="I38" s="16">
        <f t="shared" si="11"/>
        <v>5593456.5500000007</v>
      </c>
      <c r="J38" s="9">
        <v>0</v>
      </c>
      <c r="K38" s="10">
        <v>14708709</v>
      </c>
      <c r="L38" s="10">
        <v>0</v>
      </c>
      <c r="M38" s="16">
        <f t="shared" si="12"/>
        <v>14708709</v>
      </c>
      <c r="N38" s="11">
        <v>781349</v>
      </c>
      <c r="O38" s="37">
        <f t="shared" si="13"/>
        <v>19520816.550000001</v>
      </c>
      <c r="P38" s="11">
        <v>-1054863.3747872487</v>
      </c>
      <c r="Q38" s="41">
        <v>-2815733</v>
      </c>
      <c r="R38" s="37">
        <f t="shared" si="14"/>
        <v>21281686.175212752</v>
      </c>
      <c r="S38" s="11">
        <v>855564.9499999996</v>
      </c>
      <c r="T38" s="37">
        <f t="shared" si="15"/>
        <v>22137251.125212751</v>
      </c>
      <c r="U38" s="24">
        <v>108933000</v>
      </c>
      <c r="V38" s="25">
        <v>377638000</v>
      </c>
      <c r="W38" s="28">
        <f t="shared" si="16"/>
        <v>486571000</v>
      </c>
      <c r="X38" s="24">
        <v>0</v>
      </c>
      <c r="Y38" s="25">
        <v>22926000</v>
      </c>
      <c r="Z38" s="25">
        <v>21395030</v>
      </c>
      <c r="AA38" s="28">
        <f t="shared" si="17"/>
        <v>44321030</v>
      </c>
      <c r="AB38" s="31">
        <f t="shared" si="18"/>
        <v>442249970</v>
      </c>
      <c r="AC38" s="36">
        <f t="shared" si="19"/>
        <v>5.0055969761202586E-2</v>
      </c>
      <c r="AD38" s="33">
        <v>3.3799999999999997E-2</v>
      </c>
      <c r="AE38" s="34">
        <f t="shared" si="20"/>
        <v>1.6255969761202589E-2</v>
      </c>
    </row>
    <row r="39" spans="1:31" x14ac:dyDescent="0.2">
      <c r="A39" s="51">
        <v>45748</v>
      </c>
      <c r="B39" s="51">
        <v>45809</v>
      </c>
      <c r="C39" s="9">
        <v>5166295.41</v>
      </c>
      <c r="D39" s="10">
        <v>96647.53</v>
      </c>
      <c r="E39" s="10">
        <v>2538611.89</v>
      </c>
      <c r="F39" s="10">
        <v>0</v>
      </c>
      <c r="G39" s="10">
        <v>0</v>
      </c>
      <c r="H39" s="10">
        <v>0</v>
      </c>
      <c r="I39" s="16">
        <f t="shared" si="11"/>
        <v>7801554.8300000001</v>
      </c>
      <c r="J39" s="9">
        <v>0</v>
      </c>
      <c r="K39" s="10">
        <v>8191897</v>
      </c>
      <c r="L39" s="10">
        <v>0</v>
      </c>
      <c r="M39" s="16">
        <f t="shared" si="12"/>
        <v>8191897</v>
      </c>
      <c r="N39" s="11">
        <v>1000169</v>
      </c>
      <c r="O39" s="37">
        <f t="shared" si="13"/>
        <v>14993282.83</v>
      </c>
      <c r="P39" s="11">
        <v>-15281.219514999539</v>
      </c>
      <c r="Q39" s="41">
        <v>-476255</v>
      </c>
      <c r="R39" s="37">
        <f t="shared" si="14"/>
        <v>15454256.610485001</v>
      </c>
      <c r="S39" s="11">
        <v>584116.8399999995</v>
      </c>
      <c r="T39" s="37">
        <f t="shared" si="15"/>
        <v>16038373.450485</v>
      </c>
      <c r="U39" s="24">
        <v>222436000</v>
      </c>
      <c r="V39" s="25">
        <v>215967000</v>
      </c>
      <c r="W39" s="28">
        <f t="shared" si="16"/>
        <v>438403000</v>
      </c>
      <c r="X39" s="24">
        <v>0</v>
      </c>
      <c r="Y39" s="25">
        <v>25077000</v>
      </c>
      <c r="Z39" s="25">
        <v>19190151</v>
      </c>
      <c r="AA39" s="28">
        <f t="shared" si="17"/>
        <v>44267151</v>
      </c>
      <c r="AB39" s="31">
        <f t="shared" si="18"/>
        <v>394135849</v>
      </c>
      <c r="AC39" s="36">
        <f t="shared" si="19"/>
        <v>4.0692501053069652E-2</v>
      </c>
      <c r="AD39" s="33">
        <v>3.3799999999999997E-2</v>
      </c>
      <c r="AE39" s="34">
        <f t="shared" si="20"/>
        <v>6.8925010530696551E-3</v>
      </c>
    </row>
    <row r="40" spans="1:31" x14ac:dyDescent="0.2">
      <c r="A40" s="51">
        <v>45778</v>
      </c>
      <c r="B40" s="51">
        <v>45839</v>
      </c>
      <c r="C40" s="9">
        <v>1362557.52</v>
      </c>
      <c r="D40" s="10">
        <v>160652.59</v>
      </c>
      <c r="E40" s="10">
        <v>2950457.55</v>
      </c>
      <c r="F40" s="10">
        <v>0</v>
      </c>
      <c r="G40" s="10">
        <v>0</v>
      </c>
      <c r="H40" s="10">
        <v>0</v>
      </c>
      <c r="I40" s="16">
        <f t="shared" si="11"/>
        <v>4473667.66</v>
      </c>
      <c r="J40" s="9">
        <v>0</v>
      </c>
      <c r="K40" s="10">
        <v>11327156</v>
      </c>
      <c r="L40" s="10">
        <v>0</v>
      </c>
      <c r="M40" s="16">
        <f t="shared" si="12"/>
        <v>11327156</v>
      </c>
      <c r="N40" s="11">
        <v>931449</v>
      </c>
      <c r="O40" s="37">
        <f t="shared" si="13"/>
        <v>14869374.66</v>
      </c>
      <c r="P40" s="11">
        <v>-258432.84999999963</v>
      </c>
      <c r="Q40" s="41">
        <v>-2121452.870000001</v>
      </c>
      <c r="R40" s="37">
        <f t="shared" si="14"/>
        <v>16732394.680000002</v>
      </c>
      <c r="S40" s="11">
        <v>-770661.8</v>
      </c>
      <c r="T40" s="37">
        <f t="shared" si="15"/>
        <v>15961732.880000001</v>
      </c>
      <c r="U40" s="24">
        <v>121032000</v>
      </c>
      <c r="V40" s="25">
        <v>299205000</v>
      </c>
      <c r="W40" s="28">
        <f t="shared" si="16"/>
        <v>420237000</v>
      </c>
      <c r="X40" s="24">
        <v>0</v>
      </c>
      <c r="Y40" s="25">
        <v>26745000</v>
      </c>
      <c r="Z40" s="25">
        <v>21316836</v>
      </c>
      <c r="AA40" s="28">
        <f t="shared" si="17"/>
        <v>48061836</v>
      </c>
      <c r="AB40" s="31">
        <f t="shared" si="18"/>
        <v>372175164</v>
      </c>
      <c r="AC40" s="36">
        <f t="shared" si="19"/>
        <v>4.2887689518153881E-2</v>
      </c>
      <c r="AD40" s="33">
        <v>3.3799999999999997E-2</v>
      </c>
      <c r="AE40" s="34">
        <f t="shared" si="20"/>
        <v>9.0876895181538839E-3</v>
      </c>
    </row>
    <row r="41" spans="1:31" x14ac:dyDescent="0.2">
      <c r="A41" s="51">
        <v>45809</v>
      </c>
      <c r="B41" s="51">
        <v>45870</v>
      </c>
      <c r="C41" s="9">
        <v>9601209.5500000007</v>
      </c>
      <c r="D41" s="10">
        <v>1026257.44</v>
      </c>
      <c r="E41" s="10">
        <v>4199683.7</v>
      </c>
      <c r="F41" s="10">
        <v>0</v>
      </c>
      <c r="G41" s="10">
        <v>0</v>
      </c>
      <c r="H41" s="10">
        <v>0</v>
      </c>
      <c r="I41" s="16">
        <f t="shared" si="11"/>
        <v>14827150.690000001</v>
      </c>
      <c r="J41" s="9">
        <v>0</v>
      </c>
      <c r="K41" s="10">
        <v>10322046</v>
      </c>
      <c r="L41" s="10">
        <v>0</v>
      </c>
      <c r="M41" s="16">
        <f t="shared" si="12"/>
        <v>10322046</v>
      </c>
      <c r="N41" s="11">
        <v>4577542</v>
      </c>
      <c r="O41" s="37">
        <f t="shared" si="13"/>
        <v>20571654.690000001</v>
      </c>
      <c r="P41" s="11">
        <v>-2104483.2800000012</v>
      </c>
      <c r="Q41" s="41">
        <v>-63451</v>
      </c>
      <c r="R41" s="37">
        <f t="shared" si="14"/>
        <v>18530622.41</v>
      </c>
      <c r="S41" s="11">
        <v>1772570.5700000005</v>
      </c>
      <c r="T41" s="37">
        <f t="shared" si="15"/>
        <v>20303192.98</v>
      </c>
      <c r="U41" s="24">
        <v>293362000</v>
      </c>
      <c r="V41" s="25">
        <v>255678000</v>
      </c>
      <c r="W41" s="28">
        <f t="shared" si="16"/>
        <v>549040000</v>
      </c>
      <c r="X41" s="24">
        <v>0</v>
      </c>
      <c r="Y41" s="25">
        <v>90341000</v>
      </c>
      <c r="Z41" s="25">
        <v>17370804</v>
      </c>
      <c r="AA41" s="28">
        <f t="shared" si="17"/>
        <v>107711804</v>
      </c>
      <c r="AB41" s="31">
        <f t="shared" si="18"/>
        <v>441328196</v>
      </c>
      <c r="AC41" s="36">
        <f t="shared" si="19"/>
        <v>4.6004749218425192E-2</v>
      </c>
      <c r="AD41" s="33">
        <v>3.3799999999999997E-2</v>
      </c>
      <c r="AE41" s="34">
        <f t="shared" si="20"/>
        <v>1.2204749218425195E-2</v>
      </c>
    </row>
    <row r="42" spans="1:31" x14ac:dyDescent="0.2">
      <c r="A42" s="51">
        <v>45839</v>
      </c>
      <c r="B42" s="51">
        <v>45901</v>
      </c>
      <c r="C42" s="9">
        <v>9639698.9399999995</v>
      </c>
      <c r="D42" s="10">
        <v>310596.71999999997</v>
      </c>
      <c r="E42" s="10">
        <v>5005996.97</v>
      </c>
      <c r="F42" s="10">
        <v>0</v>
      </c>
      <c r="G42" s="10">
        <v>0</v>
      </c>
      <c r="H42" s="10">
        <v>0</v>
      </c>
      <c r="I42" s="16">
        <f t="shared" si="11"/>
        <v>14956292.629999999</v>
      </c>
      <c r="J42" s="9">
        <v>0</v>
      </c>
      <c r="K42" s="10">
        <v>10472232.41</v>
      </c>
      <c r="L42" s="10">
        <v>0</v>
      </c>
      <c r="M42" s="16">
        <f t="shared" si="12"/>
        <v>10472232.41</v>
      </c>
      <c r="N42" s="11">
        <v>3555853.0819999999</v>
      </c>
      <c r="O42" s="37">
        <f t="shared" si="13"/>
        <v>21872671.958000001</v>
      </c>
      <c r="P42" s="11">
        <v>-164316.07600000128</v>
      </c>
      <c r="Q42" s="41">
        <v>1012775</v>
      </c>
      <c r="R42" s="37">
        <f t="shared" si="14"/>
        <v>20695580.881999999</v>
      </c>
      <c r="S42" s="11">
        <v>1457841.25</v>
      </c>
      <c r="T42" s="37">
        <f t="shared" si="15"/>
        <v>22153422.131999999</v>
      </c>
      <c r="U42" s="24">
        <v>410518000</v>
      </c>
      <c r="V42" s="25">
        <v>162349000</v>
      </c>
      <c r="W42" s="28">
        <f t="shared" si="16"/>
        <v>572867000</v>
      </c>
      <c r="X42" s="24">
        <v>0</v>
      </c>
      <c r="Y42" s="25">
        <v>45144000</v>
      </c>
      <c r="Z42" s="25">
        <v>22962393</v>
      </c>
      <c r="AA42" s="28">
        <f t="shared" si="17"/>
        <v>68106393</v>
      </c>
      <c r="AB42" s="31">
        <f t="shared" si="18"/>
        <v>504760607</v>
      </c>
      <c r="AC42" s="36">
        <f t="shared" si="19"/>
        <v>4.3888968007362743E-2</v>
      </c>
      <c r="AD42" s="33">
        <v>3.3799999999999997E-2</v>
      </c>
      <c r="AE42" s="34">
        <f t="shared" si="20"/>
        <v>1.0088968007362746E-2</v>
      </c>
    </row>
    <row r="43" spans="1:31" x14ac:dyDescent="0.2">
      <c r="A43" s="51">
        <v>45870</v>
      </c>
      <c r="B43" s="51">
        <v>45931</v>
      </c>
      <c r="C43" s="9">
        <v>7211243.7999999998</v>
      </c>
      <c r="D43" s="10">
        <v>229206.49</v>
      </c>
      <c r="E43" s="10">
        <v>4478586.49</v>
      </c>
      <c r="F43" s="10">
        <v>0</v>
      </c>
      <c r="G43" s="10">
        <v>0</v>
      </c>
      <c r="H43" s="10">
        <v>0</v>
      </c>
      <c r="I43" s="16">
        <f t="shared" si="11"/>
        <v>11919036.780000001</v>
      </c>
      <c r="J43" s="9">
        <v>0</v>
      </c>
      <c r="K43" s="10">
        <v>5494884</v>
      </c>
      <c r="L43" s="10">
        <v>0</v>
      </c>
      <c r="M43" s="16">
        <f t="shared" si="12"/>
        <v>5494884</v>
      </c>
      <c r="N43" s="11">
        <v>2117358</v>
      </c>
      <c r="O43" s="37">
        <f t="shared" si="13"/>
        <v>15296562.780000001</v>
      </c>
      <c r="P43" s="11">
        <v>-2691105.2349900007</v>
      </c>
      <c r="Q43" s="41">
        <v>181896</v>
      </c>
      <c r="R43" s="37">
        <f t="shared" si="14"/>
        <v>12423561.54501</v>
      </c>
      <c r="S43" s="11">
        <v>467096.12</v>
      </c>
      <c r="T43" s="37">
        <f t="shared" si="15"/>
        <v>12890657.66501</v>
      </c>
      <c r="U43" s="24">
        <v>350400000</v>
      </c>
      <c r="V43" s="25">
        <v>169471000</v>
      </c>
      <c r="W43" s="28">
        <f t="shared" si="16"/>
        <v>519871000</v>
      </c>
      <c r="X43" s="24">
        <v>0</v>
      </c>
      <c r="Y43" s="25">
        <v>61334000</v>
      </c>
      <c r="Z43" s="25">
        <v>21463515</v>
      </c>
      <c r="AA43" s="28">
        <f t="shared" si="17"/>
        <v>82797515</v>
      </c>
      <c r="AB43" s="31">
        <f t="shared" si="18"/>
        <v>437073485</v>
      </c>
      <c r="AC43" s="36">
        <f t="shared" si="19"/>
        <v>2.9493112960192493E-2</v>
      </c>
      <c r="AD43" s="33">
        <v>3.3799999999999997E-2</v>
      </c>
      <c r="AE43" s="34">
        <f t="shared" si="20"/>
        <v>-4.3068870398075033E-3</v>
      </c>
    </row>
    <row r="44" spans="1:31" x14ac:dyDescent="0.2">
      <c r="A44" s="51">
        <v>45901</v>
      </c>
      <c r="B44" s="51">
        <v>45962</v>
      </c>
      <c r="C44" s="9">
        <v>2473641.0099999998</v>
      </c>
      <c r="D44" s="10">
        <v>191928.15</v>
      </c>
      <c r="E44" s="10">
        <v>2137023.79</v>
      </c>
      <c r="F44" s="10">
        <v>0</v>
      </c>
      <c r="G44" s="10">
        <v>0</v>
      </c>
      <c r="H44" s="10">
        <v>0</v>
      </c>
      <c r="I44" s="16">
        <f t="shared" si="11"/>
        <v>4802592.9499999993</v>
      </c>
      <c r="J44" s="9">
        <v>0</v>
      </c>
      <c r="K44" s="10">
        <v>11149256</v>
      </c>
      <c r="L44" s="10">
        <v>0</v>
      </c>
      <c r="M44" s="16">
        <f t="shared" si="12"/>
        <v>11149256</v>
      </c>
      <c r="N44" s="11">
        <v>1018688</v>
      </c>
      <c r="O44" s="37">
        <f t="shared" si="13"/>
        <v>14933160.949999999</v>
      </c>
      <c r="P44" s="11">
        <v>-366791.87999999896</v>
      </c>
      <c r="Q44" s="41">
        <v>-1004594</v>
      </c>
      <c r="R44" s="37">
        <f t="shared" si="14"/>
        <v>15570963.07</v>
      </c>
      <c r="S44" s="11">
        <v>734418.41999999993</v>
      </c>
      <c r="T44" s="37">
        <f t="shared" si="15"/>
        <v>16305381.49</v>
      </c>
      <c r="U44" s="24">
        <v>135750000</v>
      </c>
      <c r="V44" s="25">
        <v>276022000</v>
      </c>
      <c r="W44" s="28">
        <f t="shared" si="16"/>
        <v>411772000</v>
      </c>
      <c r="X44" s="24">
        <v>0</v>
      </c>
      <c r="Y44" s="25">
        <v>32495000</v>
      </c>
      <c r="Z44" s="25">
        <v>16819593</v>
      </c>
      <c r="AA44" s="28">
        <f t="shared" si="17"/>
        <v>49314593</v>
      </c>
      <c r="AB44" s="31">
        <f t="shared" si="18"/>
        <v>362457407</v>
      </c>
      <c r="AC44" s="36">
        <f t="shared" si="19"/>
        <v>4.4985648451653794E-2</v>
      </c>
      <c r="AD44" s="33">
        <v>3.3799999999999997E-2</v>
      </c>
      <c r="AE44" s="34">
        <f t="shared" si="20"/>
        <v>1.1185648451653797E-2</v>
      </c>
    </row>
    <row r="45" spans="1:31" x14ac:dyDescent="0.2">
      <c r="A45" s="51">
        <v>45931</v>
      </c>
      <c r="B45" s="51">
        <v>45992</v>
      </c>
      <c r="C45" s="9">
        <v>9776000.9299999997</v>
      </c>
      <c r="D45" s="10">
        <v>299158.57000000007</v>
      </c>
      <c r="E45" s="10">
        <v>618586.98</v>
      </c>
      <c r="F45" s="10">
        <v>0</v>
      </c>
      <c r="G45" s="10">
        <v>0</v>
      </c>
      <c r="H45" s="10">
        <v>0</v>
      </c>
      <c r="I45" s="16">
        <f t="shared" si="11"/>
        <v>10693746.48</v>
      </c>
      <c r="J45" s="9">
        <v>0</v>
      </c>
      <c r="K45" s="10">
        <v>10013201.297</v>
      </c>
      <c r="L45" s="10">
        <v>0</v>
      </c>
      <c r="M45" s="16">
        <f t="shared" si="12"/>
        <v>10013201.297</v>
      </c>
      <c r="N45" s="11">
        <v>2824145.1169999996</v>
      </c>
      <c r="O45" s="37">
        <f t="shared" si="13"/>
        <v>17882802.660000004</v>
      </c>
      <c r="P45" s="11">
        <v>-1697616.4776785076</v>
      </c>
      <c r="Q45" s="41">
        <v>366714</v>
      </c>
      <c r="R45" s="37">
        <f t="shared" si="14"/>
        <v>15818472.182321496</v>
      </c>
      <c r="S45" s="11">
        <v>-488036.95999999979</v>
      </c>
      <c r="T45" s="37">
        <f t="shared" si="15"/>
        <v>15330435.222321497</v>
      </c>
      <c r="U45" s="24">
        <v>253108000</v>
      </c>
      <c r="V45" s="25">
        <v>207166000</v>
      </c>
      <c r="W45" s="28">
        <f t="shared" si="16"/>
        <v>460274000</v>
      </c>
      <c r="X45" s="24">
        <v>0</v>
      </c>
      <c r="Y45" s="25">
        <v>53883000</v>
      </c>
      <c r="Z45" s="25">
        <v>19852871</v>
      </c>
      <c r="AA45" s="28">
        <f t="shared" si="17"/>
        <v>73735871</v>
      </c>
      <c r="AB45" s="31">
        <f t="shared" si="18"/>
        <v>386538129</v>
      </c>
      <c r="AC45" s="36">
        <f t="shared" si="19"/>
        <v>3.9660861561011743E-2</v>
      </c>
      <c r="AD45" s="33">
        <v>3.3799999999999997E-2</v>
      </c>
      <c r="AE45" s="34">
        <f t="shared" si="20"/>
        <v>5.8608615610117459E-3</v>
      </c>
    </row>
    <row r="46" spans="1:31" x14ac:dyDescent="0.2">
      <c r="A46" s="51">
        <v>45962</v>
      </c>
      <c r="B46" s="51">
        <v>46023</v>
      </c>
      <c r="C46" s="9">
        <v>8506193.7199999988</v>
      </c>
      <c r="D46" s="10">
        <v>295059.15999999992</v>
      </c>
      <c r="E46" s="10">
        <v>3778212.0999999996</v>
      </c>
      <c r="F46" s="10">
        <v>0</v>
      </c>
      <c r="G46" s="10">
        <v>0</v>
      </c>
      <c r="H46" s="10">
        <v>0</v>
      </c>
      <c r="I46" s="16">
        <f t="shared" si="11"/>
        <v>12579464.979999999</v>
      </c>
      <c r="J46" s="9">
        <v>0</v>
      </c>
      <c r="K46" s="10">
        <v>10549355</v>
      </c>
      <c r="L46" s="10">
        <v>0</v>
      </c>
      <c r="M46" s="16">
        <f t="shared" si="12"/>
        <v>10549355</v>
      </c>
      <c r="N46" s="11">
        <v>5875246.2100000009</v>
      </c>
      <c r="O46" s="37">
        <f t="shared" si="13"/>
        <v>17253573.769999996</v>
      </c>
      <c r="P46" s="11">
        <v>-2550539.322004931</v>
      </c>
      <c r="Q46" s="41">
        <v>139344</v>
      </c>
      <c r="R46" s="37">
        <f t="shared" si="14"/>
        <v>14563690.447995065</v>
      </c>
      <c r="S46" s="11">
        <v>690056.16000000038</v>
      </c>
      <c r="T46" s="37">
        <f t="shared" si="15"/>
        <v>15253746.607995065</v>
      </c>
      <c r="U46" s="24">
        <v>338098000</v>
      </c>
      <c r="V46" s="25">
        <v>221814000</v>
      </c>
      <c r="W46" s="28">
        <f t="shared" si="16"/>
        <v>559912000</v>
      </c>
      <c r="X46" s="24">
        <v>0</v>
      </c>
      <c r="Y46" s="25">
        <v>127655000</v>
      </c>
      <c r="Z46" s="25">
        <v>22881757</v>
      </c>
      <c r="AA46" s="28">
        <f t="shared" si="17"/>
        <v>150536757</v>
      </c>
      <c r="AB46" s="31">
        <f t="shared" si="18"/>
        <v>409375243</v>
      </c>
      <c r="AC46" s="36">
        <f t="shared" si="19"/>
        <v>3.7261038298779255E-2</v>
      </c>
      <c r="AD46" s="33">
        <v>3.3799999999999997E-2</v>
      </c>
      <c r="AE46" s="34">
        <f t="shared" si="20"/>
        <v>3.4610382987792579E-3</v>
      </c>
    </row>
    <row r="47" spans="1:31" ht="13.5" thickBot="1" x14ac:dyDescent="0.25">
      <c r="A47" s="51">
        <v>45992</v>
      </c>
      <c r="B47" s="51">
        <v>46054</v>
      </c>
      <c r="C47" s="12">
        <v>7484498.2699999986</v>
      </c>
      <c r="D47" s="13">
        <v>422823.41</v>
      </c>
      <c r="E47" s="13">
        <v>5135400.88</v>
      </c>
      <c r="F47" s="13">
        <v>0</v>
      </c>
      <c r="G47" s="13">
        <v>0</v>
      </c>
      <c r="H47" s="13">
        <v>0</v>
      </c>
      <c r="I47" s="17">
        <f t="shared" si="11"/>
        <v>13042722.559999999</v>
      </c>
      <c r="J47" s="12">
        <v>0</v>
      </c>
      <c r="K47" s="13">
        <v>11195248.76</v>
      </c>
      <c r="L47" s="13">
        <v>0</v>
      </c>
      <c r="M47" s="17">
        <f t="shared" si="12"/>
        <v>11195248.76</v>
      </c>
      <c r="N47" s="14">
        <v>2073214.496</v>
      </c>
      <c r="O47" s="38">
        <f t="shared" si="13"/>
        <v>22164756.824000001</v>
      </c>
      <c r="P47" s="14">
        <v>-874632.74927384034</v>
      </c>
      <c r="Q47" s="42">
        <v>347823</v>
      </c>
      <c r="R47" s="38">
        <f t="shared" si="14"/>
        <v>20942301.074726161</v>
      </c>
      <c r="S47" s="14">
        <v>63926.51999999932</v>
      </c>
      <c r="T47" s="38">
        <f t="shared" si="15"/>
        <v>21006227.59472616</v>
      </c>
      <c r="U47" s="26">
        <v>344193000</v>
      </c>
      <c r="V47" s="27">
        <v>239435000</v>
      </c>
      <c r="W47" s="29">
        <f t="shared" si="16"/>
        <v>583628000</v>
      </c>
      <c r="X47" s="26">
        <v>0</v>
      </c>
      <c r="Y47" s="27">
        <v>46709000</v>
      </c>
      <c r="Z47" s="27">
        <v>29924225</v>
      </c>
      <c r="AA47" s="29">
        <f t="shared" si="17"/>
        <v>76633225</v>
      </c>
      <c r="AB47" s="32">
        <f t="shared" si="18"/>
        <v>506994775</v>
      </c>
      <c r="AC47" s="39">
        <f t="shared" si="19"/>
        <v>4.1432828562633923E-2</v>
      </c>
      <c r="AD47" s="40">
        <v>3.3799999999999997E-2</v>
      </c>
      <c r="AE47" s="35">
        <f t="shared" si="20"/>
        <v>7.6328285626339268E-3</v>
      </c>
    </row>
    <row r="48" spans="1:31" x14ac:dyDescent="0.2"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</row>
    <row r="49" spans="21:31" x14ac:dyDescent="0.2"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</row>
    <row r="50" spans="21:31" x14ac:dyDescent="0.2"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</row>
    <row r="51" spans="21:31" x14ac:dyDescent="0.2"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</row>
    <row r="52" spans="21:31" x14ac:dyDescent="0.2"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</row>
    <row r="53" spans="21:31" x14ac:dyDescent="0.2"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</row>
  </sheetData>
  <mergeCells count="8">
    <mergeCell ref="AC5:AE5"/>
    <mergeCell ref="AC4:AE4"/>
    <mergeCell ref="C5:I5"/>
    <mergeCell ref="J5:M5"/>
    <mergeCell ref="C4:T4"/>
    <mergeCell ref="U5:W5"/>
    <mergeCell ref="X5:AA5"/>
    <mergeCell ref="U4:AB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1125A-6A75-42D3-B598-8B343ED31CB6}">
  <dimension ref="A3:W48"/>
  <sheetViews>
    <sheetView zoomScale="80" zoomScaleNormal="80" workbookViewId="0">
      <selection activeCell="J60" sqref="J60"/>
    </sheetView>
  </sheetViews>
  <sheetFormatPr defaultRowHeight="12.75" x14ac:dyDescent="0.2"/>
  <cols>
    <col min="1" max="3" width="9.140625" style="1"/>
    <col min="4" max="4" width="14.28515625" style="1" customWidth="1"/>
    <col min="5" max="5" width="13.85546875" style="1" bestFit="1" customWidth="1"/>
    <col min="6" max="6" width="13.42578125" style="1" bestFit="1" customWidth="1"/>
    <col min="7" max="7" width="12" style="1" bestFit="1" customWidth="1"/>
    <col min="8" max="8" width="13.42578125" style="1" bestFit="1" customWidth="1"/>
    <col min="9" max="9" width="19.42578125" style="1" bestFit="1" customWidth="1"/>
    <col min="10" max="10" width="13" style="1" bestFit="1" customWidth="1"/>
    <col min="11" max="12" width="13.42578125" style="1" bestFit="1" customWidth="1"/>
    <col min="13" max="13" width="13.7109375" style="1" bestFit="1" customWidth="1"/>
    <col min="14" max="14" width="13" style="1" bestFit="1" customWidth="1"/>
    <col min="15" max="15" width="10.7109375" style="1" bestFit="1" customWidth="1"/>
    <col min="16" max="16384" width="9.140625" style="1"/>
  </cols>
  <sheetData>
    <row r="3" spans="1:23" ht="38.25" x14ac:dyDescent="0.2">
      <c r="A3" s="2" t="s">
        <v>0</v>
      </c>
      <c r="B3" s="2" t="s">
        <v>52</v>
      </c>
      <c r="C3" s="2" t="s">
        <v>45</v>
      </c>
      <c r="D3" s="2" t="s">
        <v>46</v>
      </c>
      <c r="E3" s="2" t="s">
        <v>47</v>
      </c>
      <c r="F3" s="2" t="s">
        <v>48</v>
      </c>
      <c r="G3" s="2" t="s">
        <v>54</v>
      </c>
      <c r="H3" s="2" t="s">
        <v>55</v>
      </c>
      <c r="I3" s="2" t="s">
        <v>49</v>
      </c>
      <c r="J3" s="2" t="s">
        <v>50</v>
      </c>
      <c r="K3" s="2" t="s">
        <v>57</v>
      </c>
      <c r="L3" s="2" t="s">
        <v>53</v>
      </c>
      <c r="M3" s="2" t="s">
        <v>56</v>
      </c>
      <c r="N3" s="2" t="s">
        <v>51</v>
      </c>
      <c r="O3" s="2"/>
      <c r="P3" s="2"/>
      <c r="Q3" s="2"/>
      <c r="R3" s="2"/>
      <c r="S3" s="2"/>
      <c r="T3" s="2"/>
      <c r="U3" s="2"/>
      <c r="V3" s="2"/>
      <c r="W3" s="2"/>
    </row>
    <row r="4" spans="1:23" s="54" customFormat="1" x14ac:dyDescent="0.25">
      <c r="A4" s="2"/>
      <c r="B4" s="4"/>
      <c r="C4" s="53"/>
      <c r="D4" s="53"/>
      <c r="E4" s="4"/>
      <c r="F4" s="4"/>
      <c r="G4" s="53" t="s">
        <v>58</v>
      </c>
      <c r="H4" s="53"/>
      <c r="I4" s="53"/>
      <c r="J4" s="53"/>
    </row>
    <row r="5" spans="1:23" s="54" customFormat="1" x14ac:dyDescent="0.2">
      <c r="A5" s="51">
        <v>44805</v>
      </c>
      <c r="B5" s="51">
        <v>44866</v>
      </c>
      <c r="C5" s="50">
        <f>ROUND('0. Rate Calc'!AE8,5)</f>
        <v>4.1300000000000003E-2</v>
      </c>
      <c r="D5" s="23">
        <v>389522664</v>
      </c>
      <c r="E5" s="55">
        <f t="shared" ref="E5:E7" si="0">ROUND(C5*D5,0)</f>
        <v>16087286</v>
      </c>
      <c r="F5" s="56">
        <v>404267144</v>
      </c>
      <c r="G5" s="23">
        <v>5579291</v>
      </c>
      <c r="H5" s="58">
        <f t="shared" ref="H5:H7" si="1">F5-G5</f>
        <v>398687853</v>
      </c>
      <c r="I5" s="55">
        <f t="shared" ref="I5:I7" si="2">C5*H5</f>
        <v>16465808.328900002</v>
      </c>
      <c r="J5" s="59">
        <f t="shared" ref="J5:J7" si="3">E5-I5</f>
        <v>-378522.32890000194</v>
      </c>
      <c r="K5" s="23">
        <v>440706130</v>
      </c>
      <c r="L5" s="23">
        <v>434496172</v>
      </c>
      <c r="M5" s="62">
        <f t="shared" ref="M5:M7" si="4">ROUND(K5/L5,5)</f>
        <v>1.0142899999999999</v>
      </c>
      <c r="N5" s="59">
        <f t="shared" ref="N5:N7" si="5">ROUND(J5*M5,0)</f>
        <v>-383931</v>
      </c>
    </row>
    <row r="6" spans="1:23" s="54" customFormat="1" x14ac:dyDescent="0.2">
      <c r="A6" s="51">
        <v>44835</v>
      </c>
      <c r="B6" s="51">
        <v>44896</v>
      </c>
      <c r="C6" s="50">
        <f>ROUND('0. Rate Calc'!AE9,5)</f>
        <v>4.1939999999999998E-2</v>
      </c>
      <c r="D6" s="23">
        <v>495513800</v>
      </c>
      <c r="E6" s="55">
        <f t="shared" si="0"/>
        <v>20781849</v>
      </c>
      <c r="F6" s="56">
        <v>405052299</v>
      </c>
      <c r="G6" s="23">
        <v>5389072</v>
      </c>
      <c r="H6" s="58">
        <f t="shared" si="1"/>
        <v>399663227</v>
      </c>
      <c r="I6" s="55">
        <f t="shared" si="2"/>
        <v>16761875.740379998</v>
      </c>
      <c r="J6" s="59">
        <f t="shared" si="3"/>
        <v>4019973.2596200015</v>
      </c>
      <c r="K6" s="23">
        <v>530871212</v>
      </c>
      <c r="L6" s="23">
        <v>523234196</v>
      </c>
      <c r="M6" s="62">
        <f t="shared" si="4"/>
        <v>1.0145999999999999</v>
      </c>
      <c r="N6" s="59">
        <f t="shared" si="5"/>
        <v>4078665</v>
      </c>
    </row>
    <row r="7" spans="1:23" s="54" customFormat="1" x14ac:dyDescent="0.2">
      <c r="A7" s="51">
        <v>44866</v>
      </c>
      <c r="B7" s="51">
        <v>44927</v>
      </c>
      <c r="C7" s="50">
        <f>ROUND('0. Rate Calc'!AE10,5)</f>
        <v>3.7830000000000003E-2</v>
      </c>
      <c r="D7" s="23">
        <v>550260592</v>
      </c>
      <c r="E7" s="55">
        <f t="shared" si="0"/>
        <v>20816358</v>
      </c>
      <c r="F7" s="61">
        <f>K5</f>
        <v>440706130</v>
      </c>
      <c r="G7" s="23">
        <v>6209958</v>
      </c>
      <c r="H7" s="58">
        <f t="shared" si="1"/>
        <v>434496172</v>
      </c>
      <c r="I7" s="55">
        <f t="shared" si="2"/>
        <v>16436990.186760001</v>
      </c>
      <c r="J7" s="59">
        <f t="shared" si="3"/>
        <v>4379367.8132399991</v>
      </c>
      <c r="K7" s="23">
        <v>499846850</v>
      </c>
      <c r="L7" s="23">
        <v>492610248</v>
      </c>
      <c r="M7" s="62">
        <f t="shared" si="4"/>
        <v>1.0146900000000001</v>
      </c>
      <c r="N7" s="59">
        <f t="shared" si="5"/>
        <v>4443701</v>
      </c>
    </row>
    <row r="8" spans="1:23" x14ac:dyDescent="0.2">
      <c r="A8" s="51">
        <v>44896</v>
      </c>
      <c r="B8" s="51">
        <v>44958</v>
      </c>
      <c r="C8" s="50">
        <f>ROUND('0. Rate Calc'!AE11,5)</f>
        <v>5.1130000000000002E-2</v>
      </c>
      <c r="D8" s="23">
        <v>461611640</v>
      </c>
      <c r="E8" s="55">
        <f>ROUND(C8*D8,0)</f>
        <v>23602203</v>
      </c>
      <c r="F8" s="61">
        <f>K6</f>
        <v>530871212</v>
      </c>
      <c r="G8" s="23">
        <v>7637016</v>
      </c>
      <c r="H8" s="58">
        <f>F8-G8</f>
        <v>523234196</v>
      </c>
      <c r="I8" s="55">
        <f>C8*H8</f>
        <v>26752964.44148</v>
      </c>
      <c r="J8" s="59">
        <f>E8-I8</f>
        <v>-3150761.4414799996</v>
      </c>
      <c r="K8" s="23">
        <v>421121053</v>
      </c>
      <c r="L8" s="23">
        <v>415109658</v>
      </c>
      <c r="M8" s="62">
        <f>ROUND(K8/L8,5)</f>
        <v>1.01448</v>
      </c>
      <c r="N8" s="59">
        <f>ROUND(J8*M8,0)</f>
        <v>-3196384</v>
      </c>
    </row>
    <row r="9" spans="1:23" x14ac:dyDescent="0.2">
      <c r="A9" s="51">
        <v>44927</v>
      </c>
      <c r="B9" s="51">
        <v>44986</v>
      </c>
      <c r="C9" s="50">
        <f>ROUND('0. Rate Calc'!AE12,5)</f>
        <v>-1.8880000000000001E-2</v>
      </c>
      <c r="D9" s="23">
        <v>431163653</v>
      </c>
      <c r="E9" s="55">
        <f>ROUND(C9*D9,0)</f>
        <v>-8140370</v>
      </c>
      <c r="F9" s="61">
        <f>K7</f>
        <v>499846850</v>
      </c>
      <c r="G9" s="23">
        <v>7236602</v>
      </c>
      <c r="H9" s="58">
        <f t="shared" ref="H9:H44" si="6">F9-G9</f>
        <v>492610248</v>
      </c>
      <c r="I9" s="55">
        <f t="shared" ref="I9:I44" si="7">C9*H9</f>
        <v>-9300481.4822400007</v>
      </c>
      <c r="J9" s="59">
        <f t="shared" ref="J9:J44" si="8">E9-I9</f>
        <v>1160111.4822400007</v>
      </c>
      <c r="K9" s="23">
        <v>451733027</v>
      </c>
      <c r="L9" s="23">
        <v>445486178</v>
      </c>
      <c r="M9" s="62">
        <f t="shared" ref="M9:M44" si="9">ROUND(K9/L9,5)</f>
        <v>1.0140199999999999</v>
      </c>
      <c r="N9" s="59">
        <f t="shared" ref="N9:N44" si="10">ROUND(J9*M9,0)</f>
        <v>1176376</v>
      </c>
    </row>
    <row r="10" spans="1:23" x14ac:dyDescent="0.2">
      <c r="A10" s="51">
        <v>44958</v>
      </c>
      <c r="B10" s="51">
        <v>45017</v>
      </c>
      <c r="C10" s="50">
        <f>ROUND('0. Rate Calc'!AE13,5)</f>
        <v>1.6830000000000001E-2</v>
      </c>
      <c r="D10" s="23">
        <v>418054513</v>
      </c>
      <c r="E10" s="55">
        <f t="shared" ref="E10:E44" si="11">ROUND(C10*D10,0)</f>
        <v>7035857</v>
      </c>
      <c r="F10" s="61">
        <f>K8</f>
        <v>421121053</v>
      </c>
      <c r="G10" s="23">
        <v>6011395</v>
      </c>
      <c r="H10" s="58">
        <f t="shared" si="6"/>
        <v>415109658</v>
      </c>
      <c r="I10" s="55">
        <f t="shared" si="7"/>
        <v>6986295.5441400008</v>
      </c>
      <c r="J10" s="59">
        <f t="shared" si="8"/>
        <v>49561.455859999172</v>
      </c>
      <c r="K10" s="23">
        <v>388944272</v>
      </c>
      <c r="L10" s="23">
        <v>383942498</v>
      </c>
      <c r="M10" s="62">
        <f t="shared" si="9"/>
        <v>1.0130300000000001</v>
      </c>
      <c r="N10" s="59">
        <f t="shared" si="10"/>
        <v>50207</v>
      </c>
    </row>
    <row r="11" spans="1:23" x14ac:dyDescent="0.2">
      <c r="A11" s="51">
        <v>44986</v>
      </c>
      <c r="B11" s="51">
        <v>45047</v>
      </c>
      <c r="C11" s="50">
        <f>ROUND('0. Rate Calc'!AE14,5)</f>
        <v>2.2899999999999999E-3</v>
      </c>
      <c r="D11" s="23">
        <v>392087302</v>
      </c>
      <c r="E11" s="55">
        <f t="shared" si="11"/>
        <v>897880</v>
      </c>
      <c r="F11" s="61">
        <f t="shared" ref="F11:F44" si="12">K9</f>
        <v>451733027</v>
      </c>
      <c r="G11" s="23">
        <v>6246849</v>
      </c>
      <c r="H11" s="58">
        <f t="shared" si="6"/>
        <v>445486178</v>
      </c>
      <c r="I11" s="55">
        <f t="shared" si="7"/>
        <v>1020163.34762</v>
      </c>
      <c r="J11" s="59">
        <f t="shared" si="8"/>
        <v>-122283.34762000002</v>
      </c>
      <c r="K11" s="23">
        <v>398514364</v>
      </c>
      <c r="L11" s="23">
        <v>393305168</v>
      </c>
      <c r="M11" s="62">
        <f t="shared" si="9"/>
        <v>1.0132399999999999</v>
      </c>
      <c r="N11" s="59">
        <f t="shared" si="10"/>
        <v>-123902</v>
      </c>
      <c r="O11" s="57"/>
    </row>
    <row r="12" spans="1:23" x14ac:dyDescent="0.2">
      <c r="A12" s="51">
        <v>45017</v>
      </c>
      <c r="B12" s="51">
        <v>45078</v>
      </c>
      <c r="C12" s="50">
        <f>ROUND('0. Rate Calc'!AE15,5)</f>
        <v>8.6E-3</v>
      </c>
      <c r="D12" s="23">
        <v>399620595</v>
      </c>
      <c r="E12" s="55">
        <f t="shared" si="11"/>
        <v>3436737</v>
      </c>
      <c r="F12" s="61">
        <f t="shared" si="12"/>
        <v>388944272</v>
      </c>
      <c r="G12" s="23">
        <v>5001774</v>
      </c>
      <c r="H12" s="58">
        <f t="shared" si="6"/>
        <v>383942498</v>
      </c>
      <c r="I12" s="55">
        <f t="shared" si="7"/>
        <v>3301905.4827999999</v>
      </c>
      <c r="J12" s="59">
        <f t="shared" si="8"/>
        <v>134831.51720000012</v>
      </c>
      <c r="K12" s="23">
        <v>417684971</v>
      </c>
      <c r="L12" s="23">
        <v>412226079</v>
      </c>
      <c r="M12" s="62">
        <f t="shared" si="9"/>
        <v>1.0132399999999999</v>
      </c>
      <c r="N12" s="59">
        <f t="shared" si="10"/>
        <v>136617</v>
      </c>
    </row>
    <row r="13" spans="1:23" x14ac:dyDescent="0.2">
      <c r="A13" s="51">
        <v>45047</v>
      </c>
      <c r="B13" s="51">
        <v>45108</v>
      </c>
      <c r="C13" s="50">
        <f>ROUND('0. Rate Calc'!AE16,5)</f>
        <v>4.8900000000000002E-3</v>
      </c>
      <c r="D13" s="23">
        <v>431455321</v>
      </c>
      <c r="E13" s="55">
        <f t="shared" si="11"/>
        <v>2109817</v>
      </c>
      <c r="F13" s="61">
        <f t="shared" si="12"/>
        <v>398514364</v>
      </c>
      <c r="G13" s="23">
        <v>5209196</v>
      </c>
      <c r="H13" s="58">
        <f t="shared" si="6"/>
        <v>393305168</v>
      </c>
      <c r="I13" s="55">
        <f t="shared" si="7"/>
        <v>1923262.2715200002</v>
      </c>
      <c r="J13" s="59">
        <f t="shared" si="8"/>
        <v>186554.72847999982</v>
      </c>
      <c r="K13" s="23">
        <v>478933865</v>
      </c>
      <c r="L13" s="23">
        <v>472342583</v>
      </c>
      <c r="M13" s="62">
        <f t="shared" si="9"/>
        <v>1.0139499999999999</v>
      </c>
      <c r="N13" s="59">
        <f t="shared" si="10"/>
        <v>189157</v>
      </c>
    </row>
    <row r="14" spans="1:23" x14ac:dyDescent="0.2">
      <c r="A14" s="51">
        <v>45078</v>
      </c>
      <c r="B14" s="51">
        <v>45139</v>
      </c>
      <c r="C14" s="50">
        <f>ROUND('0. Rate Calc'!AE17,5)</f>
        <v>6.2500000000000003E-3</v>
      </c>
      <c r="D14" s="23">
        <v>457300706</v>
      </c>
      <c r="E14" s="55">
        <f t="shared" si="11"/>
        <v>2858129</v>
      </c>
      <c r="F14" s="61">
        <f t="shared" si="12"/>
        <v>417684971</v>
      </c>
      <c r="G14" s="23">
        <v>5458892</v>
      </c>
      <c r="H14" s="58">
        <f t="shared" si="6"/>
        <v>412226079</v>
      </c>
      <c r="I14" s="55">
        <f t="shared" si="7"/>
        <v>2576412.9937500004</v>
      </c>
      <c r="J14" s="59">
        <f t="shared" si="8"/>
        <v>281716.00624999963</v>
      </c>
      <c r="K14" s="23">
        <v>467128731</v>
      </c>
      <c r="L14" s="23">
        <v>460678769</v>
      </c>
      <c r="M14" s="63">
        <f t="shared" si="9"/>
        <v>1.014</v>
      </c>
      <c r="N14" s="59">
        <f t="shared" si="10"/>
        <v>285660</v>
      </c>
    </row>
    <row r="15" spans="1:23" x14ac:dyDescent="0.2">
      <c r="A15" s="51">
        <v>45108</v>
      </c>
      <c r="B15" s="51">
        <v>45170</v>
      </c>
      <c r="C15" s="50">
        <f>ROUND('0. Rate Calc'!AE18,5)</f>
        <v>8.7799999999999996E-3</v>
      </c>
      <c r="D15" s="23">
        <v>443924653</v>
      </c>
      <c r="E15" s="55">
        <f t="shared" si="11"/>
        <v>3897658</v>
      </c>
      <c r="F15" s="61">
        <f t="shared" si="12"/>
        <v>478933865</v>
      </c>
      <c r="G15" s="23">
        <v>6591282</v>
      </c>
      <c r="H15" s="58">
        <f t="shared" si="6"/>
        <v>472342583</v>
      </c>
      <c r="I15" s="55">
        <f t="shared" si="7"/>
        <v>4147167.8787399996</v>
      </c>
      <c r="J15" s="59">
        <f t="shared" si="8"/>
        <v>-249509.87873999961</v>
      </c>
      <c r="K15" s="23">
        <v>411034614</v>
      </c>
      <c r="L15" s="23">
        <v>405662012</v>
      </c>
      <c r="M15" s="62">
        <f t="shared" si="9"/>
        <v>1.0132399999999999</v>
      </c>
      <c r="N15" s="59">
        <f t="shared" si="10"/>
        <v>-252813</v>
      </c>
    </row>
    <row r="16" spans="1:23" x14ac:dyDescent="0.2">
      <c r="A16" s="51">
        <v>45139</v>
      </c>
      <c r="B16" s="51">
        <v>45200</v>
      </c>
      <c r="C16" s="50">
        <f>ROUND('0. Rate Calc'!AE19,5)</f>
        <v>9.7400000000000004E-3</v>
      </c>
      <c r="D16" s="23">
        <v>382542719</v>
      </c>
      <c r="E16" s="55">
        <f t="shared" si="11"/>
        <v>3725966</v>
      </c>
      <c r="F16" s="61">
        <f t="shared" si="12"/>
        <v>467128731</v>
      </c>
      <c r="G16" s="23">
        <v>6449962</v>
      </c>
      <c r="H16" s="58">
        <f t="shared" si="6"/>
        <v>460678769</v>
      </c>
      <c r="I16" s="55">
        <f t="shared" si="7"/>
        <v>4487011.2100600004</v>
      </c>
      <c r="J16" s="59">
        <f t="shared" si="8"/>
        <v>-761045.21006000042</v>
      </c>
      <c r="K16" s="23">
        <v>385659292</v>
      </c>
      <c r="L16" s="23">
        <v>380499296</v>
      </c>
      <c r="M16" s="62">
        <f t="shared" si="9"/>
        <v>1.01356</v>
      </c>
      <c r="N16" s="59">
        <f t="shared" si="10"/>
        <v>-771365</v>
      </c>
    </row>
    <row r="17" spans="1:14" x14ac:dyDescent="0.2">
      <c r="A17" s="51">
        <v>45170</v>
      </c>
      <c r="B17" s="51">
        <v>45231</v>
      </c>
      <c r="C17" s="50">
        <f>ROUND('0. Rate Calc'!AE20,5)</f>
        <v>7.45E-3</v>
      </c>
      <c r="D17" s="23">
        <v>390469701</v>
      </c>
      <c r="E17" s="55">
        <f t="shared" si="11"/>
        <v>2908999</v>
      </c>
      <c r="F17" s="61">
        <f t="shared" si="12"/>
        <v>411034614</v>
      </c>
      <c r="G17" s="23">
        <v>5372602</v>
      </c>
      <c r="H17" s="58">
        <f t="shared" si="6"/>
        <v>405662012</v>
      </c>
      <c r="I17" s="55">
        <f t="shared" si="7"/>
        <v>3022181.9893999998</v>
      </c>
      <c r="J17" s="59">
        <f t="shared" si="8"/>
        <v>-113182.98939999985</v>
      </c>
      <c r="K17" s="23">
        <v>443997586</v>
      </c>
      <c r="L17" s="23">
        <v>437927110</v>
      </c>
      <c r="M17" s="62">
        <f t="shared" si="9"/>
        <v>1.01386</v>
      </c>
      <c r="N17" s="59">
        <f t="shared" si="10"/>
        <v>-114752</v>
      </c>
    </row>
    <row r="18" spans="1:14" x14ac:dyDescent="0.2">
      <c r="A18" s="51">
        <v>45200</v>
      </c>
      <c r="B18" s="51">
        <v>45261</v>
      </c>
      <c r="C18" s="50">
        <f>ROUND('0. Rate Calc'!AE21,5)</f>
        <v>7.0200000000000002E-3</v>
      </c>
      <c r="D18" s="23">
        <v>486349190</v>
      </c>
      <c r="E18" s="55">
        <f t="shared" si="11"/>
        <v>3414171</v>
      </c>
      <c r="F18" s="61">
        <f t="shared" si="12"/>
        <v>385659292</v>
      </c>
      <c r="G18" s="23">
        <v>5159996</v>
      </c>
      <c r="H18" s="58">
        <f t="shared" si="6"/>
        <v>380499296</v>
      </c>
      <c r="I18" s="55">
        <f t="shared" si="7"/>
        <v>2671105.0579200001</v>
      </c>
      <c r="J18" s="59">
        <f t="shared" si="8"/>
        <v>743065.94207999995</v>
      </c>
      <c r="K18" s="23">
        <v>463175334</v>
      </c>
      <c r="L18" s="23">
        <v>456366124</v>
      </c>
      <c r="M18" s="62">
        <f t="shared" si="9"/>
        <v>1.01492</v>
      </c>
      <c r="N18" s="59">
        <f t="shared" si="10"/>
        <v>754152</v>
      </c>
    </row>
    <row r="19" spans="1:14" x14ac:dyDescent="0.2">
      <c r="A19" s="51">
        <v>45231</v>
      </c>
      <c r="B19" s="51">
        <v>45292</v>
      </c>
      <c r="C19" s="50">
        <f>ROUND('0. Rate Calc'!AE22,5)</f>
        <v>9.3500000000000007E-3</v>
      </c>
      <c r="D19" s="23">
        <v>546889251</v>
      </c>
      <c r="E19" s="55">
        <f t="shared" si="11"/>
        <v>5113414</v>
      </c>
      <c r="F19" s="61">
        <f t="shared" si="12"/>
        <v>443997586</v>
      </c>
      <c r="G19" s="23">
        <v>6070476</v>
      </c>
      <c r="H19" s="58">
        <f t="shared" si="6"/>
        <v>437927110</v>
      </c>
      <c r="I19" s="55">
        <f t="shared" si="7"/>
        <v>4094618.4785000002</v>
      </c>
      <c r="J19" s="59">
        <f t="shared" si="8"/>
        <v>1018795.5214999998</v>
      </c>
      <c r="K19" s="23">
        <v>617468853</v>
      </c>
      <c r="L19" s="23">
        <v>609228451</v>
      </c>
      <c r="M19" s="62">
        <f t="shared" si="9"/>
        <v>1.01353</v>
      </c>
      <c r="N19" s="59">
        <f t="shared" si="10"/>
        <v>1032580</v>
      </c>
    </row>
    <row r="20" spans="1:14" x14ac:dyDescent="0.2">
      <c r="A20" s="51">
        <v>45261</v>
      </c>
      <c r="B20" s="51">
        <v>45323</v>
      </c>
      <c r="C20" s="50">
        <f>ROUND('0. Rate Calc'!AE23,5)</f>
        <v>1.7659999999999999E-2</v>
      </c>
      <c r="D20" s="23">
        <v>488138208</v>
      </c>
      <c r="E20" s="55">
        <f t="shared" si="11"/>
        <v>8620521</v>
      </c>
      <c r="F20" s="61">
        <f t="shared" si="12"/>
        <v>463175334</v>
      </c>
      <c r="G20" s="23">
        <v>6809210</v>
      </c>
      <c r="H20" s="58">
        <f t="shared" si="6"/>
        <v>456366124</v>
      </c>
      <c r="I20" s="55">
        <f t="shared" si="7"/>
        <v>8059425.7498399997</v>
      </c>
      <c r="J20" s="59">
        <f t="shared" si="8"/>
        <v>561095.25016000029</v>
      </c>
      <c r="K20" s="23">
        <v>436331073</v>
      </c>
      <c r="L20" s="23">
        <v>430039328</v>
      </c>
      <c r="M20" s="62">
        <f t="shared" si="9"/>
        <v>1.0146299999999999</v>
      </c>
      <c r="N20" s="59">
        <f t="shared" si="10"/>
        <v>569304</v>
      </c>
    </row>
    <row r="21" spans="1:14" x14ac:dyDescent="0.2">
      <c r="A21" s="51">
        <v>45292</v>
      </c>
      <c r="B21" s="51">
        <v>45352</v>
      </c>
      <c r="C21" s="50">
        <f>ROUND('0. Rate Calc'!AE24,5)</f>
        <v>1.396E-2</v>
      </c>
      <c r="D21" s="23">
        <v>444721245</v>
      </c>
      <c r="E21" s="55">
        <f t="shared" si="11"/>
        <v>6208309</v>
      </c>
      <c r="F21" s="61">
        <f t="shared" si="12"/>
        <v>617468853</v>
      </c>
      <c r="G21" s="23">
        <v>8240402</v>
      </c>
      <c r="H21" s="58">
        <f t="shared" si="6"/>
        <v>609228451</v>
      </c>
      <c r="I21" s="55">
        <f t="shared" si="7"/>
        <v>8504829.1759600006</v>
      </c>
      <c r="J21" s="59">
        <f t="shared" si="8"/>
        <v>-2296520.1759600006</v>
      </c>
      <c r="K21" s="23">
        <v>425311577</v>
      </c>
      <c r="L21" s="23">
        <v>419402259</v>
      </c>
      <c r="M21" s="62">
        <f t="shared" si="9"/>
        <v>1.0140899999999999</v>
      </c>
      <c r="N21" s="59">
        <f t="shared" si="10"/>
        <v>-2328878</v>
      </c>
    </row>
    <row r="22" spans="1:14" x14ac:dyDescent="0.2">
      <c r="A22" s="51">
        <v>45323</v>
      </c>
      <c r="B22" s="51">
        <v>45383</v>
      </c>
      <c r="C22" s="50">
        <f>ROUND('0. Rate Calc'!AE25,5)</f>
        <v>8.6800000000000002E-3</v>
      </c>
      <c r="D22" s="23">
        <v>422497434</v>
      </c>
      <c r="E22" s="55">
        <f t="shared" si="11"/>
        <v>3667278</v>
      </c>
      <c r="F22" s="61">
        <f t="shared" si="12"/>
        <v>436331073</v>
      </c>
      <c r="G22" s="23">
        <v>6291745</v>
      </c>
      <c r="H22" s="58">
        <f t="shared" si="6"/>
        <v>430039328</v>
      </c>
      <c r="I22" s="55">
        <f t="shared" si="7"/>
        <v>3732741.3670399999</v>
      </c>
      <c r="J22" s="59">
        <f t="shared" si="8"/>
        <v>-65463.367039999925</v>
      </c>
      <c r="K22" s="23">
        <v>397483028</v>
      </c>
      <c r="L22" s="23">
        <v>392283874</v>
      </c>
      <c r="M22" s="62">
        <f t="shared" si="9"/>
        <v>1.01325</v>
      </c>
      <c r="N22" s="59">
        <f t="shared" si="10"/>
        <v>-66331</v>
      </c>
    </row>
    <row r="23" spans="1:14" x14ac:dyDescent="0.2">
      <c r="A23" s="51">
        <v>45352</v>
      </c>
      <c r="B23" s="51">
        <v>45413</v>
      </c>
      <c r="C23" s="50">
        <f>ROUND('0. Rate Calc'!AE26,5)</f>
        <v>1.29E-2</v>
      </c>
      <c r="D23" s="23">
        <v>373320238</v>
      </c>
      <c r="E23" s="55">
        <f t="shared" si="11"/>
        <v>4815831</v>
      </c>
      <c r="F23" s="61">
        <f t="shared" si="12"/>
        <v>425311577</v>
      </c>
      <c r="G23" s="23">
        <v>5909318</v>
      </c>
      <c r="H23" s="58">
        <f t="shared" si="6"/>
        <v>419402259</v>
      </c>
      <c r="I23" s="55">
        <f t="shared" si="7"/>
        <v>5410289.1410999997</v>
      </c>
      <c r="J23" s="59">
        <f t="shared" si="8"/>
        <v>-594458.14109999966</v>
      </c>
      <c r="K23" s="23">
        <v>411878407</v>
      </c>
      <c r="L23" s="23">
        <v>406409628</v>
      </c>
      <c r="M23" s="62">
        <f t="shared" si="9"/>
        <v>1.01346</v>
      </c>
      <c r="N23" s="59">
        <f t="shared" si="10"/>
        <v>-602460</v>
      </c>
    </row>
    <row r="24" spans="1:14" x14ac:dyDescent="0.2">
      <c r="A24" s="51">
        <v>45383</v>
      </c>
      <c r="B24" s="51">
        <v>45444</v>
      </c>
      <c r="C24" s="50">
        <f>ROUND('0. Rate Calc'!AE27,5)</f>
        <v>7.11E-3</v>
      </c>
      <c r="D24" s="23">
        <v>421782222</v>
      </c>
      <c r="E24" s="55">
        <f t="shared" si="11"/>
        <v>2998872</v>
      </c>
      <c r="F24" s="61">
        <f t="shared" si="12"/>
        <v>397483028</v>
      </c>
      <c r="G24" s="23">
        <v>5199154</v>
      </c>
      <c r="H24" s="58">
        <f t="shared" si="6"/>
        <v>392283874</v>
      </c>
      <c r="I24" s="55">
        <f t="shared" si="7"/>
        <v>2789138.3441400002</v>
      </c>
      <c r="J24" s="59">
        <f t="shared" si="8"/>
        <v>209733.65585999982</v>
      </c>
      <c r="K24" s="23">
        <v>457765100</v>
      </c>
      <c r="L24" s="23">
        <v>451375457</v>
      </c>
      <c r="M24" s="62">
        <f t="shared" si="9"/>
        <v>1.01416</v>
      </c>
      <c r="N24" s="59">
        <f t="shared" si="10"/>
        <v>212703</v>
      </c>
    </row>
    <row r="25" spans="1:14" x14ac:dyDescent="0.2">
      <c r="A25" s="51">
        <v>45413</v>
      </c>
      <c r="B25" s="51">
        <v>45474</v>
      </c>
      <c r="C25" s="50">
        <f>ROUND('0. Rate Calc'!AE28,5)</f>
        <v>2.1199999999999999E-3</v>
      </c>
      <c r="D25" s="23">
        <v>467867039</v>
      </c>
      <c r="E25" s="55">
        <f t="shared" si="11"/>
        <v>991878</v>
      </c>
      <c r="F25" s="61">
        <f t="shared" si="12"/>
        <v>411878407</v>
      </c>
      <c r="G25" s="23">
        <v>5468779</v>
      </c>
      <c r="H25" s="58">
        <f t="shared" si="6"/>
        <v>406409628</v>
      </c>
      <c r="I25" s="55">
        <f t="shared" si="7"/>
        <v>861588.41135999991</v>
      </c>
      <c r="J25" s="59">
        <f t="shared" si="8"/>
        <v>130289.58864000009</v>
      </c>
      <c r="K25" s="23">
        <v>477823165</v>
      </c>
      <c r="L25" s="23">
        <v>470747151</v>
      </c>
      <c r="M25" s="62">
        <f t="shared" si="9"/>
        <v>1.0150300000000001</v>
      </c>
      <c r="N25" s="59">
        <f t="shared" si="10"/>
        <v>132248</v>
      </c>
    </row>
    <row r="26" spans="1:14" x14ac:dyDescent="0.2">
      <c r="A26" s="51">
        <v>45444</v>
      </c>
      <c r="B26" s="51">
        <v>45505</v>
      </c>
      <c r="C26" s="50">
        <f>ROUND('0. Rate Calc'!AE29,5)</f>
        <v>1.2019999999999999E-2</v>
      </c>
      <c r="D26" s="23">
        <v>457517498</v>
      </c>
      <c r="E26" s="55">
        <f t="shared" si="11"/>
        <v>5499360</v>
      </c>
      <c r="F26" s="61">
        <f t="shared" si="12"/>
        <v>457765100</v>
      </c>
      <c r="G26" s="23">
        <v>6389643</v>
      </c>
      <c r="H26" s="58">
        <f t="shared" si="6"/>
        <v>451375457</v>
      </c>
      <c r="I26" s="55">
        <f t="shared" si="7"/>
        <v>5425532.9931399999</v>
      </c>
      <c r="J26" s="59">
        <f t="shared" si="8"/>
        <v>73827.006860000081</v>
      </c>
      <c r="K26" s="23">
        <v>463052563</v>
      </c>
      <c r="L26" s="23">
        <v>456304749</v>
      </c>
      <c r="M26" s="62">
        <f t="shared" si="9"/>
        <v>1.0147900000000001</v>
      </c>
      <c r="N26" s="59">
        <f t="shared" si="10"/>
        <v>74919</v>
      </c>
    </row>
    <row r="27" spans="1:14" x14ac:dyDescent="0.2">
      <c r="A27" s="51">
        <v>45474</v>
      </c>
      <c r="B27" s="51">
        <v>45536</v>
      </c>
      <c r="C27" s="50">
        <f>ROUND('0. Rate Calc'!AE30,5)</f>
        <v>1.376E-2</v>
      </c>
      <c r="D27" s="23">
        <v>424929712</v>
      </c>
      <c r="E27" s="55">
        <f t="shared" si="11"/>
        <v>5847033</v>
      </c>
      <c r="F27" s="61">
        <f t="shared" si="12"/>
        <v>477823165</v>
      </c>
      <c r="G27" s="23">
        <v>7076014</v>
      </c>
      <c r="H27" s="58">
        <f t="shared" si="6"/>
        <v>470747151</v>
      </c>
      <c r="I27" s="55">
        <f t="shared" si="7"/>
        <v>6477480.7977599995</v>
      </c>
      <c r="J27" s="59">
        <f t="shared" si="8"/>
        <v>-630447.79775999952</v>
      </c>
      <c r="K27" s="23">
        <v>399193129</v>
      </c>
      <c r="L27" s="23">
        <v>393778375</v>
      </c>
      <c r="M27" s="62">
        <f t="shared" si="9"/>
        <v>1.0137499999999999</v>
      </c>
      <c r="N27" s="59">
        <f t="shared" si="10"/>
        <v>-639116</v>
      </c>
    </row>
    <row r="28" spans="1:14" x14ac:dyDescent="0.2">
      <c r="A28" s="51">
        <v>45505</v>
      </c>
      <c r="B28" s="51">
        <v>45566</v>
      </c>
      <c r="C28" s="50">
        <f>ROUND('0. Rate Calc'!AE31,5)</f>
        <v>1.0160000000000001E-2</v>
      </c>
      <c r="D28" s="23">
        <v>403312019</v>
      </c>
      <c r="E28" s="55">
        <f t="shared" si="11"/>
        <v>4097650</v>
      </c>
      <c r="F28" s="61">
        <f t="shared" si="12"/>
        <v>463052563</v>
      </c>
      <c r="G28" s="23">
        <v>6747814</v>
      </c>
      <c r="H28" s="58">
        <f t="shared" si="6"/>
        <v>456304749</v>
      </c>
      <c r="I28" s="55">
        <f t="shared" si="7"/>
        <v>4636056.2498400006</v>
      </c>
      <c r="J28" s="59">
        <f t="shared" si="8"/>
        <v>-538406.24984000064</v>
      </c>
      <c r="K28" s="23">
        <v>399930296</v>
      </c>
      <c r="L28" s="23">
        <v>394800757</v>
      </c>
      <c r="M28" s="62">
        <f t="shared" si="9"/>
        <v>1.0129900000000001</v>
      </c>
      <c r="N28" s="59">
        <f t="shared" si="10"/>
        <v>-545400</v>
      </c>
    </row>
    <row r="29" spans="1:14" x14ac:dyDescent="0.2">
      <c r="A29" s="51">
        <v>45536</v>
      </c>
      <c r="B29" s="51">
        <v>45597</v>
      </c>
      <c r="C29" s="50">
        <f>ROUND('0. Rate Calc'!AE32,5)</f>
        <v>1.2500000000000001E-2</v>
      </c>
      <c r="D29" s="23">
        <v>373355279</v>
      </c>
      <c r="E29" s="55">
        <f t="shared" si="11"/>
        <v>4666941</v>
      </c>
      <c r="F29" s="61">
        <f t="shared" si="12"/>
        <v>399193129</v>
      </c>
      <c r="G29" s="23">
        <v>5414754</v>
      </c>
      <c r="H29" s="58">
        <f t="shared" si="6"/>
        <v>393778375</v>
      </c>
      <c r="I29" s="55">
        <f t="shared" si="7"/>
        <v>4922229.6875</v>
      </c>
      <c r="J29" s="59">
        <f t="shared" si="8"/>
        <v>-255288.6875</v>
      </c>
      <c r="K29" s="23">
        <v>406295923</v>
      </c>
      <c r="L29" s="23">
        <v>400861124</v>
      </c>
      <c r="M29" s="62">
        <f t="shared" si="9"/>
        <v>1.01356</v>
      </c>
      <c r="N29" s="59">
        <f t="shared" si="10"/>
        <v>-258750</v>
      </c>
    </row>
    <row r="30" spans="1:14" x14ac:dyDescent="0.2">
      <c r="A30" s="51">
        <v>45566</v>
      </c>
      <c r="B30" s="51">
        <v>45627</v>
      </c>
      <c r="C30" s="50">
        <f>ROUND('0. Rate Calc'!AE33,5)</f>
        <v>1.026E-2</v>
      </c>
      <c r="D30" s="23">
        <v>484891850</v>
      </c>
      <c r="E30" s="55">
        <f t="shared" si="11"/>
        <v>4974990</v>
      </c>
      <c r="F30" s="61">
        <f t="shared" si="12"/>
        <v>399930296</v>
      </c>
      <c r="G30" s="23">
        <v>5129539</v>
      </c>
      <c r="H30" s="58">
        <f t="shared" si="6"/>
        <v>394800757</v>
      </c>
      <c r="I30" s="55">
        <f t="shared" si="7"/>
        <v>4050655.76682</v>
      </c>
      <c r="J30" s="59">
        <f t="shared" si="8"/>
        <v>924334.23317999998</v>
      </c>
      <c r="K30" s="23">
        <v>494553500</v>
      </c>
      <c r="L30" s="23">
        <v>487431491</v>
      </c>
      <c r="M30" s="62">
        <f t="shared" si="9"/>
        <v>1.01461</v>
      </c>
      <c r="N30" s="59">
        <f t="shared" si="10"/>
        <v>937839</v>
      </c>
    </row>
    <row r="31" spans="1:14" x14ac:dyDescent="0.2">
      <c r="A31" s="51">
        <v>45597</v>
      </c>
      <c r="B31" s="51">
        <v>45658</v>
      </c>
      <c r="C31" s="50">
        <f>ROUND('0. Rate Calc'!AE34,5)</f>
        <v>1.206E-2</v>
      </c>
      <c r="D31" s="23">
        <v>559647068</v>
      </c>
      <c r="E31" s="55">
        <f t="shared" si="11"/>
        <v>6749344</v>
      </c>
      <c r="F31" s="61">
        <f t="shared" si="12"/>
        <v>406295923</v>
      </c>
      <c r="G31" s="23">
        <v>5434799</v>
      </c>
      <c r="H31" s="58">
        <f t="shared" si="6"/>
        <v>400861124</v>
      </c>
      <c r="I31" s="55">
        <f t="shared" si="7"/>
        <v>4834385.1554399999</v>
      </c>
      <c r="J31" s="59">
        <f t="shared" si="8"/>
        <v>1914958.8445600001</v>
      </c>
      <c r="K31" s="23">
        <v>628318548</v>
      </c>
      <c r="L31" s="23">
        <v>619242322</v>
      </c>
      <c r="M31" s="62">
        <f t="shared" si="9"/>
        <v>1.0146599999999999</v>
      </c>
      <c r="N31" s="59">
        <f t="shared" si="10"/>
        <v>1943032</v>
      </c>
    </row>
    <row r="32" spans="1:14" x14ac:dyDescent="0.2">
      <c r="A32" s="51">
        <v>45627</v>
      </c>
      <c r="B32" s="51">
        <v>45689</v>
      </c>
      <c r="C32" s="50">
        <f>ROUND('0. Rate Calc'!AE35,5)</f>
        <v>1.269E-2</v>
      </c>
      <c r="D32" s="23">
        <v>543430929</v>
      </c>
      <c r="E32" s="55">
        <f t="shared" si="11"/>
        <v>6896138</v>
      </c>
      <c r="F32" s="61">
        <f t="shared" si="12"/>
        <v>494553500</v>
      </c>
      <c r="G32" s="23">
        <v>7122009</v>
      </c>
      <c r="H32" s="58">
        <f t="shared" si="6"/>
        <v>487431491</v>
      </c>
      <c r="I32" s="55">
        <f t="shared" si="7"/>
        <v>6185505.6207900001</v>
      </c>
      <c r="J32" s="59">
        <f t="shared" si="8"/>
        <v>710632.37920999993</v>
      </c>
      <c r="K32" s="23">
        <v>486703753</v>
      </c>
      <c r="L32" s="23">
        <v>479804054</v>
      </c>
      <c r="M32" s="62">
        <f t="shared" si="9"/>
        <v>1.0143800000000001</v>
      </c>
      <c r="N32" s="59">
        <f t="shared" si="10"/>
        <v>720851</v>
      </c>
    </row>
    <row r="33" spans="1:14" x14ac:dyDescent="0.2">
      <c r="A33" s="51">
        <v>45658</v>
      </c>
      <c r="B33" s="51">
        <v>45717</v>
      </c>
      <c r="C33" s="50">
        <f>ROUND('0. Rate Calc'!AE36,5)</f>
        <v>1.677E-2</v>
      </c>
      <c r="D33" s="23">
        <v>453592183</v>
      </c>
      <c r="E33" s="55">
        <f t="shared" si="11"/>
        <v>7606741</v>
      </c>
      <c r="F33" s="61">
        <f t="shared" si="12"/>
        <v>628318548</v>
      </c>
      <c r="G33" s="23">
        <v>9076226</v>
      </c>
      <c r="H33" s="58">
        <f t="shared" si="6"/>
        <v>619242322</v>
      </c>
      <c r="I33" s="55">
        <f t="shared" si="7"/>
        <v>10384693.739940001</v>
      </c>
      <c r="J33" s="59">
        <f t="shared" si="8"/>
        <v>-2777952.7399400007</v>
      </c>
      <c r="K33" s="23">
        <v>442249970</v>
      </c>
      <c r="L33" s="23">
        <v>436317969</v>
      </c>
      <c r="M33" s="63">
        <f t="shared" si="9"/>
        <v>1.0136000000000001</v>
      </c>
      <c r="N33" s="59">
        <f t="shared" si="10"/>
        <v>-2815733</v>
      </c>
    </row>
    <row r="34" spans="1:14" x14ac:dyDescent="0.2">
      <c r="A34" s="51">
        <v>45689</v>
      </c>
      <c r="B34" s="51">
        <v>45748</v>
      </c>
      <c r="C34" s="50">
        <f>ROUND('0. Rate Calc'!AE37,5)</f>
        <v>5.8700000000000002E-3</v>
      </c>
      <c r="D34" s="23">
        <v>399706746</v>
      </c>
      <c r="E34" s="55">
        <f t="shared" si="11"/>
        <v>2346279</v>
      </c>
      <c r="F34" s="61">
        <f t="shared" si="12"/>
        <v>486703753</v>
      </c>
      <c r="G34" s="23">
        <v>6899699</v>
      </c>
      <c r="H34" s="58">
        <f t="shared" si="6"/>
        <v>479804054</v>
      </c>
      <c r="I34" s="55">
        <f t="shared" si="7"/>
        <v>2816449.7969800001</v>
      </c>
      <c r="J34" s="59">
        <f t="shared" si="8"/>
        <v>-470170.7969800001</v>
      </c>
      <c r="K34" s="23">
        <v>394135849</v>
      </c>
      <c r="L34" s="23">
        <v>389099149</v>
      </c>
      <c r="M34" s="62">
        <f t="shared" si="9"/>
        <v>1.01294</v>
      </c>
      <c r="N34" s="59">
        <f t="shared" si="10"/>
        <v>-476255</v>
      </c>
    </row>
    <row r="35" spans="1:14" x14ac:dyDescent="0.2">
      <c r="A35" s="51">
        <v>45717</v>
      </c>
      <c r="B35" s="51">
        <v>45778</v>
      </c>
      <c r="C35" s="50">
        <f>ROUND('0. Rate Calc'!AE38,5)</f>
        <v>1.626E-2</v>
      </c>
      <c r="D35" s="23">
        <v>390727869</v>
      </c>
      <c r="E35" s="55">
        <f t="shared" si="11"/>
        <v>6353235</v>
      </c>
      <c r="F35" s="61">
        <f t="shared" si="12"/>
        <v>442249970</v>
      </c>
      <c r="G35" s="23">
        <v>5932001</v>
      </c>
      <c r="H35" s="58">
        <f t="shared" si="6"/>
        <v>436317969</v>
      </c>
      <c r="I35" s="55">
        <f t="shared" si="7"/>
        <v>7094530.1759400005</v>
      </c>
      <c r="J35" s="59">
        <f t="shared" si="8"/>
        <v>-741295.17594000045</v>
      </c>
      <c r="K35" s="23">
        <v>372175164</v>
      </c>
      <c r="L35" s="23">
        <v>367129626</v>
      </c>
      <c r="M35" s="62">
        <f t="shared" si="9"/>
        <v>1.0137400000000001</v>
      </c>
      <c r="N35" s="59">
        <f t="shared" si="10"/>
        <v>-751481</v>
      </c>
    </row>
    <row r="36" spans="1:14" x14ac:dyDescent="0.2">
      <c r="A36" s="51">
        <v>45748</v>
      </c>
      <c r="B36" s="51">
        <v>45809</v>
      </c>
      <c r="C36" s="50">
        <f>ROUND('0. Rate Calc'!AE39,5)</f>
        <v>6.8900000000000003E-3</v>
      </c>
      <c r="D36" s="23">
        <v>379889945</v>
      </c>
      <c r="E36" s="55">
        <f t="shared" si="11"/>
        <v>2617442</v>
      </c>
      <c r="F36" s="61">
        <f t="shared" si="12"/>
        <v>394135849</v>
      </c>
      <c r="G36" s="23">
        <v>5036700</v>
      </c>
      <c r="H36" s="58">
        <f t="shared" si="6"/>
        <v>389099149</v>
      </c>
      <c r="I36" s="55">
        <f t="shared" si="7"/>
        <v>2680893.1366099999</v>
      </c>
      <c r="J36" s="59">
        <f t="shared" si="8"/>
        <v>-63451.136609999929</v>
      </c>
      <c r="K36" s="43">
        <v>441328196</v>
      </c>
      <c r="L36" s="61">
        <f>K36</f>
        <v>441328196</v>
      </c>
      <c r="M36" s="63">
        <f t="shared" si="9"/>
        <v>1</v>
      </c>
      <c r="N36" s="59">
        <f t="shared" si="10"/>
        <v>-63451</v>
      </c>
    </row>
    <row r="37" spans="1:14" x14ac:dyDescent="0.2">
      <c r="A37" s="51">
        <v>45778</v>
      </c>
      <c r="B37" s="51">
        <v>45839</v>
      </c>
      <c r="C37" s="50">
        <f>ROUND('0. Rate Calc'!AE40,5)</f>
        <v>9.0900000000000009E-3</v>
      </c>
      <c r="D37" s="23">
        <v>478545953</v>
      </c>
      <c r="E37" s="55">
        <f t="shared" si="11"/>
        <v>4349983</v>
      </c>
      <c r="F37" s="61">
        <f t="shared" si="12"/>
        <v>372175164</v>
      </c>
      <c r="G37" s="23">
        <v>5045538</v>
      </c>
      <c r="H37" s="58">
        <f t="shared" si="6"/>
        <v>367129626</v>
      </c>
      <c r="I37" s="55">
        <f t="shared" si="7"/>
        <v>3337208.3003400005</v>
      </c>
      <c r="J37" s="59">
        <f t="shared" si="8"/>
        <v>1012774.6996599995</v>
      </c>
      <c r="K37" s="23">
        <v>504760607</v>
      </c>
      <c r="L37" s="61">
        <f t="shared" ref="L37:L44" si="13">K37</f>
        <v>504760607</v>
      </c>
      <c r="M37" s="63">
        <f t="shared" si="9"/>
        <v>1</v>
      </c>
      <c r="N37" s="59">
        <f t="shared" si="10"/>
        <v>1012775</v>
      </c>
    </row>
    <row r="38" spans="1:14" x14ac:dyDescent="0.2">
      <c r="A38" s="51">
        <v>45809</v>
      </c>
      <c r="B38" s="51">
        <v>45870</v>
      </c>
      <c r="C38" s="50">
        <f>ROUND('0. Rate Calc'!AE41,5)</f>
        <v>1.2200000000000001E-2</v>
      </c>
      <c r="D38" s="23">
        <v>456237701</v>
      </c>
      <c r="E38" s="55">
        <f t="shared" si="11"/>
        <v>5566100</v>
      </c>
      <c r="F38" s="61">
        <f t="shared" si="12"/>
        <v>441328196</v>
      </c>
      <c r="G38" s="23">
        <v>0</v>
      </c>
      <c r="H38" s="58">
        <f t="shared" si="6"/>
        <v>441328196</v>
      </c>
      <c r="I38" s="55">
        <f t="shared" si="7"/>
        <v>5384203.9912</v>
      </c>
      <c r="J38" s="59">
        <f t="shared" si="8"/>
        <v>181896.00879999995</v>
      </c>
      <c r="K38" s="23">
        <v>437073485</v>
      </c>
      <c r="L38" s="61">
        <f t="shared" si="13"/>
        <v>437073485</v>
      </c>
      <c r="M38" s="63">
        <f t="shared" si="9"/>
        <v>1</v>
      </c>
      <c r="N38" s="59">
        <f t="shared" si="10"/>
        <v>181896</v>
      </c>
    </row>
    <row r="39" spans="1:14" x14ac:dyDescent="0.2">
      <c r="A39" s="51">
        <v>45839</v>
      </c>
      <c r="B39" s="51">
        <v>45901</v>
      </c>
      <c r="C39" s="50">
        <f>ROUND('0. Rate Calc'!AE42,5)</f>
        <v>1.009E-2</v>
      </c>
      <c r="D39" s="23">
        <v>405197373</v>
      </c>
      <c r="E39" s="55">
        <f t="shared" si="11"/>
        <v>4088441</v>
      </c>
      <c r="F39" s="61">
        <f t="shared" si="12"/>
        <v>504760607</v>
      </c>
      <c r="G39" s="23">
        <v>0</v>
      </c>
      <c r="H39" s="58">
        <f t="shared" si="6"/>
        <v>504760607</v>
      </c>
      <c r="I39" s="55">
        <f t="shared" si="7"/>
        <v>5093034.5246299999</v>
      </c>
      <c r="J39" s="59">
        <f t="shared" si="8"/>
        <v>-1004593.5246299999</v>
      </c>
      <c r="K39" s="23">
        <v>362457407</v>
      </c>
      <c r="L39" s="61">
        <f t="shared" si="13"/>
        <v>362457407</v>
      </c>
      <c r="M39" s="63">
        <f t="shared" si="9"/>
        <v>1</v>
      </c>
      <c r="N39" s="59">
        <f t="shared" si="10"/>
        <v>-1004594</v>
      </c>
    </row>
    <row r="40" spans="1:14" x14ac:dyDescent="0.2">
      <c r="A40" s="51">
        <v>45870</v>
      </c>
      <c r="B40" s="51">
        <v>45931</v>
      </c>
      <c r="C40" s="50">
        <f>ROUND('0. Rate Calc'!AE43,5)</f>
        <v>-4.3099999999999996E-3</v>
      </c>
      <c r="D40" s="23">
        <v>351989135</v>
      </c>
      <c r="E40" s="55">
        <f t="shared" si="11"/>
        <v>-1517073</v>
      </c>
      <c r="F40" s="61">
        <f t="shared" si="12"/>
        <v>437073485</v>
      </c>
      <c r="G40" s="23">
        <v>0</v>
      </c>
      <c r="H40" s="58">
        <f t="shared" si="6"/>
        <v>437073485</v>
      </c>
      <c r="I40" s="55">
        <f t="shared" si="7"/>
        <v>-1883786.7203499998</v>
      </c>
      <c r="J40" s="59">
        <f t="shared" si="8"/>
        <v>366713.72034999984</v>
      </c>
      <c r="K40" s="23">
        <v>386538129</v>
      </c>
      <c r="L40" s="61">
        <f t="shared" si="13"/>
        <v>386538129</v>
      </c>
      <c r="M40" s="63">
        <f t="shared" si="9"/>
        <v>1</v>
      </c>
      <c r="N40" s="59">
        <f t="shared" si="10"/>
        <v>366714</v>
      </c>
    </row>
    <row r="41" spans="1:14" x14ac:dyDescent="0.2">
      <c r="A41" s="51">
        <v>45901</v>
      </c>
      <c r="B41" s="51">
        <v>45962</v>
      </c>
      <c r="C41" s="50">
        <f>ROUND('0. Rate Calc'!AE44,5)</f>
        <v>1.119E-2</v>
      </c>
      <c r="D41" s="23">
        <v>374909918</v>
      </c>
      <c r="E41" s="55">
        <f t="shared" si="11"/>
        <v>4195242</v>
      </c>
      <c r="F41" s="61">
        <f t="shared" si="12"/>
        <v>362457407</v>
      </c>
      <c r="G41" s="23">
        <v>0</v>
      </c>
      <c r="H41" s="58">
        <f t="shared" si="6"/>
        <v>362457407</v>
      </c>
      <c r="I41" s="55">
        <f t="shared" si="7"/>
        <v>4055898.3843300003</v>
      </c>
      <c r="J41" s="59">
        <f t="shared" si="8"/>
        <v>139343.61566999974</v>
      </c>
      <c r="K41" s="23">
        <v>409375243</v>
      </c>
      <c r="L41" s="61">
        <f t="shared" si="13"/>
        <v>409375243</v>
      </c>
      <c r="M41" s="63">
        <f t="shared" si="9"/>
        <v>1</v>
      </c>
      <c r="N41" s="59">
        <f t="shared" si="10"/>
        <v>139344</v>
      </c>
    </row>
    <row r="42" spans="1:14" x14ac:dyDescent="0.2">
      <c r="A42" s="51">
        <v>45931</v>
      </c>
      <c r="B42" s="51">
        <v>45992</v>
      </c>
      <c r="C42" s="50">
        <f>ROUND('0. Rate Calc'!AE45,5)</f>
        <v>5.8599999999999998E-3</v>
      </c>
      <c r="D42" s="23">
        <v>445893578</v>
      </c>
      <c r="E42" s="55">
        <f t="shared" si="11"/>
        <v>2612936</v>
      </c>
      <c r="F42" s="61">
        <f t="shared" si="12"/>
        <v>386538129</v>
      </c>
      <c r="G42" s="23">
        <v>0</v>
      </c>
      <c r="H42" s="58">
        <f t="shared" si="6"/>
        <v>386538129</v>
      </c>
      <c r="I42" s="55">
        <f t="shared" si="7"/>
        <v>2265113.4359399998</v>
      </c>
      <c r="J42" s="59">
        <f t="shared" si="8"/>
        <v>347822.56406000024</v>
      </c>
      <c r="K42" s="23">
        <v>506994775</v>
      </c>
      <c r="L42" s="61">
        <f t="shared" si="13"/>
        <v>506994775</v>
      </c>
      <c r="M42" s="63">
        <f t="shared" si="9"/>
        <v>1</v>
      </c>
      <c r="N42" s="59">
        <f t="shared" si="10"/>
        <v>347823</v>
      </c>
    </row>
    <row r="43" spans="1:14" x14ac:dyDescent="0.2">
      <c r="A43" s="51">
        <v>45962</v>
      </c>
      <c r="B43" s="51">
        <v>46023</v>
      </c>
      <c r="C43" s="50">
        <f>ROUND('0. Rate Calc'!AE46,5)</f>
        <v>3.46E-3</v>
      </c>
      <c r="D43" s="23">
        <v>488583853</v>
      </c>
      <c r="E43" s="55">
        <f t="shared" si="11"/>
        <v>1690500</v>
      </c>
      <c r="F43" s="61">
        <f t="shared" si="12"/>
        <v>409375243</v>
      </c>
      <c r="G43" s="23">
        <v>0</v>
      </c>
      <c r="H43" s="58">
        <f t="shared" si="6"/>
        <v>409375243</v>
      </c>
      <c r="I43" s="55">
        <f t="shared" si="7"/>
        <v>1416438.34078</v>
      </c>
      <c r="J43" s="59">
        <f t="shared" si="8"/>
        <v>274061.65922000003</v>
      </c>
      <c r="K43" s="23">
        <v>640280199</v>
      </c>
      <c r="L43" s="61">
        <f t="shared" si="13"/>
        <v>640280199</v>
      </c>
      <c r="M43" s="63">
        <f t="shared" si="9"/>
        <v>1</v>
      </c>
      <c r="N43" s="59">
        <f t="shared" si="10"/>
        <v>274062</v>
      </c>
    </row>
    <row r="44" spans="1:14" x14ac:dyDescent="0.2">
      <c r="A44" s="51">
        <v>45992</v>
      </c>
      <c r="B44" s="51">
        <v>46054</v>
      </c>
      <c r="C44" s="50">
        <f>ROUND('0. Rate Calc'!AE47,5)</f>
        <v>7.6299999999999996E-3</v>
      </c>
      <c r="D44" s="23">
        <v>526650768</v>
      </c>
      <c r="E44" s="55">
        <f t="shared" si="11"/>
        <v>4018345</v>
      </c>
      <c r="F44" s="61">
        <f t="shared" si="12"/>
        <v>506994775</v>
      </c>
      <c r="G44" s="23">
        <v>0</v>
      </c>
      <c r="H44" s="58">
        <f t="shared" si="6"/>
        <v>506994775</v>
      </c>
      <c r="I44" s="55">
        <f t="shared" si="7"/>
        <v>3868370.13325</v>
      </c>
      <c r="J44" s="59">
        <f t="shared" si="8"/>
        <v>149974.86675000004</v>
      </c>
      <c r="K44" s="23">
        <v>435567562</v>
      </c>
      <c r="L44" s="61">
        <f t="shared" si="13"/>
        <v>435567562</v>
      </c>
      <c r="M44" s="63">
        <f t="shared" si="9"/>
        <v>1</v>
      </c>
      <c r="N44" s="59">
        <f t="shared" si="10"/>
        <v>149975</v>
      </c>
    </row>
    <row r="45" spans="1:14" x14ac:dyDescent="0.2">
      <c r="F45" s="56"/>
    </row>
    <row r="46" spans="1:14" x14ac:dyDescent="0.2">
      <c r="F46" s="56"/>
    </row>
    <row r="47" spans="1:14" x14ac:dyDescent="0.2">
      <c r="F47" s="56"/>
    </row>
    <row r="48" spans="1:14" x14ac:dyDescent="0.2">
      <c r="F48" s="5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752F2-098B-4ABC-979E-9F699F745B20}">
  <sheetPr>
    <tabColor theme="1"/>
  </sheetPr>
  <dimension ref="A1"/>
  <sheetViews>
    <sheetView workbookViewId="0">
      <selection activeCell="M44" sqref="M44"/>
    </sheetView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359DB-A1CC-47AD-8AAA-3B84A35F14E1}">
  <dimension ref="A1:AI53"/>
  <sheetViews>
    <sheetView zoomScale="80" zoomScaleNormal="80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AG22" sqref="AG22"/>
    </sheetView>
  </sheetViews>
  <sheetFormatPr defaultRowHeight="12.75" x14ac:dyDescent="0.2"/>
  <cols>
    <col min="1" max="2" width="14" style="1" customWidth="1"/>
    <col min="3" max="3" width="13.42578125" style="1" bestFit="1" customWidth="1"/>
    <col min="4" max="5" width="12.28515625" style="1" bestFit="1" customWidth="1"/>
    <col min="6" max="6" width="9" style="1" bestFit="1" customWidth="1"/>
    <col min="7" max="7" width="10.5703125" style="1" bestFit="1" customWidth="1"/>
    <col min="8" max="8" width="9.42578125" style="1" customWidth="1"/>
    <col min="9" max="9" width="13.42578125" style="1" bestFit="1" customWidth="1"/>
    <col min="10" max="10" width="15" style="1" bestFit="1" customWidth="1"/>
    <col min="11" max="11" width="13.42578125" style="1" bestFit="1" customWidth="1"/>
    <col min="12" max="12" width="14.5703125" style="1" bestFit="1" customWidth="1"/>
    <col min="13" max="13" width="13.42578125" style="1" bestFit="1" customWidth="1"/>
    <col min="14" max="14" width="16.28515625" style="1" customWidth="1"/>
    <col min="15" max="15" width="13.42578125" style="1" customWidth="1"/>
    <col min="16" max="16" width="17" style="1" customWidth="1"/>
    <col min="17" max="17" width="13" style="1" bestFit="1" customWidth="1"/>
    <col min="18" max="18" width="13.42578125" style="1" bestFit="1" customWidth="1"/>
    <col min="19" max="19" width="12.85546875" style="1" customWidth="1"/>
    <col min="20" max="20" width="13.42578125" style="1" bestFit="1" customWidth="1"/>
    <col min="21" max="21" width="14.42578125" style="1" customWidth="1"/>
    <col min="22" max="24" width="13.42578125" style="1" bestFit="1" customWidth="1"/>
    <col min="25" max="25" width="7.85546875" style="1" bestFit="1" customWidth="1"/>
    <col min="26" max="26" width="13.42578125" style="1" bestFit="1" customWidth="1"/>
    <col min="27" max="27" width="12.28515625" style="1" bestFit="1" customWidth="1"/>
    <col min="28" max="29" width="13.42578125" style="1" bestFit="1" customWidth="1"/>
    <col min="30" max="30" width="14.5703125" style="1" bestFit="1" customWidth="1"/>
    <col min="31" max="32" width="9.5703125" style="1" bestFit="1" customWidth="1"/>
    <col min="33" max="33" width="10.28515625" style="1" bestFit="1" customWidth="1"/>
    <col min="34" max="34" width="14.42578125" style="1" customWidth="1"/>
    <col min="35" max="35" width="12.5703125" style="1" bestFit="1" customWidth="1"/>
    <col min="36" max="16384" width="9.140625" style="1"/>
  </cols>
  <sheetData>
    <row r="1" spans="1:34" s="46" customFormat="1" ht="15.75" x14ac:dyDescent="0.25">
      <c r="A1" s="64" t="s">
        <v>99</v>
      </c>
      <c r="B1" s="64"/>
      <c r="C1" s="64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</row>
    <row r="3" spans="1:34" ht="13.5" thickBot="1" x14ac:dyDescent="0.25"/>
    <row r="4" spans="1:34" s="6" customFormat="1" ht="30.75" customHeight="1" thickBot="1" x14ac:dyDescent="0.3">
      <c r="C4" s="161" t="s">
        <v>28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3"/>
      <c r="V4" s="164" t="s">
        <v>38</v>
      </c>
      <c r="W4" s="165"/>
      <c r="X4" s="165"/>
      <c r="Y4" s="165"/>
      <c r="Z4" s="165"/>
      <c r="AA4" s="165"/>
      <c r="AB4" s="165"/>
      <c r="AC4" s="165"/>
      <c r="AD4" s="52"/>
      <c r="AE4" s="158" t="s">
        <v>40</v>
      </c>
      <c r="AF4" s="159"/>
      <c r="AG4" s="160"/>
      <c r="AH4" s="77"/>
    </row>
    <row r="5" spans="1:34" s="19" customFormat="1" ht="51.75" customHeight="1" x14ac:dyDescent="0.25">
      <c r="C5" s="155" t="s">
        <v>7</v>
      </c>
      <c r="D5" s="156"/>
      <c r="E5" s="156"/>
      <c r="F5" s="156"/>
      <c r="G5" s="156"/>
      <c r="H5" s="156"/>
      <c r="I5" s="157"/>
      <c r="J5" s="155" t="s">
        <v>14</v>
      </c>
      <c r="K5" s="156"/>
      <c r="L5" s="156"/>
      <c r="M5" s="157"/>
      <c r="N5" s="30" t="s">
        <v>15</v>
      </c>
      <c r="O5" s="30" t="s">
        <v>18</v>
      </c>
      <c r="P5" s="30" t="s">
        <v>19</v>
      </c>
      <c r="Q5" s="30" t="s">
        <v>21</v>
      </c>
      <c r="R5" s="30" t="s">
        <v>23</v>
      </c>
      <c r="S5" s="30" t="s">
        <v>25</v>
      </c>
      <c r="T5" s="30" t="s">
        <v>26</v>
      </c>
      <c r="U5" s="66" t="s">
        <v>59</v>
      </c>
      <c r="V5" s="155" t="s">
        <v>31</v>
      </c>
      <c r="W5" s="156"/>
      <c r="X5" s="157"/>
      <c r="Y5" s="155" t="s">
        <v>32</v>
      </c>
      <c r="Z5" s="156"/>
      <c r="AA5" s="156"/>
      <c r="AB5" s="157"/>
      <c r="AC5" s="30" t="s">
        <v>36</v>
      </c>
      <c r="AD5" s="66" t="s">
        <v>82</v>
      </c>
      <c r="AE5" s="155" t="s">
        <v>39</v>
      </c>
      <c r="AF5" s="156"/>
      <c r="AG5" s="157"/>
      <c r="AH5" s="78" t="s">
        <v>60</v>
      </c>
    </row>
    <row r="6" spans="1:34" s="19" customFormat="1" ht="39" customHeight="1" x14ac:dyDescent="0.25">
      <c r="A6" s="2" t="s">
        <v>0</v>
      </c>
      <c r="B6" s="2" t="s">
        <v>43</v>
      </c>
      <c r="C6" s="18" t="s">
        <v>1</v>
      </c>
      <c r="D6" s="19" t="s">
        <v>2</v>
      </c>
      <c r="E6" s="19" t="s">
        <v>3</v>
      </c>
      <c r="F6" s="19" t="s">
        <v>4</v>
      </c>
      <c r="G6" s="19" t="s">
        <v>5</v>
      </c>
      <c r="H6" s="19" t="s">
        <v>6</v>
      </c>
      <c r="I6" s="20" t="s">
        <v>11</v>
      </c>
      <c r="J6" s="18" t="s">
        <v>8</v>
      </c>
      <c r="K6" s="19" t="s">
        <v>9</v>
      </c>
      <c r="L6" s="19" t="s">
        <v>10</v>
      </c>
      <c r="M6" s="20" t="s">
        <v>11</v>
      </c>
      <c r="N6" s="21" t="s">
        <v>16</v>
      </c>
      <c r="O6" s="21" t="s">
        <v>17</v>
      </c>
      <c r="P6" s="21" t="s">
        <v>20</v>
      </c>
      <c r="Q6" s="21" t="s">
        <v>22</v>
      </c>
      <c r="R6" s="21" t="s">
        <v>24</v>
      </c>
      <c r="S6" s="21" t="s">
        <v>16</v>
      </c>
      <c r="T6" s="21" t="s">
        <v>27</v>
      </c>
      <c r="U6" s="67"/>
      <c r="V6" s="18" t="s">
        <v>29</v>
      </c>
      <c r="W6" s="19" t="s">
        <v>30</v>
      </c>
      <c r="X6" s="20" t="s">
        <v>11</v>
      </c>
      <c r="Y6" s="18" t="s">
        <v>33</v>
      </c>
      <c r="Z6" s="19" t="s">
        <v>34</v>
      </c>
      <c r="AA6" s="19" t="s">
        <v>35</v>
      </c>
      <c r="AB6" s="20" t="s">
        <v>11</v>
      </c>
      <c r="AC6" s="21" t="s">
        <v>37</v>
      </c>
      <c r="AD6" s="67" t="s">
        <v>83</v>
      </c>
      <c r="AE6" s="18" t="s">
        <v>16</v>
      </c>
      <c r="AF6" s="19" t="s">
        <v>41</v>
      </c>
      <c r="AG6" s="20" t="s">
        <v>42</v>
      </c>
      <c r="AH6" s="78"/>
    </row>
    <row r="7" spans="1:34" s="2" customFormat="1" x14ac:dyDescent="0.2">
      <c r="C7" s="3" t="s">
        <v>12</v>
      </c>
      <c r="D7" s="4" t="s">
        <v>12</v>
      </c>
      <c r="E7" s="4" t="s">
        <v>12</v>
      </c>
      <c r="F7" s="4" t="s">
        <v>12</v>
      </c>
      <c r="G7" s="4" t="s">
        <v>12</v>
      </c>
      <c r="H7" s="4" t="s">
        <v>13</v>
      </c>
      <c r="I7" s="5"/>
      <c r="J7" s="3" t="s">
        <v>12</v>
      </c>
      <c r="K7" s="4" t="s">
        <v>12</v>
      </c>
      <c r="L7" s="4" t="s">
        <v>13</v>
      </c>
      <c r="M7" s="5"/>
      <c r="N7" s="15" t="s">
        <v>13</v>
      </c>
      <c r="O7" s="8"/>
      <c r="P7" s="15" t="s">
        <v>12</v>
      </c>
      <c r="Q7" s="15" t="s">
        <v>13</v>
      </c>
      <c r="R7" s="8"/>
      <c r="S7" s="15" t="s">
        <v>12</v>
      </c>
      <c r="T7" s="8"/>
      <c r="U7" s="68"/>
      <c r="V7" s="3" t="s">
        <v>12</v>
      </c>
      <c r="W7" s="4" t="s">
        <v>12</v>
      </c>
      <c r="X7" s="5"/>
      <c r="Y7" s="3" t="s">
        <v>12</v>
      </c>
      <c r="Z7" s="4" t="s">
        <v>12</v>
      </c>
      <c r="AA7" s="4" t="s">
        <v>12</v>
      </c>
      <c r="AB7" s="5"/>
      <c r="AC7" s="8"/>
      <c r="AD7" s="100"/>
      <c r="AE7" s="24"/>
      <c r="AF7" s="25"/>
      <c r="AG7" s="20"/>
      <c r="AH7" s="79"/>
    </row>
    <row r="8" spans="1:34" x14ac:dyDescent="0.2">
      <c r="A8" s="51">
        <v>44805</v>
      </c>
      <c r="B8" s="51">
        <v>44866</v>
      </c>
      <c r="C8" s="9">
        <v>2857098.77</v>
      </c>
      <c r="D8" s="10">
        <v>21793.8</v>
      </c>
      <c r="E8" s="10">
        <v>214750.49</v>
      </c>
      <c r="F8" s="10">
        <v>0</v>
      </c>
      <c r="G8" s="10">
        <v>0</v>
      </c>
      <c r="H8" s="10">
        <v>0</v>
      </c>
      <c r="I8" s="16">
        <f t="shared" ref="I8:I10" si="0">C8+D8+E8+F8+G8-H8</f>
        <v>3093643.0599999996</v>
      </c>
      <c r="J8" s="9">
        <v>0</v>
      </c>
      <c r="K8" s="10">
        <v>23989817</v>
      </c>
      <c r="L8" s="10">
        <v>0</v>
      </c>
      <c r="M8" s="16">
        <f t="shared" ref="M8:M12" si="1">+J8+K8-L8</f>
        <v>23989817</v>
      </c>
      <c r="N8" s="11">
        <v>561120</v>
      </c>
      <c r="O8" s="37">
        <f t="shared" ref="O8:O11" si="2">I8+M8-N8</f>
        <v>26522340.059999999</v>
      </c>
      <c r="P8" s="11">
        <v>-753922.16999999806</v>
      </c>
      <c r="Q8" s="11">
        <v>-546153</v>
      </c>
      <c r="R8" s="37">
        <f t="shared" ref="R8:R47" si="3">+O8+P8-Q8</f>
        <v>26314570.890000001</v>
      </c>
      <c r="S8" s="11">
        <v>942328.33000000007</v>
      </c>
      <c r="T8" s="37">
        <f t="shared" ref="T8:T10" si="4">R8+S8</f>
        <v>27256899.219999999</v>
      </c>
      <c r="U8" s="48"/>
      <c r="V8" s="24">
        <v>128018000</v>
      </c>
      <c r="W8" s="25">
        <v>307650000</v>
      </c>
      <c r="X8" s="28">
        <f t="shared" ref="X8:X10" si="5">V8+W8</f>
        <v>435668000</v>
      </c>
      <c r="Y8" s="24">
        <v>0</v>
      </c>
      <c r="Z8" s="25">
        <v>7069000</v>
      </c>
      <c r="AA8" s="25">
        <v>24331856</v>
      </c>
      <c r="AB8" s="28">
        <f t="shared" ref="AB8:AB10" si="6">Y8+Z8+AA8</f>
        <v>31400856</v>
      </c>
      <c r="AC8" s="31">
        <f t="shared" ref="AC8:AC10" si="7">X8-AB8</f>
        <v>404267144</v>
      </c>
      <c r="AD8" s="101"/>
      <c r="AE8" s="36">
        <f t="shared" ref="AE8:AE21" si="8">T8/AC8</f>
        <v>6.742298904211716E-2</v>
      </c>
      <c r="AF8" s="33">
        <v>2.6120000000000001E-2</v>
      </c>
      <c r="AG8" s="34">
        <f t="shared" ref="AG8:AG10" si="9">+AE8-AF8</f>
        <v>4.1302989042117155E-2</v>
      </c>
      <c r="AH8" s="76"/>
    </row>
    <row r="9" spans="1:34" x14ac:dyDescent="0.2">
      <c r="A9" s="51">
        <v>44835</v>
      </c>
      <c r="B9" s="51">
        <v>44896</v>
      </c>
      <c r="C9" s="9">
        <v>0</v>
      </c>
      <c r="D9" s="10">
        <v>0</v>
      </c>
      <c r="E9" s="10">
        <v>504601.2</v>
      </c>
      <c r="F9" s="10">
        <v>0</v>
      </c>
      <c r="G9" s="10">
        <v>0</v>
      </c>
      <c r="H9" s="10">
        <v>0</v>
      </c>
      <c r="I9" s="16">
        <f t="shared" si="0"/>
        <v>504601.2</v>
      </c>
      <c r="J9" s="9">
        <v>0</v>
      </c>
      <c r="K9" s="10">
        <v>25535944</v>
      </c>
      <c r="L9" s="10">
        <v>0</v>
      </c>
      <c r="M9" s="16">
        <f t="shared" si="1"/>
        <v>25535944</v>
      </c>
      <c r="N9" s="11">
        <v>486786</v>
      </c>
      <c r="O9" s="37">
        <f t="shared" si="2"/>
        <v>25553759.199999999</v>
      </c>
      <c r="P9" s="41">
        <v>-901832.16999999806</v>
      </c>
      <c r="Q9" s="11">
        <v>-1682915</v>
      </c>
      <c r="R9" s="37">
        <f t="shared" si="3"/>
        <v>26334842.030000001</v>
      </c>
      <c r="S9" s="11">
        <v>1231254.0400000003</v>
      </c>
      <c r="T9" s="37">
        <f t="shared" si="4"/>
        <v>27566096.07</v>
      </c>
      <c r="U9" s="48"/>
      <c r="V9" s="24">
        <v>0</v>
      </c>
      <c r="W9" s="25">
        <v>437101000</v>
      </c>
      <c r="X9" s="28">
        <f t="shared" si="5"/>
        <v>437101000</v>
      </c>
      <c r="Y9" s="24">
        <v>0</v>
      </c>
      <c r="Z9" s="25">
        <v>8431000</v>
      </c>
      <c r="AA9" s="25">
        <v>23617701</v>
      </c>
      <c r="AB9" s="28">
        <f t="shared" si="6"/>
        <v>32048701</v>
      </c>
      <c r="AC9" s="31">
        <f t="shared" si="7"/>
        <v>405052299</v>
      </c>
      <c r="AD9" s="101"/>
      <c r="AE9" s="36">
        <f t="shared" si="8"/>
        <v>6.8055646488257557E-2</v>
      </c>
      <c r="AF9" s="33">
        <v>2.6120000000000001E-2</v>
      </c>
      <c r="AG9" s="34">
        <f t="shared" si="9"/>
        <v>4.1935646488257552E-2</v>
      </c>
      <c r="AH9" s="76"/>
    </row>
    <row r="10" spans="1:34" x14ac:dyDescent="0.2">
      <c r="A10" s="51">
        <v>44866</v>
      </c>
      <c r="B10" s="51">
        <v>44927</v>
      </c>
      <c r="C10" s="9">
        <v>1122582.51</v>
      </c>
      <c r="D10" s="10">
        <v>343157.88</v>
      </c>
      <c r="E10" s="10">
        <v>490104.03</v>
      </c>
      <c r="F10" s="10">
        <v>0</v>
      </c>
      <c r="G10" s="10">
        <v>0</v>
      </c>
      <c r="H10" s="10">
        <v>0</v>
      </c>
      <c r="I10" s="16">
        <f t="shared" si="0"/>
        <v>1955844.4200000002</v>
      </c>
      <c r="J10" s="9">
        <v>0</v>
      </c>
      <c r="K10" s="10">
        <v>26299506</v>
      </c>
      <c r="L10" s="10">
        <v>0</v>
      </c>
      <c r="M10" s="16">
        <f t="shared" si="1"/>
        <v>26299506</v>
      </c>
      <c r="N10" s="11">
        <v>847309</v>
      </c>
      <c r="O10" s="37">
        <f t="shared" si="2"/>
        <v>27408041.420000002</v>
      </c>
      <c r="P10" s="11">
        <v>-259372.94999999925</v>
      </c>
      <c r="Q10" s="11">
        <v>-383931</v>
      </c>
      <c r="R10" s="37">
        <f t="shared" si="3"/>
        <v>27532599.470000003</v>
      </c>
      <c r="S10" s="11">
        <v>650679.95000000019</v>
      </c>
      <c r="T10" s="37">
        <f t="shared" si="4"/>
        <v>28183279.420000002</v>
      </c>
      <c r="U10" s="48"/>
      <c r="V10" s="24">
        <v>4982000</v>
      </c>
      <c r="W10" s="25">
        <v>479292000</v>
      </c>
      <c r="X10" s="28">
        <f t="shared" si="5"/>
        <v>484274000</v>
      </c>
      <c r="Y10" s="24">
        <v>0</v>
      </c>
      <c r="Z10" s="44">
        <v>17615000</v>
      </c>
      <c r="AA10" s="25">
        <v>25952870</v>
      </c>
      <c r="AB10" s="28">
        <f t="shared" si="6"/>
        <v>43567870</v>
      </c>
      <c r="AC10" s="31">
        <f t="shared" si="7"/>
        <v>440706130</v>
      </c>
      <c r="AD10" s="101"/>
      <c r="AE10" s="36">
        <f t="shared" si="8"/>
        <v>6.3950277750844997E-2</v>
      </c>
      <c r="AF10" s="33">
        <v>2.6120000000000001E-2</v>
      </c>
      <c r="AG10" s="34">
        <f t="shared" si="9"/>
        <v>3.7830277750844993E-2</v>
      </c>
      <c r="AH10" s="76"/>
    </row>
    <row r="11" spans="1:34" x14ac:dyDescent="0.2">
      <c r="A11" s="51">
        <v>44896</v>
      </c>
      <c r="B11" s="51">
        <v>44958</v>
      </c>
      <c r="C11" s="9">
        <v>7046750.1299999999</v>
      </c>
      <c r="D11" s="10">
        <v>1077343.8</v>
      </c>
      <c r="E11" s="10">
        <v>503491.9</v>
      </c>
      <c r="F11" s="10">
        <v>0</v>
      </c>
      <c r="G11" s="10">
        <v>0</v>
      </c>
      <c r="H11" s="10">
        <v>0</v>
      </c>
      <c r="I11" s="16">
        <f>C11+D11+E11+F11+G11-H11</f>
        <v>8627585.8300000001</v>
      </c>
      <c r="J11" s="9">
        <v>0</v>
      </c>
      <c r="K11" s="10">
        <v>37013497</v>
      </c>
      <c r="L11" s="10">
        <v>0</v>
      </c>
      <c r="M11" s="16">
        <f t="shared" si="1"/>
        <v>37013497</v>
      </c>
      <c r="N11" s="11">
        <v>1859181</v>
      </c>
      <c r="O11" s="37">
        <f t="shared" si="2"/>
        <v>43781901.829999998</v>
      </c>
      <c r="P11" s="11">
        <v>3525.0200000032783</v>
      </c>
      <c r="Q11" s="11">
        <v>4078665</v>
      </c>
      <c r="R11" s="37">
        <f t="shared" si="3"/>
        <v>39706761.850000001</v>
      </c>
      <c r="S11" s="11">
        <v>1302348.2099999995</v>
      </c>
      <c r="T11" s="37">
        <f>R11+S11</f>
        <v>41009110.060000002</v>
      </c>
      <c r="U11" s="48"/>
      <c r="V11" s="24">
        <v>189231000</v>
      </c>
      <c r="W11" s="25">
        <v>400310000</v>
      </c>
      <c r="X11" s="28">
        <f>V11+W11</f>
        <v>589541000</v>
      </c>
      <c r="Y11" s="24">
        <v>0</v>
      </c>
      <c r="Z11" s="25">
        <v>28200000</v>
      </c>
      <c r="AA11" s="25">
        <v>30469788</v>
      </c>
      <c r="AB11" s="28">
        <f>Y11+Z11+AA11</f>
        <v>58669788</v>
      </c>
      <c r="AC11" s="31">
        <f>X11-AB11</f>
        <v>530871212</v>
      </c>
      <c r="AD11" s="101"/>
      <c r="AE11" s="36">
        <f t="shared" si="8"/>
        <v>7.7248698239828467E-2</v>
      </c>
      <c r="AF11" s="33">
        <v>2.6120000000000001E-2</v>
      </c>
      <c r="AG11" s="34">
        <f>+AE11-AF11</f>
        <v>5.1128698239828463E-2</v>
      </c>
      <c r="AH11" s="76"/>
    </row>
    <row r="12" spans="1:34" x14ac:dyDescent="0.2">
      <c r="A12" s="51">
        <v>44927</v>
      </c>
      <c r="B12" s="51">
        <v>44986</v>
      </c>
      <c r="C12" s="9">
        <v>518411.2</v>
      </c>
      <c r="D12" s="10">
        <v>828922.64</v>
      </c>
      <c r="E12" s="10">
        <v>2371054.9300000002</v>
      </c>
      <c r="F12" s="10">
        <v>0</v>
      </c>
      <c r="G12" s="10">
        <v>0</v>
      </c>
      <c r="H12" s="10">
        <v>0</v>
      </c>
      <c r="I12" s="16">
        <f>C12+D12+E12+F12+G12-H12</f>
        <v>3718388.7700000005</v>
      </c>
      <c r="J12" s="9">
        <v>0</v>
      </c>
      <c r="K12" s="10">
        <v>18050357</v>
      </c>
      <c r="L12" s="10">
        <v>0</v>
      </c>
      <c r="M12" s="16">
        <f t="shared" si="1"/>
        <v>18050357</v>
      </c>
      <c r="N12" s="11">
        <v>1428737</v>
      </c>
      <c r="O12" s="37">
        <f>I12+M12-N12</f>
        <v>20340008.77</v>
      </c>
      <c r="P12" s="11">
        <v>-12787708.145126998</v>
      </c>
      <c r="Q12" s="11">
        <v>4443701</v>
      </c>
      <c r="R12" s="37">
        <f t="shared" si="3"/>
        <v>3108599.6248730011</v>
      </c>
      <c r="S12" s="11">
        <v>509277.74000000057</v>
      </c>
      <c r="T12" s="37">
        <f t="shared" ref="T12:T47" si="10">R12+S12</f>
        <v>3617877.3648730018</v>
      </c>
      <c r="U12" s="48"/>
      <c r="V12" s="24">
        <v>77204000</v>
      </c>
      <c r="W12" s="25">
        <v>487037000</v>
      </c>
      <c r="X12" s="28">
        <f>V12+W12</f>
        <v>564241000</v>
      </c>
      <c r="Y12" s="24">
        <v>0</v>
      </c>
      <c r="Z12" s="25">
        <v>36825000</v>
      </c>
      <c r="AA12" s="25">
        <v>27569150</v>
      </c>
      <c r="AB12" s="28">
        <f>Y12+Z12+AA12</f>
        <v>64394150</v>
      </c>
      <c r="AC12" s="31">
        <f>X12-AB12</f>
        <v>499846850</v>
      </c>
      <c r="AD12" s="101"/>
      <c r="AE12" s="36">
        <f t="shared" si="8"/>
        <v>7.2379717204839877E-3</v>
      </c>
      <c r="AF12" s="33">
        <v>2.6120000000000001E-2</v>
      </c>
      <c r="AG12" s="34">
        <f>+AE12-AF12</f>
        <v>-1.8882028279516013E-2</v>
      </c>
      <c r="AH12" s="76"/>
    </row>
    <row r="13" spans="1:34" x14ac:dyDescent="0.2">
      <c r="A13" s="51">
        <v>44958</v>
      </c>
      <c r="B13" s="51">
        <v>45017</v>
      </c>
      <c r="C13" s="9">
        <v>6587292.4900000002</v>
      </c>
      <c r="D13" s="10">
        <v>-36639.75</v>
      </c>
      <c r="E13" s="10">
        <v>4383285.93</v>
      </c>
      <c r="F13" s="10">
        <v>0</v>
      </c>
      <c r="G13" s="10">
        <v>0</v>
      </c>
      <c r="H13" s="10">
        <v>0</v>
      </c>
      <c r="I13" s="16">
        <f t="shared" ref="I13:I47" si="11">C13+D13+E13+F13+G13-H13</f>
        <v>10933938.67</v>
      </c>
      <c r="J13" s="9">
        <v>0</v>
      </c>
      <c r="K13" s="10">
        <v>4599403</v>
      </c>
      <c r="L13" s="10">
        <v>0</v>
      </c>
      <c r="M13" s="16">
        <f t="shared" ref="M13:M47" si="12">SUM(J13:L13)</f>
        <v>4599403</v>
      </c>
      <c r="N13" s="11">
        <v>552709</v>
      </c>
      <c r="O13" s="37">
        <f t="shared" ref="O13:O47" si="13">I13+M13-N13</f>
        <v>14980632.67</v>
      </c>
      <c r="P13" s="11">
        <v>13765.860000003129</v>
      </c>
      <c r="Q13" s="47">
        <v>-3196384</v>
      </c>
      <c r="R13" s="37">
        <f t="shared" si="3"/>
        <v>18190782.530000001</v>
      </c>
      <c r="S13" s="11">
        <v>-105272.40000000037</v>
      </c>
      <c r="T13" s="37">
        <f t="shared" si="10"/>
        <v>18085510.130000003</v>
      </c>
      <c r="U13" s="48"/>
      <c r="V13" s="24">
        <v>317934000</v>
      </c>
      <c r="W13" s="25">
        <v>140551000</v>
      </c>
      <c r="X13" s="28">
        <f t="shared" ref="X13:X47" si="14">V13+W13</f>
        <v>458485000</v>
      </c>
      <c r="Y13" s="24">
        <v>0</v>
      </c>
      <c r="Z13" s="25">
        <v>14970000</v>
      </c>
      <c r="AA13" s="25">
        <v>22393947</v>
      </c>
      <c r="AB13" s="28">
        <f t="shared" ref="AB13:AB47" si="15">Y13+Z13+AA13</f>
        <v>37363947</v>
      </c>
      <c r="AC13" s="31">
        <f t="shared" ref="AC13:AC47" si="16">X13-AB13</f>
        <v>421121053</v>
      </c>
      <c r="AD13" s="101"/>
      <c r="AE13" s="36">
        <f t="shared" si="8"/>
        <v>4.2946107778658128E-2</v>
      </c>
      <c r="AF13" s="33">
        <v>2.6120000000000001E-2</v>
      </c>
      <c r="AG13" s="34">
        <f t="shared" ref="AG13:AG45" si="17">+AE13-AF13</f>
        <v>1.6826107778658127E-2</v>
      </c>
      <c r="AH13" s="76"/>
    </row>
    <row r="14" spans="1:34" x14ac:dyDescent="0.2">
      <c r="A14" s="51">
        <v>44986</v>
      </c>
      <c r="B14" s="51">
        <v>45047</v>
      </c>
      <c r="C14" s="9">
        <v>6740326.6299999999</v>
      </c>
      <c r="D14" s="10">
        <v>160547.45000000001</v>
      </c>
      <c r="E14" s="10">
        <v>3391902.43</v>
      </c>
      <c r="F14" s="10">
        <v>0</v>
      </c>
      <c r="G14" s="10">
        <v>0</v>
      </c>
      <c r="H14" s="10">
        <v>0</v>
      </c>
      <c r="I14" s="16">
        <f t="shared" si="11"/>
        <v>10292776.51</v>
      </c>
      <c r="J14" s="9">
        <v>0</v>
      </c>
      <c r="K14" s="10">
        <v>4073187.29</v>
      </c>
      <c r="L14" s="10">
        <v>0</v>
      </c>
      <c r="M14" s="16">
        <f t="shared" si="12"/>
        <v>4073187.29</v>
      </c>
      <c r="N14" s="11">
        <v>855780.98400000005</v>
      </c>
      <c r="O14" s="37">
        <f t="shared" si="13"/>
        <v>13510182.816000002</v>
      </c>
      <c r="P14" s="11">
        <v>-286579.11926597543</v>
      </c>
      <c r="Q14" s="47">
        <v>1176376</v>
      </c>
      <c r="R14" s="37">
        <f t="shared" si="3"/>
        <v>12047227.696734026</v>
      </c>
      <c r="S14" s="41">
        <v>784504.06999999948</v>
      </c>
      <c r="T14" s="37">
        <f t="shared" si="10"/>
        <v>12831731.766734026</v>
      </c>
      <c r="U14" s="48"/>
      <c r="V14" s="24">
        <v>362421000</v>
      </c>
      <c r="W14" s="25">
        <v>144299000</v>
      </c>
      <c r="X14" s="28">
        <f t="shared" si="14"/>
        <v>506720000</v>
      </c>
      <c r="Y14" s="24">
        <v>0</v>
      </c>
      <c r="Z14" s="25">
        <v>31841000</v>
      </c>
      <c r="AA14" s="25">
        <v>23145973</v>
      </c>
      <c r="AB14" s="28">
        <f t="shared" si="15"/>
        <v>54986973</v>
      </c>
      <c r="AC14" s="31">
        <f t="shared" si="16"/>
        <v>451733027</v>
      </c>
      <c r="AD14" s="101"/>
      <c r="AE14" s="36">
        <f t="shared" si="8"/>
        <v>2.840556479111284E-2</v>
      </c>
      <c r="AF14" s="33">
        <v>2.6120000000000001E-2</v>
      </c>
      <c r="AG14" s="34">
        <f t="shared" si="17"/>
        <v>2.2855647911128388E-3</v>
      </c>
      <c r="AH14" s="76"/>
    </row>
    <row r="15" spans="1:34" x14ac:dyDescent="0.2">
      <c r="A15" s="51">
        <v>45017</v>
      </c>
      <c r="B15" s="51">
        <v>45078</v>
      </c>
      <c r="C15" s="9">
        <v>2008819.49</v>
      </c>
      <c r="D15" s="10">
        <v>288388.32</v>
      </c>
      <c r="E15" s="10">
        <v>1257326.02</v>
      </c>
      <c r="F15" s="10">
        <v>0</v>
      </c>
      <c r="G15" s="10">
        <v>0</v>
      </c>
      <c r="H15" s="10">
        <v>0</v>
      </c>
      <c r="I15" s="16">
        <f t="shared" si="11"/>
        <v>3554533.83</v>
      </c>
      <c r="J15" s="9">
        <v>0</v>
      </c>
      <c r="K15" s="10">
        <v>9498651</v>
      </c>
      <c r="L15" s="10">
        <v>0</v>
      </c>
      <c r="M15" s="16">
        <f t="shared" si="12"/>
        <v>9498651</v>
      </c>
      <c r="N15" s="11">
        <v>272262</v>
      </c>
      <c r="O15" s="37">
        <f t="shared" si="13"/>
        <v>12780922.83</v>
      </c>
      <c r="P15" s="11">
        <v>-33425.769120000303</v>
      </c>
      <c r="Q15" s="47">
        <v>50207</v>
      </c>
      <c r="R15" s="37">
        <f t="shared" si="3"/>
        <v>12697290.06088</v>
      </c>
      <c r="S15" s="11">
        <v>804948.04999999946</v>
      </c>
      <c r="T15" s="37">
        <f t="shared" si="10"/>
        <v>13502238.110879999</v>
      </c>
      <c r="U15" s="48"/>
      <c r="V15" s="24">
        <v>102677000</v>
      </c>
      <c r="W15" s="25">
        <v>314286000</v>
      </c>
      <c r="X15" s="28">
        <f t="shared" si="14"/>
        <v>416963000</v>
      </c>
      <c r="Y15" s="24">
        <v>0</v>
      </c>
      <c r="Z15" s="25">
        <v>8411000</v>
      </c>
      <c r="AA15" s="25">
        <v>19607728</v>
      </c>
      <c r="AB15" s="28">
        <f t="shared" si="15"/>
        <v>28018728</v>
      </c>
      <c r="AC15" s="31">
        <f t="shared" si="16"/>
        <v>388944272</v>
      </c>
      <c r="AD15" s="101"/>
      <c r="AE15" s="36">
        <f t="shared" si="8"/>
        <v>3.4715096950650039E-2</v>
      </c>
      <c r="AF15" s="33">
        <v>2.6120000000000001E-2</v>
      </c>
      <c r="AG15" s="34">
        <f t="shared" si="17"/>
        <v>8.5950969506500378E-3</v>
      </c>
      <c r="AH15" s="76"/>
    </row>
    <row r="16" spans="1:34" x14ac:dyDescent="0.2">
      <c r="A16" s="51">
        <v>45047</v>
      </c>
      <c r="B16" s="51">
        <v>45108</v>
      </c>
      <c r="C16" s="9">
        <v>3677601.31</v>
      </c>
      <c r="D16" s="10">
        <v>423217.89</v>
      </c>
      <c r="E16" s="10">
        <v>1656522.68</v>
      </c>
      <c r="F16" s="10">
        <v>0</v>
      </c>
      <c r="G16" s="10">
        <v>0</v>
      </c>
      <c r="H16" s="10">
        <v>0</v>
      </c>
      <c r="I16" s="16">
        <f t="shared" si="11"/>
        <v>5757341.8799999999</v>
      </c>
      <c r="J16" s="9">
        <v>0</v>
      </c>
      <c r="K16" s="10">
        <v>7798248</v>
      </c>
      <c r="L16" s="10">
        <v>0</v>
      </c>
      <c r="M16" s="16">
        <f t="shared" si="12"/>
        <v>7798248</v>
      </c>
      <c r="N16" s="11">
        <v>559930</v>
      </c>
      <c r="O16" s="37">
        <f t="shared" si="13"/>
        <v>12995659.879999999</v>
      </c>
      <c r="P16" s="11">
        <v>12127.689999999478</v>
      </c>
      <c r="Q16" s="47">
        <v>-123902</v>
      </c>
      <c r="R16" s="37">
        <f t="shared" si="3"/>
        <v>13131689.569999998</v>
      </c>
      <c r="S16" s="11">
        <v>-772208.30000000051</v>
      </c>
      <c r="T16" s="37">
        <f t="shared" si="10"/>
        <v>12359481.269999998</v>
      </c>
      <c r="U16" s="48"/>
      <c r="V16" s="24">
        <v>162915000</v>
      </c>
      <c r="W16" s="25">
        <v>281388000</v>
      </c>
      <c r="X16" s="28">
        <f t="shared" si="14"/>
        <v>444303000</v>
      </c>
      <c r="Y16" s="24">
        <v>0</v>
      </c>
      <c r="Z16" s="25">
        <v>22433000</v>
      </c>
      <c r="AA16" s="25">
        <v>23355636</v>
      </c>
      <c r="AB16" s="28">
        <f t="shared" si="15"/>
        <v>45788636</v>
      </c>
      <c r="AC16" s="31">
        <f t="shared" si="16"/>
        <v>398514364</v>
      </c>
      <c r="AD16" s="101"/>
      <c r="AE16" s="36">
        <f t="shared" si="8"/>
        <v>3.1013891559502228E-2</v>
      </c>
      <c r="AF16" s="33">
        <v>2.6120000000000001E-2</v>
      </c>
      <c r="AG16" s="34">
        <f t="shared" si="17"/>
        <v>4.8938915595022267E-3</v>
      </c>
      <c r="AH16" s="76"/>
    </row>
    <row r="17" spans="1:35" x14ac:dyDescent="0.2">
      <c r="A17" s="51">
        <v>45078</v>
      </c>
      <c r="B17" s="51">
        <v>45139</v>
      </c>
      <c r="C17" s="9">
        <v>7832659.96</v>
      </c>
      <c r="D17" s="10">
        <v>371915.22</v>
      </c>
      <c r="E17" s="10">
        <v>2183171.44</v>
      </c>
      <c r="F17" s="10">
        <v>0</v>
      </c>
      <c r="G17" s="10">
        <v>0</v>
      </c>
      <c r="H17" s="10">
        <v>0</v>
      </c>
      <c r="I17" s="16">
        <f t="shared" si="11"/>
        <v>10387746.619999999</v>
      </c>
      <c r="J17" s="9">
        <v>0</v>
      </c>
      <c r="K17" s="10">
        <v>4265257</v>
      </c>
      <c r="L17" s="10">
        <v>0</v>
      </c>
      <c r="M17" s="16">
        <f t="shared" si="12"/>
        <v>4265257</v>
      </c>
      <c r="N17" s="11">
        <v>1745540</v>
      </c>
      <c r="O17" s="37">
        <f t="shared" si="13"/>
        <v>12907463.619999999</v>
      </c>
      <c r="P17" s="11">
        <v>112701.44070900045</v>
      </c>
      <c r="Q17" s="47">
        <v>136617</v>
      </c>
      <c r="R17" s="37">
        <f t="shared" si="3"/>
        <v>12883548.060709</v>
      </c>
      <c r="S17" s="11">
        <v>637479.33000000007</v>
      </c>
      <c r="T17" s="37">
        <f t="shared" si="10"/>
        <v>13521027.390709</v>
      </c>
      <c r="U17" s="48"/>
      <c r="V17" s="24">
        <v>322868000</v>
      </c>
      <c r="W17" s="25">
        <v>170792000</v>
      </c>
      <c r="X17" s="28">
        <f t="shared" si="14"/>
        <v>493660000</v>
      </c>
      <c r="Y17" s="24">
        <v>0</v>
      </c>
      <c r="Z17" s="25">
        <v>53798000</v>
      </c>
      <c r="AA17" s="25">
        <v>22177029</v>
      </c>
      <c r="AB17" s="28">
        <f t="shared" si="15"/>
        <v>75975029</v>
      </c>
      <c r="AC17" s="31">
        <f t="shared" si="16"/>
        <v>417684971</v>
      </c>
      <c r="AD17" s="101"/>
      <c r="AE17" s="36">
        <f t="shared" si="8"/>
        <v>3.2371352405468762E-2</v>
      </c>
      <c r="AF17" s="33">
        <v>2.6120000000000001E-2</v>
      </c>
      <c r="AG17" s="34">
        <f t="shared" si="17"/>
        <v>6.2513524054687609E-3</v>
      </c>
      <c r="AH17" s="76"/>
    </row>
    <row r="18" spans="1:35" x14ac:dyDescent="0.2">
      <c r="A18" s="51">
        <v>45108</v>
      </c>
      <c r="B18" s="51">
        <v>45170</v>
      </c>
      <c r="C18" s="9">
        <v>12253057.66</v>
      </c>
      <c r="D18" s="10">
        <v>269148.78000000003</v>
      </c>
      <c r="E18" s="10">
        <v>3195400.7</v>
      </c>
      <c r="F18" s="10">
        <v>0</v>
      </c>
      <c r="G18" s="10">
        <v>0</v>
      </c>
      <c r="H18" s="10">
        <v>0</v>
      </c>
      <c r="I18" s="16">
        <f t="shared" si="11"/>
        <v>15717607.140000001</v>
      </c>
      <c r="J18" s="9">
        <v>0</v>
      </c>
      <c r="K18" s="10">
        <v>5072967</v>
      </c>
      <c r="L18" s="10">
        <v>0</v>
      </c>
      <c r="M18" s="16">
        <f t="shared" si="12"/>
        <v>5072967</v>
      </c>
      <c r="N18" s="11">
        <v>4986720</v>
      </c>
      <c r="O18" s="37">
        <f t="shared" si="13"/>
        <v>15803854.140000001</v>
      </c>
      <c r="P18" s="11">
        <v>-87098.171222999692</v>
      </c>
      <c r="Q18" s="47">
        <v>189157</v>
      </c>
      <c r="R18" s="37">
        <f t="shared" si="3"/>
        <v>15527598.968777001</v>
      </c>
      <c r="S18" s="11">
        <v>1188567.4799999997</v>
      </c>
      <c r="T18" s="37">
        <f t="shared" si="10"/>
        <v>16716166.448777001</v>
      </c>
      <c r="U18" s="48"/>
      <c r="V18" s="24">
        <v>511463000</v>
      </c>
      <c r="W18" s="25">
        <v>128348000</v>
      </c>
      <c r="X18" s="28">
        <f t="shared" si="14"/>
        <v>639811000</v>
      </c>
      <c r="Y18" s="24">
        <v>0</v>
      </c>
      <c r="Z18" s="25">
        <v>136516000</v>
      </c>
      <c r="AA18" s="25">
        <v>24361135</v>
      </c>
      <c r="AB18" s="28">
        <f t="shared" si="15"/>
        <v>160877135</v>
      </c>
      <c r="AC18" s="31">
        <f t="shared" si="16"/>
        <v>478933865</v>
      </c>
      <c r="AD18" s="101"/>
      <c r="AE18" s="36">
        <f t="shared" si="8"/>
        <v>3.4902870041935749E-2</v>
      </c>
      <c r="AF18" s="33">
        <v>2.6120000000000001E-2</v>
      </c>
      <c r="AG18" s="34">
        <f t="shared" si="17"/>
        <v>8.7828700419357482E-3</v>
      </c>
      <c r="AH18" s="76"/>
      <c r="AI18" s="99"/>
    </row>
    <row r="19" spans="1:35" x14ac:dyDescent="0.2">
      <c r="A19" s="51">
        <v>45139</v>
      </c>
      <c r="B19" s="51">
        <v>45200</v>
      </c>
      <c r="C19" s="9">
        <v>9555066.0399999991</v>
      </c>
      <c r="D19" s="10">
        <v>227693.73</v>
      </c>
      <c r="E19" s="10">
        <v>2829870.17</v>
      </c>
      <c r="F19" s="10">
        <v>0</v>
      </c>
      <c r="G19" s="10">
        <v>0</v>
      </c>
      <c r="H19" s="10">
        <v>0</v>
      </c>
      <c r="I19" s="16">
        <f t="shared" si="11"/>
        <v>12612629.939999999</v>
      </c>
      <c r="J19" s="9">
        <v>0</v>
      </c>
      <c r="K19" s="10">
        <v>5362326</v>
      </c>
      <c r="L19" s="10">
        <v>0</v>
      </c>
      <c r="M19" s="16">
        <f t="shared" si="12"/>
        <v>5362326</v>
      </c>
      <c r="N19" s="11">
        <v>1317062</v>
      </c>
      <c r="O19" s="37">
        <f t="shared" si="13"/>
        <v>16657893.939999998</v>
      </c>
      <c r="P19" s="47">
        <v>-648422.7833849974</v>
      </c>
      <c r="Q19" s="11">
        <v>285660</v>
      </c>
      <c r="R19" s="37">
        <f t="shared" si="3"/>
        <v>15723811.156615</v>
      </c>
      <c r="S19" s="11">
        <v>1027359.7500000005</v>
      </c>
      <c r="T19" s="37">
        <f t="shared" si="10"/>
        <v>16751170.906615</v>
      </c>
      <c r="U19" s="48"/>
      <c r="V19" s="24">
        <v>381388000</v>
      </c>
      <c r="W19" s="25">
        <v>154089000</v>
      </c>
      <c r="X19" s="28">
        <f t="shared" si="14"/>
        <v>535477000</v>
      </c>
      <c r="Y19" s="24">
        <v>0</v>
      </c>
      <c r="Z19" s="43">
        <v>44066000</v>
      </c>
      <c r="AA19" s="25">
        <v>24282269</v>
      </c>
      <c r="AB19" s="28">
        <f t="shared" si="15"/>
        <v>68348269</v>
      </c>
      <c r="AC19" s="31">
        <f t="shared" si="16"/>
        <v>467128731</v>
      </c>
      <c r="AD19" s="101"/>
      <c r="AE19" s="36">
        <f t="shared" si="8"/>
        <v>3.5859860023499605E-2</v>
      </c>
      <c r="AF19" s="33">
        <v>2.6120000000000001E-2</v>
      </c>
      <c r="AG19" s="34">
        <f t="shared" si="17"/>
        <v>9.7398600234996045E-3</v>
      </c>
      <c r="AH19" s="76"/>
      <c r="AI19" s="57"/>
    </row>
    <row r="20" spans="1:35" x14ac:dyDescent="0.2">
      <c r="A20" s="51">
        <v>45170</v>
      </c>
      <c r="B20" s="51">
        <v>45231</v>
      </c>
      <c r="C20" s="9">
        <v>3047271.52</v>
      </c>
      <c r="D20" s="10">
        <v>52501.77</v>
      </c>
      <c r="E20" s="10">
        <v>1494555.02</v>
      </c>
      <c r="F20" s="10">
        <v>0</v>
      </c>
      <c r="G20" s="10">
        <v>0</v>
      </c>
      <c r="H20" s="10">
        <v>0</v>
      </c>
      <c r="I20" s="16">
        <f t="shared" si="11"/>
        <v>4594328.3100000005</v>
      </c>
      <c r="J20" s="9">
        <v>0</v>
      </c>
      <c r="K20" s="10">
        <v>10000868</v>
      </c>
      <c r="L20" s="10">
        <v>0</v>
      </c>
      <c r="M20" s="16">
        <f t="shared" si="12"/>
        <v>10000868</v>
      </c>
      <c r="N20" s="11">
        <v>992568</v>
      </c>
      <c r="O20" s="37">
        <f t="shared" si="13"/>
        <v>13602628.310000001</v>
      </c>
      <c r="P20" s="11">
        <v>-977113.27900000103</v>
      </c>
      <c r="Q20" s="11">
        <v>-252813</v>
      </c>
      <c r="R20" s="37">
        <f t="shared" si="3"/>
        <v>12878328.030999999</v>
      </c>
      <c r="S20" s="11">
        <v>919975.7799999998</v>
      </c>
      <c r="T20" s="37">
        <f t="shared" si="10"/>
        <v>13798303.810999999</v>
      </c>
      <c r="U20" s="48">
        <f t="shared" ref="U20:U47" si="18">AVERAGE(T9:T20)</f>
        <v>18161832.729132336</v>
      </c>
      <c r="V20" s="24">
        <v>142262000</v>
      </c>
      <c r="W20" s="25">
        <v>305021000</v>
      </c>
      <c r="X20" s="28">
        <f t="shared" si="14"/>
        <v>447283000</v>
      </c>
      <c r="Y20" s="24">
        <v>0</v>
      </c>
      <c r="Z20" s="25">
        <v>13956000</v>
      </c>
      <c r="AA20" s="25">
        <v>22292386</v>
      </c>
      <c r="AB20" s="28">
        <f t="shared" si="15"/>
        <v>36248386</v>
      </c>
      <c r="AC20" s="31">
        <f t="shared" si="16"/>
        <v>411034614</v>
      </c>
      <c r="AD20" s="101">
        <f>('Historical Sales'!E14+'Historical Sales'!D14)/2</f>
        <v>442351858</v>
      </c>
      <c r="AE20" s="36">
        <f t="shared" si="8"/>
        <v>3.3569688150399908E-2</v>
      </c>
      <c r="AF20" s="33">
        <v>2.6120000000000001E-2</v>
      </c>
      <c r="AG20" s="34">
        <f t="shared" si="17"/>
        <v>7.4496881503999073E-3</v>
      </c>
      <c r="AH20" s="76"/>
      <c r="AI20" s="109"/>
    </row>
    <row r="21" spans="1:35" x14ac:dyDescent="0.2">
      <c r="A21" s="51">
        <v>45200</v>
      </c>
      <c r="B21" s="51">
        <v>45261</v>
      </c>
      <c r="C21" s="9">
        <v>0</v>
      </c>
      <c r="D21" s="10">
        <v>0</v>
      </c>
      <c r="E21" s="10">
        <v>2026821.48</v>
      </c>
      <c r="F21" s="10">
        <v>0</v>
      </c>
      <c r="G21" s="10">
        <v>0</v>
      </c>
      <c r="H21" s="10">
        <v>0</v>
      </c>
      <c r="I21" s="16">
        <f t="shared" si="11"/>
        <v>2026821.48</v>
      </c>
      <c r="J21" s="9">
        <v>0</v>
      </c>
      <c r="K21" s="10">
        <v>9857847</v>
      </c>
      <c r="L21" s="10">
        <v>0</v>
      </c>
      <c r="M21" s="16">
        <f t="shared" si="12"/>
        <v>9857847</v>
      </c>
      <c r="N21" s="11">
        <v>600889</v>
      </c>
      <c r="O21" s="37">
        <f t="shared" si="13"/>
        <v>11283779.48</v>
      </c>
      <c r="P21" s="11">
        <v>-861016.22000000067</v>
      </c>
      <c r="Q21" s="11">
        <v>-771365</v>
      </c>
      <c r="R21" s="37">
        <f t="shared" si="3"/>
        <v>11194128.26</v>
      </c>
      <c r="S21" s="11">
        <v>1584958.66</v>
      </c>
      <c r="T21" s="37">
        <f t="shared" si="10"/>
        <v>12779086.92</v>
      </c>
      <c r="U21" s="48">
        <f t="shared" si="18"/>
        <v>16929581.966632333</v>
      </c>
      <c r="V21" s="24">
        <v>101407000</v>
      </c>
      <c r="W21" s="25">
        <v>321651000</v>
      </c>
      <c r="X21" s="28">
        <f t="shared" si="14"/>
        <v>423058000</v>
      </c>
      <c r="Y21" s="24">
        <v>0</v>
      </c>
      <c r="Z21" s="25">
        <v>17792000</v>
      </c>
      <c r="AA21" s="25">
        <v>19606708</v>
      </c>
      <c r="AB21" s="28">
        <f t="shared" si="15"/>
        <v>37398708</v>
      </c>
      <c r="AC21" s="31">
        <f t="shared" si="16"/>
        <v>385659292</v>
      </c>
      <c r="AD21" s="101">
        <f>('Historical Sales'!E15+'Historical Sales'!D15)/2</f>
        <v>497023273</v>
      </c>
      <c r="AE21" s="36">
        <f t="shared" si="8"/>
        <v>3.3135690452908886E-2</v>
      </c>
      <c r="AF21" s="33">
        <v>2.6120000000000001E-2</v>
      </c>
      <c r="AG21" s="34">
        <f t="shared" si="17"/>
        <v>7.0156904529088855E-3</v>
      </c>
      <c r="AH21" s="76"/>
    </row>
    <row r="22" spans="1:35" x14ac:dyDescent="0.2">
      <c r="A22" s="51">
        <v>45231</v>
      </c>
      <c r="B22" s="51">
        <v>45292</v>
      </c>
      <c r="C22" s="9">
        <v>2029176.94</v>
      </c>
      <c r="D22" s="10">
        <v>325357.28000000003</v>
      </c>
      <c r="E22" s="10">
        <v>2404692.9300000002</v>
      </c>
      <c r="F22" s="10">
        <v>0</v>
      </c>
      <c r="G22" s="10">
        <v>0</v>
      </c>
      <c r="H22" s="10">
        <v>0</v>
      </c>
      <c r="I22" s="16">
        <f t="shared" si="11"/>
        <v>4759227.1500000004</v>
      </c>
      <c r="J22" s="9">
        <v>0</v>
      </c>
      <c r="K22" s="10">
        <v>9831389</v>
      </c>
      <c r="L22" s="10">
        <v>0</v>
      </c>
      <c r="M22" s="16">
        <f t="shared" si="12"/>
        <v>9831389</v>
      </c>
      <c r="N22" s="11">
        <v>394932</v>
      </c>
      <c r="O22" s="37">
        <f t="shared" si="13"/>
        <v>14195684.15</v>
      </c>
      <c r="P22" s="11">
        <v>583114.22000000067</v>
      </c>
      <c r="Q22" s="47">
        <v>-114752</v>
      </c>
      <c r="R22" s="37">
        <f t="shared" si="3"/>
        <v>14893550.370000001</v>
      </c>
      <c r="S22" s="11">
        <v>854431.58999999985</v>
      </c>
      <c r="T22" s="37">
        <f t="shared" si="10"/>
        <v>15747981.960000001</v>
      </c>
      <c r="U22" s="48">
        <f t="shared" si="18"/>
        <v>15893307.178299</v>
      </c>
      <c r="V22" s="24">
        <v>130632000</v>
      </c>
      <c r="W22" s="25">
        <v>349965000</v>
      </c>
      <c r="X22" s="28">
        <f t="shared" si="14"/>
        <v>480597000</v>
      </c>
      <c r="Y22" s="24">
        <v>0</v>
      </c>
      <c r="Z22" s="25">
        <v>13786000</v>
      </c>
      <c r="AA22" s="25">
        <v>22813414</v>
      </c>
      <c r="AB22" s="28">
        <f t="shared" si="15"/>
        <v>36599414</v>
      </c>
      <c r="AC22" s="31">
        <f t="shared" si="16"/>
        <v>443997586</v>
      </c>
      <c r="AD22" s="101">
        <f>'Historical Sales'!H4</f>
        <v>538811681.5</v>
      </c>
      <c r="AE22" s="71">
        <f>(U22+U21+U20)/(AD22+AD21+AD20)</f>
        <v>3.4491392727171735E-2</v>
      </c>
      <c r="AF22" s="33">
        <v>2.6120000000000001E-2</v>
      </c>
      <c r="AG22" s="73">
        <f t="shared" si="17"/>
        <v>8.3713927271717344E-3</v>
      </c>
      <c r="AH22" s="75">
        <f>(U20+U21+U22)-(T20+T21+T22)</f>
        <v>8659349.183063671</v>
      </c>
    </row>
    <row r="23" spans="1:35" x14ac:dyDescent="0.2">
      <c r="A23" s="51">
        <v>45261</v>
      </c>
      <c r="B23" s="51">
        <v>45323</v>
      </c>
      <c r="C23" s="9">
        <v>5926775.2199999997</v>
      </c>
      <c r="D23" s="10">
        <v>445710.76</v>
      </c>
      <c r="E23" s="10">
        <v>2781792.96</v>
      </c>
      <c r="F23" s="10">
        <v>0</v>
      </c>
      <c r="G23" s="10">
        <v>0</v>
      </c>
      <c r="H23" s="10">
        <v>0</v>
      </c>
      <c r="I23" s="16">
        <f t="shared" si="11"/>
        <v>9154278.9399999995</v>
      </c>
      <c r="J23" s="9">
        <v>0</v>
      </c>
      <c r="K23" s="10">
        <v>11363822</v>
      </c>
      <c r="L23" s="10">
        <v>0</v>
      </c>
      <c r="M23" s="16">
        <f t="shared" si="12"/>
        <v>11363822</v>
      </c>
      <c r="N23" s="11">
        <v>1302545</v>
      </c>
      <c r="O23" s="37">
        <f t="shared" si="13"/>
        <v>19215555.939999998</v>
      </c>
      <c r="P23" s="11">
        <v>1215496.5500000007</v>
      </c>
      <c r="Q23" s="47">
        <v>754152</v>
      </c>
      <c r="R23" s="37">
        <f t="shared" si="3"/>
        <v>19676900.489999998</v>
      </c>
      <c r="S23" s="11">
        <v>602316.19000000018</v>
      </c>
      <c r="T23" s="37">
        <f t="shared" si="10"/>
        <v>20279216.68</v>
      </c>
      <c r="U23" s="48">
        <f t="shared" si="18"/>
        <v>14165816.063299006</v>
      </c>
      <c r="V23" s="24">
        <v>223088000</v>
      </c>
      <c r="W23" s="25">
        <v>314318000</v>
      </c>
      <c r="X23" s="28">
        <f t="shared" si="14"/>
        <v>537406000</v>
      </c>
      <c r="Y23" s="24">
        <v>0</v>
      </c>
      <c r="Z23" s="44">
        <v>52216000</v>
      </c>
      <c r="AA23" s="25">
        <v>22014666</v>
      </c>
      <c r="AB23" s="28">
        <f t="shared" si="15"/>
        <v>74230666</v>
      </c>
      <c r="AC23" s="31">
        <f t="shared" si="16"/>
        <v>463175334</v>
      </c>
      <c r="AD23" s="101">
        <f>'Historical Sales'!H5</f>
        <v>444951944.5</v>
      </c>
      <c r="AE23" s="71">
        <f>AE22</f>
        <v>3.4491392727171735E-2</v>
      </c>
      <c r="AF23" s="33">
        <v>2.6120000000000001E-2</v>
      </c>
      <c r="AG23" s="73">
        <f t="shared" si="17"/>
        <v>8.3713927271717344E-3</v>
      </c>
      <c r="AH23" s="37">
        <f t="shared" ref="AH23:AH45" si="19">(U23-T23)+AH22</f>
        <v>2545948.5663626771</v>
      </c>
    </row>
    <row r="24" spans="1:35" x14ac:dyDescent="0.2">
      <c r="A24" s="51">
        <v>45292</v>
      </c>
      <c r="B24" s="51">
        <v>45352</v>
      </c>
      <c r="C24" s="9">
        <v>6815301.1100000003</v>
      </c>
      <c r="D24" s="10">
        <v>209165.03</v>
      </c>
      <c r="E24" s="10">
        <v>3597123.5</v>
      </c>
      <c r="F24" s="10">
        <v>0</v>
      </c>
      <c r="G24" s="10">
        <v>0</v>
      </c>
      <c r="H24" s="10">
        <v>0</v>
      </c>
      <c r="I24" s="16">
        <f t="shared" si="11"/>
        <v>10621589.640000001</v>
      </c>
      <c r="J24" s="9">
        <v>0</v>
      </c>
      <c r="K24" s="10">
        <v>17226102</v>
      </c>
      <c r="L24" s="10">
        <v>0</v>
      </c>
      <c r="M24" s="16">
        <f t="shared" si="12"/>
        <v>17226102</v>
      </c>
      <c r="N24" s="11">
        <v>451514</v>
      </c>
      <c r="O24" s="37">
        <f t="shared" si="13"/>
        <v>27396177.640000001</v>
      </c>
      <c r="P24" s="11">
        <v>-2022209.6829999983</v>
      </c>
      <c r="Q24" s="69">
        <f>'1. Pg4'!N19</f>
        <v>510953</v>
      </c>
      <c r="R24" s="37">
        <f t="shared" si="3"/>
        <v>24863014.957000002</v>
      </c>
      <c r="S24" s="11">
        <v>409541.7100000002</v>
      </c>
      <c r="T24" s="37">
        <f t="shared" si="10"/>
        <v>25272556.667000003</v>
      </c>
      <c r="U24" s="48">
        <f t="shared" si="18"/>
        <v>15970372.671809586</v>
      </c>
      <c r="V24" s="24">
        <v>279510000</v>
      </c>
      <c r="W24" s="25">
        <v>344816000</v>
      </c>
      <c r="X24" s="28">
        <f t="shared" si="14"/>
        <v>624326000</v>
      </c>
      <c r="Y24" s="24">
        <v>0</v>
      </c>
      <c r="Z24" s="25">
        <v>-29247000</v>
      </c>
      <c r="AA24" s="25">
        <v>36104147</v>
      </c>
      <c r="AB24" s="28">
        <f t="shared" si="15"/>
        <v>6857147</v>
      </c>
      <c r="AC24" s="31">
        <f t="shared" si="16"/>
        <v>617468853</v>
      </c>
      <c r="AD24" s="101">
        <f>'Historical Sales'!H6</f>
        <v>447066635</v>
      </c>
      <c r="AE24" s="71">
        <f>AE23</f>
        <v>3.4491392727171735E-2</v>
      </c>
      <c r="AF24" s="33">
        <v>2.6120000000000001E-2</v>
      </c>
      <c r="AG24" s="73">
        <f t="shared" si="17"/>
        <v>8.3713927271717344E-3</v>
      </c>
      <c r="AH24" s="37">
        <f t="shared" si="19"/>
        <v>-6756235.4288277403</v>
      </c>
    </row>
    <row r="25" spans="1:35" x14ac:dyDescent="0.2">
      <c r="A25" s="51">
        <v>45323</v>
      </c>
      <c r="B25" s="51">
        <v>45383</v>
      </c>
      <c r="C25" s="9">
        <v>8255204.3300000001</v>
      </c>
      <c r="D25" s="10">
        <v>532032.34</v>
      </c>
      <c r="E25" s="10">
        <v>4473680.71</v>
      </c>
      <c r="F25" s="10">
        <v>0</v>
      </c>
      <c r="G25" s="10">
        <v>0</v>
      </c>
      <c r="H25" s="10">
        <v>0</v>
      </c>
      <c r="I25" s="16">
        <f t="shared" si="11"/>
        <v>13260917.379999999</v>
      </c>
      <c r="J25" s="9">
        <v>0</v>
      </c>
      <c r="K25" s="10">
        <v>6519881</v>
      </c>
      <c r="L25" s="10">
        <v>0</v>
      </c>
      <c r="M25" s="16">
        <f t="shared" si="12"/>
        <v>6519881</v>
      </c>
      <c r="N25" s="11">
        <v>842803</v>
      </c>
      <c r="O25" s="37">
        <f t="shared" si="13"/>
        <v>18937995.379999999</v>
      </c>
      <c r="P25" s="11">
        <v>-3620640.9087999985</v>
      </c>
      <c r="Q25" s="69">
        <f>'1. Pg4'!N20</f>
        <v>18841</v>
      </c>
      <c r="R25" s="37">
        <f t="shared" si="3"/>
        <v>15298513.4712</v>
      </c>
      <c r="S25" s="11">
        <v>434306.02999999968</v>
      </c>
      <c r="T25" s="37">
        <f t="shared" si="10"/>
        <v>15732819.5012</v>
      </c>
      <c r="U25" s="48">
        <f t="shared" si="18"/>
        <v>15774315.119409585</v>
      </c>
      <c r="V25" s="24">
        <v>265685000</v>
      </c>
      <c r="W25" s="25">
        <v>233686000</v>
      </c>
      <c r="X25" s="28">
        <f t="shared" si="14"/>
        <v>499371000</v>
      </c>
      <c r="Y25" s="24">
        <v>0</v>
      </c>
      <c r="Z25" s="25">
        <v>38386000</v>
      </c>
      <c r="AA25" s="25">
        <v>24653927</v>
      </c>
      <c r="AB25" s="28">
        <f t="shared" si="15"/>
        <v>63039927</v>
      </c>
      <c r="AC25" s="31">
        <f t="shared" si="16"/>
        <v>436331073</v>
      </c>
      <c r="AD25" s="101">
        <f>'Historical Sales'!H7</f>
        <v>388846031.5</v>
      </c>
      <c r="AE25" s="71">
        <f>(U25+U24+U23)/(AD25+AD24+AD23)</f>
        <v>3.5843369752151091E-2</v>
      </c>
      <c r="AF25" s="33">
        <v>2.6120000000000001E-2</v>
      </c>
      <c r="AG25" s="73">
        <f t="shared" si="17"/>
        <v>9.7233697521510905E-3</v>
      </c>
      <c r="AH25" s="37">
        <f t="shared" si="19"/>
        <v>-6714739.8106181547</v>
      </c>
    </row>
    <row r="26" spans="1:35" x14ac:dyDescent="0.2">
      <c r="A26" s="51">
        <v>45352</v>
      </c>
      <c r="B26" s="51">
        <v>45413</v>
      </c>
      <c r="C26" s="9">
        <v>8366721.7599999998</v>
      </c>
      <c r="D26" s="10">
        <v>328573.78999999998</v>
      </c>
      <c r="E26" s="10">
        <v>3403959.6</v>
      </c>
      <c r="F26" s="10">
        <v>0</v>
      </c>
      <c r="G26" s="10">
        <v>0</v>
      </c>
      <c r="H26" s="10">
        <v>0</v>
      </c>
      <c r="I26" s="16">
        <f t="shared" si="11"/>
        <v>12099255.149999999</v>
      </c>
      <c r="J26" s="9">
        <v>0</v>
      </c>
      <c r="K26" s="10">
        <v>3985476</v>
      </c>
      <c r="L26" s="10">
        <v>0</v>
      </c>
      <c r="M26" s="16">
        <f t="shared" si="12"/>
        <v>3985476</v>
      </c>
      <c r="N26" s="11">
        <v>1023450</v>
      </c>
      <c r="O26" s="37">
        <f t="shared" si="13"/>
        <v>15061281.149999999</v>
      </c>
      <c r="P26" s="11">
        <v>-869352.8900000006</v>
      </c>
      <c r="Q26" s="69">
        <f>'1. Pg4'!N21</f>
        <v>-337542</v>
      </c>
      <c r="R26" s="37">
        <f t="shared" si="3"/>
        <v>14529470.259999998</v>
      </c>
      <c r="S26" s="11">
        <v>74328.780000000261</v>
      </c>
      <c r="T26" s="37">
        <f t="shared" si="10"/>
        <v>14603799.039999999</v>
      </c>
      <c r="U26" s="48">
        <f t="shared" si="18"/>
        <v>15921987.392181749</v>
      </c>
      <c r="V26" s="24">
        <v>313806000</v>
      </c>
      <c r="W26" s="25">
        <v>180524000</v>
      </c>
      <c r="X26" s="28">
        <f t="shared" si="14"/>
        <v>494330000</v>
      </c>
      <c r="Y26" s="24">
        <v>0</v>
      </c>
      <c r="Z26" s="25">
        <v>45936000</v>
      </c>
      <c r="AA26" s="25">
        <v>23082423</v>
      </c>
      <c r="AB26" s="28">
        <f t="shared" si="15"/>
        <v>69018423</v>
      </c>
      <c r="AC26" s="31">
        <f t="shared" si="16"/>
        <v>425311577</v>
      </c>
      <c r="AD26" s="101">
        <f>'Historical Sales'!H8</f>
        <v>407199337</v>
      </c>
      <c r="AE26" s="71">
        <f>AE25</f>
        <v>3.5843369752151091E-2</v>
      </c>
      <c r="AF26" s="33">
        <v>2.6120000000000001E-2</v>
      </c>
      <c r="AG26" s="73">
        <f t="shared" si="17"/>
        <v>9.7233697521510905E-3</v>
      </c>
      <c r="AH26" s="37">
        <f t="shared" si="19"/>
        <v>-5396551.4584364053</v>
      </c>
    </row>
    <row r="27" spans="1:35" x14ac:dyDescent="0.2">
      <c r="A27" s="51">
        <v>45383</v>
      </c>
      <c r="B27" s="51">
        <v>45444</v>
      </c>
      <c r="C27" s="9">
        <v>2942490.88</v>
      </c>
      <c r="D27" s="10">
        <v>52688.09</v>
      </c>
      <c r="E27" s="10">
        <v>3071456.95</v>
      </c>
      <c r="F27" s="10">
        <v>0</v>
      </c>
      <c r="G27" s="10">
        <v>0</v>
      </c>
      <c r="H27" s="10">
        <v>0</v>
      </c>
      <c r="I27" s="16">
        <f t="shared" si="11"/>
        <v>6066635.9199999999</v>
      </c>
      <c r="J27" s="9">
        <v>0</v>
      </c>
      <c r="K27" s="10">
        <v>7341757</v>
      </c>
      <c r="L27" s="10">
        <v>0</v>
      </c>
      <c r="M27" s="16">
        <f t="shared" si="12"/>
        <v>7341757</v>
      </c>
      <c r="N27" s="11">
        <v>618931</v>
      </c>
      <c r="O27" s="37">
        <f t="shared" si="13"/>
        <v>12789461.92</v>
      </c>
      <c r="P27" s="11">
        <v>-11541.726415002719</v>
      </c>
      <c r="Q27" s="69">
        <f>'1. Pg4'!N22</f>
        <v>18066</v>
      </c>
      <c r="R27" s="37">
        <f t="shared" si="3"/>
        <v>12759854.193584997</v>
      </c>
      <c r="S27" s="11">
        <v>362160.82000000007</v>
      </c>
      <c r="T27" s="37">
        <f t="shared" si="10"/>
        <v>13122015.013584998</v>
      </c>
      <c r="U27" s="48">
        <f t="shared" si="18"/>
        <v>15890302.134073833</v>
      </c>
      <c r="V27" s="24">
        <v>163927000</v>
      </c>
      <c r="W27" s="25">
        <v>249081000</v>
      </c>
      <c r="X27" s="28">
        <f t="shared" si="14"/>
        <v>413008000</v>
      </c>
      <c r="Y27" s="24">
        <v>0</v>
      </c>
      <c r="Z27" s="25">
        <v>-7042000</v>
      </c>
      <c r="AA27" s="25">
        <v>22566972</v>
      </c>
      <c r="AB27" s="28">
        <f t="shared" si="15"/>
        <v>15524972</v>
      </c>
      <c r="AC27" s="31">
        <f t="shared" si="16"/>
        <v>397483028</v>
      </c>
      <c r="AD27" s="101">
        <f>'Historical Sales'!H9</f>
        <v>433641620.5</v>
      </c>
      <c r="AE27" s="71">
        <f>AE26</f>
        <v>3.5843369752151091E-2</v>
      </c>
      <c r="AF27" s="33">
        <v>2.6120000000000001E-2</v>
      </c>
      <c r="AG27" s="73">
        <f t="shared" si="17"/>
        <v>9.7233697521510905E-3</v>
      </c>
      <c r="AH27" s="37">
        <f t="shared" si="19"/>
        <v>-2628264.3379475698</v>
      </c>
    </row>
    <row r="28" spans="1:35" x14ac:dyDescent="0.2">
      <c r="A28" s="51">
        <v>45413</v>
      </c>
      <c r="B28" s="51">
        <v>45474</v>
      </c>
      <c r="C28" s="9">
        <v>1353750.64</v>
      </c>
      <c r="D28" s="10">
        <v>347955.04</v>
      </c>
      <c r="E28" s="10">
        <v>3085398</v>
      </c>
      <c r="F28" s="10">
        <v>0</v>
      </c>
      <c r="G28" s="10">
        <v>0</v>
      </c>
      <c r="H28" s="10">
        <v>0</v>
      </c>
      <c r="I28" s="16">
        <f t="shared" si="11"/>
        <v>4787103.68</v>
      </c>
      <c r="J28" s="9">
        <v>0</v>
      </c>
      <c r="K28" s="10">
        <v>8636530</v>
      </c>
      <c r="L28" s="10">
        <v>0</v>
      </c>
      <c r="M28" s="16">
        <f t="shared" si="12"/>
        <v>8636530</v>
      </c>
      <c r="N28" s="11">
        <v>686391</v>
      </c>
      <c r="O28" s="37">
        <f t="shared" si="13"/>
        <v>12737242.68</v>
      </c>
      <c r="P28" s="47">
        <v>-1358851.5700000003</v>
      </c>
      <c r="Q28" s="69">
        <f>'1. Pg4'!N23</f>
        <v>-470134</v>
      </c>
      <c r="R28" s="37">
        <f t="shared" si="3"/>
        <v>11848525.109999999</v>
      </c>
      <c r="S28" s="11">
        <v>-350114.66000000009</v>
      </c>
      <c r="T28" s="37">
        <f t="shared" si="10"/>
        <v>11498410.449999999</v>
      </c>
      <c r="U28" s="48">
        <f t="shared" si="18"/>
        <v>15818546.232407166</v>
      </c>
      <c r="V28" s="24">
        <v>161071000</v>
      </c>
      <c r="W28" s="25">
        <v>292269000</v>
      </c>
      <c r="X28" s="28">
        <f t="shared" si="14"/>
        <v>453340000</v>
      </c>
      <c r="Y28" s="24">
        <v>0</v>
      </c>
      <c r="Z28" s="25">
        <v>20799000</v>
      </c>
      <c r="AA28" s="25">
        <v>20662593</v>
      </c>
      <c r="AB28" s="28">
        <f t="shared" si="15"/>
        <v>41461593</v>
      </c>
      <c r="AC28" s="31">
        <f t="shared" si="16"/>
        <v>411878407</v>
      </c>
      <c r="AD28" s="101">
        <f>'Historical Sales'!H10</f>
        <v>478729759</v>
      </c>
      <c r="AE28" s="71">
        <f>(U28+U27+U26)/(AD28+AD27+AD26)</f>
        <v>3.6095705340444137E-2</v>
      </c>
      <c r="AF28" s="33">
        <v>2.6120000000000001E-2</v>
      </c>
      <c r="AG28" s="73">
        <f t="shared" si="17"/>
        <v>9.9757053404441361E-3</v>
      </c>
      <c r="AH28" s="37">
        <f t="shared" si="19"/>
        <v>1691871.4444595966</v>
      </c>
    </row>
    <row r="29" spans="1:35" x14ac:dyDescent="0.2">
      <c r="A29" s="51">
        <v>45444</v>
      </c>
      <c r="B29" s="51">
        <v>45505</v>
      </c>
      <c r="C29" s="9">
        <v>10602993.08</v>
      </c>
      <c r="D29" s="10">
        <v>342138.33</v>
      </c>
      <c r="E29" s="10">
        <v>3166493.66</v>
      </c>
      <c r="F29" s="10">
        <v>0</v>
      </c>
      <c r="G29" s="10">
        <v>0</v>
      </c>
      <c r="H29" s="10">
        <v>0</v>
      </c>
      <c r="I29" s="16">
        <f t="shared" si="11"/>
        <v>14111625.07</v>
      </c>
      <c r="J29" s="9">
        <v>0</v>
      </c>
      <c r="K29" s="10">
        <v>5152879.82</v>
      </c>
      <c r="L29" s="10">
        <v>0</v>
      </c>
      <c r="M29" s="16">
        <f t="shared" si="12"/>
        <v>5152879.82</v>
      </c>
      <c r="N29" s="11">
        <v>2812137.43</v>
      </c>
      <c r="O29" s="37">
        <f t="shared" si="13"/>
        <v>16452367.460000001</v>
      </c>
      <c r="P29" s="11">
        <v>179358.58000000007</v>
      </c>
      <c r="Q29" s="69">
        <f>'1. Pg4'!N24</f>
        <v>261</v>
      </c>
      <c r="R29" s="37">
        <f t="shared" si="3"/>
        <v>16631465.040000001</v>
      </c>
      <c r="S29" s="11">
        <v>1040687.4099999993</v>
      </c>
      <c r="T29" s="37">
        <f t="shared" si="10"/>
        <v>17672152.449999999</v>
      </c>
      <c r="U29" s="48">
        <f t="shared" si="18"/>
        <v>16164473.320681414</v>
      </c>
      <c r="V29" s="24">
        <v>393618000</v>
      </c>
      <c r="W29" s="25">
        <v>181007000</v>
      </c>
      <c r="X29" s="28">
        <f t="shared" si="14"/>
        <v>574625000</v>
      </c>
      <c r="Y29" s="24">
        <v>0</v>
      </c>
      <c r="Z29" s="25">
        <v>92654000</v>
      </c>
      <c r="AA29" s="25">
        <v>24205900</v>
      </c>
      <c r="AB29" s="28">
        <f t="shared" si="15"/>
        <v>116859900</v>
      </c>
      <c r="AC29" s="31">
        <f t="shared" si="16"/>
        <v>457765100</v>
      </c>
      <c r="AD29" s="101">
        <f>'Historical Sales'!H11</f>
        <v>468243931</v>
      </c>
      <c r="AE29" s="71">
        <f>AE28</f>
        <v>3.6095705340444137E-2</v>
      </c>
      <c r="AF29" s="33">
        <v>2.6120000000000001E-2</v>
      </c>
      <c r="AG29" s="73">
        <f t="shared" si="17"/>
        <v>9.9757053404441361E-3</v>
      </c>
      <c r="AH29" s="37">
        <f t="shared" si="19"/>
        <v>184192.31514101103</v>
      </c>
    </row>
    <row r="30" spans="1:35" x14ac:dyDescent="0.2">
      <c r="A30" s="51">
        <v>45474</v>
      </c>
      <c r="B30" s="51">
        <v>45536</v>
      </c>
      <c r="C30" s="9">
        <v>10399040</v>
      </c>
      <c r="D30" s="10">
        <v>348835.01</v>
      </c>
      <c r="E30" s="10">
        <v>3737506.03</v>
      </c>
      <c r="F30" s="10">
        <v>0</v>
      </c>
      <c r="G30" s="10">
        <v>0</v>
      </c>
      <c r="H30" s="10">
        <v>0</v>
      </c>
      <c r="I30" s="16">
        <f t="shared" si="11"/>
        <v>14485381.039999999</v>
      </c>
      <c r="J30" s="9">
        <v>0</v>
      </c>
      <c r="K30" s="10">
        <v>6090275.1200000001</v>
      </c>
      <c r="L30" s="10">
        <v>0</v>
      </c>
      <c r="M30" s="16">
        <f t="shared" si="12"/>
        <v>6090275.1200000001</v>
      </c>
      <c r="N30" s="11">
        <v>3136941.8289999999</v>
      </c>
      <c r="O30" s="37">
        <f t="shared" si="13"/>
        <v>17438714.331</v>
      </c>
      <c r="P30" s="11">
        <v>-668773.56712250784</v>
      </c>
      <c r="Q30" s="69">
        <f>'1. Pg4'!N25</f>
        <v>339141</v>
      </c>
      <c r="R30" s="37">
        <f t="shared" si="3"/>
        <v>16430799.763877492</v>
      </c>
      <c r="S30" s="11">
        <v>1503865.8900000006</v>
      </c>
      <c r="T30" s="37">
        <f t="shared" si="10"/>
        <v>17934665.653877493</v>
      </c>
      <c r="U30" s="48">
        <f t="shared" si="18"/>
        <v>16266014.921106458</v>
      </c>
      <c r="V30" s="24">
        <v>429775000</v>
      </c>
      <c r="W30" s="25">
        <v>128951000</v>
      </c>
      <c r="X30" s="28">
        <f t="shared" si="14"/>
        <v>558726000</v>
      </c>
      <c r="Y30" s="24">
        <v>0</v>
      </c>
      <c r="Z30" s="25">
        <v>55537000</v>
      </c>
      <c r="AA30" s="25">
        <v>25365835</v>
      </c>
      <c r="AB30" s="28">
        <f t="shared" si="15"/>
        <v>80902835</v>
      </c>
      <c r="AC30" s="31">
        <f t="shared" si="16"/>
        <v>477823165</v>
      </c>
      <c r="AD30" s="101">
        <f>'Historical Sales'!H12</f>
        <v>407650879</v>
      </c>
      <c r="AE30" s="71">
        <f>AE29</f>
        <v>3.6095705340444137E-2</v>
      </c>
      <c r="AF30" s="33">
        <v>2.6120000000000001E-2</v>
      </c>
      <c r="AG30" s="73">
        <f t="shared" si="17"/>
        <v>9.9757053404441361E-3</v>
      </c>
      <c r="AH30" s="37">
        <f t="shared" si="19"/>
        <v>-1484458.4176300243</v>
      </c>
    </row>
    <row r="31" spans="1:35" x14ac:dyDescent="0.2">
      <c r="A31" s="51">
        <v>45505</v>
      </c>
      <c r="B31" s="51">
        <v>45566</v>
      </c>
      <c r="C31" s="9">
        <v>8665987.1099999994</v>
      </c>
      <c r="D31" s="10">
        <v>213404.01</v>
      </c>
      <c r="E31" s="10">
        <v>4114423.72</v>
      </c>
      <c r="F31" s="10">
        <v>0</v>
      </c>
      <c r="G31" s="10">
        <v>0</v>
      </c>
      <c r="H31" s="10">
        <v>0</v>
      </c>
      <c r="I31" s="16">
        <f t="shared" si="11"/>
        <v>12993814.84</v>
      </c>
      <c r="J31" s="9">
        <v>0</v>
      </c>
      <c r="K31" s="10">
        <v>6342733</v>
      </c>
      <c r="L31" s="10">
        <v>0</v>
      </c>
      <c r="M31" s="16">
        <f t="shared" si="12"/>
        <v>6342733</v>
      </c>
      <c r="N31" s="11">
        <v>2122386</v>
      </c>
      <c r="O31" s="37">
        <f t="shared" si="13"/>
        <v>17214161.84</v>
      </c>
      <c r="P31" s="11">
        <v>-365940.1099999994</v>
      </c>
      <c r="Q31" s="69">
        <f>'1. Pg4'!N26</f>
        <v>243572</v>
      </c>
      <c r="R31" s="37">
        <f t="shared" si="3"/>
        <v>16604649.73</v>
      </c>
      <c r="S31" s="11">
        <v>27017.479999999981</v>
      </c>
      <c r="T31" s="37">
        <f t="shared" si="10"/>
        <v>16631667.210000001</v>
      </c>
      <c r="U31" s="48">
        <f t="shared" si="18"/>
        <v>16256056.279721873</v>
      </c>
      <c r="V31" s="24">
        <v>361535000</v>
      </c>
      <c r="W31" s="25">
        <v>174651000</v>
      </c>
      <c r="X31" s="28">
        <f t="shared" si="14"/>
        <v>536186000</v>
      </c>
      <c r="Y31" s="24">
        <v>0</v>
      </c>
      <c r="Z31" s="25">
        <v>49751000</v>
      </c>
      <c r="AA31" s="25">
        <v>23382437</v>
      </c>
      <c r="AB31" s="28">
        <f t="shared" si="15"/>
        <v>73133437</v>
      </c>
      <c r="AC31" s="31">
        <f t="shared" si="16"/>
        <v>463052563</v>
      </c>
      <c r="AD31" s="101">
        <f>'Historical Sales'!H13</f>
        <v>395355795.5</v>
      </c>
      <c r="AE31" s="71">
        <f>(U31+U30+U29)/(AD31+AD30+AD29)</f>
        <v>3.8298148540397876E-2</v>
      </c>
      <c r="AF31" s="33">
        <v>2.6120000000000001E-2</v>
      </c>
      <c r="AG31" s="73">
        <f t="shared" si="17"/>
        <v>1.2178148540397876E-2</v>
      </c>
      <c r="AH31" s="37">
        <f t="shared" si="19"/>
        <v>-1860069.3479081523</v>
      </c>
    </row>
    <row r="32" spans="1:35" x14ac:dyDescent="0.2">
      <c r="A32" s="51">
        <v>45536</v>
      </c>
      <c r="B32" s="51">
        <v>45597</v>
      </c>
      <c r="C32" s="9">
        <v>1065990.32</v>
      </c>
      <c r="D32" s="10">
        <v>339748.07</v>
      </c>
      <c r="E32" s="10">
        <v>1321540.5899999994</v>
      </c>
      <c r="F32" s="10">
        <v>0</v>
      </c>
      <c r="G32" s="10">
        <v>0</v>
      </c>
      <c r="H32" s="10">
        <v>0</v>
      </c>
      <c r="I32" s="16">
        <f t="shared" si="11"/>
        <v>2727278.9799999995</v>
      </c>
      <c r="J32" s="9">
        <v>0</v>
      </c>
      <c r="K32" s="10">
        <v>13218989</v>
      </c>
      <c r="L32" s="10">
        <v>0</v>
      </c>
      <c r="M32" s="16">
        <f t="shared" si="12"/>
        <v>13218989</v>
      </c>
      <c r="N32" s="11">
        <v>604551</v>
      </c>
      <c r="O32" s="37">
        <f t="shared" si="13"/>
        <v>15341716.98</v>
      </c>
      <c r="P32" s="11">
        <v>-656352.84276800044</v>
      </c>
      <c r="Q32" s="69">
        <f>'1. Pg4'!N27</f>
        <v>-79432</v>
      </c>
      <c r="R32" s="37">
        <f t="shared" si="3"/>
        <v>14764796.137232</v>
      </c>
      <c r="S32" s="11">
        <v>92268.269999999669</v>
      </c>
      <c r="T32" s="37">
        <f t="shared" si="10"/>
        <v>14857064.407232</v>
      </c>
      <c r="U32" s="48">
        <f t="shared" si="18"/>
        <v>16344286.329407876</v>
      </c>
      <c r="V32" s="24">
        <v>73064000</v>
      </c>
      <c r="W32" s="25">
        <v>356825000</v>
      </c>
      <c r="X32" s="28">
        <f t="shared" si="14"/>
        <v>429889000</v>
      </c>
      <c r="Y32" s="24">
        <v>0</v>
      </c>
      <c r="Z32" s="25">
        <v>10901000</v>
      </c>
      <c r="AA32" s="25">
        <v>19794871</v>
      </c>
      <c r="AB32" s="28">
        <f t="shared" si="15"/>
        <v>30695871</v>
      </c>
      <c r="AC32" s="31">
        <f t="shared" si="16"/>
        <v>399193129</v>
      </c>
      <c r="AD32" s="101">
        <f>'Historical Sales'!H14</f>
        <v>442351858</v>
      </c>
      <c r="AE32" s="71">
        <f>AE31</f>
        <v>3.8298148540397876E-2</v>
      </c>
      <c r="AF32" s="33">
        <v>2.6120000000000001E-2</v>
      </c>
      <c r="AG32" s="73">
        <f t="shared" si="17"/>
        <v>1.2178148540397876E-2</v>
      </c>
      <c r="AH32" s="37">
        <f t="shared" si="19"/>
        <v>-372847.42573227547</v>
      </c>
    </row>
    <row r="33" spans="1:35" x14ac:dyDescent="0.2">
      <c r="A33" s="51">
        <v>45566</v>
      </c>
      <c r="B33" s="51">
        <v>45627</v>
      </c>
      <c r="C33" s="9">
        <v>5748106</v>
      </c>
      <c r="D33" s="10">
        <v>712071</v>
      </c>
      <c r="E33" s="10">
        <v>615648</v>
      </c>
      <c r="F33" s="10">
        <v>0</v>
      </c>
      <c r="G33" s="10">
        <v>0</v>
      </c>
      <c r="H33" s="10">
        <v>0</v>
      </c>
      <c r="I33" s="16">
        <f t="shared" si="11"/>
        <v>7075825</v>
      </c>
      <c r="J33" s="9">
        <v>0</v>
      </c>
      <c r="K33" s="10">
        <v>9837745</v>
      </c>
      <c r="L33" s="10">
        <v>0</v>
      </c>
      <c r="M33" s="16">
        <f t="shared" si="12"/>
        <v>9837745</v>
      </c>
      <c r="N33" s="11">
        <v>1026754</v>
      </c>
      <c r="O33" s="37">
        <f t="shared" si="13"/>
        <v>15886816</v>
      </c>
      <c r="P33" s="11">
        <v>-2035385.928718999</v>
      </c>
      <c r="Q33" s="69">
        <f>'1. Pg4'!N28</f>
        <v>-168915</v>
      </c>
      <c r="R33" s="37">
        <f t="shared" si="3"/>
        <v>14020345.071281001</v>
      </c>
      <c r="S33" s="11">
        <v>153229.8200000003</v>
      </c>
      <c r="T33" s="37">
        <f t="shared" si="10"/>
        <v>14173574.891281001</v>
      </c>
      <c r="U33" s="48">
        <f t="shared" si="18"/>
        <v>16460493.660347959</v>
      </c>
      <c r="V33" s="24">
        <v>152494000</v>
      </c>
      <c r="W33" s="25">
        <v>297185000</v>
      </c>
      <c r="X33" s="28">
        <f t="shared" si="14"/>
        <v>449679000</v>
      </c>
      <c r="Y33" s="24">
        <v>0</v>
      </c>
      <c r="Z33" s="25">
        <v>28730000</v>
      </c>
      <c r="AA33" s="25">
        <v>21018704</v>
      </c>
      <c r="AB33" s="28">
        <f t="shared" si="15"/>
        <v>49748704</v>
      </c>
      <c r="AC33" s="31">
        <f t="shared" si="16"/>
        <v>399930296</v>
      </c>
      <c r="AD33" s="101">
        <f>'Historical Sales'!H15</f>
        <v>497023273</v>
      </c>
      <c r="AE33" s="71">
        <f>AE32</f>
        <v>3.8298148540397876E-2</v>
      </c>
      <c r="AF33" s="33">
        <v>2.6120000000000001E-2</v>
      </c>
      <c r="AG33" s="73">
        <f t="shared" si="17"/>
        <v>1.2178148540397876E-2</v>
      </c>
      <c r="AH33" s="37">
        <f t="shared" si="19"/>
        <v>1914071.3433346823</v>
      </c>
    </row>
    <row r="34" spans="1:35" x14ac:dyDescent="0.2">
      <c r="A34" s="51">
        <v>45597</v>
      </c>
      <c r="B34" s="51">
        <v>45658</v>
      </c>
      <c r="C34" s="9">
        <v>8015514.6299999999</v>
      </c>
      <c r="D34" s="10">
        <v>142901.43999999994</v>
      </c>
      <c r="E34" s="10">
        <v>442578.1</v>
      </c>
      <c r="F34" s="10">
        <v>0</v>
      </c>
      <c r="G34" s="10">
        <v>0</v>
      </c>
      <c r="H34" s="10">
        <v>0</v>
      </c>
      <c r="I34" s="16">
        <f t="shared" si="11"/>
        <v>8600994.1699999999</v>
      </c>
      <c r="J34" s="9">
        <v>0</v>
      </c>
      <c r="K34" s="10">
        <v>8381013.4598200005</v>
      </c>
      <c r="L34" s="10">
        <v>0</v>
      </c>
      <c r="M34" s="16">
        <f t="shared" si="12"/>
        <v>8381013.4598200005</v>
      </c>
      <c r="N34" s="11">
        <v>1593671.5960000001</v>
      </c>
      <c r="O34" s="37">
        <f t="shared" si="13"/>
        <v>15388336.03382</v>
      </c>
      <c r="P34" s="11">
        <v>-603897.49623633362</v>
      </c>
      <c r="Q34" s="69">
        <f>'1. Pg4'!N29</f>
        <v>-555288</v>
      </c>
      <c r="R34" s="37">
        <f t="shared" si="3"/>
        <v>15339726.537583666</v>
      </c>
      <c r="S34" s="11">
        <v>296449.27</v>
      </c>
      <c r="T34" s="37">
        <f t="shared" si="10"/>
        <v>15636175.807583665</v>
      </c>
      <c r="U34" s="48">
        <f t="shared" si="18"/>
        <v>16451176.480979929</v>
      </c>
      <c r="V34" s="24">
        <v>207643000</v>
      </c>
      <c r="W34" s="25">
        <v>262120000</v>
      </c>
      <c r="X34" s="28">
        <f t="shared" si="14"/>
        <v>469763000</v>
      </c>
      <c r="Y34" s="24">
        <v>0</v>
      </c>
      <c r="Z34" s="25">
        <v>44723000</v>
      </c>
      <c r="AA34" s="25">
        <v>18744077</v>
      </c>
      <c r="AB34" s="28">
        <f t="shared" si="15"/>
        <v>63467077</v>
      </c>
      <c r="AC34" s="31">
        <f t="shared" si="16"/>
        <v>406295923</v>
      </c>
      <c r="AD34" s="101">
        <f>'Historical Sales'!K4</f>
        <v>558657851.5</v>
      </c>
      <c r="AE34" s="71">
        <f>(U34+U33+U32)/(AD34+AD33+AD32)</f>
        <v>3.288042189066806E-2</v>
      </c>
      <c r="AF34" s="33">
        <v>2.6120000000000001E-2</v>
      </c>
      <c r="AG34" s="73">
        <f t="shared" si="17"/>
        <v>6.7604218906680592E-3</v>
      </c>
      <c r="AH34" s="37">
        <f t="shared" si="19"/>
        <v>2729072.0167309456</v>
      </c>
    </row>
    <row r="35" spans="1:35" x14ac:dyDescent="0.2">
      <c r="A35" s="51">
        <v>45627</v>
      </c>
      <c r="B35" s="51">
        <v>45689</v>
      </c>
      <c r="C35" s="9">
        <v>10015105.620000001</v>
      </c>
      <c r="D35" s="10">
        <v>159819.37000000002</v>
      </c>
      <c r="E35" s="10">
        <v>3597973.61</v>
      </c>
      <c r="F35" s="10">
        <v>0</v>
      </c>
      <c r="G35" s="10">
        <v>0</v>
      </c>
      <c r="H35" s="10">
        <v>0</v>
      </c>
      <c r="I35" s="16">
        <f t="shared" si="11"/>
        <v>13772898.6</v>
      </c>
      <c r="J35" s="9">
        <v>0</v>
      </c>
      <c r="K35" s="10">
        <v>8658526.8800000008</v>
      </c>
      <c r="L35" s="10">
        <v>0</v>
      </c>
      <c r="M35" s="16">
        <f t="shared" si="12"/>
        <v>8658526.8800000008</v>
      </c>
      <c r="N35" s="11">
        <v>2258286.3640000001</v>
      </c>
      <c r="O35" s="37">
        <f t="shared" si="13"/>
        <v>20173139.116</v>
      </c>
      <c r="P35" s="11">
        <v>-570659.91477072239</v>
      </c>
      <c r="Q35" s="69">
        <f>'1. Pg4'!N30</f>
        <v>818976</v>
      </c>
      <c r="R35" s="37">
        <f t="shared" si="3"/>
        <v>18783503.201229278</v>
      </c>
      <c r="S35" s="11">
        <v>528032.65000000026</v>
      </c>
      <c r="T35" s="37">
        <f t="shared" si="10"/>
        <v>19311535.851229277</v>
      </c>
      <c r="U35" s="48">
        <f t="shared" si="18"/>
        <v>16370536.411915703</v>
      </c>
      <c r="V35" s="24">
        <v>338297000</v>
      </c>
      <c r="W35" s="25">
        <v>220054000</v>
      </c>
      <c r="X35" s="28">
        <f t="shared" si="14"/>
        <v>558351000</v>
      </c>
      <c r="Y35" s="24">
        <v>0</v>
      </c>
      <c r="Z35" s="25">
        <v>39662000</v>
      </c>
      <c r="AA35" s="25">
        <v>24135500</v>
      </c>
      <c r="AB35" s="28">
        <f t="shared" si="15"/>
        <v>63797500</v>
      </c>
      <c r="AC35" s="31">
        <f t="shared" si="16"/>
        <v>494553500</v>
      </c>
      <c r="AD35" s="101">
        <f>'Historical Sales'!K5</f>
        <v>428726063</v>
      </c>
      <c r="AE35" s="71">
        <f>AE34</f>
        <v>3.288042189066806E-2</v>
      </c>
      <c r="AF35" s="33">
        <v>2.6120000000000001E-2</v>
      </c>
      <c r="AG35" s="73">
        <f t="shared" si="17"/>
        <v>6.7604218906680592E-3</v>
      </c>
      <c r="AH35" s="37">
        <f t="shared" si="19"/>
        <v>-211927.42258262821</v>
      </c>
    </row>
    <row r="36" spans="1:35" x14ac:dyDescent="0.2">
      <c r="A36" s="51">
        <v>45658</v>
      </c>
      <c r="B36" s="51">
        <v>45717</v>
      </c>
      <c r="C36" s="9">
        <v>12290393.289999999</v>
      </c>
      <c r="D36" s="10">
        <v>170057.37</v>
      </c>
      <c r="E36" s="10">
        <v>5396975.4099999983</v>
      </c>
      <c r="F36" s="10">
        <v>0</v>
      </c>
      <c r="G36" s="10">
        <v>0</v>
      </c>
      <c r="H36" s="10">
        <v>0</v>
      </c>
      <c r="I36" s="16">
        <f t="shared" si="11"/>
        <v>17857426.069999997</v>
      </c>
      <c r="J36" s="9">
        <v>0</v>
      </c>
      <c r="K36" s="10">
        <v>15955926.759999998</v>
      </c>
      <c r="L36" s="10">
        <v>0</v>
      </c>
      <c r="M36" s="16">
        <f t="shared" si="12"/>
        <v>15955926.759999998</v>
      </c>
      <c r="N36" s="11">
        <v>1347987.8419999999</v>
      </c>
      <c r="O36" s="37">
        <f t="shared" si="13"/>
        <v>32465364.987999998</v>
      </c>
      <c r="P36" s="11">
        <v>137183.28299999982</v>
      </c>
      <c r="Q36" s="69">
        <f>'1. Pg4'!N31</f>
        <v>450900</v>
      </c>
      <c r="R36" s="37">
        <f t="shared" si="3"/>
        <v>32151648.270999998</v>
      </c>
      <c r="S36" s="11">
        <v>1112829.96</v>
      </c>
      <c r="T36" s="37">
        <f t="shared" si="10"/>
        <v>33264478.230999999</v>
      </c>
      <c r="U36" s="48">
        <f t="shared" si="18"/>
        <v>17036529.875582371</v>
      </c>
      <c r="V36" s="24">
        <v>406089000</v>
      </c>
      <c r="W36" s="25">
        <v>275391000</v>
      </c>
      <c r="X36" s="28">
        <f t="shared" si="14"/>
        <v>681480000</v>
      </c>
      <c r="Y36" s="24">
        <v>0</v>
      </c>
      <c r="Z36" s="25">
        <v>26900000</v>
      </c>
      <c r="AA36" s="25">
        <v>26261452</v>
      </c>
      <c r="AB36" s="28">
        <f t="shared" si="15"/>
        <v>53161452</v>
      </c>
      <c r="AC36" s="31">
        <f t="shared" si="16"/>
        <v>628318548</v>
      </c>
      <c r="AD36" s="101">
        <f>'Historical Sales'!K6</f>
        <v>438522302</v>
      </c>
      <c r="AE36" s="71">
        <f>AE35</f>
        <v>3.288042189066806E-2</v>
      </c>
      <c r="AF36" s="33">
        <v>3.3799999999999997E-2</v>
      </c>
      <c r="AG36" s="73">
        <f t="shared" si="17"/>
        <v>-9.1957810933193662E-4</v>
      </c>
      <c r="AH36" s="37">
        <f t="shared" si="19"/>
        <v>-16439875.778000256</v>
      </c>
    </row>
    <row r="37" spans="1:35" x14ac:dyDescent="0.2">
      <c r="A37" s="51">
        <v>45689</v>
      </c>
      <c r="B37" s="51">
        <v>45748</v>
      </c>
      <c r="C37" s="9">
        <v>3464421.5</v>
      </c>
      <c r="D37" s="10">
        <v>269009.71999999997</v>
      </c>
      <c r="E37" s="10">
        <v>5554232.0300000003</v>
      </c>
      <c r="F37" s="10">
        <v>0</v>
      </c>
      <c r="G37" s="10">
        <v>0</v>
      </c>
      <c r="H37" s="10">
        <v>0</v>
      </c>
      <c r="I37" s="16">
        <f t="shared" si="11"/>
        <v>9287663.25</v>
      </c>
      <c r="J37" s="9">
        <v>0</v>
      </c>
      <c r="K37" s="10">
        <v>14684475</v>
      </c>
      <c r="L37" s="10">
        <v>0</v>
      </c>
      <c r="M37" s="16">
        <f t="shared" si="12"/>
        <v>14684475</v>
      </c>
      <c r="N37" s="11">
        <v>1062602</v>
      </c>
      <c r="O37" s="37">
        <f t="shared" si="13"/>
        <v>22909536.25</v>
      </c>
      <c r="P37" s="11">
        <v>-3547089.8900000006</v>
      </c>
      <c r="Q37" s="69">
        <f>'1. Pg4'!N32</f>
        <v>351148</v>
      </c>
      <c r="R37" s="37">
        <f t="shared" si="3"/>
        <v>19011298.359999999</v>
      </c>
      <c r="S37" s="11">
        <v>664148.19999999984</v>
      </c>
      <c r="T37" s="37">
        <f t="shared" si="10"/>
        <v>19675446.559999999</v>
      </c>
      <c r="U37" s="48">
        <f t="shared" si="18"/>
        <v>17365082.130482372</v>
      </c>
      <c r="V37" s="24">
        <v>197875000</v>
      </c>
      <c r="W37" s="25">
        <v>330819000</v>
      </c>
      <c r="X37" s="28">
        <f t="shared" si="14"/>
        <v>528694000</v>
      </c>
      <c r="Y37" s="24">
        <v>0</v>
      </c>
      <c r="Z37" s="25">
        <v>18116000</v>
      </c>
      <c r="AA37" s="25">
        <v>23874247</v>
      </c>
      <c r="AB37" s="28">
        <f t="shared" si="15"/>
        <v>41990247</v>
      </c>
      <c r="AC37" s="31">
        <f t="shared" si="16"/>
        <v>486703753</v>
      </c>
      <c r="AD37" s="101">
        <f>'Historical Sales'!K7</f>
        <v>393213650</v>
      </c>
      <c r="AE37" s="71">
        <f>(U37+U36+U35)/(AD37+AD36+AD35)</f>
        <v>4.0280585859606761E-2</v>
      </c>
      <c r="AF37" s="33">
        <v>3.3799999999999997E-2</v>
      </c>
      <c r="AG37" s="73">
        <f t="shared" si="17"/>
        <v>6.4805858596067648E-3</v>
      </c>
      <c r="AH37" s="37">
        <f t="shared" si="19"/>
        <v>-18750240.207517885</v>
      </c>
    </row>
    <row r="38" spans="1:35" x14ac:dyDescent="0.2">
      <c r="A38" s="51">
        <v>45717</v>
      </c>
      <c r="B38" s="51">
        <v>45778</v>
      </c>
      <c r="C38" s="9">
        <v>1240119.1299999999</v>
      </c>
      <c r="D38" s="10">
        <v>666930.93000000005</v>
      </c>
      <c r="E38" s="10">
        <v>3686406.49</v>
      </c>
      <c r="F38" s="10">
        <v>0</v>
      </c>
      <c r="G38" s="10">
        <v>0</v>
      </c>
      <c r="H38" s="10">
        <v>0</v>
      </c>
      <c r="I38" s="16">
        <f t="shared" si="11"/>
        <v>5593456.5500000007</v>
      </c>
      <c r="J38" s="9">
        <v>0</v>
      </c>
      <c r="K38" s="10">
        <v>14708709</v>
      </c>
      <c r="L38" s="10">
        <v>0</v>
      </c>
      <c r="M38" s="16">
        <f t="shared" si="12"/>
        <v>14708709</v>
      </c>
      <c r="N38" s="11">
        <v>781349</v>
      </c>
      <c r="O38" s="37">
        <f t="shared" si="13"/>
        <v>19520816.550000001</v>
      </c>
      <c r="P38" s="11">
        <v>-1054863.3747872487</v>
      </c>
      <c r="Q38" s="69">
        <f>'1. Pg4'!N33</f>
        <v>34201</v>
      </c>
      <c r="R38" s="37">
        <f t="shared" si="3"/>
        <v>18431752.175212752</v>
      </c>
      <c r="S38" s="11">
        <v>855564.9499999996</v>
      </c>
      <c r="T38" s="37">
        <f t="shared" si="10"/>
        <v>19287317.125212751</v>
      </c>
      <c r="U38" s="48">
        <f t="shared" si="18"/>
        <v>17755375.304250099</v>
      </c>
      <c r="V38" s="24">
        <v>108933000</v>
      </c>
      <c r="W38" s="25">
        <v>377638000</v>
      </c>
      <c r="X38" s="28">
        <f t="shared" si="14"/>
        <v>486571000</v>
      </c>
      <c r="Y38" s="24">
        <v>0</v>
      </c>
      <c r="Z38" s="25">
        <v>22926000</v>
      </c>
      <c r="AA38" s="25">
        <v>21395030</v>
      </c>
      <c r="AB38" s="28">
        <f t="shared" si="15"/>
        <v>44321030</v>
      </c>
      <c r="AC38" s="31">
        <f t="shared" si="16"/>
        <v>442249970</v>
      </c>
      <c r="AD38" s="101">
        <f>'Historical Sales'!K8</f>
        <v>405196385.5</v>
      </c>
      <c r="AE38" s="71">
        <f>AE37</f>
        <v>4.0280585859606761E-2</v>
      </c>
      <c r="AF38" s="33">
        <v>3.3799999999999997E-2</v>
      </c>
      <c r="AG38" s="73">
        <f t="shared" si="17"/>
        <v>6.4805858596067648E-3</v>
      </c>
      <c r="AH38" s="37">
        <f t="shared" si="19"/>
        <v>-20282182.028480537</v>
      </c>
    </row>
    <row r="39" spans="1:35" x14ac:dyDescent="0.2">
      <c r="A39" s="51">
        <v>45748</v>
      </c>
      <c r="B39" s="51">
        <v>45809</v>
      </c>
      <c r="C39" s="9">
        <v>5166295.41</v>
      </c>
      <c r="D39" s="10">
        <v>96647.53</v>
      </c>
      <c r="E39" s="10">
        <v>2538611.89</v>
      </c>
      <c r="F39" s="10">
        <v>0</v>
      </c>
      <c r="G39" s="10">
        <v>0</v>
      </c>
      <c r="H39" s="10">
        <v>0</v>
      </c>
      <c r="I39" s="16">
        <f t="shared" si="11"/>
        <v>7801554.8300000001</v>
      </c>
      <c r="J39" s="9">
        <v>0</v>
      </c>
      <c r="K39" s="10">
        <v>8191897</v>
      </c>
      <c r="L39" s="10">
        <v>0</v>
      </c>
      <c r="M39" s="16">
        <f t="shared" si="12"/>
        <v>8191897</v>
      </c>
      <c r="N39" s="11">
        <v>1000169</v>
      </c>
      <c r="O39" s="37">
        <f t="shared" si="13"/>
        <v>14993282.83</v>
      </c>
      <c r="P39" s="11">
        <v>-15281.219514999539</v>
      </c>
      <c r="Q39" s="69">
        <f>'1. Pg4'!N34</f>
        <v>-88924</v>
      </c>
      <c r="R39" s="37">
        <f t="shared" si="3"/>
        <v>15066925.610485001</v>
      </c>
      <c r="S39" s="11">
        <v>584116.8399999995</v>
      </c>
      <c r="T39" s="37">
        <f t="shared" si="10"/>
        <v>15651042.450485</v>
      </c>
      <c r="U39" s="48">
        <f t="shared" si="18"/>
        <v>17966127.59065843</v>
      </c>
      <c r="V39" s="24">
        <v>222436000</v>
      </c>
      <c r="W39" s="25">
        <v>215967000</v>
      </c>
      <c r="X39" s="28">
        <f t="shared" si="14"/>
        <v>438403000</v>
      </c>
      <c r="Y39" s="24">
        <v>0</v>
      </c>
      <c r="Z39" s="25">
        <v>25077000</v>
      </c>
      <c r="AA39" s="25">
        <v>19190151</v>
      </c>
      <c r="AB39" s="28">
        <f t="shared" si="15"/>
        <v>44267151</v>
      </c>
      <c r="AC39" s="31">
        <f t="shared" si="16"/>
        <v>394135849</v>
      </c>
      <c r="AD39" s="101">
        <f>'Historical Sales'!K9</f>
        <v>437725035.5</v>
      </c>
      <c r="AE39" s="71">
        <f>AE38</f>
        <v>4.0280585859606761E-2</v>
      </c>
      <c r="AF39" s="33">
        <v>3.3799999999999997E-2</v>
      </c>
      <c r="AG39" s="73">
        <f t="shared" si="17"/>
        <v>6.4805858596067648E-3</v>
      </c>
      <c r="AH39" s="37">
        <f t="shared" si="19"/>
        <v>-17967096.888307109</v>
      </c>
    </row>
    <row r="40" spans="1:35" x14ac:dyDescent="0.2">
      <c r="A40" s="51">
        <v>45778</v>
      </c>
      <c r="B40" s="51">
        <v>45839</v>
      </c>
      <c r="C40" s="9">
        <v>1362557.52</v>
      </c>
      <c r="D40" s="10">
        <v>160652.59</v>
      </c>
      <c r="E40" s="10">
        <v>2950457.55</v>
      </c>
      <c r="F40" s="10">
        <v>0</v>
      </c>
      <c r="G40" s="10">
        <v>0</v>
      </c>
      <c r="H40" s="10">
        <v>0</v>
      </c>
      <c r="I40" s="16">
        <f t="shared" si="11"/>
        <v>4473667.66</v>
      </c>
      <c r="J40" s="9">
        <v>0</v>
      </c>
      <c r="K40" s="10">
        <v>11327156</v>
      </c>
      <c r="L40" s="10">
        <v>0</v>
      </c>
      <c r="M40" s="16">
        <f t="shared" si="12"/>
        <v>11327156</v>
      </c>
      <c r="N40" s="11">
        <v>931449</v>
      </c>
      <c r="O40" s="37">
        <f t="shared" si="13"/>
        <v>14869374.66</v>
      </c>
      <c r="P40" s="11">
        <v>-258432.84999999963</v>
      </c>
      <c r="Q40" s="69">
        <f>'1. Pg4'!N35</f>
        <v>-154333</v>
      </c>
      <c r="R40" s="37">
        <f t="shared" si="3"/>
        <v>14765274.810000001</v>
      </c>
      <c r="S40" s="11">
        <v>-770661.8</v>
      </c>
      <c r="T40" s="37">
        <f t="shared" si="10"/>
        <v>13994613.01</v>
      </c>
      <c r="U40" s="48">
        <f t="shared" si="18"/>
        <v>18174144.470658433</v>
      </c>
      <c r="V40" s="24">
        <v>121032000</v>
      </c>
      <c r="W40" s="25">
        <v>299205000</v>
      </c>
      <c r="X40" s="28">
        <f t="shared" si="14"/>
        <v>420237000</v>
      </c>
      <c r="Y40" s="24">
        <v>0</v>
      </c>
      <c r="Z40" s="25">
        <v>26745000</v>
      </c>
      <c r="AA40" s="25">
        <v>21316836</v>
      </c>
      <c r="AB40" s="28">
        <f t="shared" si="15"/>
        <v>48061836</v>
      </c>
      <c r="AC40" s="31">
        <f t="shared" si="16"/>
        <v>372175164</v>
      </c>
      <c r="AD40" s="101">
        <f>'Historical Sales'!K10</f>
        <v>478378515</v>
      </c>
      <c r="AE40" s="71">
        <f>(U40+U39+U38)/(AD40+AD39+AD38)</f>
        <v>4.0789866022945875E-2</v>
      </c>
      <c r="AF40" s="33">
        <v>3.3799999999999997E-2</v>
      </c>
      <c r="AG40" s="73">
        <f t="shared" si="17"/>
        <v>6.9898660229458787E-3</v>
      </c>
      <c r="AH40" s="37">
        <f t="shared" si="19"/>
        <v>-13787565.427648677</v>
      </c>
    </row>
    <row r="41" spans="1:35" x14ac:dyDescent="0.2">
      <c r="A41" s="51">
        <v>45809</v>
      </c>
      <c r="B41" s="51">
        <v>45870</v>
      </c>
      <c r="C41" s="9">
        <v>9601209.5500000007</v>
      </c>
      <c r="D41" s="10">
        <v>1026257.44</v>
      </c>
      <c r="E41" s="10">
        <v>4199683.7</v>
      </c>
      <c r="F41" s="10">
        <v>0</v>
      </c>
      <c r="G41" s="10">
        <v>0</v>
      </c>
      <c r="H41" s="10">
        <v>0</v>
      </c>
      <c r="I41" s="16">
        <f t="shared" si="11"/>
        <v>14827150.690000001</v>
      </c>
      <c r="J41" s="9">
        <v>0</v>
      </c>
      <c r="K41" s="10">
        <v>10322046</v>
      </c>
      <c r="L41" s="10">
        <v>0</v>
      </c>
      <c r="M41" s="16">
        <f t="shared" si="12"/>
        <v>10322046</v>
      </c>
      <c r="N41" s="11">
        <v>4577542</v>
      </c>
      <c r="O41" s="37">
        <f t="shared" si="13"/>
        <v>20571654.690000001</v>
      </c>
      <c r="P41" s="11">
        <v>-2104483.2800000012</v>
      </c>
      <c r="Q41" s="69">
        <f>'1. Pg4'!N36</f>
        <v>-228273</v>
      </c>
      <c r="R41" s="37">
        <f t="shared" si="3"/>
        <v>18695444.41</v>
      </c>
      <c r="S41" s="11">
        <v>1772570.5700000005</v>
      </c>
      <c r="T41" s="37">
        <f t="shared" si="10"/>
        <v>20468014.98</v>
      </c>
      <c r="U41" s="48">
        <f t="shared" si="18"/>
        <v>18407133.014825098</v>
      </c>
      <c r="V41" s="24">
        <v>293362000</v>
      </c>
      <c r="W41" s="25">
        <v>255678000</v>
      </c>
      <c r="X41" s="28">
        <f t="shared" si="14"/>
        <v>549040000</v>
      </c>
      <c r="Y41" s="24">
        <v>0</v>
      </c>
      <c r="Z41" s="25">
        <v>90341000</v>
      </c>
      <c r="AA41" s="25">
        <v>17370804</v>
      </c>
      <c r="AB41" s="28">
        <f t="shared" si="15"/>
        <v>107711804</v>
      </c>
      <c r="AC41" s="31">
        <f t="shared" si="16"/>
        <v>441328196</v>
      </c>
      <c r="AD41" s="101">
        <f>'Historical Sales'!K11</f>
        <v>465090647</v>
      </c>
      <c r="AE41" s="71">
        <f>AE40</f>
        <v>4.0789866022945875E-2</v>
      </c>
      <c r="AF41" s="33">
        <v>3.3799999999999997E-2</v>
      </c>
      <c r="AG41" s="73">
        <f t="shared" si="17"/>
        <v>6.9898660229458787E-3</v>
      </c>
      <c r="AH41" s="37">
        <f t="shared" si="19"/>
        <v>-15848447.392823579</v>
      </c>
    </row>
    <row r="42" spans="1:35" x14ac:dyDescent="0.2">
      <c r="A42" s="51">
        <v>45839</v>
      </c>
      <c r="B42" s="51">
        <v>45901</v>
      </c>
      <c r="C42" s="9">
        <v>9639698.9399999995</v>
      </c>
      <c r="D42" s="10">
        <v>310596.71999999997</v>
      </c>
      <c r="E42" s="10">
        <v>5005996.97</v>
      </c>
      <c r="F42" s="10">
        <v>0</v>
      </c>
      <c r="G42" s="10">
        <v>0</v>
      </c>
      <c r="H42" s="10">
        <v>0</v>
      </c>
      <c r="I42" s="16">
        <f t="shared" si="11"/>
        <v>14956292.629999999</v>
      </c>
      <c r="J42" s="9">
        <v>0</v>
      </c>
      <c r="K42" s="10">
        <v>10472232.41</v>
      </c>
      <c r="L42" s="10">
        <v>0</v>
      </c>
      <c r="M42" s="16">
        <f t="shared" si="12"/>
        <v>10472232.41</v>
      </c>
      <c r="N42" s="11">
        <v>3555853.0819999999</v>
      </c>
      <c r="O42" s="37">
        <f t="shared" si="13"/>
        <v>21872671.958000001</v>
      </c>
      <c r="P42" s="11">
        <v>-164316.07600000128</v>
      </c>
      <c r="Q42" s="69">
        <f>'1. Pg4'!N37</f>
        <v>301675</v>
      </c>
      <c r="R42" s="37">
        <f t="shared" si="3"/>
        <v>21406680.881999999</v>
      </c>
      <c r="S42" s="11">
        <v>1457841.25</v>
      </c>
      <c r="T42" s="37">
        <f t="shared" si="10"/>
        <v>22864522.131999999</v>
      </c>
      <c r="U42" s="48">
        <f t="shared" si="18"/>
        <v>18817954.388001975</v>
      </c>
      <c r="V42" s="24">
        <v>410518000</v>
      </c>
      <c r="W42" s="25">
        <v>162349000</v>
      </c>
      <c r="X42" s="28">
        <f t="shared" si="14"/>
        <v>572867000</v>
      </c>
      <c r="Y42" s="24">
        <v>0</v>
      </c>
      <c r="Z42" s="25">
        <v>45144000</v>
      </c>
      <c r="AA42" s="25">
        <v>22962393</v>
      </c>
      <c r="AB42" s="28">
        <f t="shared" si="15"/>
        <v>68106393</v>
      </c>
      <c r="AC42" s="31">
        <f t="shared" si="16"/>
        <v>504760607</v>
      </c>
      <c r="AD42" s="101">
        <f>'Historical Sales'!K12</f>
        <v>405113871.5</v>
      </c>
      <c r="AE42" s="71">
        <f>AE41</f>
        <v>4.0789866022945875E-2</v>
      </c>
      <c r="AF42" s="33">
        <v>3.3799999999999997E-2</v>
      </c>
      <c r="AG42" s="73">
        <f t="shared" si="17"/>
        <v>6.9898660229458787E-3</v>
      </c>
      <c r="AH42" s="37">
        <f t="shared" si="19"/>
        <v>-19895015.136821605</v>
      </c>
    </row>
    <row r="43" spans="1:35" x14ac:dyDescent="0.2">
      <c r="A43" s="51">
        <v>45870</v>
      </c>
      <c r="B43" s="51">
        <v>45931</v>
      </c>
      <c r="C43" s="9">
        <v>7211243.7999999998</v>
      </c>
      <c r="D43" s="10">
        <v>229206.49</v>
      </c>
      <c r="E43" s="10">
        <v>4478586.49</v>
      </c>
      <c r="F43" s="10">
        <v>0</v>
      </c>
      <c r="G43" s="10">
        <v>0</v>
      </c>
      <c r="H43" s="10">
        <v>0</v>
      </c>
      <c r="I43" s="16">
        <f t="shared" si="11"/>
        <v>11919036.780000001</v>
      </c>
      <c r="J43" s="9">
        <v>0</v>
      </c>
      <c r="K43" s="10">
        <v>5494884</v>
      </c>
      <c r="L43" s="10">
        <v>0</v>
      </c>
      <c r="M43" s="16">
        <f t="shared" si="12"/>
        <v>5494884</v>
      </c>
      <c r="N43" s="11">
        <v>2117358</v>
      </c>
      <c r="O43" s="37">
        <f t="shared" si="13"/>
        <v>15296562.780000001</v>
      </c>
      <c r="P43" s="11">
        <v>-2691105.2349900007</v>
      </c>
      <c r="Q43" s="69">
        <f>'1. Pg4'!N38</f>
        <v>110473</v>
      </c>
      <c r="R43" s="37">
        <f t="shared" si="3"/>
        <v>12494984.54501</v>
      </c>
      <c r="S43" s="11">
        <v>467096.12</v>
      </c>
      <c r="T43" s="37">
        <f t="shared" si="10"/>
        <v>12962080.66501</v>
      </c>
      <c r="U43" s="48">
        <f t="shared" si="18"/>
        <v>18512155.509252805</v>
      </c>
      <c r="V43" s="24">
        <v>350400000</v>
      </c>
      <c r="W43" s="25">
        <v>169471000</v>
      </c>
      <c r="X43" s="28">
        <f t="shared" si="14"/>
        <v>519871000</v>
      </c>
      <c r="Y43" s="24">
        <v>0</v>
      </c>
      <c r="Z43" s="25">
        <v>61334000</v>
      </c>
      <c r="AA43" s="25">
        <v>21463515</v>
      </c>
      <c r="AB43" s="28">
        <f t="shared" si="15"/>
        <v>82797515</v>
      </c>
      <c r="AC43" s="31">
        <f t="shared" si="16"/>
        <v>437073485</v>
      </c>
      <c r="AD43" s="101">
        <f>'Historical Sales'!K13</f>
        <v>392794794</v>
      </c>
      <c r="AE43" s="71">
        <f>(U43+U42+U41)/(AD43+AD42+AD41)</f>
        <v>4.4130857681745475E-2</v>
      </c>
      <c r="AF43" s="33">
        <v>3.3799999999999997E-2</v>
      </c>
      <c r="AG43" s="73">
        <f t="shared" si="17"/>
        <v>1.0330857681745478E-2</v>
      </c>
      <c r="AH43" s="37">
        <f t="shared" si="19"/>
        <v>-14344940.2925788</v>
      </c>
    </row>
    <row r="44" spans="1:35" x14ac:dyDescent="0.2">
      <c r="A44" s="51">
        <v>45901</v>
      </c>
      <c r="B44" s="51">
        <v>45962</v>
      </c>
      <c r="C44" s="9">
        <v>2473641.0099999998</v>
      </c>
      <c r="D44" s="10">
        <v>191928.15</v>
      </c>
      <c r="E44" s="10">
        <v>2137023.79</v>
      </c>
      <c r="F44" s="10">
        <v>0</v>
      </c>
      <c r="G44" s="10">
        <v>0</v>
      </c>
      <c r="H44" s="10">
        <v>0</v>
      </c>
      <c r="I44" s="16">
        <f t="shared" si="11"/>
        <v>4802592.9499999993</v>
      </c>
      <c r="J44" s="9">
        <v>0</v>
      </c>
      <c r="K44" s="10">
        <v>11149256</v>
      </c>
      <c r="L44" s="10">
        <v>0</v>
      </c>
      <c r="M44" s="16">
        <f t="shared" si="12"/>
        <v>11149256</v>
      </c>
      <c r="N44" s="11">
        <v>1018688</v>
      </c>
      <c r="O44" s="37">
        <f t="shared" si="13"/>
        <v>14933160.949999999</v>
      </c>
      <c r="P44" s="11">
        <v>-366791.87999999896</v>
      </c>
      <c r="Q44" s="69">
        <f>'1. Pg4'!N39</f>
        <v>-246299</v>
      </c>
      <c r="R44" s="37">
        <f t="shared" si="3"/>
        <v>14812668.07</v>
      </c>
      <c r="S44" s="11">
        <v>734418.41999999993</v>
      </c>
      <c r="T44" s="37">
        <f t="shared" si="10"/>
        <v>15547086.49</v>
      </c>
      <c r="U44" s="48">
        <f t="shared" si="18"/>
        <v>18569657.349483475</v>
      </c>
      <c r="V44" s="24">
        <v>135750000</v>
      </c>
      <c r="W44" s="25">
        <v>276022000</v>
      </c>
      <c r="X44" s="28">
        <f t="shared" si="14"/>
        <v>411772000</v>
      </c>
      <c r="Y44" s="24">
        <v>0</v>
      </c>
      <c r="Z44" s="25">
        <v>32495000</v>
      </c>
      <c r="AA44" s="25">
        <v>16819593</v>
      </c>
      <c r="AB44" s="28">
        <f t="shared" si="15"/>
        <v>49314593</v>
      </c>
      <c r="AC44" s="31">
        <f t="shared" si="16"/>
        <v>362457407</v>
      </c>
      <c r="AD44" s="101">
        <f>'Historical Sales'!K14</f>
        <v>425146754.5</v>
      </c>
      <c r="AE44" s="71">
        <f>AE43</f>
        <v>4.4130857681745475E-2</v>
      </c>
      <c r="AF44" s="33">
        <v>3.3799999999999997E-2</v>
      </c>
      <c r="AG44" s="73">
        <f t="shared" si="17"/>
        <v>1.0330857681745478E-2</v>
      </c>
      <c r="AH44" s="37">
        <f t="shared" si="19"/>
        <v>-11322369.433095325</v>
      </c>
    </row>
    <row r="45" spans="1:35" x14ac:dyDescent="0.2">
      <c r="A45" s="51">
        <v>45931</v>
      </c>
      <c r="B45" s="51">
        <v>45992</v>
      </c>
      <c r="C45" s="9">
        <v>9776000.9299999997</v>
      </c>
      <c r="D45" s="10">
        <v>299158.57000000007</v>
      </c>
      <c r="E45" s="10">
        <v>618586.98</v>
      </c>
      <c r="F45" s="10">
        <v>0</v>
      </c>
      <c r="G45" s="10">
        <v>0</v>
      </c>
      <c r="H45" s="10">
        <v>0</v>
      </c>
      <c r="I45" s="16">
        <f t="shared" si="11"/>
        <v>10693746.48</v>
      </c>
      <c r="J45" s="9">
        <v>0</v>
      </c>
      <c r="K45" s="10">
        <v>10013201.297</v>
      </c>
      <c r="L45" s="10">
        <v>0</v>
      </c>
      <c r="M45" s="16">
        <f t="shared" si="12"/>
        <v>10013201.297</v>
      </c>
      <c r="N45" s="11">
        <v>2824145.1169999996</v>
      </c>
      <c r="O45" s="37">
        <f t="shared" si="13"/>
        <v>17882802.660000004</v>
      </c>
      <c r="P45" s="11">
        <v>-1697616.4776785076</v>
      </c>
      <c r="Q45" s="69">
        <f>'1. Pg4'!N40</f>
        <v>-712880</v>
      </c>
      <c r="R45" s="37">
        <f t="shared" si="3"/>
        <v>16898066.182321496</v>
      </c>
      <c r="S45" s="11">
        <v>-488036.95999999979</v>
      </c>
      <c r="T45" s="37">
        <f t="shared" si="10"/>
        <v>16410029.222321497</v>
      </c>
      <c r="U45" s="48">
        <f t="shared" si="18"/>
        <v>18756028.543736853</v>
      </c>
      <c r="V45" s="24">
        <v>253108000</v>
      </c>
      <c r="W45" s="25">
        <v>207166000</v>
      </c>
      <c r="X45" s="28">
        <f t="shared" si="14"/>
        <v>460274000</v>
      </c>
      <c r="Y45" s="24">
        <v>0</v>
      </c>
      <c r="Z45" s="25">
        <v>53883000</v>
      </c>
      <c r="AA45" s="25">
        <v>19852871</v>
      </c>
      <c r="AB45" s="28">
        <f t="shared" si="15"/>
        <v>73735871</v>
      </c>
      <c r="AC45" s="31">
        <f t="shared" si="16"/>
        <v>386538129</v>
      </c>
      <c r="AD45" s="101">
        <f>'Historical Sales'!K15</f>
        <v>478864417</v>
      </c>
      <c r="AE45" s="71">
        <f>AE44</f>
        <v>4.4130857681745475E-2</v>
      </c>
      <c r="AF45" s="33">
        <v>3.3799999999999997E-2</v>
      </c>
      <c r="AG45" s="73">
        <f t="shared" si="17"/>
        <v>1.0330857681745478E-2</v>
      </c>
      <c r="AH45" s="37">
        <f t="shared" si="19"/>
        <v>-8976370.1116799694</v>
      </c>
    </row>
    <row r="46" spans="1:35" x14ac:dyDescent="0.2">
      <c r="A46" s="51">
        <v>45962</v>
      </c>
      <c r="B46" s="51">
        <v>46023</v>
      </c>
      <c r="C46" s="9">
        <v>8506193.7199999988</v>
      </c>
      <c r="D46" s="10">
        <v>295059.15999999992</v>
      </c>
      <c r="E46" s="10">
        <v>3778212.0999999996</v>
      </c>
      <c r="F46" s="10">
        <v>0</v>
      </c>
      <c r="G46" s="10">
        <v>0</v>
      </c>
      <c r="H46" s="10">
        <v>0</v>
      </c>
      <c r="I46" s="16">
        <f t="shared" si="11"/>
        <v>12579464.979999999</v>
      </c>
      <c r="J46" s="9">
        <v>0</v>
      </c>
      <c r="K46" s="10">
        <v>10549355</v>
      </c>
      <c r="L46" s="10">
        <v>0</v>
      </c>
      <c r="M46" s="16">
        <f t="shared" si="12"/>
        <v>10549355</v>
      </c>
      <c r="N46" s="11">
        <v>5875246.2100000009</v>
      </c>
      <c r="O46" s="37">
        <f t="shared" si="13"/>
        <v>17253573.769999996</v>
      </c>
      <c r="P46" s="11">
        <v>-2550539.322004931</v>
      </c>
      <c r="Q46" s="69">
        <f>'1. Pg4'!N41</f>
        <v>-476109</v>
      </c>
      <c r="R46" s="37">
        <f t="shared" si="3"/>
        <v>15179143.447995065</v>
      </c>
      <c r="S46" s="11">
        <v>690056.16000000038</v>
      </c>
      <c r="T46" s="37">
        <f t="shared" si="10"/>
        <v>15869199.607995065</v>
      </c>
      <c r="U46" s="48">
        <f t="shared" si="18"/>
        <v>18775447.193771135</v>
      </c>
      <c r="V46" s="24">
        <v>338098000</v>
      </c>
      <c r="W46" s="25">
        <v>221814000</v>
      </c>
      <c r="X46" s="28">
        <f t="shared" si="14"/>
        <v>559912000</v>
      </c>
      <c r="Y46" s="24">
        <v>0</v>
      </c>
      <c r="Z46" s="25">
        <v>127655000</v>
      </c>
      <c r="AA46" s="25">
        <v>22881757</v>
      </c>
      <c r="AB46" s="28">
        <f t="shared" si="15"/>
        <v>150536757</v>
      </c>
      <c r="AC46" s="31">
        <f t="shared" si="16"/>
        <v>409375243</v>
      </c>
      <c r="AD46" s="101"/>
      <c r="AE46" s="71"/>
      <c r="AF46" s="33"/>
      <c r="AG46" s="73"/>
      <c r="AH46" s="37"/>
    </row>
    <row r="47" spans="1:35" ht="13.5" thickBot="1" x14ac:dyDescent="0.25">
      <c r="A47" s="51">
        <v>45992</v>
      </c>
      <c r="B47" s="51">
        <v>46054</v>
      </c>
      <c r="C47" s="12">
        <v>7484498.2699999986</v>
      </c>
      <c r="D47" s="13">
        <v>422823.41</v>
      </c>
      <c r="E47" s="13">
        <v>5135400.88</v>
      </c>
      <c r="F47" s="13">
        <v>0</v>
      </c>
      <c r="G47" s="13">
        <v>0</v>
      </c>
      <c r="H47" s="13">
        <v>0</v>
      </c>
      <c r="I47" s="17">
        <f t="shared" si="11"/>
        <v>13042722.559999999</v>
      </c>
      <c r="J47" s="12">
        <v>0</v>
      </c>
      <c r="K47" s="13">
        <v>11195248.76</v>
      </c>
      <c r="L47" s="13">
        <v>0</v>
      </c>
      <c r="M47" s="17">
        <f t="shared" si="12"/>
        <v>11195248.76</v>
      </c>
      <c r="N47" s="14">
        <v>2073214.496</v>
      </c>
      <c r="O47" s="38">
        <f t="shared" si="13"/>
        <v>22164756.824000001</v>
      </c>
      <c r="P47" s="14">
        <v>-874632.74927384034</v>
      </c>
      <c r="Q47" s="70">
        <f>'1. Pg4'!N42</f>
        <v>257153</v>
      </c>
      <c r="R47" s="38">
        <f t="shared" si="3"/>
        <v>21032971.074726161</v>
      </c>
      <c r="S47" s="14">
        <v>63926.51999999932</v>
      </c>
      <c r="T47" s="38">
        <f t="shared" si="10"/>
        <v>21096897.59472616</v>
      </c>
      <c r="U47" s="49">
        <f t="shared" si="18"/>
        <v>18924227.339062542</v>
      </c>
      <c r="V47" s="26">
        <v>344193000</v>
      </c>
      <c r="W47" s="27">
        <v>239435000</v>
      </c>
      <c r="X47" s="29">
        <f t="shared" si="14"/>
        <v>583628000</v>
      </c>
      <c r="Y47" s="26">
        <v>0</v>
      </c>
      <c r="Z47" s="27">
        <v>46709000</v>
      </c>
      <c r="AA47" s="27">
        <v>29924225</v>
      </c>
      <c r="AB47" s="29">
        <f t="shared" si="15"/>
        <v>76633225</v>
      </c>
      <c r="AC47" s="32">
        <f t="shared" si="16"/>
        <v>506994775</v>
      </c>
      <c r="AD47" s="102"/>
      <c r="AE47" s="72"/>
      <c r="AF47" s="40"/>
      <c r="AG47" s="74"/>
      <c r="AH47" s="38"/>
      <c r="AI47" s="99"/>
    </row>
    <row r="48" spans="1:35" x14ac:dyDescent="0.2"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</row>
    <row r="49" spans="17:33" x14ac:dyDescent="0.2"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</row>
    <row r="50" spans="17:33" x14ac:dyDescent="0.2"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</row>
    <row r="51" spans="17:33" x14ac:dyDescent="0.2">
      <c r="Q51" s="99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</row>
    <row r="52" spans="17:33" x14ac:dyDescent="0.2"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</row>
    <row r="53" spans="17:33" x14ac:dyDescent="0.2"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</row>
  </sheetData>
  <mergeCells count="8">
    <mergeCell ref="C4:U4"/>
    <mergeCell ref="V4:AC4"/>
    <mergeCell ref="AE4:AG4"/>
    <mergeCell ref="C5:I5"/>
    <mergeCell ref="J5:M5"/>
    <mergeCell ref="V5:X5"/>
    <mergeCell ref="Y5:AB5"/>
    <mergeCell ref="AE5:AG5"/>
  </mergeCells>
  <pageMargins left="0.7" right="0.7" top="0.75" bottom="0.75" header="0.3" footer="0.3"/>
  <ignoredErrors>
    <ignoredError sqref="AE27 AE29:AE30 AE32:AE33 AE35:AE36 AE38:AE39 AE41:AE42 AE44:AE45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70D53-163D-4A65-AAEA-DC06033F7745}">
  <dimension ref="A3:U48"/>
  <sheetViews>
    <sheetView zoomScale="80" zoomScaleNormal="80" workbookViewId="0">
      <selection activeCell="F26" sqref="F26"/>
    </sheetView>
  </sheetViews>
  <sheetFormatPr defaultRowHeight="12.75" x14ac:dyDescent="0.2"/>
  <cols>
    <col min="1" max="3" width="9.140625" style="1"/>
    <col min="4" max="4" width="14.28515625" style="1" customWidth="1"/>
    <col min="5" max="5" width="13.85546875" style="1" bestFit="1" customWidth="1"/>
    <col min="6" max="6" width="13.42578125" style="1" bestFit="1" customWidth="1"/>
    <col min="7" max="7" width="12" style="1" bestFit="1" customWidth="1"/>
    <col min="8" max="8" width="13.42578125" style="1" bestFit="1" customWidth="1"/>
    <col min="9" max="9" width="15.5703125" style="1" customWidth="1"/>
    <col min="10" max="10" width="13" style="1" bestFit="1" customWidth="1"/>
    <col min="11" max="12" width="13.42578125" style="1" bestFit="1" customWidth="1"/>
    <col min="13" max="13" width="9.140625" style="1"/>
    <col min="14" max="14" width="13" style="1" bestFit="1" customWidth="1"/>
    <col min="15" max="15" width="10.7109375" style="1" bestFit="1" customWidth="1"/>
    <col min="16" max="16384" width="9.140625" style="1"/>
  </cols>
  <sheetData>
    <row r="3" spans="1:21" ht="38.25" x14ac:dyDescent="0.2">
      <c r="A3" s="2" t="s">
        <v>0</v>
      </c>
      <c r="B3" s="2" t="s">
        <v>52</v>
      </c>
      <c r="C3" s="2" t="s">
        <v>45</v>
      </c>
      <c r="D3" s="2" t="s">
        <v>46</v>
      </c>
      <c r="E3" s="2" t="s">
        <v>47</v>
      </c>
      <c r="F3" s="2" t="s">
        <v>48</v>
      </c>
      <c r="G3" s="2" t="s">
        <v>54</v>
      </c>
      <c r="H3" s="2" t="s">
        <v>55</v>
      </c>
      <c r="I3" s="2" t="s">
        <v>49</v>
      </c>
      <c r="J3" s="2" t="s">
        <v>50</v>
      </c>
      <c r="K3" s="2" t="s">
        <v>57</v>
      </c>
      <c r="L3" s="2" t="s">
        <v>53</v>
      </c>
      <c r="M3" s="2" t="s">
        <v>56</v>
      </c>
      <c r="N3" s="2" t="s">
        <v>51</v>
      </c>
      <c r="O3" s="2"/>
      <c r="P3" s="2"/>
      <c r="Q3" s="2"/>
      <c r="R3" s="2"/>
      <c r="S3" s="2"/>
      <c r="T3" s="2"/>
      <c r="U3" s="2"/>
    </row>
    <row r="4" spans="1:21" s="54" customFormat="1" x14ac:dyDescent="0.25">
      <c r="A4" s="2"/>
      <c r="B4" s="4"/>
      <c r="C4" s="53"/>
      <c r="D4" s="53"/>
      <c r="E4" s="4"/>
      <c r="F4" s="4"/>
      <c r="G4" s="53" t="s">
        <v>58</v>
      </c>
      <c r="H4" s="53"/>
      <c r="I4" s="53"/>
      <c r="J4" s="53"/>
    </row>
    <row r="5" spans="1:21" s="54" customFormat="1" x14ac:dyDescent="0.2">
      <c r="A5" s="51">
        <v>44805</v>
      </c>
      <c r="B5" s="51">
        <v>44866</v>
      </c>
      <c r="C5" s="50">
        <f>ROUND('1. Rate Calc'!AG8,5)</f>
        <v>4.1300000000000003E-2</v>
      </c>
      <c r="D5" s="23">
        <v>389522664</v>
      </c>
      <c r="E5" s="55">
        <f t="shared" ref="E5:E7" si="0">ROUND(C5*D5,0)</f>
        <v>16087286</v>
      </c>
      <c r="F5" s="56">
        <v>404267144</v>
      </c>
      <c r="G5" s="23">
        <v>5579291</v>
      </c>
      <c r="H5" s="58">
        <f t="shared" ref="H5:H7" si="1">F5-G5</f>
        <v>398687853</v>
      </c>
      <c r="I5" s="55">
        <f t="shared" ref="I5:I7" si="2">C5*H5</f>
        <v>16465808.328900002</v>
      </c>
      <c r="J5" s="59">
        <f t="shared" ref="J5:J7" si="3">E5-I5</f>
        <v>-378522.32890000194</v>
      </c>
      <c r="K5" s="23">
        <v>440706130</v>
      </c>
      <c r="L5" s="23">
        <v>434496172</v>
      </c>
      <c r="M5" s="62">
        <f t="shared" ref="M5:M7" si="4">ROUND(K5/L5,5)</f>
        <v>1.0142899999999999</v>
      </c>
      <c r="N5" s="59">
        <f t="shared" ref="N5:N7" si="5">ROUND(J5*M5,0)</f>
        <v>-383931</v>
      </c>
    </row>
    <row r="6" spans="1:21" s="54" customFormat="1" x14ac:dyDescent="0.2">
      <c r="A6" s="51">
        <v>44835</v>
      </c>
      <c r="B6" s="51">
        <v>44896</v>
      </c>
      <c r="C6" s="50">
        <f>ROUND('1. Rate Calc'!AG9,5)</f>
        <v>4.1939999999999998E-2</v>
      </c>
      <c r="D6" s="23">
        <v>495513800</v>
      </c>
      <c r="E6" s="55">
        <f t="shared" si="0"/>
        <v>20781849</v>
      </c>
      <c r="F6" s="56">
        <v>405052299</v>
      </c>
      <c r="G6" s="23">
        <v>5389072</v>
      </c>
      <c r="H6" s="58">
        <f t="shared" si="1"/>
        <v>399663227</v>
      </c>
      <c r="I6" s="55">
        <f t="shared" si="2"/>
        <v>16761875.740379998</v>
      </c>
      <c r="J6" s="59">
        <f t="shared" si="3"/>
        <v>4019973.2596200015</v>
      </c>
      <c r="K6" s="23">
        <v>530871212</v>
      </c>
      <c r="L6" s="23">
        <v>523234196</v>
      </c>
      <c r="M6" s="62">
        <f t="shared" si="4"/>
        <v>1.0145999999999999</v>
      </c>
      <c r="N6" s="59">
        <f t="shared" si="5"/>
        <v>4078665</v>
      </c>
    </row>
    <row r="7" spans="1:21" s="54" customFormat="1" x14ac:dyDescent="0.2">
      <c r="A7" s="51">
        <v>44866</v>
      </c>
      <c r="B7" s="51">
        <v>44927</v>
      </c>
      <c r="C7" s="50">
        <f>ROUND('1. Rate Calc'!AG10,5)</f>
        <v>3.7830000000000003E-2</v>
      </c>
      <c r="D7" s="23">
        <v>550260592</v>
      </c>
      <c r="E7" s="55">
        <f t="shared" si="0"/>
        <v>20816358</v>
      </c>
      <c r="F7" s="61">
        <f>K5</f>
        <v>440706130</v>
      </c>
      <c r="G7" s="23">
        <v>6209958</v>
      </c>
      <c r="H7" s="58">
        <f t="shared" si="1"/>
        <v>434496172</v>
      </c>
      <c r="I7" s="55">
        <f t="shared" si="2"/>
        <v>16436990.186760001</v>
      </c>
      <c r="J7" s="59">
        <f t="shared" si="3"/>
        <v>4379367.8132399991</v>
      </c>
      <c r="K7" s="23">
        <v>499846850</v>
      </c>
      <c r="L7" s="23">
        <v>492610248</v>
      </c>
      <c r="M7" s="62">
        <f t="shared" si="4"/>
        <v>1.0146900000000001</v>
      </c>
      <c r="N7" s="59">
        <f t="shared" si="5"/>
        <v>4443701</v>
      </c>
    </row>
    <row r="8" spans="1:21" x14ac:dyDescent="0.2">
      <c r="A8" s="51">
        <v>44896</v>
      </c>
      <c r="B8" s="51">
        <v>44958</v>
      </c>
      <c r="C8" s="50">
        <f>ROUND('1. Rate Calc'!AG11,5)</f>
        <v>5.1130000000000002E-2</v>
      </c>
      <c r="D8" s="23">
        <v>461611640</v>
      </c>
      <c r="E8" s="55">
        <f>ROUND(C8*D8,0)</f>
        <v>23602203</v>
      </c>
      <c r="F8" s="61">
        <f>K6</f>
        <v>530871212</v>
      </c>
      <c r="G8" s="23">
        <v>7637016</v>
      </c>
      <c r="H8" s="58">
        <f>F8-G8</f>
        <v>523234196</v>
      </c>
      <c r="I8" s="55">
        <f>C8*H8</f>
        <v>26752964.44148</v>
      </c>
      <c r="J8" s="59">
        <f>E8-I8</f>
        <v>-3150761.4414799996</v>
      </c>
      <c r="K8" s="23">
        <v>421121053</v>
      </c>
      <c r="L8" s="23">
        <v>415109658</v>
      </c>
      <c r="M8" s="62">
        <f>ROUND(K8/L8,5)</f>
        <v>1.01448</v>
      </c>
      <c r="N8" s="59">
        <f>ROUND(J8*M8,0)</f>
        <v>-3196384</v>
      </c>
    </row>
    <row r="9" spans="1:21" x14ac:dyDescent="0.2">
      <c r="A9" s="51">
        <v>44927</v>
      </c>
      <c r="B9" s="51">
        <v>44986</v>
      </c>
      <c r="C9" s="50">
        <f>ROUND('1. Rate Calc'!AG12,5)</f>
        <v>-1.8880000000000001E-2</v>
      </c>
      <c r="D9" s="23">
        <v>431163653</v>
      </c>
      <c r="E9" s="55">
        <f>ROUND(C9*D9,0)</f>
        <v>-8140370</v>
      </c>
      <c r="F9" s="61">
        <f>K7</f>
        <v>499846850</v>
      </c>
      <c r="G9" s="23">
        <v>7236602</v>
      </c>
      <c r="H9" s="58">
        <f t="shared" ref="H9:H42" si="6">F9-G9</f>
        <v>492610248</v>
      </c>
      <c r="I9" s="55">
        <f t="shared" ref="I9:I42" si="7">C9*H9</f>
        <v>-9300481.4822400007</v>
      </c>
      <c r="J9" s="59">
        <f t="shared" ref="J9:J42" si="8">E9-I9</f>
        <v>1160111.4822400007</v>
      </c>
      <c r="K9" s="23">
        <v>451733027</v>
      </c>
      <c r="L9" s="23">
        <v>445486178</v>
      </c>
      <c r="M9" s="62">
        <f t="shared" ref="M9:M42" si="9">ROUND(K9/L9,5)</f>
        <v>1.0140199999999999</v>
      </c>
      <c r="N9" s="59">
        <f t="shared" ref="N9:N42" si="10">ROUND(J9*M9,0)</f>
        <v>1176376</v>
      </c>
    </row>
    <row r="10" spans="1:21" x14ac:dyDescent="0.2">
      <c r="A10" s="51">
        <v>44958</v>
      </c>
      <c r="B10" s="51">
        <v>45017</v>
      </c>
      <c r="C10" s="50">
        <f>ROUND('1. Rate Calc'!AG13,5)</f>
        <v>1.6830000000000001E-2</v>
      </c>
      <c r="D10" s="23">
        <v>418054513</v>
      </c>
      <c r="E10" s="55">
        <f t="shared" ref="E10:E42" si="11">ROUND(C10*D10,0)</f>
        <v>7035857</v>
      </c>
      <c r="F10" s="61">
        <f>K8</f>
        <v>421121053</v>
      </c>
      <c r="G10" s="23">
        <v>6011395</v>
      </c>
      <c r="H10" s="58">
        <f t="shared" si="6"/>
        <v>415109658</v>
      </c>
      <c r="I10" s="55">
        <f t="shared" si="7"/>
        <v>6986295.5441400008</v>
      </c>
      <c r="J10" s="59">
        <f t="shared" si="8"/>
        <v>49561.455859999172</v>
      </c>
      <c r="K10" s="23">
        <v>388944272</v>
      </c>
      <c r="L10" s="23">
        <v>383942498</v>
      </c>
      <c r="M10" s="62">
        <f t="shared" si="9"/>
        <v>1.0130300000000001</v>
      </c>
      <c r="N10" s="59">
        <f t="shared" si="10"/>
        <v>50207</v>
      </c>
    </row>
    <row r="11" spans="1:21" x14ac:dyDescent="0.2">
      <c r="A11" s="51">
        <v>44986</v>
      </c>
      <c r="B11" s="51">
        <v>45047</v>
      </c>
      <c r="C11" s="50">
        <f>ROUND('1. Rate Calc'!AG14,5)</f>
        <v>2.2899999999999999E-3</v>
      </c>
      <c r="D11" s="23">
        <v>392087302</v>
      </c>
      <c r="E11" s="55">
        <f t="shared" si="11"/>
        <v>897880</v>
      </c>
      <c r="F11" s="61">
        <f t="shared" ref="F11:F18" si="12">K9</f>
        <v>451733027</v>
      </c>
      <c r="G11" s="23">
        <v>6246849</v>
      </c>
      <c r="H11" s="58">
        <f t="shared" si="6"/>
        <v>445486178</v>
      </c>
      <c r="I11" s="55">
        <f t="shared" si="7"/>
        <v>1020163.34762</v>
      </c>
      <c r="J11" s="59">
        <f t="shared" si="8"/>
        <v>-122283.34762000002</v>
      </c>
      <c r="K11" s="23">
        <v>398514364</v>
      </c>
      <c r="L11" s="23">
        <v>393305168</v>
      </c>
      <c r="M11" s="62">
        <f t="shared" si="9"/>
        <v>1.0132399999999999</v>
      </c>
      <c r="N11" s="59">
        <f t="shared" si="10"/>
        <v>-123902</v>
      </c>
      <c r="O11" s="57"/>
    </row>
    <row r="12" spans="1:21" x14ac:dyDescent="0.2">
      <c r="A12" s="51">
        <v>45017</v>
      </c>
      <c r="B12" s="51">
        <v>45078</v>
      </c>
      <c r="C12" s="50">
        <f>ROUND('1. Rate Calc'!AG15,5)</f>
        <v>8.6E-3</v>
      </c>
      <c r="D12" s="23">
        <v>399620595</v>
      </c>
      <c r="E12" s="55">
        <f t="shared" si="11"/>
        <v>3436737</v>
      </c>
      <c r="F12" s="61">
        <f t="shared" si="12"/>
        <v>388944272</v>
      </c>
      <c r="G12" s="23">
        <v>5001774</v>
      </c>
      <c r="H12" s="58">
        <f t="shared" si="6"/>
        <v>383942498</v>
      </c>
      <c r="I12" s="55">
        <f t="shared" si="7"/>
        <v>3301905.4827999999</v>
      </c>
      <c r="J12" s="59">
        <f t="shared" si="8"/>
        <v>134831.51720000012</v>
      </c>
      <c r="K12" s="23">
        <v>417684971</v>
      </c>
      <c r="L12" s="23">
        <v>412226079</v>
      </c>
      <c r="M12" s="62">
        <f t="shared" si="9"/>
        <v>1.0132399999999999</v>
      </c>
      <c r="N12" s="59">
        <f t="shared" si="10"/>
        <v>136617</v>
      </c>
    </row>
    <row r="13" spans="1:21" x14ac:dyDescent="0.2">
      <c r="A13" s="51">
        <v>45047</v>
      </c>
      <c r="B13" s="51">
        <v>45108</v>
      </c>
      <c r="C13" s="50">
        <f>ROUND('1. Rate Calc'!AG16,5)</f>
        <v>4.8900000000000002E-3</v>
      </c>
      <c r="D13" s="23">
        <v>431455321</v>
      </c>
      <c r="E13" s="55">
        <f t="shared" si="11"/>
        <v>2109817</v>
      </c>
      <c r="F13" s="61">
        <f t="shared" si="12"/>
        <v>398514364</v>
      </c>
      <c r="G13" s="23">
        <v>5209196</v>
      </c>
      <c r="H13" s="58">
        <f t="shared" si="6"/>
        <v>393305168</v>
      </c>
      <c r="I13" s="55">
        <f t="shared" si="7"/>
        <v>1923262.2715200002</v>
      </c>
      <c r="J13" s="59">
        <f t="shared" si="8"/>
        <v>186554.72847999982</v>
      </c>
      <c r="K13" s="23">
        <v>478933865</v>
      </c>
      <c r="L13" s="23">
        <v>472342583</v>
      </c>
      <c r="M13" s="62">
        <f t="shared" si="9"/>
        <v>1.0139499999999999</v>
      </c>
      <c r="N13" s="59">
        <f t="shared" si="10"/>
        <v>189157</v>
      </c>
    </row>
    <row r="14" spans="1:21" x14ac:dyDescent="0.2">
      <c r="A14" s="51">
        <v>45078</v>
      </c>
      <c r="B14" s="51">
        <v>45139</v>
      </c>
      <c r="C14" s="50">
        <f>ROUND('1. Rate Calc'!AG17,5)</f>
        <v>6.2500000000000003E-3</v>
      </c>
      <c r="D14" s="23">
        <v>457300706</v>
      </c>
      <c r="E14" s="55">
        <f t="shared" si="11"/>
        <v>2858129</v>
      </c>
      <c r="F14" s="61">
        <f t="shared" si="12"/>
        <v>417684971</v>
      </c>
      <c r="G14" s="23">
        <v>5458892</v>
      </c>
      <c r="H14" s="58">
        <f t="shared" si="6"/>
        <v>412226079</v>
      </c>
      <c r="I14" s="55">
        <f t="shared" si="7"/>
        <v>2576412.9937500004</v>
      </c>
      <c r="J14" s="59">
        <f t="shared" si="8"/>
        <v>281716.00624999963</v>
      </c>
      <c r="K14" s="23">
        <v>467128731</v>
      </c>
      <c r="L14" s="23">
        <v>460678769</v>
      </c>
      <c r="M14" s="63">
        <f t="shared" si="9"/>
        <v>1.014</v>
      </c>
      <c r="N14" s="59">
        <f t="shared" si="10"/>
        <v>285660</v>
      </c>
    </row>
    <row r="15" spans="1:21" x14ac:dyDescent="0.2">
      <c r="A15" s="51">
        <v>45108</v>
      </c>
      <c r="B15" s="51">
        <v>45170</v>
      </c>
      <c r="C15" s="50">
        <f>ROUND('1. Rate Calc'!AG18,5)</f>
        <v>8.7799999999999996E-3</v>
      </c>
      <c r="D15" s="23">
        <v>443924653</v>
      </c>
      <c r="E15" s="55">
        <f t="shared" si="11"/>
        <v>3897658</v>
      </c>
      <c r="F15" s="61">
        <f t="shared" si="12"/>
        <v>478933865</v>
      </c>
      <c r="G15" s="23">
        <v>6591282</v>
      </c>
      <c r="H15" s="58">
        <f t="shared" si="6"/>
        <v>472342583</v>
      </c>
      <c r="I15" s="55">
        <f t="shared" si="7"/>
        <v>4147167.8787399996</v>
      </c>
      <c r="J15" s="59">
        <f t="shared" si="8"/>
        <v>-249509.87873999961</v>
      </c>
      <c r="K15" s="23">
        <v>411034614</v>
      </c>
      <c r="L15" s="23">
        <v>405662012</v>
      </c>
      <c r="M15" s="62">
        <f t="shared" si="9"/>
        <v>1.0132399999999999</v>
      </c>
      <c r="N15" s="59">
        <f t="shared" si="10"/>
        <v>-252813</v>
      </c>
    </row>
    <row r="16" spans="1:21" x14ac:dyDescent="0.2">
      <c r="A16" s="51">
        <v>45139</v>
      </c>
      <c r="B16" s="51">
        <v>45200</v>
      </c>
      <c r="C16" s="50">
        <f>ROUND('1. Rate Calc'!AG19,5)</f>
        <v>9.7400000000000004E-3</v>
      </c>
      <c r="D16" s="23">
        <v>382542719</v>
      </c>
      <c r="E16" s="55">
        <f t="shared" si="11"/>
        <v>3725966</v>
      </c>
      <c r="F16" s="61">
        <f t="shared" si="12"/>
        <v>467128731</v>
      </c>
      <c r="G16" s="23">
        <v>6449962</v>
      </c>
      <c r="H16" s="58">
        <f t="shared" si="6"/>
        <v>460678769</v>
      </c>
      <c r="I16" s="55">
        <f t="shared" si="7"/>
        <v>4487011.2100600004</v>
      </c>
      <c r="J16" s="59">
        <f t="shared" si="8"/>
        <v>-761045.21006000042</v>
      </c>
      <c r="K16" s="23">
        <v>385659292</v>
      </c>
      <c r="L16" s="23">
        <v>380499296</v>
      </c>
      <c r="M16" s="62">
        <f t="shared" si="9"/>
        <v>1.01356</v>
      </c>
      <c r="N16" s="59">
        <f t="shared" si="10"/>
        <v>-771365</v>
      </c>
    </row>
    <row r="17" spans="1:14" x14ac:dyDescent="0.2">
      <c r="A17" s="51">
        <v>45170</v>
      </c>
      <c r="B17" s="51">
        <v>45231</v>
      </c>
      <c r="C17" s="50">
        <f>ROUND('1. Rate Calc'!AG20,5)</f>
        <v>7.45E-3</v>
      </c>
      <c r="D17" s="23">
        <v>390469701</v>
      </c>
      <c r="E17" s="55">
        <f t="shared" si="11"/>
        <v>2908999</v>
      </c>
      <c r="F17" s="61">
        <f t="shared" si="12"/>
        <v>411034614</v>
      </c>
      <c r="G17" s="23">
        <v>5372602</v>
      </c>
      <c r="H17" s="58">
        <f t="shared" si="6"/>
        <v>405662012</v>
      </c>
      <c r="I17" s="55">
        <f t="shared" si="7"/>
        <v>3022181.9893999998</v>
      </c>
      <c r="J17" s="59">
        <f t="shared" si="8"/>
        <v>-113182.98939999985</v>
      </c>
      <c r="K17" s="23">
        <v>443997586</v>
      </c>
      <c r="L17" s="23">
        <v>437927110</v>
      </c>
      <c r="M17" s="62">
        <f t="shared" si="9"/>
        <v>1.01386</v>
      </c>
      <c r="N17" s="59">
        <f t="shared" si="10"/>
        <v>-114752</v>
      </c>
    </row>
    <row r="18" spans="1:14" x14ac:dyDescent="0.2">
      <c r="A18" s="51">
        <v>45200</v>
      </c>
      <c r="B18" s="51">
        <v>45261</v>
      </c>
      <c r="C18" s="50">
        <f>ROUND('1. Rate Calc'!AG21,5)</f>
        <v>7.0200000000000002E-3</v>
      </c>
      <c r="D18" s="23">
        <v>486349190</v>
      </c>
      <c r="E18" s="55">
        <f t="shared" si="11"/>
        <v>3414171</v>
      </c>
      <c r="F18" s="61">
        <f t="shared" si="12"/>
        <v>385659292</v>
      </c>
      <c r="G18" s="23">
        <v>5159996</v>
      </c>
      <c r="H18" s="58">
        <f t="shared" si="6"/>
        <v>380499296</v>
      </c>
      <c r="I18" s="55">
        <f t="shared" si="7"/>
        <v>2671105.0579200001</v>
      </c>
      <c r="J18" s="59">
        <f t="shared" si="8"/>
        <v>743065.94207999995</v>
      </c>
      <c r="K18" s="23">
        <v>463175334</v>
      </c>
      <c r="L18" s="23">
        <v>456366124</v>
      </c>
      <c r="M18" s="62">
        <f t="shared" si="9"/>
        <v>1.01492</v>
      </c>
      <c r="N18" s="59">
        <f t="shared" si="10"/>
        <v>754152</v>
      </c>
    </row>
    <row r="19" spans="1:14" x14ac:dyDescent="0.2">
      <c r="A19" s="51">
        <v>45231</v>
      </c>
      <c r="B19" s="51">
        <v>45292</v>
      </c>
      <c r="C19" s="80">
        <f>ROUND('1. Rate Calc'!AG22,5)</f>
        <v>8.3700000000000007E-3</v>
      </c>
      <c r="D19" s="23">
        <v>546889251</v>
      </c>
      <c r="E19" s="55">
        <f t="shared" si="11"/>
        <v>4577463</v>
      </c>
      <c r="F19" s="105">
        <f>AVERAGE('1. Rate Calc'!AD20:AD22)</f>
        <v>492728937.5</v>
      </c>
      <c r="G19" s="23">
        <v>6070476</v>
      </c>
      <c r="H19" s="58">
        <f t="shared" si="6"/>
        <v>486658461.5</v>
      </c>
      <c r="I19" s="55">
        <f t="shared" si="7"/>
        <v>4073331.3227550006</v>
      </c>
      <c r="J19" s="59">
        <f t="shared" si="8"/>
        <v>504131.67724499945</v>
      </c>
      <c r="K19" s="23">
        <v>617468853</v>
      </c>
      <c r="L19" s="23">
        <v>609228451</v>
      </c>
      <c r="M19" s="62">
        <f t="shared" si="9"/>
        <v>1.01353</v>
      </c>
      <c r="N19" s="59">
        <f t="shared" si="10"/>
        <v>510953</v>
      </c>
    </row>
    <row r="20" spans="1:14" x14ac:dyDescent="0.2">
      <c r="A20" s="51">
        <v>45261</v>
      </c>
      <c r="B20" s="51">
        <v>45323</v>
      </c>
      <c r="C20" s="80">
        <f>ROUND('1. Rate Calc'!AG23,5)</f>
        <v>8.3700000000000007E-3</v>
      </c>
      <c r="D20" s="23">
        <v>488138208</v>
      </c>
      <c r="E20" s="55">
        <f t="shared" si="11"/>
        <v>4085717</v>
      </c>
      <c r="F20" s="105">
        <f>F19</f>
        <v>492728937.5</v>
      </c>
      <c r="G20" s="23">
        <v>6809210</v>
      </c>
      <c r="H20" s="58">
        <f t="shared" si="6"/>
        <v>485919727.5</v>
      </c>
      <c r="I20" s="55">
        <f t="shared" si="7"/>
        <v>4067148.1191750001</v>
      </c>
      <c r="J20" s="59">
        <f t="shared" si="8"/>
        <v>18568.880824999884</v>
      </c>
      <c r="K20" s="23">
        <v>436331073</v>
      </c>
      <c r="L20" s="23">
        <v>430039328</v>
      </c>
      <c r="M20" s="62">
        <f t="shared" si="9"/>
        <v>1.0146299999999999</v>
      </c>
      <c r="N20" s="59">
        <f t="shared" si="10"/>
        <v>18841</v>
      </c>
    </row>
    <row r="21" spans="1:14" x14ac:dyDescent="0.2">
      <c r="A21" s="51">
        <v>45292</v>
      </c>
      <c r="B21" s="51">
        <v>45352</v>
      </c>
      <c r="C21" s="80">
        <f>ROUND('1. Rate Calc'!AG24,5)</f>
        <v>8.3700000000000007E-3</v>
      </c>
      <c r="D21" s="23">
        <v>444721245</v>
      </c>
      <c r="E21" s="55">
        <f t="shared" si="11"/>
        <v>3722317</v>
      </c>
      <c r="F21" s="105">
        <f>F20</f>
        <v>492728937.5</v>
      </c>
      <c r="G21" s="23">
        <v>8240402</v>
      </c>
      <c r="H21" s="58">
        <f t="shared" si="6"/>
        <v>484488535.5</v>
      </c>
      <c r="I21" s="55">
        <f t="shared" si="7"/>
        <v>4055169.0421350002</v>
      </c>
      <c r="J21" s="59">
        <f t="shared" si="8"/>
        <v>-332852.04213500023</v>
      </c>
      <c r="K21" s="23">
        <v>425311577</v>
      </c>
      <c r="L21" s="23">
        <v>419402259</v>
      </c>
      <c r="M21" s="62">
        <f t="shared" si="9"/>
        <v>1.0140899999999999</v>
      </c>
      <c r="N21" s="59">
        <f t="shared" si="10"/>
        <v>-337542</v>
      </c>
    </row>
    <row r="22" spans="1:14" x14ac:dyDescent="0.2">
      <c r="A22" s="51">
        <v>45323</v>
      </c>
      <c r="B22" s="51">
        <v>45383</v>
      </c>
      <c r="C22" s="80">
        <f>ROUND('1. Rate Calc'!AG25,5)</f>
        <v>9.7199999999999995E-3</v>
      </c>
      <c r="D22" s="23">
        <v>422497434</v>
      </c>
      <c r="E22" s="55">
        <f t="shared" si="11"/>
        <v>4106675</v>
      </c>
      <c r="F22" s="105">
        <f>AVERAGE('1. Rate Calc'!AD23:AD25)</f>
        <v>426954870.33333331</v>
      </c>
      <c r="G22" s="23">
        <v>6291745</v>
      </c>
      <c r="H22" s="58">
        <f t="shared" si="6"/>
        <v>420663125.33333331</v>
      </c>
      <c r="I22" s="55">
        <f t="shared" si="7"/>
        <v>4088845.5782399997</v>
      </c>
      <c r="J22" s="59">
        <f t="shared" si="8"/>
        <v>17829.421760000288</v>
      </c>
      <c r="K22" s="23">
        <v>397483028</v>
      </c>
      <c r="L22" s="23">
        <v>392283874</v>
      </c>
      <c r="M22" s="62">
        <f t="shared" si="9"/>
        <v>1.01325</v>
      </c>
      <c r="N22" s="59">
        <f t="shared" si="10"/>
        <v>18066</v>
      </c>
    </row>
    <row r="23" spans="1:14" x14ac:dyDescent="0.2">
      <c r="A23" s="51">
        <v>45352</v>
      </c>
      <c r="B23" s="51">
        <v>45413</v>
      </c>
      <c r="C23" s="80">
        <f>ROUND('1. Rate Calc'!AG26,5)</f>
        <v>9.7199999999999995E-3</v>
      </c>
      <c r="D23" s="23">
        <v>373320238</v>
      </c>
      <c r="E23" s="55">
        <f t="shared" si="11"/>
        <v>3628673</v>
      </c>
      <c r="F23" s="105">
        <f>F22</f>
        <v>426954870.33333331</v>
      </c>
      <c r="G23" s="23">
        <v>5909318</v>
      </c>
      <c r="H23" s="58">
        <f t="shared" si="6"/>
        <v>421045552.33333331</v>
      </c>
      <c r="I23" s="55">
        <f t="shared" si="7"/>
        <v>4092562.7686799997</v>
      </c>
      <c r="J23" s="59">
        <f t="shared" si="8"/>
        <v>-463889.76867999975</v>
      </c>
      <c r="K23" s="23">
        <v>411878407</v>
      </c>
      <c r="L23" s="23">
        <v>406409628</v>
      </c>
      <c r="M23" s="62">
        <f t="shared" si="9"/>
        <v>1.01346</v>
      </c>
      <c r="N23" s="59">
        <f t="shared" si="10"/>
        <v>-470134</v>
      </c>
    </row>
    <row r="24" spans="1:14" x14ac:dyDescent="0.2">
      <c r="A24" s="51">
        <v>45383</v>
      </c>
      <c r="B24" s="51">
        <v>45444</v>
      </c>
      <c r="C24" s="80">
        <f>ROUND('1. Rate Calc'!AG27,5)</f>
        <v>9.7199999999999995E-3</v>
      </c>
      <c r="D24" s="23">
        <v>421782222</v>
      </c>
      <c r="E24" s="55">
        <f t="shared" si="11"/>
        <v>4099723</v>
      </c>
      <c r="F24" s="105">
        <f>F23</f>
        <v>426954870.33333331</v>
      </c>
      <c r="G24" s="23">
        <v>5199154</v>
      </c>
      <c r="H24" s="58">
        <f t="shared" si="6"/>
        <v>421755716.33333331</v>
      </c>
      <c r="I24" s="55">
        <f t="shared" si="7"/>
        <v>4099465.5627599997</v>
      </c>
      <c r="J24" s="59">
        <f t="shared" si="8"/>
        <v>257.43724000034854</v>
      </c>
      <c r="K24" s="23">
        <v>457765100</v>
      </c>
      <c r="L24" s="23">
        <v>451375457</v>
      </c>
      <c r="M24" s="62">
        <f t="shared" si="9"/>
        <v>1.01416</v>
      </c>
      <c r="N24" s="59">
        <f t="shared" si="10"/>
        <v>261</v>
      </c>
    </row>
    <row r="25" spans="1:14" x14ac:dyDescent="0.2">
      <c r="A25" s="51">
        <v>45413</v>
      </c>
      <c r="B25" s="51">
        <v>45474</v>
      </c>
      <c r="C25" s="80">
        <f>ROUND('1. Rate Calc'!AG28,5)</f>
        <v>9.9799999999999993E-3</v>
      </c>
      <c r="D25" s="23">
        <v>467867039</v>
      </c>
      <c r="E25" s="55">
        <f t="shared" si="11"/>
        <v>4669313</v>
      </c>
      <c r="F25" s="105">
        <f>AVERAGE('1. Rate Calc'!AD26:AD28)</f>
        <v>439856905.5</v>
      </c>
      <c r="G25" s="23">
        <v>5468779</v>
      </c>
      <c r="H25" s="58">
        <f t="shared" si="6"/>
        <v>434388126.5</v>
      </c>
      <c r="I25" s="55">
        <f t="shared" si="7"/>
        <v>4335193.5024699997</v>
      </c>
      <c r="J25" s="59">
        <f t="shared" si="8"/>
        <v>334119.49753000028</v>
      </c>
      <c r="K25" s="23">
        <v>477823165</v>
      </c>
      <c r="L25" s="23">
        <v>470747151</v>
      </c>
      <c r="M25" s="62">
        <f t="shared" si="9"/>
        <v>1.0150300000000001</v>
      </c>
      <c r="N25" s="59">
        <f t="shared" si="10"/>
        <v>339141</v>
      </c>
    </row>
    <row r="26" spans="1:14" x14ac:dyDescent="0.2">
      <c r="A26" s="51">
        <v>45444</v>
      </c>
      <c r="B26" s="51">
        <v>45505</v>
      </c>
      <c r="C26" s="80">
        <f>ROUND('1. Rate Calc'!AG29,5)</f>
        <v>9.9799999999999993E-3</v>
      </c>
      <c r="D26" s="23">
        <v>457517498</v>
      </c>
      <c r="E26" s="55">
        <f t="shared" si="11"/>
        <v>4566025</v>
      </c>
      <c r="F26" s="105">
        <f>F25</f>
        <v>439856905.5</v>
      </c>
      <c r="G26" s="23">
        <v>6389643</v>
      </c>
      <c r="H26" s="58">
        <f t="shared" si="6"/>
        <v>433467262.5</v>
      </c>
      <c r="I26" s="55">
        <f t="shared" si="7"/>
        <v>4326003.2797499998</v>
      </c>
      <c r="J26" s="59">
        <f t="shared" si="8"/>
        <v>240021.72025000025</v>
      </c>
      <c r="K26" s="23">
        <v>463052563</v>
      </c>
      <c r="L26" s="23">
        <v>456304749</v>
      </c>
      <c r="M26" s="62">
        <f t="shared" si="9"/>
        <v>1.0147900000000001</v>
      </c>
      <c r="N26" s="59">
        <f t="shared" si="10"/>
        <v>243572</v>
      </c>
    </row>
    <row r="27" spans="1:14" x14ac:dyDescent="0.2">
      <c r="A27" s="51">
        <v>45474</v>
      </c>
      <c r="B27" s="51">
        <v>45536</v>
      </c>
      <c r="C27" s="80">
        <f>ROUND('1. Rate Calc'!AG30,5)</f>
        <v>9.9799999999999993E-3</v>
      </c>
      <c r="D27" s="23">
        <v>424929712</v>
      </c>
      <c r="E27" s="55">
        <f t="shared" si="11"/>
        <v>4240799</v>
      </c>
      <c r="F27" s="105">
        <f>F26</f>
        <v>439856905.5</v>
      </c>
      <c r="G27" s="23">
        <v>7076014</v>
      </c>
      <c r="H27" s="58">
        <f t="shared" si="6"/>
        <v>432780891.5</v>
      </c>
      <c r="I27" s="55">
        <f t="shared" si="7"/>
        <v>4319153.2971700002</v>
      </c>
      <c r="J27" s="59">
        <f t="shared" si="8"/>
        <v>-78354.297170000151</v>
      </c>
      <c r="K27" s="23">
        <v>399193129</v>
      </c>
      <c r="L27" s="23">
        <v>393778375</v>
      </c>
      <c r="M27" s="62">
        <f t="shared" si="9"/>
        <v>1.0137499999999999</v>
      </c>
      <c r="N27" s="59">
        <f t="shared" si="10"/>
        <v>-79432</v>
      </c>
    </row>
    <row r="28" spans="1:14" x14ac:dyDescent="0.2">
      <c r="A28" s="51">
        <v>45505</v>
      </c>
      <c r="B28" s="51">
        <v>45566</v>
      </c>
      <c r="C28" s="80">
        <f>ROUND('1. Rate Calc'!AG31,5)</f>
        <v>1.218E-2</v>
      </c>
      <c r="D28" s="23">
        <v>403312019</v>
      </c>
      <c r="E28" s="55">
        <f t="shared" si="11"/>
        <v>4912340</v>
      </c>
      <c r="F28" s="105">
        <f>AVERAGE('1. Rate Calc'!AD29:AD31)</f>
        <v>423750201.83333331</v>
      </c>
      <c r="G28" s="23">
        <v>6747814</v>
      </c>
      <c r="H28" s="58">
        <f t="shared" si="6"/>
        <v>417002387.83333331</v>
      </c>
      <c r="I28" s="55">
        <f t="shared" si="7"/>
        <v>5079089.0838099997</v>
      </c>
      <c r="J28" s="59">
        <f t="shared" si="8"/>
        <v>-166749.08380999975</v>
      </c>
      <c r="K28" s="23">
        <v>399930296</v>
      </c>
      <c r="L28" s="23">
        <v>394800757</v>
      </c>
      <c r="M28" s="62">
        <f t="shared" si="9"/>
        <v>1.0129900000000001</v>
      </c>
      <c r="N28" s="59">
        <f t="shared" si="10"/>
        <v>-168915</v>
      </c>
    </row>
    <row r="29" spans="1:14" x14ac:dyDescent="0.2">
      <c r="A29" s="51">
        <v>45536</v>
      </c>
      <c r="B29" s="51">
        <v>45597</v>
      </c>
      <c r="C29" s="80">
        <f>ROUND('1. Rate Calc'!AG32,5)</f>
        <v>1.218E-2</v>
      </c>
      <c r="D29" s="23">
        <v>373355279</v>
      </c>
      <c r="E29" s="55">
        <f t="shared" si="11"/>
        <v>4547467</v>
      </c>
      <c r="F29" s="105">
        <f>F28</f>
        <v>423750201.83333331</v>
      </c>
      <c r="G29" s="23">
        <v>5414754</v>
      </c>
      <c r="H29" s="58">
        <f t="shared" si="6"/>
        <v>418335447.83333331</v>
      </c>
      <c r="I29" s="55">
        <f t="shared" si="7"/>
        <v>5095325.7546099992</v>
      </c>
      <c r="J29" s="59">
        <f t="shared" si="8"/>
        <v>-547858.75460999925</v>
      </c>
      <c r="K29" s="23">
        <v>406295923</v>
      </c>
      <c r="L29" s="23">
        <v>400861124</v>
      </c>
      <c r="M29" s="62">
        <f t="shared" si="9"/>
        <v>1.01356</v>
      </c>
      <c r="N29" s="59">
        <f t="shared" si="10"/>
        <v>-555288</v>
      </c>
    </row>
    <row r="30" spans="1:14" x14ac:dyDescent="0.2">
      <c r="A30" s="51">
        <v>45566</v>
      </c>
      <c r="B30" s="51">
        <v>45627</v>
      </c>
      <c r="C30" s="80">
        <f>ROUND('1. Rate Calc'!AG33,5)</f>
        <v>1.218E-2</v>
      </c>
      <c r="D30" s="23">
        <v>484891850</v>
      </c>
      <c r="E30" s="55">
        <f t="shared" si="11"/>
        <v>5905983</v>
      </c>
      <c r="F30" s="105">
        <f>F29</f>
        <v>423750201.83333331</v>
      </c>
      <c r="G30" s="23">
        <v>5129539</v>
      </c>
      <c r="H30" s="58">
        <f t="shared" si="6"/>
        <v>418620662.83333331</v>
      </c>
      <c r="I30" s="55">
        <f t="shared" si="7"/>
        <v>5098799.6733099995</v>
      </c>
      <c r="J30" s="59">
        <f t="shared" si="8"/>
        <v>807183.32669000048</v>
      </c>
      <c r="K30" s="23">
        <v>494553500</v>
      </c>
      <c r="L30" s="23">
        <v>487431491</v>
      </c>
      <c r="M30" s="62">
        <f t="shared" si="9"/>
        <v>1.01461</v>
      </c>
      <c r="N30" s="59">
        <f t="shared" si="10"/>
        <v>818976</v>
      </c>
    </row>
    <row r="31" spans="1:14" x14ac:dyDescent="0.2">
      <c r="A31" s="51">
        <v>45597</v>
      </c>
      <c r="B31" s="51">
        <v>45658</v>
      </c>
      <c r="C31" s="80">
        <f>ROUND('1. Rate Calc'!AG34,5)</f>
        <v>6.7600000000000004E-3</v>
      </c>
      <c r="D31" s="23">
        <v>559647068</v>
      </c>
      <c r="E31" s="55">
        <f t="shared" si="11"/>
        <v>3783214</v>
      </c>
      <c r="F31" s="105">
        <f>AVERAGE('1. Rate Calc'!AD32:AD34)</f>
        <v>499344327.5</v>
      </c>
      <c r="G31" s="23">
        <v>5434799</v>
      </c>
      <c r="H31" s="58">
        <f t="shared" si="6"/>
        <v>493909528.5</v>
      </c>
      <c r="I31" s="55">
        <f t="shared" si="7"/>
        <v>3338828.4126600004</v>
      </c>
      <c r="J31" s="59">
        <f t="shared" si="8"/>
        <v>444385.58733999962</v>
      </c>
      <c r="K31" s="23">
        <v>628318548</v>
      </c>
      <c r="L31" s="23">
        <v>619242322</v>
      </c>
      <c r="M31" s="62">
        <f t="shared" si="9"/>
        <v>1.0146599999999999</v>
      </c>
      <c r="N31" s="59">
        <f t="shared" si="10"/>
        <v>450900</v>
      </c>
    </row>
    <row r="32" spans="1:14" x14ac:dyDescent="0.2">
      <c r="A32" s="51">
        <v>45627</v>
      </c>
      <c r="B32" s="51">
        <v>45689</v>
      </c>
      <c r="C32" s="80">
        <f>ROUND('1. Rate Calc'!AG35,5)</f>
        <v>6.7600000000000004E-3</v>
      </c>
      <c r="D32" s="23">
        <v>543430929</v>
      </c>
      <c r="E32" s="55">
        <f t="shared" si="11"/>
        <v>3673593</v>
      </c>
      <c r="F32" s="105">
        <f>F31</f>
        <v>499344327.5</v>
      </c>
      <c r="G32" s="23">
        <v>7122009</v>
      </c>
      <c r="H32" s="58">
        <f t="shared" si="6"/>
        <v>492222318.5</v>
      </c>
      <c r="I32" s="55">
        <f t="shared" si="7"/>
        <v>3327422.8730600001</v>
      </c>
      <c r="J32" s="59">
        <f t="shared" si="8"/>
        <v>346170.12693999987</v>
      </c>
      <c r="K32" s="23">
        <v>486703753</v>
      </c>
      <c r="L32" s="23">
        <v>479804054</v>
      </c>
      <c r="M32" s="62">
        <f t="shared" si="9"/>
        <v>1.0143800000000001</v>
      </c>
      <c r="N32" s="59">
        <f t="shared" si="10"/>
        <v>351148</v>
      </c>
    </row>
    <row r="33" spans="1:14" x14ac:dyDescent="0.2">
      <c r="A33" s="51">
        <v>45658</v>
      </c>
      <c r="B33" s="51">
        <v>45717</v>
      </c>
      <c r="C33" s="80">
        <f>ROUND('1. Rate Calc'!AG36,5)</f>
        <v>-9.2000000000000003E-4</v>
      </c>
      <c r="D33" s="23">
        <v>453592183</v>
      </c>
      <c r="E33" s="55">
        <f t="shared" si="11"/>
        <v>-417305</v>
      </c>
      <c r="F33" s="105">
        <f>F32</f>
        <v>499344327.5</v>
      </c>
      <c r="G33" s="23">
        <v>9076226</v>
      </c>
      <c r="H33" s="58">
        <f t="shared" si="6"/>
        <v>490268101.5</v>
      </c>
      <c r="I33" s="55">
        <f t="shared" si="7"/>
        <v>-451046.65338000003</v>
      </c>
      <c r="J33" s="59">
        <f t="shared" si="8"/>
        <v>33741.653380000032</v>
      </c>
      <c r="K33" s="23">
        <v>442249970</v>
      </c>
      <c r="L33" s="23">
        <v>436317969</v>
      </c>
      <c r="M33" s="63">
        <f t="shared" si="9"/>
        <v>1.0136000000000001</v>
      </c>
      <c r="N33" s="59">
        <f t="shared" si="10"/>
        <v>34201</v>
      </c>
    </row>
    <row r="34" spans="1:14" x14ac:dyDescent="0.2">
      <c r="A34" s="51">
        <v>45689</v>
      </c>
      <c r="B34" s="51">
        <v>45748</v>
      </c>
      <c r="C34" s="80">
        <f>ROUND('1. Rate Calc'!AG37,5)</f>
        <v>6.4799999999999996E-3</v>
      </c>
      <c r="D34" s="23">
        <v>399706746</v>
      </c>
      <c r="E34" s="55">
        <f t="shared" si="11"/>
        <v>2590100</v>
      </c>
      <c r="F34" s="105">
        <f>AVERAGE('1. Rate Calc'!AD35:AD37)</f>
        <v>420154005</v>
      </c>
      <c r="G34" s="23">
        <v>6899699</v>
      </c>
      <c r="H34" s="58">
        <f t="shared" si="6"/>
        <v>413254306</v>
      </c>
      <c r="I34" s="55">
        <f t="shared" si="7"/>
        <v>2677887.90288</v>
      </c>
      <c r="J34" s="59">
        <f t="shared" si="8"/>
        <v>-87787.902879999951</v>
      </c>
      <c r="K34" s="23">
        <v>394135849</v>
      </c>
      <c r="L34" s="23">
        <v>389099149</v>
      </c>
      <c r="M34" s="62">
        <f t="shared" si="9"/>
        <v>1.01294</v>
      </c>
      <c r="N34" s="59">
        <f t="shared" si="10"/>
        <v>-88924</v>
      </c>
    </row>
    <row r="35" spans="1:14" x14ac:dyDescent="0.2">
      <c r="A35" s="51">
        <v>45717</v>
      </c>
      <c r="B35" s="51">
        <v>45778</v>
      </c>
      <c r="C35" s="80">
        <f>ROUND('1. Rate Calc'!AG38,5)</f>
        <v>6.4799999999999996E-3</v>
      </c>
      <c r="D35" s="23">
        <v>390727869</v>
      </c>
      <c r="E35" s="55">
        <f t="shared" si="11"/>
        <v>2531917</v>
      </c>
      <c r="F35" s="105">
        <f>F34</f>
        <v>420154005</v>
      </c>
      <c r="G35" s="23">
        <v>5932001</v>
      </c>
      <c r="H35" s="58">
        <f t="shared" si="6"/>
        <v>414222004</v>
      </c>
      <c r="I35" s="55">
        <f t="shared" si="7"/>
        <v>2684158.58592</v>
      </c>
      <c r="J35" s="59">
        <f t="shared" si="8"/>
        <v>-152241.58591999998</v>
      </c>
      <c r="K35" s="23">
        <v>372175164</v>
      </c>
      <c r="L35" s="23">
        <v>367129626</v>
      </c>
      <c r="M35" s="62">
        <f t="shared" si="9"/>
        <v>1.0137400000000001</v>
      </c>
      <c r="N35" s="59">
        <f t="shared" si="10"/>
        <v>-154333</v>
      </c>
    </row>
    <row r="36" spans="1:14" x14ac:dyDescent="0.2">
      <c r="A36" s="51">
        <v>45748</v>
      </c>
      <c r="B36" s="51">
        <v>45809</v>
      </c>
      <c r="C36" s="80">
        <f>ROUND('1. Rate Calc'!AG39,5)</f>
        <v>6.4799999999999996E-3</v>
      </c>
      <c r="D36" s="23">
        <v>379889945</v>
      </c>
      <c r="E36" s="55">
        <f t="shared" si="11"/>
        <v>2461687</v>
      </c>
      <c r="F36" s="105">
        <f>F35</f>
        <v>420154005</v>
      </c>
      <c r="G36" s="23">
        <v>5036700</v>
      </c>
      <c r="H36" s="58">
        <f t="shared" si="6"/>
        <v>415117305</v>
      </c>
      <c r="I36" s="55">
        <f t="shared" si="7"/>
        <v>2689960.1363999997</v>
      </c>
      <c r="J36" s="59">
        <f t="shared" si="8"/>
        <v>-228273.13639999973</v>
      </c>
      <c r="K36" s="43">
        <v>441328196</v>
      </c>
      <c r="L36" s="61">
        <f>K36</f>
        <v>441328196</v>
      </c>
      <c r="M36" s="63">
        <f t="shared" si="9"/>
        <v>1</v>
      </c>
      <c r="N36" s="59">
        <f t="shared" si="10"/>
        <v>-228273</v>
      </c>
    </row>
    <row r="37" spans="1:14" x14ac:dyDescent="0.2">
      <c r="A37" s="51">
        <v>45778</v>
      </c>
      <c r="B37" s="51">
        <v>45839</v>
      </c>
      <c r="C37" s="80">
        <f>ROUND('1. Rate Calc'!AG40,5)</f>
        <v>6.9899999999999997E-3</v>
      </c>
      <c r="D37" s="23">
        <v>478545953</v>
      </c>
      <c r="E37" s="55">
        <f t="shared" si="11"/>
        <v>3345036</v>
      </c>
      <c r="F37" s="105">
        <f>AVERAGE('1. Rate Calc'!AD38:AD40)</f>
        <v>440433312</v>
      </c>
      <c r="G37" s="23">
        <v>5045538</v>
      </c>
      <c r="H37" s="58">
        <f t="shared" si="6"/>
        <v>435387774</v>
      </c>
      <c r="I37" s="55">
        <f t="shared" si="7"/>
        <v>3043360.5402599997</v>
      </c>
      <c r="J37" s="59">
        <f t="shared" si="8"/>
        <v>301675.45974000031</v>
      </c>
      <c r="K37" s="23">
        <v>504760607</v>
      </c>
      <c r="L37" s="61">
        <f t="shared" ref="L37:L42" si="13">K37</f>
        <v>504760607</v>
      </c>
      <c r="M37" s="63">
        <f t="shared" si="9"/>
        <v>1</v>
      </c>
      <c r="N37" s="59">
        <f t="shared" si="10"/>
        <v>301675</v>
      </c>
    </row>
    <row r="38" spans="1:14" x14ac:dyDescent="0.2">
      <c r="A38" s="51">
        <v>45809</v>
      </c>
      <c r="B38" s="51">
        <v>45870</v>
      </c>
      <c r="C38" s="80">
        <f>ROUND('1. Rate Calc'!AG41,5)</f>
        <v>6.9899999999999997E-3</v>
      </c>
      <c r="D38" s="23">
        <v>456237701</v>
      </c>
      <c r="E38" s="55">
        <f t="shared" si="11"/>
        <v>3189102</v>
      </c>
      <c r="F38" s="105">
        <f>F37</f>
        <v>440433312</v>
      </c>
      <c r="G38" s="23">
        <v>0</v>
      </c>
      <c r="H38" s="58">
        <f t="shared" si="6"/>
        <v>440433312</v>
      </c>
      <c r="I38" s="55">
        <f t="shared" si="7"/>
        <v>3078628.8508799998</v>
      </c>
      <c r="J38" s="59">
        <f t="shared" si="8"/>
        <v>110473.14912000019</v>
      </c>
      <c r="K38" s="23">
        <v>437073485</v>
      </c>
      <c r="L38" s="61">
        <f t="shared" si="13"/>
        <v>437073485</v>
      </c>
      <c r="M38" s="63">
        <f t="shared" si="9"/>
        <v>1</v>
      </c>
      <c r="N38" s="59">
        <f t="shared" si="10"/>
        <v>110473</v>
      </c>
    </row>
    <row r="39" spans="1:14" x14ac:dyDescent="0.2">
      <c r="A39" s="51">
        <v>45839</v>
      </c>
      <c r="B39" s="51">
        <v>45901</v>
      </c>
      <c r="C39" s="80">
        <f>ROUND('1. Rate Calc'!AG42,5)</f>
        <v>6.9899999999999997E-3</v>
      </c>
      <c r="D39" s="23">
        <v>405197373</v>
      </c>
      <c r="E39" s="55">
        <f t="shared" si="11"/>
        <v>2832330</v>
      </c>
      <c r="F39" s="105">
        <f>F38</f>
        <v>440433312</v>
      </c>
      <c r="G39" s="23">
        <v>0</v>
      </c>
      <c r="H39" s="58">
        <f t="shared" si="6"/>
        <v>440433312</v>
      </c>
      <c r="I39" s="55">
        <f t="shared" si="7"/>
        <v>3078628.8508799998</v>
      </c>
      <c r="J39" s="59">
        <f t="shared" si="8"/>
        <v>-246298.85087999981</v>
      </c>
      <c r="K39" s="23">
        <v>362457407</v>
      </c>
      <c r="L39" s="61">
        <f t="shared" si="13"/>
        <v>362457407</v>
      </c>
      <c r="M39" s="63">
        <f t="shared" si="9"/>
        <v>1</v>
      </c>
      <c r="N39" s="59">
        <f t="shared" si="10"/>
        <v>-246299</v>
      </c>
    </row>
    <row r="40" spans="1:14" x14ac:dyDescent="0.2">
      <c r="A40" s="51">
        <v>45870</v>
      </c>
      <c r="B40" s="51">
        <v>45931</v>
      </c>
      <c r="C40" s="80">
        <f>ROUND('1. Rate Calc'!AG43,5)</f>
        <v>1.0330000000000001E-2</v>
      </c>
      <c r="D40" s="23">
        <v>351989135</v>
      </c>
      <c r="E40" s="55">
        <f t="shared" si="11"/>
        <v>3636048</v>
      </c>
      <c r="F40" s="105">
        <f>AVERAGE('1. Rate Calc'!AD41:AD43)</f>
        <v>420999770.83333331</v>
      </c>
      <c r="G40" s="23">
        <v>0</v>
      </c>
      <c r="H40" s="58">
        <f t="shared" si="6"/>
        <v>420999770.83333331</v>
      </c>
      <c r="I40" s="55">
        <f t="shared" si="7"/>
        <v>4348927.6327083334</v>
      </c>
      <c r="J40" s="59">
        <f t="shared" si="8"/>
        <v>-712879.63270833343</v>
      </c>
      <c r="K40" s="23">
        <v>386538129</v>
      </c>
      <c r="L40" s="61">
        <f t="shared" si="13"/>
        <v>386538129</v>
      </c>
      <c r="M40" s="63">
        <f t="shared" si="9"/>
        <v>1</v>
      </c>
      <c r="N40" s="59">
        <f t="shared" si="10"/>
        <v>-712880</v>
      </c>
    </row>
    <row r="41" spans="1:14" x14ac:dyDescent="0.2">
      <c r="A41" s="51">
        <v>45901</v>
      </c>
      <c r="B41" s="51">
        <v>45962</v>
      </c>
      <c r="C41" s="80">
        <f>ROUND('1. Rate Calc'!AG44,5)</f>
        <v>1.0330000000000001E-2</v>
      </c>
      <c r="D41" s="23">
        <v>374909918</v>
      </c>
      <c r="E41" s="55">
        <f t="shared" si="11"/>
        <v>3872819</v>
      </c>
      <c r="F41" s="105">
        <f>F40</f>
        <v>420999770.83333331</v>
      </c>
      <c r="G41" s="23">
        <v>0</v>
      </c>
      <c r="H41" s="58">
        <f t="shared" si="6"/>
        <v>420999770.83333331</v>
      </c>
      <c r="I41" s="55">
        <f t="shared" si="7"/>
        <v>4348927.6327083334</v>
      </c>
      <c r="J41" s="59">
        <f t="shared" si="8"/>
        <v>-476108.63270833343</v>
      </c>
      <c r="K41" s="23">
        <v>409375243</v>
      </c>
      <c r="L41" s="61">
        <f t="shared" si="13"/>
        <v>409375243</v>
      </c>
      <c r="M41" s="63">
        <f t="shared" si="9"/>
        <v>1</v>
      </c>
      <c r="N41" s="59">
        <f t="shared" si="10"/>
        <v>-476109</v>
      </c>
    </row>
    <row r="42" spans="1:14" x14ac:dyDescent="0.2">
      <c r="A42" s="51">
        <v>45931</v>
      </c>
      <c r="B42" s="51">
        <v>45992</v>
      </c>
      <c r="C42" s="80">
        <f>ROUND('1. Rate Calc'!AG45,5)</f>
        <v>1.0330000000000001E-2</v>
      </c>
      <c r="D42" s="23">
        <v>445893578</v>
      </c>
      <c r="E42" s="55">
        <f t="shared" si="11"/>
        <v>4606081</v>
      </c>
      <c r="F42" s="105">
        <f>F41</f>
        <v>420999770.83333331</v>
      </c>
      <c r="G42" s="23">
        <v>0</v>
      </c>
      <c r="H42" s="58">
        <f t="shared" si="6"/>
        <v>420999770.83333331</v>
      </c>
      <c r="I42" s="55">
        <f t="shared" si="7"/>
        <v>4348927.6327083334</v>
      </c>
      <c r="J42" s="59">
        <f t="shared" si="8"/>
        <v>257153.36729166657</v>
      </c>
      <c r="K42" s="23">
        <v>506994775</v>
      </c>
      <c r="L42" s="61">
        <f t="shared" si="13"/>
        <v>506994775</v>
      </c>
      <c r="M42" s="63">
        <f t="shared" si="9"/>
        <v>1</v>
      </c>
      <c r="N42" s="59">
        <f t="shared" si="10"/>
        <v>257153</v>
      </c>
    </row>
    <row r="43" spans="1:14" x14ac:dyDescent="0.2">
      <c r="A43" s="51">
        <v>45962</v>
      </c>
      <c r="B43" s="51">
        <v>46023</v>
      </c>
      <c r="C43" s="23"/>
      <c r="D43" s="23"/>
      <c r="E43" s="55"/>
      <c r="F43" s="61"/>
      <c r="G43" s="23"/>
      <c r="H43" s="58"/>
      <c r="I43" s="55"/>
      <c r="J43" s="59"/>
      <c r="K43" s="23"/>
      <c r="L43" s="61"/>
      <c r="M43" s="63"/>
      <c r="N43" s="59"/>
    </row>
    <row r="44" spans="1:14" x14ac:dyDescent="0.2">
      <c r="A44" s="51">
        <v>45992</v>
      </c>
      <c r="B44" s="51">
        <v>46054</v>
      </c>
      <c r="C44" s="23"/>
      <c r="D44" s="23"/>
      <c r="E44" s="55"/>
      <c r="F44" s="61"/>
      <c r="G44" s="23"/>
      <c r="H44" s="58"/>
      <c r="I44" s="55"/>
      <c r="J44" s="59"/>
      <c r="K44" s="23"/>
      <c r="L44" s="61"/>
      <c r="M44" s="63"/>
      <c r="N44" s="59"/>
    </row>
    <row r="45" spans="1:14" x14ac:dyDescent="0.2">
      <c r="F45" s="56"/>
    </row>
    <row r="46" spans="1:14" x14ac:dyDescent="0.2">
      <c r="F46" s="56"/>
    </row>
    <row r="47" spans="1:14" x14ac:dyDescent="0.2">
      <c r="F47" s="56"/>
    </row>
    <row r="48" spans="1:14" x14ac:dyDescent="0.2">
      <c r="F48" s="5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16017-483F-46F6-8DC1-9F1A6BA848EB}">
  <sheetPr>
    <tabColor theme="1"/>
  </sheetPr>
  <dimension ref="A1"/>
  <sheetViews>
    <sheetView workbookViewId="0">
      <selection activeCell="L43" sqref="L43"/>
    </sheetView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AF1D0-CEEF-450C-93DC-41E6EE9A5578}">
  <dimension ref="A1:AI53"/>
  <sheetViews>
    <sheetView zoomScale="80" zoomScaleNormal="80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AD22" sqref="AD22"/>
    </sheetView>
  </sheetViews>
  <sheetFormatPr defaultRowHeight="12.75" x14ac:dyDescent="0.2"/>
  <cols>
    <col min="1" max="2" width="14" style="1" customWidth="1"/>
    <col min="3" max="3" width="13.42578125" style="1" bestFit="1" customWidth="1"/>
    <col min="4" max="5" width="12.28515625" style="1" bestFit="1" customWidth="1"/>
    <col min="6" max="6" width="9" style="1" bestFit="1" customWidth="1"/>
    <col min="7" max="7" width="10.5703125" style="1" bestFit="1" customWidth="1"/>
    <col min="8" max="8" width="9.42578125" style="1" customWidth="1"/>
    <col min="9" max="9" width="13.42578125" style="1" bestFit="1" customWidth="1"/>
    <col min="10" max="10" width="15" style="1" bestFit="1" customWidth="1"/>
    <col min="11" max="11" width="13.42578125" style="1" bestFit="1" customWidth="1"/>
    <col min="12" max="12" width="14.5703125" style="1" bestFit="1" customWidth="1"/>
    <col min="13" max="13" width="13.42578125" style="1" bestFit="1" customWidth="1"/>
    <col min="14" max="14" width="16.28515625" style="1" customWidth="1"/>
    <col min="15" max="15" width="13.42578125" style="1" customWidth="1"/>
    <col min="16" max="16" width="17" style="1" customWidth="1"/>
    <col min="17" max="17" width="13" style="1" bestFit="1" customWidth="1"/>
    <col min="18" max="18" width="13.42578125" style="1" bestFit="1" customWidth="1"/>
    <col min="19" max="19" width="12.85546875" style="1" customWidth="1"/>
    <col min="20" max="20" width="13.42578125" style="1" bestFit="1" customWidth="1"/>
    <col min="21" max="21" width="14.42578125" style="1" customWidth="1"/>
    <col min="22" max="24" width="13.42578125" style="1" bestFit="1" customWidth="1"/>
    <col min="25" max="25" width="7.85546875" style="1" bestFit="1" customWidth="1"/>
    <col min="26" max="26" width="13.42578125" style="1" bestFit="1" customWidth="1"/>
    <col min="27" max="27" width="12.28515625" style="1" bestFit="1" customWidth="1"/>
    <col min="28" max="29" width="13.42578125" style="1" bestFit="1" customWidth="1"/>
    <col min="30" max="30" width="14.5703125" style="1" bestFit="1" customWidth="1"/>
    <col min="31" max="32" width="9.5703125" style="1" bestFit="1" customWidth="1"/>
    <col min="33" max="33" width="10.28515625" style="1" bestFit="1" customWidth="1"/>
    <col min="34" max="34" width="14.42578125" style="1" customWidth="1"/>
    <col min="35" max="35" width="12.5703125" style="1" bestFit="1" customWidth="1"/>
    <col min="36" max="16384" width="9.140625" style="1"/>
  </cols>
  <sheetData>
    <row r="1" spans="1:34" s="46" customFormat="1" ht="15.75" x14ac:dyDescent="0.25">
      <c r="A1" s="64" t="s">
        <v>100</v>
      </c>
      <c r="B1" s="64"/>
      <c r="C1" s="64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</row>
    <row r="3" spans="1:34" ht="13.5" thickBot="1" x14ac:dyDescent="0.25"/>
    <row r="4" spans="1:34" s="6" customFormat="1" ht="30.75" customHeight="1" thickBot="1" x14ac:dyDescent="0.3">
      <c r="C4" s="161" t="s">
        <v>28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3"/>
      <c r="V4" s="164" t="s">
        <v>38</v>
      </c>
      <c r="W4" s="165"/>
      <c r="X4" s="165"/>
      <c r="Y4" s="165"/>
      <c r="Z4" s="165"/>
      <c r="AA4" s="165"/>
      <c r="AB4" s="165"/>
      <c r="AC4" s="165"/>
      <c r="AD4" s="52"/>
      <c r="AE4" s="158" t="s">
        <v>40</v>
      </c>
      <c r="AF4" s="159"/>
      <c r="AG4" s="160"/>
      <c r="AH4" s="77"/>
    </row>
    <row r="5" spans="1:34" s="19" customFormat="1" ht="51.75" customHeight="1" x14ac:dyDescent="0.25">
      <c r="C5" s="155" t="s">
        <v>7</v>
      </c>
      <c r="D5" s="156"/>
      <c r="E5" s="156"/>
      <c r="F5" s="156"/>
      <c r="G5" s="156"/>
      <c r="H5" s="156"/>
      <c r="I5" s="157"/>
      <c r="J5" s="155" t="s">
        <v>14</v>
      </c>
      <c r="K5" s="156"/>
      <c r="L5" s="156"/>
      <c r="M5" s="157"/>
      <c r="N5" s="30" t="s">
        <v>15</v>
      </c>
      <c r="O5" s="30" t="s">
        <v>18</v>
      </c>
      <c r="P5" s="30" t="s">
        <v>19</v>
      </c>
      <c r="Q5" s="30" t="s">
        <v>21</v>
      </c>
      <c r="R5" s="30" t="s">
        <v>23</v>
      </c>
      <c r="S5" s="30" t="s">
        <v>25</v>
      </c>
      <c r="T5" s="30" t="s">
        <v>26</v>
      </c>
      <c r="U5" s="66" t="s">
        <v>59</v>
      </c>
      <c r="V5" s="155" t="s">
        <v>31</v>
      </c>
      <c r="W5" s="156"/>
      <c r="X5" s="157"/>
      <c r="Y5" s="155" t="s">
        <v>32</v>
      </c>
      <c r="Z5" s="156"/>
      <c r="AA5" s="156"/>
      <c r="AB5" s="157"/>
      <c r="AC5" s="30" t="s">
        <v>36</v>
      </c>
      <c r="AD5" s="66" t="s">
        <v>98</v>
      </c>
      <c r="AE5" s="155" t="s">
        <v>39</v>
      </c>
      <c r="AF5" s="156"/>
      <c r="AG5" s="157"/>
      <c r="AH5" s="78" t="s">
        <v>60</v>
      </c>
    </row>
    <row r="6" spans="1:34" s="19" customFormat="1" ht="39" customHeight="1" x14ac:dyDescent="0.25">
      <c r="A6" s="2" t="s">
        <v>0</v>
      </c>
      <c r="B6" s="2" t="s">
        <v>43</v>
      </c>
      <c r="C6" s="18" t="s">
        <v>1</v>
      </c>
      <c r="D6" s="19" t="s">
        <v>2</v>
      </c>
      <c r="E6" s="19" t="s">
        <v>3</v>
      </c>
      <c r="F6" s="19" t="s">
        <v>4</v>
      </c>
      <c r="G6" s="19" t="s">
        <v>5</v>
      </c>
      <c r="H6" s="19" t="s">
        <v>6</v>
      </c>
      <c r="I6" s="20" t="s">
        <v>11</v>
      </c>
      <c r="J6" s="18" t="s">
        <v>8</v>
      </c>
      <c r="K6" s="19" t="s">
        <v>9</v>
      </c>
      <c r="L6" s="19" t="s">
        <v>10</v>
      </c>
      <c r="M6" s="20" t="s">
        <v>11</v>
      </c>
      <c r="N6" s="21" t="s">
        <v>16</v>
      </c>
      <c r="O6" s="21" t="s">
        <v>17</v>
      </c>
      <c r="P6" s="21" t="s">
        <v>20</v>
      </c>
      <c r="Q6" s="21" t="s">
        <v>22</v>
      </c>
      <c r="R6" s="21" t="s">
        <v>24</v>
      </c>
      <c r="S6" s="21" t="s">
        <v>16</v>
      </c>
      <c r="T6" s="21" t="s">
        <v>27</v>
      </c>
      <c r="U6" s="67"/>
      <c r="V6" s="18" t="s">
        <v>29</v>
      </c>
      <c r="W6" s="19" t="s">
        <v>30</v>
      </c>
      <c r="X6" s="20" t="s">
        <v>11</v>
      </c>
      <c r="Y6" s="18" t="s">
        <v>33</v>
      </c>
      <c r="Z6" s="19" t="s">
        <v>34</v>
      </c>
      <c r="AA6" s="19" t="s">
        <v>35</v>
      </c>
      <c r="AB6" s="20" t="s">
        <v>11</v>
      </c>
      <c r="AC6" s="21" t="s">
        <v>37</v>
      </c>
      <c r="AD6" s="67" t="s">
        <v>83</v>
      </c>
      <c r="AE6" s="18" t="s">
        <v>16</v>
      </c>
      <c r="AF6" s="19" t="s">
        <v>41</v>
      </c>
      <c r="AG6" s="20" t="s">
        <v>42</v>
      </c>
      <c r="AH6" s="78"/>
    </row>
    <row r="7" spans="1:34" s="2" customFormat="1" x14ac:dyDescent="0.2">
      <c r="C7" s="3" t="s">
        <v>12</v>
      </c>
      <c r="D7" s="4" t="s">
        <v>12</v>
      </c>
      <c r="E7" s="4" t="s">
        <v>12</v>
      </c>
      <c r="F7" s="4" t="s">
        <v>12</v>
      </c>
      <c r="G7" s="4" t="s">
        <v>12</v>
      </c>
      <c r="H7" s="4" t="s">
        <v>13</v>
      </c>
      <c r="I7" s="5"/>
      <c r="J7" s="3" t="s">
        <v>12</v>
      </c>
      <c r="K7" s="4" t="s">
        <v>12</v>
      </c>
      <c r="L7" s="4" t="s">
        <v>13</v>
      </c>
      <c r="M7" s="5"/>
      <c r="N7" s="15" t="s">
        <v>13</v>
      </c>
      <c r="O7" s="8"/>
      <c r="P7" s="15" t="s">
        <v>12</v>
      </c>
      <c r="Q7" s="15" t="s">
        <v>13</v>
      </c>
      <c r="R7" s="8"/>
      <c r="S7" s="15" t="s">
        <v>12</v>
      </c>
      <c r="T7" s="8"/>
      <c r="U7" s="68"/>
      <c r="V7" s="3" t="s">
        <v>12</v>
      </c>
      <c r="W7" s="4" t="s">
        <v>12</v>
      </c>
      <c r="X7" s="5"/>
      <c r="Y7" s="3" t="s">
        <v>12</v>
      </c>
      <c r="Z7" s="4" t="s">
        <v>12</v>
      </c>
      <c r="AA7" s="4" t="s">
        <v>12</v>
      </c>
      <c r="AB7" s="5"/>
      <c r="AC7" s="8"/>
      <c r="AD7" s="100"/>
      <c r="AE7" s="24"/>
      <c r="AF7" s="25"/>
      <c r="AG7" s="20"/>
      <c r="AH7" s="79"/>
    </row>
    <row r="8" spans="1:34" x14ac:dyDescent="0.2">
      <c r="A8" s="51">
        <v>44805</v>
      </c>
      <c r="B8" s="51">
        <v>44866</v>
      </c>
      <c r="C8" s="9">
        <v>2857098.77</v>
      </c>
      <c r="D8" s="10">
        <v>21793.8</v>
      </c>
      <c r="E8" s="10">
        <v>214750.49</v>
      </c>
      <c r="F8" s="10">
        <v>0</v>
      </c>
      <c r="G8" s="10">
        <v>0</v>
      </c>
      <c r="H8" s="10">
        <v>0</v>
      </c>
      <c r="I8" s="16">
        <f t="shared" ref="I8:I10" si="0">C8+D8+E8+F8+G8-H8</f>
        <v>3093643.0599999996</v>
      </c>
      <c r="J8" s="9">
        <v>0</v>
      </c>
      <c r="K8" s="10">
        <v>23989817</v>
      </c>
      <c r="L8" s="10">
        <v>0</v>
      </c>
      <c r="M8" s="16">
        <f t="shared" ref="M8:M12" si="1">+J8+K8-L8</f>
        <v>23989817</v>
      </c>
      <c r="N8" s="11">
        <v>561120</v>
      </c>
      <c r="O8" s="37">
        <f t="shared" ref="O8:O11" si="2">I8+M8-N8</f>
        <v>26522340.059999999</v>
      </c>
      <c r="P8" s="11">
        <v>-753922.16999999806</v>
      </c>
      <c r="Q8" s="11">
        <v>-546153</v>
      </c>
      <c r="R8" s="37">
        <f t="shared" ref="R8:R47" si="3">+O8+P8-Q8</f>
        <v>26314570.890000001</v>
      </c>
      <c r="S8" s="11">
        <v>942328.33000000007</v>
      </c>
      <c r="T8" s="37">
        <f t="shared" ref="T8:T10" si="4">R8+S8</f>
        <v>27256899.219999999</v>
      </c>
      <c r="U8" s="48"/>
      <c r="V8" s="24">
        <v>128018000</v>
      </c>
      <c r="W8" s="25">
        <v>307650000</v>
      </c>
      <c r="X8" s="28">
        <f t="shared" ref="X8:X10" si="5">V8+W8</f>
        <v>435668000</v>
      </c>
      <c r="Y8" s="24">
        <v>0</v>
      </c>
      <c r="Z8" s="25">
        <v>7069000</v>
      </c>
      <c r="AA8" s="25">
        <v>24331856</v>
      </c>
      <c r="AB8" s="28">
        <f t="shared" ref="AB8:AB10" si="6">Y8+Z8+AA8</f>
        <v>31400856</v>
      </c>
      <c r="AC8" s="31">
        <f t="shared" ref="AC8:AC10" si="7">X8-AB8</f>
        <v>404267144</v>
      </c>
      <c r="AD8" s="101"/>
      <c r="AE8" s="36">
        <f t="shared" ref="AE8:AE21" si="8">T8/AC8</f>
        <v>6.742298904211716E-2</v>
      </c>
      <c r="AF8" s="33">
        <v>2.6120000000000001E-2</v>
      </c>
      <c r="AG8" s="34">
        <f t="shared" ref="AG8:AG10" si="9">+AE8-AF8</f>
        <v>4.1302989042117155E-2</v>
      </c>
      <c r="AH8" s="76"/>
    </row>
    <row r="9" spans="1:34" x14ac:dyDescent="0.2">
      <c r="A9" s="51">
        <v>44835</v>
      </c>
      <c r="B9" s="51">
        <v>44896</v>
      </c>
      <c r="C9" s="9">
        <v>0</v>
      </c>
      <c r="D9" s="10">
        <v>0</v>
      </c>
      <c r="E9" s="10">
        <v>504601.2</v>
      </c>
      <c r="F9" s="10">
        <v>0</v>
      </c>
      <c r="G9" s="10">
        <v>0</v>
      </c>
      <c r="H9" s="10">
        <v>0</v>
      </c>
      <c r="I9" s="16">
        <f t="shared" si="0"/>
        <v>504601.2</v>
      </c>
      <c r="J9" s="9">
        <v>0</v>
      </c>
      <c r="K9" s="10">
        <v>25535944</v>
      </c>
      <c r="L9" s="10">
        <v>0</v>
      </c>
      <c r="M9" s="16">
        <f t="shared" si="1"/>
        <v>25535944</v>
      </c>
      <c r="N9" s="11">
        <v>486786</v>
      </c>
      <c r="O9" s="37">
        <f t="shared" si="2"/>
        <v>25553759.199999999</v>
      </c>
      <c r="P9" s="41">
        <v>-901832.16999999806</v>
      </c>
      <c r="Q9" s="11">
        <v>-1682915</v>
      </c>
      <c r="R9" s="37">
        <f t="shared" si="3"/>
        <v>26334842.030000001</v>
      </c>
      <c r="S9" s="11">
        <v>1231254.0400000003</v>
      </c>
      <c r="T9" s="37">
        <f t="shared" si="4"/>
        <v>27566096.07</v>
      </c>
      <c r="U9" s="48"/>
      <c r="V9" s="24">
        <v>0</v>
      </c>
      <c r="W9" s="25">
        <v>437101000</v>
      </c>
      <c r="X9" s="28">
        <f t="shared" si="5"/>
        <v>437101000</v>
      </c>
      <c r="Y9" s="24">
        <v>0</v>
      </c>
      <c r="Z9" s="25">
        <v>8431000</v>
      </c>
      <c r="AA9" s="25">
        <v>23617701</v>
      </c>
      <c r="AB9" s="28">
        <f t="shared" si="6"/>
        <v>32048701</v>
      </c>
      <c r="AC9" s="31">
        <f t="shared" si="7"/>
        <v>405052299</v>
      </c>
      <c r="AD9" s="101"/>
      <c r="AE9" s="36">
        <f t="shared" si="8"/>
        <v>6.8055646488257557E-2</v>
      </c>
      <c r="AF9" s="33">
        <v>2.6120000000000001E-2</v>
      </c>
      <c r="AG9" s="34">
        <f t="shared" si="9"/>
        <v>4.1935646488257552E-2</v>
      </c>
      <c r="AH9" s="76"/>
    </row>
    <row r="10" spans="1:34" x14ac:dyDescent="0.2">
      <c r="A10" s="51">
        <v>44866</v>
      </c>
      <c r="B10" s="51">
        <v>44927</v>
      </c>
      <c r="C10" s="9">
        <v>1122582.51</v>
      </c>
      <c r="D10" s="10">
        <v>343157.88</v>
      </c>
      <c r="E10" s="10">
        <v>490104.03</v>
      </c>
      <c r="F10" s="10">
        <v>0</v>
      </c>
      <c r="G10" s="10">
        <v>0</v>
      </c>
      <c r="H10" s="10">
        <v>0</v>
      </c>
      <c r="I10" s="16">
        <f t="shared" si="0"/>
        <v>1955844.4200000002</v>
      </c>
      <c r="J10" s="9">
        <v>0</v>
      </c>
      <c r="K10" s="10">
        <v>26299506</v>
      </c>
      <c r="L10" s="10">
        <v>0</v>
      </c>
      <c r="M10" s="16">
        <f t="shared" si="1"/>
        <v>26299506</v>
      </c>
      <c r="N10" s="11">
        <v>847309</v>
      </c>
      <c r="O10" s="37">
        <f t="shared" si="2"/>
        <v>27408041.420000002</v>
      </c>
      <c r="P10" s="11">
        <v>-259372.94999999925</v>
      </c>
      <c r="Q10" s="11">
        <v>-383931</v>
      </c>
      <c r="R10" s="37">
        <f t="shared" si="3"/>
        <v>27532599.470000003</v>
      </c>
      <c r="S10" s="11">
        <v>650679.95000000019</v>
      </c>
      <c r="T10" s="37">
        <f t="shared" si="4"/>
        <v>28183279.420000002</v>
      </c>
      <c r="U10" s="48"/>
      <c r="V10" s="24">
        <v>4982000</v>
      </c>
      <c r="W10" s="25">
        <v>479292000</v>
      </c>
      <c r="X10" s="28">
        <f t="shared" si="5"/>
        <v>484274000</v>
      </c>
      <c r="Y10" s="24">
        <v>0</v>
      </c>
      <c r="Z10" s="44">
        <v>17615000</v>
      </c>
      <c r="AA10" s="25">
        <v>25952870</v>
      </c>
      <c r="AB10" s="28">
        <f t="shared" si="6"/>
        <v>43567870</v>
      </c>
      <c r="AC10" s="31">
        <f t="shared" si="7"/>
        <v>440706130</v>
      </c>
      <c r="AD10" s="101"/>
      <c r="AE10" s="36">
        <f t="shared" si="8"/>
        <v>6.3950277750844997E-2</v>
      </c>
      <c r="AF10" s="33">
        <v>2.6120000000000001E-2</v>
      </c>
      <c r="AG10" s="34">
        <f t="shared" si="9"/>
        <v>3.7830277750844993E-2</v>
      </c>
      <c r="AH10" s="76"/>
    </row>
    <row r="11" spans="1:34" x14ac:dyDescent="0.2">
      <c r="A11" s="51">
        <v>44896</v>
      </c>
      <c r="B11" s="51">
        <v>44958</v>
      </c>
      <c r="C11" s="9">
        <v>7046750.1299999999</v>
      </c>
      <c r="D11" s="10">
        <v>1077343.8</v>
      </c>
      <c r="E11" s="10">
        <v>503491.9</v>
      </c>
      <c r="F11" s="10">
        <v>0</v>
      </c>
      <c r="G11" s="10">
        <v>0</v>
      </c>
      <c r="H11" s="10">
        <v>0</v>
      </c>
      <c r="I11" s="16">
        <f>C11+D11+E11+F11+G11-H11</f>
        <v>8627585.8300000001</v>
      </c>
      <c r="J11" s="9">
        <v>0</v>
      </c>
      <c r="K11" s="10">
        <v>37013497</v>
      </c>
      <c r="L11" s="10">
        <v>0</v>
      </c>
      <c r="M11" s="16">
        <f t="shared" si="1"/>
        <v>37013497</v>
      </c>
      <c r="N11" s="11">
        <v>1859181</v>
      </c>
      <c r="O11" s="37">
        <f t="shared" si="2"/>
        <v>43781901.829999998</v>
      </c>
      <c r="P11" s="11">
        <v>3525.0200000032783</v>
      </c>
      <c r="Q11" s="11">
        <v>4078665</v>
      </c>
      <c r="R11" s="37">
        <f t="shared" si="3"/>
        <v>39706761.850000001</v>
      </c>
      <c r="S11" s="11">
        <v>1302348.2099999995</v>
      </c>
      <c r="T11" s="37">
        <f>R11+S11</f>
        <v>41009110.060000002</v>
      </c>
      <c r="U11" s="48"/>
      <c r="V11" s="24">
        <v>189231000</v>
      </c>
      <c r="W11" s="25">
        <v>400310000</v>
      </c>
      <c r="X11" s="28">
        <f>V11+W11</f>
        <v>589541000</v>
      </c>
      <c r="Y11" s="24">
        <v>0</v>
      </c>
      <c r="Z11" s="25">
        <v>28200000</v>
      </c>
      <c r="AA11" s="25">
        <v>30469788</v>
      </c>
      <c r="AB11" s="28">
        <f>Y11+Z11+AA11</f>
        <v>58669788</v>
      </c>
      <c r="AC11" s="31">
        <f>X11-AB11</f>
        <v>530871212</v>
      </c>
      <c r="AD11" s="101"/>
      <c r="AE11" s="36">
        <f t="shared" si="8"/>
        <v>7.7248698239828467E-2</v>
      </c>
      <c r="AF11" s="33">
        <v>2.6120000000000001E-2</v>
      </c>
      <c r="AG11" s="34">
        <f>+AE11-AF11</f>
        <v>5.1128698239828463E-2</v>
      </c>
      <c r="AH11" s="76"/>
    </row>
    <row r="12" spans="1:34" x14ac:dyDescent="0.2">
      <c r="A12" s="51">
        <v>44927</v>
      </c>
      <c r="B12" s="51">
        <v>44986</v>
      </c>
      <c r="C12" s="9">
        <v>518411.2</v>
      </c>
      <c r="D12" s="10">
        <v>828922.64</v>
      </c>
      <c r="E12" s="10">
        <v>2371054.9300000002</v>
      </c>
      <c r="F12" s="10">
        <v>0</v>
      </c>
      <c r="G12" s="10">
        <v>0</v>
      </c>
      <c r="H12" s="10">
        <v>0</v>
      </c>
      <c r="I12" s="16">
        <f>C12+D12+E12+F12+G12-H12</f>
        <v>3718388.7700000005</v>
      </c>
      <c r="J12" s="9">
        <v>0</v>
      </c>
      <c r="K12" s="10">
        <v>18050357</v>
      </c>
      <c r="L12" s="10">
        <v>0</v>
      </c>
      <c r="M12" s="16">
        <f t="shared" si="1"/>
        <v>18050357</v>
      </c>
      <c r="N12" s="11">
        <v>1428737</v>
      </c>
      <c r="O12" s="37">
        <f>I12+M12-N12</f>
        <v>20340008.77</v>
      </c>
      <c r="P12" s="11">
        <v>-12787708.145126998</v>
      </c>
      <c r="Q12" s="11">
        <v>4443701</v>
      </c>
      <c r="R12" s="37">
        <f t="shared" si="3"/>
        <v>3108599.6248730011</v>
      </c>
      <c r="S12" s="11">
        <v>509277.74000000057</v>
      </c>
      <c r="T12" s="37">
        <f t="shared" ref="T12:T47" si="10">R12+S12</f>
        <v>3617877.3648730018</v>
      </c>
      <c r="U12" s="48"/>
      <c r="V12" s="24">
        <v>77204000</v>
      </c>
      <c r="W12" s="25">
        <v>487037000</v>
      </c>
      <c r="X12" s="28">
        <f>V12+W12</f>
        <v>564241000</v>
      </c>
      <c r="Y12" s="24">
        <v>0</v>
      </c>
      <c r="Z12" s="25">
        <v>36825000</v>
      </c>
      <c r="AA12" s="25">
        <v>27569150</v>
      </c>
      <c r="AB12" s="28">
        <f>Y12+Z12+AA12</f>
        <v>64394150</v>
      </c>
      <c r="AC12" s="31">
        <f>X12-AB12</f>
        <v>499846850</v>
      </c>
      <c r="AD12" s="101"/>
      <c r="AE12" s="36">
        <f t="shared" si="8"/>
        <v>7.2379717204839877E-3</v>
      </c>
      <c r="AF12" s="33">
        <v>2.6120000000000001E-2</v>
      </c>
      <c r="AG12" s="34">
        <f>+AE12-AF12</f>
        <v>-1.8882028279516013E-2</v>
      </c>
      <c r="AH12" s="76"/>
    </row>
    <row r="13" spans="1:34" x14ac:dyDescent="0.2">
      <c r="A13" s="51">
        <v>44958</v>
      </c>
      <c r="B13" s="51">
        <v>45017</v>
      </c>
      <c r="C13" s="9">
        <v>6587292.4900000002</v>
      </c>
      <c r="D13" s="10">
        <v>-36639.75</v>
      </c>
      <c r="E13" s="10">
        <v>4383285.93</v>
      </c>
      <c r="F13" s="10">
        <v>0</v>
      </c>
      <c r="G13" s="10">
        <v>0</v>
      </c>
      <c r="H13" s="10">
        <v>0</v>
      </c>
      <c r="I13" s="16">
        <f t="shared" ref="I13:I47" si="11">C13+D13+E13+F13+G13-H13</f>
        <v>10933938.67</v>
      </c>
      <c r="J13" s="9">
        <v>0</v>
      </c>
      <c r="K13" s="10">
        <v>4599403</v>
      </c>
      <c r="L13" s="10">
        <v>0</v>
      </c>
      <c r="M13" s="16">
        <f t="shared" ref="M13:M47" si="12">SUM(J13:L13)</f>
        <v>4599403</v>
      </c>
      <c r="N13" s="11">
        <v>552709</v>
      </c>
      <c r="O13" s="37">
        <f t="shared" ref="O13:O47" si="13">I13+M13-N13</f>
        <v>14980632.67</v>
      </c>
      <c r="P13" s="11">
        <v>13765.860000003129</v>
      </c>
      <c r="Q13" s="47">
        <v>-3196384</v>
      </c>
      <c r="R13" s="37">
        <f t="shared" si="3"/>
        <v>18190782.530000001</v>
      </c>
      <c r="S13" s="11">
        <v>-105272.40000000037</v>
      </c>
      <c r="T13" s="37">
        <f t="shared" si="10"/>
        <v>18085510.130000003</v>
      </c>
      <c r="U13" s="48"/>
      <c r="V13" s="24">
        <v>317934000</v>
      </c>
      <c r="W13" s="25">
        <v>140551000</v>
      </c>
      <c r="X13" s="28">
        <f t="shared" ref="X13:X47" si="14">V13+W13</f>
        <v>458485000</v>
      </c>
      <c r="Y13" s="24">
        <v>0</v>
      </c>
      <c r="Z13" s="25">
        <v>14970000</v>
      </c>
      <c r="AA13" s="25">
        <v>22393947</v>
      </c>
      <c r="AB13" s="28">
        <f t="shared" ref="AB13:AB47" si="15">Y13+Z13+AA13</f>
        <v>37363947</v>
      </c>
      <c r="AC13" s="31">
        <f t="shared" ref="AC13:AC47" si="16">X13-AB13</f>
        <v>421121053</v>
      </c>
      <c r="AD13" s="101"/>
      <c r="AE13" s="36">
        <f t="shared" si="8"/>
        <v>4.2946107778658128E-2</v>
      </c>
      <c r="AF13" s="33">
        <v>2.6120000000000001E-2</v>
      </c>
      <c r="AG13" s="34">
        <f t="shared" ref="AG13:AG45" si="17">+AE13-AF13</f>
        <v>1.6826107778658127E-2</v>
      </c>
      <c r="AH13" s="76"/>
    </row>
    <row r="14" spans="1:34" x14ac:dyDescent="0.2">
      <c r="A14" s="51">
        <v>44986</v>
      </c>
      <c r="B14" s="51">
        <v>45047</v>
      </c>
      <c r="C14" s="9">
        <v>6740326.6299999999</v>
      </c>
      <c r="D14" s="10">
        <v>160547.45000000001</v>
      </c>
      <c r="E14" s="10">
        <v>3391902.43</v>
      </c>
      <c r="F14" s="10">
        <v>0</v>
      </c>
      <c r="G14" s="10">
        <v>0</v>
      </c>
      <c r="H14" s="10">
        <v>0</v>
      </c>
      <c r="I14" s="16">
        <f t="shared" si="11"/>
        <v>10292776.51</v>
      </c>
      <c r="J14" s="9">
        <v>0</v>
      </c>
      <c r="K14" s="10">
        <v>4073187.29</v>
      </c>
      <c r="L14" s="10">
        <v>0</v>
      </c>
      <c r="M14" s="16">
        <f t="shared" si="12"/>
        <v>4073187.29</v>
      </c>
      <c r="N14" s="11">
        <v>855780.98400000005</v>
      </c>
      <c r="O14" s="37">
        <f t="shared" si="13"/>
        <v>13510182.816000002</v>
      </c>
      <c r="P14" s="11">
        <v>-286579.11926597543</v>
      </c>
      <c r="Q14" s="47">
        <v>1176376</v>
      </c>
      <c r="R14" s="37">
        <f t="shared" si="3"/>
        <v>12047227.696734026</v>
      </c>
      <c r="S14" s="41">
        <v>784504.06999999948</v>
      </c>
      <c r="T14" s="37">
        <f t="shared" si="10"/>
        <v>12831731.766734026</v>
      </c>
      <c r="U14" s="48"/>
      <c r="V14" s="24">
        <v>362421000</v>
      </c>
      <c r="W14" s="25">
        <v>144299000</v>
      </c>
      <c r="X14" s="28">
        <f t="shared" si="14"/>
        <v>506720000</v>
      </c>
      <c r="Y14" s="24">
        <v>0</v>
      </c>
      <c r="Z14" s="25">
        <v>31841000</v>
      </c>
      <c r="AA14" s="25">
        <v>23145973</v>
      </c>
      <c r="AB14" s="28">
        <f t="shared" si="15"/>
        <v>54986973</v>
      </c>
      <c r="AC14" s="31">
        <f t="shared" si="16"/>
        <v>451733027</v>
      </c>
      <c r="AD14" s="101"/>
      <c r="AE14" s="36">
        <f t="shared" si="8"/>
        <v>2.840556479111284E-2</v>
      </c>
      <c r="AF14" s="33">
        <v>2.6120000000000001E-2</v>
      </c>
      <c r="AG14" s="34">
        <f t="shared" si="17"/>
        <v>2.2855647911128388E-3</v>
      </c>
      <c r="AH14" s="76"/>
    </row>
    <row r="15" spans="1:34" x14ac:dyDescent="0.2">
      <c r="A15" s="51">
        <v>45017</v>
      </c>
      <c r="B15" s="51">
        <v>45078</v>
      </c>
      <c r="C15" s="9">
        <v>2008819.49</v>
      </c>
      <c r="D15" s="10">
        <v>288388.32</v>
      </c>
      <c r="E15" s="10">
        <v>1257326.02</v>
      </c>
      <c r="F15" s="10">
        <v>0</v>
      </c>
      <c r="G15" s="10">
        <v>0</v>
      </c>
      <c r="H15" s="10">
        <v>0</v>
      </c>
      <c r="I15" s="16">
        <f t="shared" si="11"/>
        <v>3554533.83</v>
      </c>
      <c r="J15" s="9">
        <v>0</v>
      </c>
      <c r="K15" s="10">
        <v>9498651</v>
      </c>
      <c r="L15" s="10">
        <v>0</v>
      </c>
      <c r="M15" s="16">
        <f t="shared" si="12"/>
        <v>9498651</v>
      </c>
      <c r="N15" s="11">
        <v>272262</v>
      </c>
      <c r="O15" s="37">
        <f t="shared" si="13"/>
        <v>12780922.83</v>
      </c>
      <c r="P15" s="11">
        <v>-33425.769120000303</v>
      </c>
      <c r="Q15" s="47">
        <v>50207</v>
      </c>
      <c r="R15" s="37">
        <f t="shared" si="3"/>
        <v>12697290.06088</v>
      </c>
      <c r="S15" s="11">
        <v>804948.04999999946</v>
      </c>
      <c r="T15" s="37">
        <f t="shared" si="10"/>
        <v>13502238.110879999</v>
      </c>
      <c r="U15" s="48"/>
      <c r="V15" s="24">
        <v>102677000</v>
      </c>
      <c r="W15" s="25">
        <v>314286000</v>
      </c>
      <c r="X15" s="28">
        <f t="shared" si="14"/>
        <v>416963000</v>
      </c>
      <c r="Y15" s="24">
        <v>0</v>
      </c>
      <c r="Z15" s="25">
        <v>8411000</v>
      </c>
      <c r="AA15" s="25">
        <v>19607728</v>
      </c>
      <c r="AB15" s="28">
        <f t="shared" si="15"/>
        <v>28018728</v>
      </c>
      <c r="AC15" s="31">
        <f t="shared" si="16"/>
        <v>388944272</v>
      </c>
      <c r="AD15" s="101"/>
      <c r="AE15" s="36">
        <f t="shared" si="8"/>
        <v>3.4715096950650039E-2</v>
      </c>
      <c r="AF15" s="33">
        <v>2.6120000000000001E-2</v>
      </c>
      <c r="AG15" s="34">
        <f t="shared" si="17"/>
        <v>8.5950969506500378E-3</v>
      </c>
      <c r="AH15" s="76"/>
    </row>
    <row r="16" spans="1:34" x14ac:dyDescent="0.2">
      <c r="A16" s="51">
        <v>45047</v>
      </c>
      <c r="B16" s="51">
        <v>45108</v>
      </c>
      <c r="C16" s="9">
        <v>3677601.31</v>
      </c>
      <c r="D16" s="10">
        <v>423217.89</v>
      </c>
      <c r="E16" s="10">
        <v>1656522.68</v>
      </c>
      <c r="F16" s="10">
        <v>0</v>
      </c>
      <c r="G16" s="10">
        <v>0</v>
      </c>
      <c r="H16" s="10">
        <v>0</v>
      </c>
      <c r="I16" s="16">
        <f t="shared" si="11"/>
        <v>5757341.8799999999</v>
      </c>
      <c r="J16" s="9">
        <v>0</v>
      </c>
      <c r="K16" s="10">
        <v>7798248</v>
      </c>
      <c r="L16" s="10">
        <v>0</v>
      </c>
      <c r="M16" s="16">
        <f t="shared" si="12"/>
        <v>7798248</v>
      </c>
      <c r="N16" s="11">
        <v>559930</v>
      </c>
      <c r="O16" s="37">
        <f t="shared" si="13"/>
        <v>12995659.879999999</v>
      </c>
      <c r="P16" s="11">
        <v>12127.689999999478</v>
      </c>
      <c r="Q16" s="47">
        <v>-123902</v>
      </c>
      <c r="R16" s="37">
        <f t="shared" si="3"/>
        <v>13131689.569999998</v>
      </c>
      <c r="S16" s="11">
        <v>-772208.30000000051</v>
      </c>
      <c r="T16" s="37">
        <f t="shared" si="10"/>
        <v>12359481.269999998</v>
      </c>
      <c r="U16" s="48"/>
      <c r="V16" s="24">
        <v>162915000</v>
      </c>
      <c r="W16" s="25">
        <v>281388000</v>
      </c>
      <c r="X16" s="28">
        <f t="shared" si="14"/>
        <v>444303000</v>
      </c>
      <c r="Y16" s="24">
        <v>0</v>
      </c>
      <c r="Z16" s="25">
        <v>22433000</v>
      </c>
      <c r="AA16" s="25">
        <v>23355636</v>
      </c>
      <c r="AB16" s="28">
        <f t="shared" si="15"/>
        <v>45788636</v>
      </c>
      <c r="AC16" s="31">
        <f t="shared" si="16"/>
        <v>398514364</v>
      </c>
      <c r="AD16" s="101"/>
      <c r="AE16" s="36">
        <f t="shared" si="8"/>
        <v>3.1013891559502228E-2</v>
      </c>
      <c r="AF16" s="33">
        <v>2.6120000000000001E-2</v>
      </c>
      <c r="AG16" s="34">
        <f t="shared" si="17"/>
        <v>4.8938915595022267E-3</v>
      </c>
      <c r="AH16" s="76"/>
    </row>
    <row r="17" spans="1:35" x14ac:dyDescent="0.2">
      <c r="A17" s="51">
        <v>45078</v>
      </c>
      <c r="B17" s="51">
        <v>45139</v>
      </c>
      <c r="C17" s="9">
        <v>7832659.96</v>
      </c>
      <c r="D17" s="10">
        <v>371915.22</v>
      </c>
      <c r="E17" s="10">
        <v>2183171.44</v>
      </c>
      <c r="F17" s="10">
        <v>0</v>
      </c>
      <c r="G17" s="10">
        <v>0</v>
      </c>
      <c r="H17" s="10">
        <v>0</v>
      </c>
      <c r="I17" s="16">
        <f t="shared" si="11"/>
        <v>10387746.619999999</v>
      </c>
      <c r="J17" s="9">
        <v>0</v>
      </c>
      <c r="K17" s="10">
        <v>4265257</v>
      </c>
      <c r="L17" s="10">
        <v>0</v>
      </c>
      <c r="M17" s="16">
        <f t="shared" si="12"/>
        <v>4265257</v>
      </c>
      <c r="N17" s="11">
        <v>1745540</v>
      </c>
      <c r="O17" s="37">
        <f t="shared" si="13"/>
        <v>12907463.619999999</v>
      </c>
      <c r="P17" s="11">
        <v>112701.44070900045</v>
      </c>
      <c r="Q17" s="47">
        <v>136617</v>
      </c>
      <c r="R17" s="37">
        <f t="shared" si="3"/>
        <v>12883548.060709</v>
      </c>
      <c r="S17" s="11">
        <v>637479.33000000007</v>
      </c>
      <c r="T17" s="37">
        <f t="shared" si="10"/>
        <v>13521027.390709</v>
      </c>
      <c r="U17" s="48"/>
      <c r="V17" s="24">
        <v>322868000</v>
      </c>
      <c r="W17" s="25">
        <v>170792000</v>
      </c>
      <c r="X17" s="28">
        <f t="shared" si="14"/>
        <v>493660000</v>
      </c>
      <c r="Y17" s="24">
        <v>0</v>
      </c>
      <c r="Z17" s="25">
        <v>53798000</v>
      </c>
      <c r="AA17" s="25">
        <v>22177029</v>
      </c>
      <c r="AB17" s="28">
        <f t="shared" si="15"/>
        <v>75975029</v>
      </c>
      <c r="AC17" s="31">
        <f t="shared" si="16"/>
        <v>417684971</v>
      </c>
      <c r="AD17" s="101"/>
      <c r="AE17" s="36">
        <f t="shared" si="8"/>
        <v>3.2371352405468762E-2</v>
      </c>
      <c r="AF17" s="33">
        <v>2.6120000000000001E-2</v>
      </c>
      <c r="AG17" s="34">
        <f t="shared" si="17"/>
        <v>6.2513524054687609E-3</v>
      </c>
      <c r="AH17" s="76"/>
    </row>
    <row r="18" spans="1:35" x14ac:dyDescent="0.2">
      <c r="A18" s="51">
        <v>45108</v>
      </c>
      <c r="B18" s="51">
        <v>45170</v>
      </c>
      <c r="C18" s="9">
        <v>12253057.66</v>
      </c>
      <c r="D18" s="10">
        <v>269148.78000000003</v>
      </c>
      <c r="E18" s="10">
        <v>3195400.7</v>
      </c>
      <c r="F18" s="10">
        <v>0</v>
      </c>
      <c r="G18" s="10">
        <v>0</v>
      </c>
      <c r="H18" s="10">
        <v>0</v>
      </c>
      <c r="I18" s="16">
        <f t="shared" si="11"/>
        <v>15717607.140000001</v>
      </c>
      <c r="J18" s="9">
        <v>0</v>
      </c>
      <c r="K18" s="10">
        <v>5072967</v>
      </c>
      <c r="L18" s="10">
        <v>0</v>
      </c>
      <c r="M18" s="16">
        <f t="shared" si="12"/>
        <v>5072967</v>
      </c>
      <c r="N18" s="11">
        <v>4986720</v>
      </c>
      <c r="O18" s="37">
        <f t="shared" si="13"/>
        <v>15803854.140000001</v>
      </c>
      <c r="P18" s="11">
        <v>-87098.171222999692</v>
      </c>
      <c r="Q18" s="47">
        <v>189157</v>
      </c>
      <c r="R18" s="37">
        <f t="shared" si="3"/>
        <v>15527598.968777001</v>
      </c>
      <c r="S18" s="11">
        <v>1188567.4799999997</v>
      </c>
      <c r="T18" s="37">
        <f t="shared" si="10"/>
        <v>16716166.448777001</v>
      </c>
      <c r="U18" s="48"/>
      <c r="V18" s="24">
        <v>511463000</v>
      </c>
      <c r="W18" s="25">
        <v>128348000</v>
      </c>
      <c r="X18" s="28">
        <f t="shared" si="14"/>
        <v>639811000</v>
      </c>
      <c r="Y18" s="24">
        <v>0</v>
      </c>
      <c r="Z18" s="25">
        <v>136516000</v>
      </c>
      <c r="AA18" s="25">
        <v>24361135</v>
      </c>
      <c r="AB18" s="28">
        <f t="shared" si="15"/>
        <v>160877135</v>
      </c>
      <c r="AC18" s="31">
        <f t="shared" si="16"/>
        <v>478933865</v>
      </c>
      <c r="AD18" s="101"/>
      <c r="AE18" s="36">
        <f t="shared" si="8"/>
        <v>3.4902870041935749E-2</v>
      </c>
      <c r="AF18" s="33">
        <v>2.6120000000000001E-2</v>
      </c>
      <c r="AG18" s="34">
        <f t="shared" si="17"/>
        <v>8.7828700419357482E-3</v>
      </c>
      <c r="AH18" s="76"/>
      <c r="AI18" s="99"/>
    </row>
    <row r="19" spans="1:35" x14ac:dyDescent="0.2">
      <c r="A19" s="51">
        <v>45139</v>
      </c>
      <c r="B19" s="51">
        <v>45200</v>
      </c>
      <c r="C19" s="9">
        <v>9555066.0399999991</v>
      </c>
      <c r="D19" s="10">
        <v>227693.73</v>
      </c>
      <c r="E19" s="10">
        <v>2829870.17</v>
      </c>
      <c r="F19" s="10">
        <v>0</v>
      </c>
      <c r="G19" s="10">
        <v>0</v>
      </c>
      <c r="H19" s="10">
        <v>0</v>
      </c>
      <c r="I19" s="16">
        <f t="shared" si="11"/>
        <v>12612629.939999999</v>
      </c>
      <c r="J19" s="9">
        <v>0</v>
      </c>
      <c r="K19" s="10">
        <v>5362326</v>
      </c>
      <c r="L19" s="10">
        <v>0</v>
      </c>
      <c r="M19" s="16">
        <f t="shared" si="12"/>
        <v>5362326</v>
      </c>
      <c r="N19" s="11">
        <v>1317062</v>
      </c>
      <c r="O19" s="37">
        <f t="shared" si="13"/>
        <v>16657893.939999998</v>
      </c>
      <c r="P19" s="47">
        <v>-648422.7833849974</v>
      </c>
      <c r="Q19" s="11">
        <v>285660</v>
      </c>
      <c r="R19" s="37">
        <f t="shared" si="3"/>
        <v>15723811.156615</v>
      </c>
      <c r="S19" s="11">
        <v>1027359.7500000005</v>
      </c>
      <c r="T19" s="37">
        <f t="shared" si="10"/>
        <v>16751170.906615</v>
      </c>
      <c r="U19" s="48"/>
      <c r="V19" s="24">
        <v>381388000</v>
      </c>
      <c r="W19" s="25">
        <v>154089000</v>
      </c>
      <c r="X19" s="28">
        <f t="shared" si="14"/>
        <v>535477000</v>
      </c>
      <c r="Y19" s="24">
        <v>0</v>
      </c>
      <c r="Z19" s="43">
        <v>44066000</v>
      </c>
      <c r="AA19" s="25">
        <v>24282269</v>
      </c>
      <c r="AB19" s="28">
        <f t="shared" si="15"/>
        <v>68348269</v>
      </c>
      <c r="AC19" s="31">
        <f t="shared" si="16"/>
        <v>467128731</v>
      </c>
      <c r="AD19" s="101"/>
      <c r="AE19" s="36">
        <f t="shared" si="8"/>
        <v>3.5859860023499605E-2</v>
      </c>
      <c r="AF19" s="33">
        <v>2.6120000000000001E-2</v>
      </c>
      <c r="AG19" s="34">
        <f t="shared" si="17"/>
        <v>9.7398600234996045E-3</v>
      </c>
      <c r="AH19" s="76"/>
      <c r="AI19" s="57"/>
    </row>
    <row r="20" spans="1:35" x14ac:dyDescent="0.2">
      <c r="A20" s="51">
        <v>45170</v>
      </c>
      <c r="B20" s="51">
        <v>45231</v>
      </c>
      <c r="C20" s="9">
        <v>3047271.52</v>
      </c>
      <c r="D20" s="10">
        <v>52501.77</v>
      </c>
      <c r="E20" s="10">
        <v>1494555.02</v>
      </c>
      <c r="F20" s="10">
        <v>0</v>
      </c>
      <c r="G20" s="10">
        <v>0</v>
      </c>
      <c r="H20" s="10">
        <v>0</v>
      </c>
      <c r="I20" s="16">
        <f t="shared" si="11"/>
        <v>4594328.3100000005</v>
      </c>
      <c r="J20" s="9">
        <v>0</v>
      </c>
      <c r="K20" s="10">
        <v>10000868</v>
      </c>
      <c r="L20" s="10">
        <v>0</v>
      </c>
      <c r="M20" s="16">
        <f t="shared" si="12"/>
        <v>10000868</v>
      </c>
      <c r="N20" s="11">
        <v>992568</v>
      </c>
      <c r="O20" s="37">
        <f t="shared" si="13"/>
        <v>13602628.310000001</v>
      </c>
      <c r="P20" s="11">
        <v>-977113.27900000103</v>
      </c>
      <c r="Q20" s="11">
        <v>-252813</v>
      </c>
      <c r="R20" s="37">
        <f t="shared" si="3"/>
        <v>12878328.030999999</v>
      </c>
      <c r="S20" s="11">
        <v>919975.7799999998</v>
      </c>
      <c r="T20" s="37">
        <f t="shared" si="10"/>
        <v>13798303.810999999</v>
      </c>
      <c r="U20" s="48">
        <f t="shared" ref="U20:U47" si="18">AVERAGE(T9:T20)</f>
        <v>18161832.729132336</v>
      </c>
      <c r="V20" s="24">
        <v>142262000</v>
      </c>
      <c r="W20" s="25">
        <v>305021000</v>
      </c>
      <c r="X20" s="28">
        <f t="shared" si="14"/>
        <v>447283000</v>
      </c>
      <c r="Y20" s="24">
        <v>0</v>
      </c>
      <c r="Z20" s="25">
        <v>13956000</v>
      </c>
      <c r="AA20" s="25">
        <v>22292386</v>
      </c>
      <c r="AB20" s="28">
        <f t="shared" si="15"/>
        <v>36248386</v>
      </c>
      <c r="AC20" s="31">
        <f t="shared" si="16"/>
        <v>411034614</v>
      </c>
      <c r="AD20" s="101"/>
      <c r="AE20" s="36">
        <f t="shared" si="8"/>
        <v>3.3569688150399908E-2</v>
      </c>
      <c r="AF20" s="33">
        <v>2.6120000000000001E-2</v>
      </c>
      <c r="AG20" s="34">
        <f t="shared" si="17"/>
        <v>7.4496881503999073E-3</v>
      </c>
      <c r="AH20" s="76"/>
      <c r="AI20" s="109"/>
    </row>
    <row r="21" spans="1:35" x14ac:dyDescent="0.2">
      <c r="A21" s="51">
        <v>45200</v>
      </c>
      <c r="B21" s="51">
        <v>45261</v>
      </c>
      <c r="C21" s="9">
        <v>0</v>
      </c>
      <c r="D21" s="10">
        <v>0</v>
      </c>
      <c r="E21" s="10">
        <v>2026821.48</v>
      </c>
      <c r="F21" s="10">
        <v>0</v>
      </c>
      <c r="G21" s="10">
        <v>0</v>
      </c>
      <c r="H21" s="10">
        <v>0</v>
      </c>
      <c r="I21" s="16">
        <f t="shared" si="11"/>
        <v>2026821.48</v>
      </c>
      <c r="J21" s="9">
        <v>0</v>
      </c>
      <c r="K21" s="10">
        <v>9857847</v>
      </c>
      <c r="L21" s="10">
        <v>0</v>
      </c>
      <c r="M21" s="16">
        <f t="shared" si="12"/>
        <v>9857847</v>
      </c>
      <c r="N21" s="11">
        <v>600889</v>
      </c>
      <c r="O21" s="37">
        <f t="shared" si="13"/>
        <v>11283779.48</v>
      </c>
      <c r="P21" s="11">
        <v>-861016.22000000067</v>
      </c>
      <c r="Q21" s="11">
        <v>-771365</v>
      </c>
      <c r="R21" s="37">
        <f t="shared" si="3"/>
        <v>11194128.26</v>
      </c>
      <c r="S21" s="11">
        <v>1584958.66</v>
      </c>
      <c r="T21" s="37">
        <f t="shared" si="10"/>
        <v>12779086.92</v>
      </c>
      <c r="U21" s="48">
        <f t="shared" si="18"/>
        <v>16929581.966632333</v>
      </c>
      <c r="V21" s="24">
        <v>101407000</v>
      </c>
      <c r="W21" s="25">
        <v>321651000</v>
      </c>
      <c r="X21" s="28">
        <f t="shared" si="14"/>
        <v>423058000</v>
      </c>
      <c r="Y21" s="24">
        <v>0</v>
      </c>
      <c r="Z21" s="25">
        <v>17792000</v>
      </c>
      <c r="AA21" s="25">
        <v>19606708</v>
      </c>
      <c r="AB21" s="28">
        <f t="shared" si="15"/>
        <v>37398708</v>
      </c>
      <c r="AC21" s="31">
        <f t="shared" si="16"/>
        <v>385659292</v>
      </c>
      <c r="AD21" s="101"/>
      <c r="AE21" s="36">
        <f t="shared" si="8"/>
        <v>3.3135690452908886E-2</v>
      </c>
      <c r="AF21" s="33">
        <v>2.6120000000000001E-2</v>
      </c>
      <c r="AG21" s="34">
        <f t="shared" si="17"/>
        <v>7.0156904529088855E-3</v>
      </c>
      <c r="AH21" s="76"/>
    </row>
    <row r="22" spans="1:35" x14ac:dyDescent="0.2">
      <c r="A22" s="51">
        <v>45231</v>
      </c>
      <c r="B22" s="51">
        <v>45292</v>
      </c>
      <c r="C22" s="9">
        <v>2029176.94</v>
      </c>
      <c r="D22" s="10">
        <v>325357.28000000003</v>
      </c>
      <c r="E22" s="10">
        <v>2404692.9300000002</v>
      </c>
      <c r="F22" s="10">
        <v>0</v>
      </c>
      <c r="G22" s="10">
        <v>0</v>
      </c>
      <c r="H22" s="10">
        <v>0</v>
      </c>
      <c r="I22" s="16">
        <f t="shared" si="11"/>
        <v>4759227.1500000004</v>
      </c>
      <c r="J22" s="9">
        <v>0</v>
      </c>
      <c r="K22" s="10">
        <v>9831389</v>
      </c>
      <c r="L22" s="10">
        <v>0</v>
      </c>
      <c r="M22" s="16">
        <f t="shared" si="12"/>
        <v>9831389</v>
      </c>
      <c r="N22" s="11">
        <v>394932</v>
      </c>
      <c r="O22" s="37">
        <f t="shared" si="13"/>
        <v>14195684.15</v>
      </c>
      <c r="P22" s="11">
        <v>583114.22000000067</v>
      </c>
      <c r="Q22" s="47">
        <v>-114752</v>
      </c>
      <c r="R22" s="37">
        <f t="shared" si="3"/>
        <v>14893550.370000001</v>
      </c>
      <c r="S22" s="11">
        <v>854431.58999999985</v>
      </c>
      <c r="T22" s="37">
        <f t="shared" si="10"/>
        <v>15747981.960000001</v>
      </c>
      <c r="U22" s="48">
        <f t="shared" si="18"/>
        <v>15893307.178299</v>
      </c>
      <c r="V22" s="24">
        <v>130632000</v>
      </c>
      <c r="W22" s="25">
        <v>349965000</v>
      </c>
      <c r="X22" s="28">
        <f t="shared" si="14"/>
        <v>480597000</v>
      </c>
      <c r="Y22" s="24">
        <v>0</v>
      </c>
      <c r="Z22" s="25">
        <v>13786000</v>
      </c>
      <c r="AA22" s="25">
        <v>22813414</v>
      </c>
      <c r="AB22" s="28">
        <f t="shared" si="15"/>
        <v>36599414</v>
      </c>
      <c r="AC22" s="31">
        <f t="shared" si="16"/>
        <v>443997586</v>
      </c>
      <c r="AD22" s="101">
        <f>'Forecasted Sales'!B4</f>
        <v>621565000</v>
      </c>
      <c r="AE22" s="71">
        <f>(U22+U21+U20)/(AD24+AD23+AD22)</f>
        <v>3.0541020719644461E-2</v>
      </c>
      <c r="AF22" s="33">
        <v>2.6120000000000001E-2</v>
      </c>
      <c r="AG22" s="73">
        <f t="shared" si="17"/>
        <v>4.4210207196444598E-3</v>
      </c>
      <c r="AH22" s="75">
        <f>(U20+U21+U22)-(T20+T21+T22)</f>
        <v>8659349.183063671</v>
      </c>
    </row>
    <row r="23" spans="1:35" x14ac:dyDescent="0.2">
      <c r="A23" s="51">
        <v>45261</v>
      </c>
      <c r="B23" s="51">
        <v>45323</v>
      </c>
      <c r="C23" s="9">
        <v>5926775.2199999997</v>
      </c>
      <c r="D23" s="10">
        <v>445710.76</v>
      </c>
      <c r="E23" s="10">
        <v>2781792.96</v>
      </c>
      <c r="F23" s="10">
        <v>0</v>
      </c>
      <c r="G23" s="10">
        <v>0</v>
      </c>
      <c r="H23" s="10">
        <v>0</v>
      </c>
      <c r="I23" s="16">
        <f t="shared" si="11"/>
        <v>9154278.9399999995</v>
      </c>
      <c r="J23" s="9">
        <v>0</v>
      </c>
      <c r="K23" s="10">
        <v>11363822</v>
      </c>
      <c r="L23" s="10">
        <v>0</v>
      </c>
      <c r="M23" s="16">
        <f t="shared" si="12"/>
        <v>11363822</v>
      </c>
      <c r="N23" s="11">
        <v>1302545</v>
      </c>
      <c r="O23" s="37">
        <f t="shared" si="13"/>
        <v>19215555.939999998</v>
      </c>
      <c r="P23" s="11">
        <v>1215496.5500000007</v>
      </c>
      <c r="Q23" s="47">
        <v>754152</v>
      </c>
      <c r="R23" s="37">
        <f t="shared" si="3"/>
        <v>19676900.489999998</v>
      </c>
      <c r="S23" s="11">
        <v>602316.19000000018</v>
      </c>
      <c r="T23" s="37">
        <f t="shared" si="10"/>
        <v>20279216.68</v>
      </c>
      <c r="U23" s="48">
        <f t="shared" si="18"/>
        <v>14165816.063299006</v>
      </c>
      <c r="V23" s="24">
        <v>223088000</v>
      </c>
      <c r="W23" s="25">
        <v>314318000</v>
      </c>
      <c r="X23" s="28">
        <f t="shared" si="14"/>
        <v>537406000</v>
      </c>
      <c r="Y23" s="24">
        <v>0</v>
      </c>
      <c r="Z23" s="44">
        <v>52216000</v>
      </c>
      <c r="AA23" s="25">
        <v>22014666</v>
      </c>
      <c r="AB23" s="28">
        <f t="shared" si="15"/>
        <v>74230666</v>
      </c>
      <c r="AC23" s="31">
        <f t="shared" si="16"/>
        <v>463175334</v>
      </c>
      <c r="AD23" s="101">
        <f>'Forecasted Sales'!B5</f>
        <v>541399000</v>
      </c>
      <c r="AE23" s="71">
        <f>AE22</f>
        <v>3.0541020719644461E-2</v>
      </c>
      <c r="AF23" s="33">
        <v>2.6120000000000001E-2</v>
      </c>
      <c r="AG23" s="73">
        <f t="shared" si="17"/>
        <v>4.4210207196444598E-3</v>
      </c>
      <c r="AH23" s="37">
        <f t="shared" ref="AH23:AH45" si="19">(U23-T23)+AH22</f>
        <v>2545948.5663626771</v>
      </c>
    </row>
    <row r="24" spans="1:35" x14ac:dyDescent="0.2">
      <c r="A24" s="51">
        <v>45292</v>
      </c>
      <c r="B24" s="51">
        <v>45352</v>
      </c>
      <c r="C24" s="9">
        <v>6815301.1100000003</v>
      </c>
      <c r="D24" s="10">
        <v>209165.03</v>
      </c>
      <c r="E24" s="10">
        <v>3597123.5</v>
      </c>
      <c r="F24" s="10">
        <v>0</v>
      </c>
      <c r="G24" s="10">
        <v>0</v>
      </c>
      <c r="H24" s="10">
        <v>0</v>
      </c>
      <c r="I24" s="16">
        <f t="shared" si="11"/>
        <v>10621589.640000001</v>
      </c>
      <c r="J24" s="9">
        <v>0</v>
      </c>
      <c r="K24" s="10">
        <v>17226102</v>
      </c>
      <c r="L24" s="10">
        <v>0</v>
      </c>
      <c r="M24" s="16">
        <f t="shared" si="12"/>
        <v>17226102</v>
      </c>
      <c r="N24" s="11">
        <v>451514</v>
      </c>
      <c r="O24" s="37">
        <f t="shared" si="13"/>
        <v>27396177.640000001</v>
      </c>
      <c r="P24" s="11">
        <v>-2022209.6829999983</v>
      </c>
      <c r="Q24" s="69">
        <f>'2. Pg4'!N19</f>
        <v>-15688</v>
      </c>
      <c r="R24" s="37">
        <f t="shared" si="3"/>
        <v>25389655.957000002</v>
      </c>
      <c r="S24" s="11">
        <v>409541.7100000002</v>
      </c>
      <c r="T24" s="37">
        <f t="shared" si="10"/>
        <v>25799197.667000003</v>
      </c>
      <c r="U24" s="48">
        <f t="shared" si="18"/>
        <v>16014259.421809586</v>
      </c>
      <c r="V24" s="24">
        <v>279510000</v>
      </c>
      <c r="W24" s="25">
        <v>344816000</v>
      </c>
      <c r="X24" s="28">
        <f t="shared" si="14"/>
        <v>624326000</v>
      </c>
      <c r="Y24" s="24">
        <v>0</v>
      </c>
      <c r="Z24" s="25">
        <v>-29247000</v>
      </c>
      <c r="AA24" s="25">
        <v>36104147</v>
      </c>
      <c r="AB24" s="28">
        <f t="shared" si="15"/>
        <v>6857147</v>
      </c>
      <c r="AC24" s="31">
        <f t="shared" si="16"/>
        <v>617468853</v>
      </c>
      <c r="AD24" s="101">
        <f>'Forecasted Sales'!B6</f>
        <v>506421000</v>
      </c>
      <c r="AE24" s="71">
        <f>AE23</f>
        <v>3.0541020719644461E-2</v>
      </c>
      <c r="AF24" s="33">
        <v>2.6120000000000001E-2</v>
      </c>
      <c r="AG24" s="73">
        <f t="shared" si="17"/>
        <v>4.4210207196444598E-3</v>
      </c>
      <c r="AH24" s="37">
        <f t="shared" si="19"/>
        <v>-7238989.6788277403</v>
      </c>
    </row>
    <row r="25" spans="1:35" x14ac:dyDescent="0.2">
      <c r="A25" s="51">
        <v>45323</v>
      </c>
      <c r="B25" s="51">
        <v>45383</v>
      </c>
      <c r="C25" s="9">
        <v>8255204.3300000001</v>
      </c>
      <c r="D25" s="10">
        <v>532032.34</v>
      </c>
      <c r="E25" s="10">
        <v>4473680.71</v>
      </c>
      <c r="F25" s="10">
        <v>0</v>
      </c>
      <c r="G25" s="10">
        <v>0</v>
      </c>
      <c r="H25" s="10">
        <v>0</v>
      </c>
      <c r="I25" s="16">
        <f t="shared" si="11"/>
        <v>13260917.379999999</v>
      </c>
      <c r="J25" s="9">
        <v>0</v>
      </c>
      <c r="K25" s="10">
        <v>6519881</v>
      </c>
      <c r="L25" s="10">
        <v>0</v>
      </c>
      <c r="M25" s="16">
        <f t="shared" si="12"/>
        <v>6519881</v>
      </c>
      <c r="N25" s="11">
        <v>842803</v>
      </c>
      <c r="O25" s="37">
        <f t="shared" si="13"/>
        <v>18937995.379999999</v>
      </c>
      <c r="P25" s="11">
        <v>-3620640.9087999985</v>
      </c>
      <c r="Q25" s="69">
        <f>'2. Pg4'!N20</f>
        <v>-275871</v>
      </c>
      <c r="R25" s="37">
        <f t="shared" si="3"/>
        <v>15593225.4712</v>
      </c>
      <c r="S25" s="11">
        <v>434306.02999999968</v>
      </c>
      <c r="T25" s="37">
        <f t="shared" si="10"/>
        <v>16027531.5012</v>
      </c>
      <c r="U25" s="48">
        <f t="shared" si="18"/>
        <v>15842761.202742919</v>
      </c>
      <c r="V25" s="24">
        <v>265685000</v>
      </c>
      <c r="W25" s="25">
        <v>233686000</v>
      </c>
      <c r="X25" s="28">
        <f t="shared" si="14"/>
        <v>499371000</v>
      </c>
      <c r="Y25" s="24">
        <v>0</v>
      </c>
      <c r="Z25" s="25">
        <v>38386000</v>
      </c>
      <c r="AA25" s="25">
        <v>24653927</v>
      </c>
      <c r="AB25" s="28">
        <f t="shared" si="15"/>
        <v>63039927</v>
      </c>
      <c r="AC25" s="31">
        <f t="shared" si="16"/>
        <v>436331073</v>
      </c>
      <c r="AD25" s="101">
        <f>'Forecasted Sales'!B7</f>
        <v>433660000</v>
      </c>
      <c r="AE25" s="71">
        <f>(U25+U24+U23)/(AD27+AD26+AD25)</f>
        <v>3.4253249048531012E-2</v>
      </c>
      <c r="AF25" s="33">
        <v>2.6120000000000001E-2</v>
      </c>
      <c r="AG25" s="73">
        <f t="shared" si="17"/>
        <v>8.1332490485310112E-3</v>
      </c>
      <c r="AH25" s="37">
        <f t="shared" si="19"/>
        <v>-7423759.9772848208</v>
      </c>
    </row>
    <row r="26" spans="1:35" x14ac:dyDescent="0.2">
      <c r="A26" s="51">
        <v>45352</v>
      </c>
      <c r="B26" s="51">
        <v>45413</v>
      </c>
      <c r="C26" s="9">
        <v>8366721.7599999998</v>
      </c>
      <c r="D26" s="10">
        <v>328573.78999999998</v>
      </c>
      <c r="E26" s="10">
        <v>3403959.6</v>
      </c>
      <c r="F26" s="10">
        <v>0</v>
      </c>
      <c r="G26" s="10">
        <v>0</v>
      </c>
      <c r="H26" s="10">
        <v>0</v>
      </c>
      <c r="I26" s="16">
        <f t="shared" si="11"/>
        <v>12099255.149999999</v>
      </c>
      <c r="J26" s="9">
        <v>0</v>
      </c>
      <c r="K26" s="10">
        <v>3985476</v>
      </c>
      <c r="L26" s="10">
        <v>0</v>
      </c>
      <c r="M26" s="16">
        <f t="shared" si="12"/>
        <v>3985476</v>
      </c>
      <c r="N26" s="11">
        <v>1023450</v>
      </c>
      <c r="O26" s="37">
        <f t="shared" si="13"/>
        <v>15061281.149999999</v>
      </c>
      <c r="P26" s="11">
        <v>-869352.8900000006</v>
      </c>
      <c r="Q26" s="69">
        <f>'2. Pg4'!N21</f>
        <v>-463916</v>
      </c>
      <c r="R26" s="37">
        <f t="shared" si="3"/>
        <v>14655844.259999998</v>
      </c>
      <c r="S26" s="11">
        <v>74328.780000000261</v>
      </c>
      <c r="T26" s="37">
        <f t="shared" si="10"/>
        <v>14730173.039999999</v>
      </c>
      <c r="U26" s="48">
        <f t="shared" si="18"/>
        <v>16000964.642181749</v>
      </c>
      <c r="V26" s="24">
        <v>313806000</v>
      </c>
      <c r="W26" s="25">
        <v>180524000</v>
      </c>
      <c r="X26" s="28">
        <f t="shared" si="14"/>
        <v>494330000</v>
      </c>
      <c r="Y26" s="24">
        <v>0</v>
      </c>
      <c r="Z26" s="25">
        <v>45936000</v>
      </c>
      <c r="AA26" s="25">
        <v>23082423</v>
      </c>
      <c r="AB26" s="28">
        <f t="shared" si="15"/>
        <v>69018423</v>
      </c>
      <c r="AC26" s="31">
        <f t="shared" si="16"/>
        <v>425311577</v>
      </c>
      <c r="AD26" s="101">
        <f>'Forecasted Sales'!B8</f>
        <v>439738000</v>
      </c>
      <c r="AE26" s="71">
        <f>AE25</f>
        <v>3.4253249048531012E-2</v>
      </c>
      <c r="AF26" s="33">
        <v>2.6120000000000001E-2</v>
      </c>
      <c r="AG26" s="73">
        <f t="shared" si="17"/>
        <v>8.1332490485310112E-3</v>
      </c>
      <c r="AH26" s="37">
        <f t="shared" si="19"/>
        <v>-6152968.3751030713</v>
      </c>
    </row>
    <row r="27" spans="1:35" x14ac:dyDescent="0.2">
      <c r="A27" s="51">
        <v>45383</v>
      </c>
      <c r="B27" s="51">
        <v>45444</v>
      </c>
      <c r="C27" s="9">
        <v>2942490.88</v>
      </c>
      <c r="D27" s="10">
        <v>52688.09</v>
      </c>
      <c r="E27" s="10">
        <v>3071456.95</v>
      </c>
      <c r="F27" s="10">
        <v>0</v>
      </c>
      <c r="G27" s="10">
        <v>0</v>
      </c>
      <c r="H27" s="10">
        <v>0</v>
      </c>
      <c r="I27" s="16">
        <f t="shared" si="11"/>
        <v>6066635.9199999999</v>
      </c>
      <c r="J27" s="9">
        <v>0</v>
      </c>
      <c r="K27" s="10">
        <v>7341757</v>
      </c>
      <c r="L27" s="10">
        <v>0</v>
      </c>
      <c r="M27" s="16">
        <f t="shared" si="12"/>
        <v>7341757</v>
      </c>
      <c r="N27" s="11">
        <v>618931</v>
      </c>
      <c r="O27" s="37">
        <f t="shared" si="13"/>
        <v>12789461.92</v>
      </c>
      <c r="P27" s="11">
        <v>-11541.726415002719</v>
      </c>
      <c r="Q27" s="69">
        <f>'2. Pg4'!N22</f>
        <v>-157169</v>
      </c>
      <c r="R27" s="37">
        <f t="shared" si="3"/>
        <v>12935089.193584997</v>
      </c>
      <c r="S27" s="11">
        <v>362160.82000000007</v>
      </c>
      <c r="T27" s="37">
        <f t="shared" si="10"/>
        <v>13297250.013584998</v>
      </c>
      <c r="U27" s="48">
        <f t="shared" si="18"/>
        <v>15983882.300740501</v>
      </c>
      <c r="V27" s="24">
        <v>163927000</v>
      </c>
      <c r="W27" s="25">
        <v>249081000</v>
      </c>
      <c r="X27" s="28">
        <f t="shared" si="14"/>
        <v>413008000</v>
      </c>
      <c r="Y27" s="24">
        <v>0</v>
      </c>
      <c r="Z27" s="25">
        <v>-7042000</v>
      </c>
      <c r="AA27" s="25">
        <v>22566972</v>
      </c>
      <c r="AB27" s="28">
        <f t="shared" si="15"/>
        <v>15524972</v>
      </c>
      <c r="AC27" s="31">
        <f t="shared" si="16"/>
        <v>397483028</v>
      </c>
      <c r="AD27" s="101">
        <f>'Forecasted Sales'!B9</f>
        <v>470207000</v>
      </c>
      <c r="AE27" s="71">
        <f>AE26</f>
        <v>3.4253249048531012E-2</v>
      </c>
      <c r="AF27" s="33">
        <v>2.6120000000000001E-2</v>
      </c>
      <c r="AG27" s="73">
        <f t="shared" si="17"/>
        <v>8.1332490485310112E-3</v>
      </c>
      <c r="AH27" s="37">
        <f t="shared" si="19"/>
        <v>-3466336.0879475679</v>
      </c>
    </row>
    <row r="28" spans="1:35" x14ac:dyDescent="0.2">
      <c r="A28" s="51">
        <v>45413</v>
      </c>
      <c r="B28" s="51">
        <v>45474</v>
      </c>
      <c r="C28" s="9">
        <v>1353750.64</v>
      </c>
      <c r="D28" s="10">
        <v>347955.04</v>
      </c>
      <c r="E28" s="10">
        <v>3085398</v>
      </c>
      <c r="F28" s="10">
        <v>0</v>
      </c>
      <c r="G28" s="10">
        <v>0</v>
      </c>
      <c r="H28" s="10">
        <v>0</v>
      </c>
      <c r="I28" s="16">
        <f t="shared" si="11"/>
        <v>4787103.68</v>
      </c>
      <c r="J28" s="9">
        <v>0</v>
      </c>
      <c r="K28" s="10">
        <v>8636530</v>
      </c>
      <c r="L28" s="10">
        <v>0</v>
      </c>
      <c r="M28" s="16">
        <f t="shared" si="12"/>
        <v>8636530</v>
      </c>
      <c r="N28" s="11">
        <v>686391</v>
      </c>
      <c r="O28" s="37">
        <f t="shared" si="13"/>
        <v>12737242.68</v>
      </c>
      <c r="P28" s="47">
        <v>-1358851.5700000003</v>
      </c>
      <c r="Q28" s="69">
        <f>'2. Pg4'!N23</f>
        <v>-565544</v>
      </c>
      <c r="R28" s="37">
        <f t="shared" si="3"/>
        <v>11943935.109999999</v>
      </c>
      <c r="S28" s="11">
        <v>-350114.66000000009</v>
      </c>
      <c r="T28" s="37">
        <f t="shared" si="10"/>
        <v>11593820.449999999</v>
      </c>
      <c r="U28" s="48">
        <f t="shared" si="18"/>
        <v>15920077.232407166</v>
      </c>
      <c r="V28" s="24">
        <v>161071000</v>
      </c>
      <c r="W28" s="25">
        <v>292269000</v>
      </c>
      <c r="X28" s="28">
        <f t="shared" si="14"/>
        <v>453340000</v>
      </c>
      <c r="Y28" s="24">
        <v>0</v>
      </c>
      <c r="Z28" s="25">
        <v>20799000</v>
      </c>
      <c r="AA28" s="25">
        <v>20662593</v>
      </c>
      <c r="AB28" s="28">
        <f t="shared" si="15"/>
        <v>41461593</v>
      </c>
      <c r="AC28" s="31">
        <f t="shared" si="16"/>
        <v>411878407</v>
      </c>
      <c r="AD28" s="101">
        <f>'Forecasted Sales'!B10</f>
        <v>510379000</v>
      </c>
      <c r="AE28" s="71">
        <f>(U28+U27+U26)/(AD30+AD29+AD28)</f>
        <v>3.2657275092102062E-2</v>
      </c>
      <c r="AF28" s="33">
        <v>2.6120000000000001E-2</v>
      </c>
      <c r="AG28" s="73">
        <f t="shared" si="17"/>
        <v>6.5372750921020607E-3</v>
      </c>
      <c r="AH28" s="37">
        <f t="shared" si="19"/>
        <v>859920.69445959851</v>
      </c>
    </row>
    <row r="29" spans="1:35" x14ac:dyDescent="0.2">
      <c r="A29" s="51">
        <v>45444</v>
      </c>
      <c r="B29" s="51">
        <v>45505</v>
      </c>
      <c r="C29" s="9">
        <v>10602993.08</v>
      </c>
      <c r="D29" s="10">
        <v>342138.33</v>
      </c>
      <c r="E29" s="10">
        <v>3166493.66</v>
      </c>
      <c r="F29" s="10">
        <v>0</v>
      </c>
      <c r="G29" s="10">
        <v>0</v>
      </c>
      <c r="H29" s="10">
        <v>0</v>
      </c>
      <c r="I29" s="16">
        <f t="shared" si="11"/>
        <v>14111625.07</v>
      </c>
      <c r="J29" s="9">
        <v>0</v>
      </c>
      <c r="K29" s="10">
        <v>5152879.82</v>
      </c>
      <c r="L29" s="10">
        <v>0</v>
      </c>
      <c r="M29" s="16">
        <f t="shared" si="12"/>
        <v>5152879.82</v>
      </c>
      <c r="N29" s="11">
        <v>2812137.43</v>
      </c>
      <c r="O29" s="37">
        <f t="shared" si="13"/>
        <v>16452367.460000001</v>
      </c>
      <c r="P29" s="11">
        <v>179358.58000000007</v>
      </c>
      <c r="Q29" s="69">
        <f>'2. Pg4'!N24</f>
        <v>-172216</v>
      </c>
      <c r="R29" s="37">
        <f t="shared" si="3"/>
        <v>16803942.039999999</v>
      </c>
      <c r="S29" s="11">
        <v>1040687.4099999993</v>
      </c>
      <c r="T29" s="37">
        <f t="shared" si="10"/>
        <v>17844629.449999999</v>
      </c>
      <c r="U29" s="48">
        <f t="shared" si="18"/>
        <v>16280377.404014746</v>
      </c>
      <c r="V29" s="24">
        <v>393618000</v>
      </c>
      <c r="W29" s="25">
        <v>181007000</v>
      </c>
      <c r="X29" s="28">
        <f t="shared" si="14"/>
        <v>574625000</v>
      </c>
      <c r="Y29" s="24">
        <v>0</v>
      </c>
      <c r="Z29" s="25">
        <v>92654000</v>
      </c>
      <c r="AA29" s="25">
        <v>24205900</v>
      </c>
      <c r="AB29" s="28">
        <f t="shared" si="15"/>
        <v>116859900</v>
      </c>
      <c r="AC29" s="31">
        <f t="shared" si="16"/>
        <v>457765100</v>
      </c>
      <c r="AD29" s="101">
        <f>'Forecasted Sales'!B11</f>
        <v>510042000</v>
      </c>
      <c r="AE29" s="71">
        <f>AE28</f>
        <v>3.2657275092102062E-2</v>
      </c>
      <c r="AF29" s="33">
        <v>2.6120000000000001E-2</v>
      </c>
      <c r="AG29" s="73">
        <f t="shared" si="17"/>
        <v>6.5372750921020607E-3</v>
      </c>
      <c r="AH29" s="37">
        <f t="shared" si="19"/>
        <v>-704331.35152565502</v>
      </c>
    </row>
    <row r="30" spans="1:35" x14ac:dyDescent="0.2">
      <c r="A30" s="51">
        <v>45474</v>
      </c>
      <c r="B30" s="51">
        <v>45536</v>
      </c>
      <c r="C30" s="9">
        <v>10399040</v>
      </c>
      <c r="D30" s="10">
        <v>348835.01</v>
      </c>
      <c r="E30" s="10">
        <v>3737506.03</v>
      </c>
      <c r="F30" s="10">
        <v>0</v>
      </c>
      <c r="G30" s="10">
        <v>0</v>
      </c>
      <c r="H30" s="10">
        <v>0</v>
      </c>
      <c r="I30" s="16">
        <f t="shared" si="11"/>
        <v>14485381.039999999</v>
      </c>
      <c r="J30" s="9">
        <v>0</v>
      </c>
      <c r="K30" s="10">
        <v>6090275.1200000001</v>
      </c>
      <c r="L30" s="10">
        <v>0</v>
      </c>
      <c r="M30" s="16">
        <f t="shared" si="12"/>
        <v>6090275.1200000001</v>
      </c>
      <c r="N30" s="11">
        <v>3136941.8289999999</v>
      </c>
      <c r="O30" s="37">
        <f t="shared" si="13"/>
        <v>17438714.331</v>
      </c>
      <c r="P30" s="11">
        <v>-668773.56712250784</v>
      </c>
      <c r="Q30" s="69">
        <f>'2. Pg4'!N25</f>
        <v>-103760</v>
      </c>
      <c r="R30" s="37">
        <f t="shared" si="3"/>
        <v>16873700.763877492</v>
      </c>
      <c r="S30" s="11">
        <v>1503865.8900000006</v>
      </c>
      <c r="T30" s="37">
        <f t="shared" si="10"/>
        <v>18377566.653877493</v>
      </c>
      <c r="U30" s="48">
        <f t="shared" si="18"/>
        <v>16418827.421106458</v>
      </c>
      <c r="V30" s="24">
        <v>429775000</v>
      </c>
      <c r="W30" s="25">
        <v>128951000</v>
      </c>
      <c r="X30" s="28">
        <f t="shared" si="14"/>
        <v>558726000</v>
      </c>
      <c r="Y30" s="24">
        <v>0</v>
      </c>
      <c r="Z30" s="25">
        <v>55537000</v>
      </c>
      <c r="AA30" s="25">
        <v>25365835</v>
      </c>
      <c r="AB30" s="28">
        <f t="shared" si="15"/>
        <v>80902835</v>
      </c>
      <c r="AC30" s="31">
        <f t="shared" si="16"/>
        <v>477823165</v>
      </c>
      <c r="AD30" s="101">
        <f>'Forecasted Sales'!B12</f>
        <v>446478000</v>
      </c>
      <c r="AE30" s="71">
        <f>AE29</f>
        <v>3.2657275092102062E-2</v>
      </c>
      <c r="AF30" s="33">
        <v>2.6120000000000001E-2</v>
      </c>
      <c r="AG30" s="73">
        <f t="shared" si="17"/>
        <v>6.5372750921020607E-3</v>
      </c>
      <c r="AH30" s="37">
        <f t="shared" si="19"/>
        <v>-2663070.5842966903</v>
      </c>
    </row>
    <row r="31" spans="1:35" x14ac:dyDescent="0.2">
      <c r="A31" s="51">
        <v>45505</v>
      </c>
      <c r="B31" s="51">
        <v>45566</v>
      </c>
      <c r="C31" s="9">
        <v>8665987.1099999994</v>
      </c>
      <c r="D31" s="10">
        <v>213404.01</v>
      </c>
      <c r="E31" s="10">
        <v>4114423.72</v>
      </c>
      <c r="F31" s="10">
        <v>0</v>
      </c>
      <c r="G31" s="10">
        <v>0</v>
      </c>
      <c r="H31" s="10">
        <v>0</v>
      </c>
      <c r="I31" s="16">
        <f t="shared" si="11"/>
        <v>12993814.84</v>
      </c>
      <c r="J31" s="9">
        <v>0</v>
      </c>
      <c r="K31" s="10">
        <v>6342733</v>
      </c>
      <c r="L31" s="10">
        <v>0</v>
      </c>
      <c r="M31" s="16">
        <f t="shared" si="12"/>
        <v>6342733</v>
      </c>
      <c r="N31" s="11">
        <v>2122386</v>
      </c>
      <c r="O31" s="37">
        <f t="shared" si="13"/>
        <v>17214161.84</v>
      </c>
      <c r="P31" s="11">
        <v>-365940.1099999994</v>
      </c>
      <c r="Q31" s="69">
        <f>'2. Pg4'!N26</f>
        <v>-166311</v>
      </c>
      <c r="R31" s="37">
        <f t="shared" si="3"/>
        <v>17014532.73</v>
      </c>
      <c r="S31" s="11">
        <v>27017.479999999981</v>
      </c>
      <c r="T31" s="37">
        <f t="shared" si="10"/>
        <v>17041550.210000001</v>
      </c>
      <c r="U31" s="48">
        <f t="shared" si="18"/>
        <v>16443025.696388541</v>
      </c>
      <c r="V31" s="24">
        <v>361535000</v>
      </c>
      <c r="W31" s="25">
        <v>174651000</v>
      </c>
      <c r="X31" s="28">
        <f t="shared" si="14"/>
        <v>536186000</v>
      </c>
      <c r="Y31" s="24">
        <v>0</v>
      </c>
      <c r="Z31" s="25">
        <v>49751000</v>
      </c>
      <c r="AA31" s="25">
        <v>23382437</v>
      </c>
      <c r="AB31" s="28">
        <f t="shared" si="15"/>
        <v>73133437</v>
      </c>
      <c r="AC31" s="31">
        <f t="shared" si="16"/>
        <v>463052563</v>
      </c>
      <c r="AD31" s="101">
        <f>'Forecasted Sales'!B13</f>
        <v>436429000</v>
      </c>
      <c r="AE31" s="71">
        <f>(U31+U30+U29)/(AD33+AD32+AD31)</f>
        <v>3.3244709955107296E-2</v>
      </c>
      <c r="AF31" s="33">
        <v>2.6120000000000001E-2</v>
      </c>
      <c r="AG31" s="73">
        <f t="shared" si="17"/>
        <v>7.1247099551072952E-3</v>
      </c>
      <c r="AH31" s="37">
        <f t="shared" si="19"/>
        <v>-3261595.0979081504</v>
      </c>
    </row>
    <row r="32" spans="1:35" x14ac:dyDescent="0.2">
      <c r="A32" s="51">
        <v>45536</v>
      </c>
      <c r="B32" s="51">
        <v>45597</v>
      </c>
      <c r="C32" s="9">
        <v>1065990.32</v>
      </c>
      <c r="D32" s="10">
        <v>339748.07</v>
      </c>
      <c r="E32" s="10">
        <v>1321540.5899999994</v>
      </c>
      <c r="F32" s="10">
        <v>0</v>
      </c>
      <c r="G32" s="10">
        <v>0</v>
      </c>
      <c r="H32" s="10">
        <v>0</v>
      </c>
      <c r="I32" s="16">
        <f t="shared" si="11"/>
        <v>2727278.9799999995</v>
      </c>
      <c r="J32" s="9">
        <v>0</v>
      </c>
      <c r="K32" s="10">
        <v>13218989</v>
      </c>
      <c r="L32" s="10">
        <v>0</v>
      </c>
      <c r="M32" s="16">
        <f t="shared" si="12"/>
        <v>13218989</v>
      </c>
      <c r="N32" s="11">
        <v>604551</v>
      </c>
      <c r="O32" s="37">
        <f t="shared" si="13"/>
        <v>15341716.98</v>
      </c>
      <c r="P32" s="11">
        <v>-656352.84276800044</v>
      </c>
      <c r="Q32" s="69">
        <f>'2. Pg4'!N27</f>
        <v>-377645</v>
      </c>
      <c r="R32" s="37">
        <f t="shared" si="3"/>
        <v>15063009.137232</v>
      </c>
      <c r="S32" s="11">
        <v>92268.269999999669</v>
      </c>
      <c r="T32" s="37">
        <f t="shared" si="10"/>
        <v>15155277.407232</v>
      </c>
      <c r="U32" s="48">
        <f t="shared" si="18"/>
        <v>16556106.829407876</v>
      </c>
      <c r="V32" s="24">
        <v>73064000</v>
      </c>
      <c r="W32" s="25">
        <v>356825000</v>
      </c>
      <c r="X32" s="28">
        <f t="shared" si="14"/>
        <v>429889000</v>
      </c>
      <c r="Y32" s="24">
        <v>0</v>
      </c>
      <c r="Z32" s="25">
        <v>10901000</v>
      </c>
      <c r="AA32" s="25">
        <v>19794871</v>
      </c>
      <c r="AB32" s="28">
        <f t="shared" si="15"/>
        <v>30695871</v>
      </c>
      <c r="AC32" s="31">
        <f t="shared" si="16"/>
        <v>399193129</v>
      </c>
      <c r="AD32" s="101">
        <f>'Forecasted Sales'!B14</f>
        <v>474334000</v>
      </c>
      <c r="AE32" s="71">
        <f>AE31</f>
        <v>3.3244709955107296E-2</v>
      </c>
      <c r="AF32" s="33">
        <v>2.6120000000000001E-2</v>
      </c>
      <c r="AG32" s="73">
        <f t="shared" si="17"/>
        <v>7.1247099551072952E-3</v>
      </c>
      <c r="AH32" s="37">
        <f t="shared" si="19"/>
        <v>-1860765.6757322736</v>
      </c>
    </row>
    <row r="33" spans="1:35" x14ac:dyDescent="0.2">
      <c r="A33" s="51">
        <v>45566</v>
      </c>
      <c r="B33" s="51">
        <v>45627</v>
      </c>
      <c r="C33" s="9">
        <v>5748106</v>
      </c>
      <c r="D33" s="10">
        <v>712071</v>
      </c>
      <c r="E33" s="10">
        <v>615648</v>
      </c>
      <c r="F33" s="10">
        <v>0</v>
      </c>
      <c r="G33" s="10">
        <v>0</v>
      </c>
      <c r="H33" s="10">
        <v>0</v>
      </c>
      <c r="I33" s="16">
        <f t="shared" si="11"/>
        <v>7075825</v>
      </c>
      <c r="J33" s="9">
        <v>0</v>
      </c>
      <c r="K33" s="10">
        <v>9837745</v>
      </c>
      <c r="L33" s="10">
        <v>0</v>
      </c>
      <c r="M33" s="16">
        <f t="shared" si="12"/>
        <v>9837745</v>
      </c>
      <c r="N33" s="11">
        <v>1026754</v>
      </c>
      <c r="O33" s="37">
        <f t="shared" si="13"/>
        <v>15886816</v>
      </c>
      <c r="P33" s="11">
        <v>-2035385.928718999</v>
      </c>
      <c r="Q33" s="69">
        <f>'2. Pg4'!N28</f>
        <v>-596274</v>
      </c>
      <c r="R33" s="37">
        <f t="shared" si="3"/>
        <v>14447704.071281001</v>
      </c>
      <c r="S33" s="11">
        <v>153229.8200000003</v>
      </c>
      <c r="T33" s="37">
        <f t="shared" si="10"/>
        <v>14600933.891281001</v>
      </c>
      <c r="U33" s="48">
        <f t="shared" si="18"/>
        <v>16707927.410347959</v>
      </c>
      <c r="V33" s="24">
        <v>152494000</v>
      </c>
      <c r="W33" s="25">
        <v>297185000</v>
      </c>
      <c r="X33" s="28">
        <f t="shared" si="14"/>
        <v>449679000</v>
      </c>
      <c r="Y33" s="24">
        <v>0</v>
      </c>
      <c r="Z33" s="25">
        <v>28730000</v>
      </c>
      <c r="AA33" s="25">
        <v>21018704</v>
      </c>
      <c r="AB33" s="28">
        <f t="shared" si="15"/>
        <v>49748704</v>
      </c>
      <c r="AC33" s="31">
        <f t="shared" si="16"/>
        <v>399930296</v>
      </c>
      <c r="AD33" s="101">
        <f>'Forecasted Sales'!B15</f>
        <v>567434000</v>
      </c>
      <c r="AE33" s="71">
        <f>AE32</f>
        <v>3.3244709955107296E-2</v>
      </c>
      <c r="AF33" s="33">
        <v>2.6120000000000001E-2</v>
      </c>
      <c r="AG33" s="73">
        <f t="shared" si="17"/>
        <v>7.1247099551072952E-3</v>
      </c>
      <c r="AH33" s="37">
        <f t="shared" si="19"/>
        <v>246227.84333468415</v>
      </c>
    </row>
    <row r="34" spans="1:35" x14ac:dyDescent="0.2">
      <c r="A34" s="51">
        <v>45597</v>
      </c>
      <c r="B34" s="51">
        <v>45658</v>
      </c>
      <c r="C34" s="9">
        <v>8015514.6299999999</v>
      </c>
      <c r="D34" s="10">
        <v>142901.43999999994</v>
      </c>
      <c r="E34" s="10">
        <v>442578.1</v>
      </c>
      <c r="F34" s="10">
        <v>0</v>
      </c>
      <c r="G34" s="10">
        <v>0</v>
      </c>
      <c r="H34" s="10">
        <v>0</v>
      </c>
      <c r="I34" s="16">
        <f t="shared" si="11"/>
        <v>8600994.1699999999</v>
      </c>
      <c r="J34" s="9">
        <v>0</v>
      </c>
      <c r="K34" s="10">
        <v>8381013.4598200005</v>
      </c>
      <c r="L34" s="10">
        <v>0</v>
      </c>
      <c r="M34" s="16">
        <f t="shared" si="12"/>
        <v>8381013.4598200005</v>
      </c>
      <c r="N34" s="11">
        <v>1593671.5960000001</v>
      </c>
      <c r="O34" s="37">
        <f t="shared" si="13"/>
        <v>15388336.03382</v>
      </c>
      <c r="P34" s="11">
        <v>-603897.49623633362</v>
      </c>
      <c r="Q34" s="69">
        <f>'2. Pg4'!N29</f>
        <v>-822414</v>
      </c>
      <c r="R34" s="37">
        <f t="shared" si="3"/>
        <v>15606852.537583666</v>
      </c>
      <c r="S34" s="11">
        <v>296449.27</v>
      </c>
      <c r="T34" s="37">
        <f t="shared" si="10"/>
        <v>15903301.807583665</v>
      </c>
      <c r="U34" s="48">
        <f t="shared" si="18"/>
        <v>16720870.730979929</v>
      </c>
      <c r="V34" s="24">
        <v>207643000</v>
      </c>
      <c r="W34" s="25">
        <v>262120000</v>
      </c>
      <c r="X34" s="28">
        <f t="shared" si="14"/>
        <v>469763000</v>
      </c>
      <c r="Y34" s="24">
        <v>0</v>
      </c>
      <c r="Z34" s="25">
        <v>44723000</v>
      </c>
      <c r="AA34" s="25">
        <v>18744077</v>
      </c>
      <c r="AB34" s="28">
        <f t="shared" si="15"/>
        <v>63467077</v>
      </c>
      <c r="AC34" s="31">
        <f t="shared" si="16"/>
        <v>406295923</v>
      </c>
      <c r="AD34" s="101">
        <f>'Forecasted Sales'!C4</f>
        <v>668149000</v>
      </c>
      <c r="AE34" s="71">
        <f>(U34+U33+U32)/(AD36+AD35+AD34)</f>
        <v>2.8106877170568478E-2</v>
      </c>
      <c r="AF34" s="33">
        <v>2.6120000000000001E-2</v>
      </c>
      <c r="AG34" s="73">
        <f t="shared" si="17"/>
        <v>1.9868771705684775E-3</v>
      </c>
      <c r="AH34" s="37">
        <f t="shared" si="19"/>
        <v>1063796.7667309474</v>
      </c>
    </row>
    <row r="35" spans="1:35" x14ac:dyDescent="0.2">
      <c r="A35" s="51">
        <v>45627</v>
      </c>
      <c r="B35" s="51">
        <v>45689</v>
      </c>
      <c r="C35" s="9">
        <v>10015105.620000001</v>
      </c>
      <c r="D35" s="10">
        <v>159819.37000000002</v>
      </c>
      <c r="E35" s="10">
        <v>3597973.61</v>
      </c>
      <c r="F35" s="10">
        <v>0</v>
      </c>
      <c r="G35" s="10">
        <v>0</v>
      </c>
      <c r="H35" s="10">
        <v>0</v>
      </c>
      <c r="I35" s="16">
        <f t="shared" si="11"/>
        <v>13772898.6</v>
      </c>
      <c r="J35" s="9">
        <v>0</v>
      </c>
      <c r="K35" s="10">
        <v>8658526.8800000008</v>
      </c>
      <c r="L35" s="10">
        <v>0</v>
      </c>
      <c r="M35" s="16">
        <f t="shared" si="12"/>
        <v>8658526.8800000008</v>
      </c>
      <c r="N35" s="11">
        <v>2258286.3640000001</v>
      </c>
      <c r="O35" s="37">
        <f t="shared" si="13"/>
        <v>20173139.116</v>
      </c>
      <c r="P35" s="11">
        <v>-570659.91477072239</v>
      </c>
      <c r="Q35" s="69">
        <f>'2. Pg4'!N30</f>
        <v>-19584</v>
      </c>
      <c r="R35" s="37">
        <f t="shared" si="3"/>
        <v>19622063.201229278</v>
      </c>
      <c r="S35" s="11">
        <v>528032.65000000026</v>
      </c>
      <c r="T35" s="37">
        <f t="shared" si="10"/>
        <v>20150095.851229277</v>
      </c>
      <c r="U35" s="48">
        <f t="shared" si="18"/>
        <v>16710110.661915703</v>
      </c>
      <c r="V35" s="24">
        <v>338297000</v>
      </c>
      <c r="W35" s="25">
        <v>220054000</v>
      </c>
      <c r="X35" s="28">
        <f t="shared" si="14"/>
        <v>558351000</v>
      </c>
      <c r="Y35" s="24">
        <v>0</v>
      </c>
      <c r="Z35" s="25">
        <v>39662000</v>
      </c>
      <c r="AA35" s="25">
        <v>24135500</v>
      </c>
      <c r="AB35" s="28">
        <f t="shared" si="15"/>
        <v>63797500</v>
      </c>
      <c r="AC35" s="31">
        <f t="shared" si="16"/>
        <v>494553500</v>
      </c>
      <c r="AD35" s="101">
        <f>'Forecasted Sales'!C5</f>
        <v>563773000</v>
      </c>
      <c r="AE35" s="71">
        <f>AE34</f>
        <v>2.8106877170568478E-2</v>
      </c>
      <c r="AF35" s="33">
        <v>2.6120000000000001E-2</v>
      </c>
      <c r="AG35" s="73">
        <f t="shared" si="17"/>
        <v>1.9868771705684775E-3</v>
      </c>
      <c r="AH35" s="37">
        <f t="shared" si="19"/>
        <v>-2376188.4225826263</v>
      </c>
    </row>
    <row r="36" spans="1:35" x14ac:dyDescent="0.2">
      <c r="A36" s="51">
        <v>45658</v>
      </c>
      <c r="B36" s="51">
        <v>45717</v>
      </c>
      <c r="C36" s="9">
        <v>12290393.289999999</v>
      </c>
      <c r="D36" s="10">
        <v>170057.37</v>
      </c>
      <c r="E36" s="10">
        <v>5396975.4099999983</v>
      </c>
      <c r="F36" s="10">
        <v>0</v>
      </c>
      <c r="G36" s="10">
        <v>0</v>
      </c>
      <c r="H36" s="10">
        <v>0</v>
      </c>
      <c r="I36" s="16">
        <f t="shared" si="11"/>
        <v>17857426.069999997</v>
      </c>
      <c r="J36" s="9">
        <v>0</v>
      </c>
      <c r="K36" s="10">
        <v>15955926.759999998</v>
      </c>
      <c r="L36" s="10">
        <v>0</v>
      </c>
      <c r="M36" s="16">
        <f t="shared" si="12"/>
        <v>15955926.759999998</v>
      </c>
      <c r="N36" s="11">
        <v>1347987.8419999999</v>
      </c>
      <c r="O36" s="37">
        <f t="shared" si="13"/>
        <v>32465364.987999998</v>
      </c>
      <c r="P36" s="11">
        <v>137183.28299999982</v>
      </c>
      <c r="Q36" s="69">
        <f>'2. Pg4'!N31</f>
        <v>-55959</v>
      </c>
      <c r="R36" s="37">
        <f t="shared" si="3"/>
        <v>32658507.270999998</v>
      </c>
      <c r="S36" s="11">
        <v>1112829.96</v>
      </c>
      <c r="T36" s="37">
        <f t="shared" si="10"/>
        <v>33771337.230999999</v>
      </c>
      <c r="U36" s="48">
        <f t="shared" si="18"/>
        <v>17374455.625582371</v>
      </c>
      <c r="V36" s="24">
        <v>406089000</v>
      </c>
      <c r="W36" s="25">
        <v>275391000</v>
      </c>
      <c r="X36" s="28">
        <f t="shared" si="14"/>
        <v>681480000</v>
      </c>
      <c r="Y36" s="24">
        <v>0</v>
      </c>
      <c r="Z36" s="25">
        <v>26900000</v>
      </c>
      <c r="AA36" s="25">
        <v>26261452</v>
      </c>
      <c r="AB36" s="28">
        <f t="shared" si="15"/>
        <v>53161452</v>
      </c>
      <c r="AC36" s="31">
        <f t="shared" si="16"/>
        <v>628318548</v>
      </c>
      <c r="AD36" s="101">
        <f>'Forecasted Sales'!C6</f>
        <v>546465000</v>
      </c>
      <c r="AE36" s="71">
        <f>AE35</f>
        <v>2.8106877170568478E-2</v>
      </c>
      <c r="AF36" s="33">
        <v>3.3799999999999997E-2</v>
      </c>
      <c r="AG36" s="73">
        <f t="shared" si="17"/>
        <v>-5.6931228294315184E-3</v>
      </c>
      <c r="AH36" s="37">
        <f t="shared" si="19"/>
        <v>-18773070.028000254</v>
      </c>
    </row>
    <row r="37" spans="1:35" x14ac:dyDescent="0.2">
      <c r="A37" s="51">
        <v>45689</v>
      </c>
      <c r="B37" s="51">
        <v>45748</v>
      </c>
      <c r="C37" s="9">
        <v>3464421.5</v>
      </c>
      <c r="D37" s="10">
        <v>269009.71999999997</v>
      </c>
      <c r="E37" s="10">
        <v>5554232.0300000003</v>
      </c>
      <c r="F37" s="10">
        <v>0</v>
      </c>
      <c r="G37" s="10">
        <v>0</v>
      </c>
      <c r="H37" s="10">
        <v>0</v>
      </c>
      <c r="I37" s="16">
        <f t="shared" si="11"/>
        <v>9287663.25</v>
      </c>
      <c r="J37" s="9">
        <v>0</v>
      </c>
      <c r="K37" s="10">
        <v>14684475</v>
      </c>
      <c r="L37" s="10">
        <v>0</v>
      </c>
      <c r="M37" s="16">
        <f t="shared" si="12"/>
        <v>14684475</v>
      </c>
      <c r="N37" s="11">
        <v>1062602</v>
      </c>
      <c r="O37" s="37">
        <f t="shared" si="13"/>
        <v>22909536.25</v>
      </c>
      <c r="P37" s="11">
        <v>-3547089.8900000006</v>
      </c>
      <c r="Q37" s="69">
        <f>'2. Pg4'!N32</f>
        <v>-85271</v>
      </c>
      <c r="R37" s="37">
        <f t="shared" si="3"/>
        <v>19447717.359999999</v>
      </c>
      <c r="S37" s="11">
        <v>664148.19999999984</v>
      </c>
      <c r="T37" s="37">
        <f t="shared" si="10"/>
        <v>20111865.559999999</v>
      </c>
      <c r="U37" s="48">
        <f t="shared" si="18"/>
        <v>17714816.797149036</v>
      </c>
      <c r="V37" s="24">
        <v>197875000</v>
      </c>
      <c r="W37" s="25">
        <v>330819000</v>
      </c>
      <c r="X37" s="28">
        <f t="shared" si="14"/>
        <v>528694000</v>
      </c>
      <c r="Y37" s="24">
        <v>0</v>
      </c>
      <c r="Z37" s="25">
        <v>18116000</v>
      </c>
      <c r="AA37" s="25">
        <v>23874247</v>
      </c>
      <c r="AB37" s="28">
        <f t="shared" si="15"/>
        <v>41990247</v>
      </c>
      <c r="AC37" s="31">
        <f t="shared" si="16"/>
        <v>486703753</v>
      </c>
      <c r="AD37" s="101">
        <f>'Forecasted Sales'!C7</f>
        <v>472722000</v>
      </c>
      <c r="AE37" s="71">
        <f>(U37+U36+U35)/(AD39+AD38+AD37)</f>
        <v>3.5466251942551597E-2</v>
      </c>
      <c r="AF37" s="33">
        <v>3.3799999999999997E-2</v>
      </c>
      <c r="AG37" s="73">
        <f t="shared" si="17"/>
        <v>1.6662519425515998E-3</v>
      </c>
      <c r="AH37" s="37">
        <f t="shared" si="19"/>
        <v>-21170118.790851217</v>
      </c>
    </row>
    <row r="38" spans="1:35" x14ac:dyDescent="0.2">
      <c r="A38" s="51">
        <v>45717</v>
      </c>
      <c r="B38" s="51">
        <v>45778</v>
      </c>
      <c r="C38" s="9">
        <v>1240119.1299999999</v>
      </c>
      <c r="D38" s="10">
        <v>666930.93000000005</v>
      </c>
      <c r="E38" s="10">
        <v>3686406.49</v>
      </c>
      <c r="F38" s="10">
        <v>0</v>
      </c>
      <c r="G38" s="10">
        <v>0</v>
      </c>
      <c r="H38" s="10">
        <v>0</v>
      </c>
      <c r="I38" s="16">
        <f t="shared" si="11"/>
        <v>5593456.5500000007</v>
      </c>
      <c r="J38" s="9">
        <v>0</v>
      </c>
      <c r="K38" s="10">
        <v>14708709</v>
      </c>
      <c r="L38" s="10">
        <v>0</v>
      </c>
      <c r="M38" s="16">
        <f t="shared" si="12"/>
        <v>14708709</v>
      </c>
      <c r="N38" s="11">
        <v>781349</v>
      </c>
      <c r="O38" s="37">
        <f t="shared" si="13"/>
        <v>19520816.550000001</v>
      </c>
      <c r="P38" s="11">
        <v>-1054863.3747872487</v>
      </c>
      <c r="Q38" s="69">
        <f>'2. Pg4'!N33</f>
        <v>750493</v>
      </c>
      <c r="R38" s="37">
        <f t="shared" si="3"/>
        <v>17715460.175212752</v>
      </c>
      <c r="S38" s="11">
        <v>855564.9499999996</v>
      </c>
      <c r="T38" s="37">
        <f t="shared" si="10"/>
        <v>18571025.125212751</v>
      </c>
      <c r="U38" s="48">
        <f t="shared" si="18"/>
        <v>18034887.804250099</v>
      </c>
      <c r="V38" s="24">
        <v>108933000</v>
      </c>
      <c r="W38" s="25">
        <v>377638000</v>
      </c>
      <c r="X38" s="28">
        <f t="shared" si="14"/>
        <v>486571000</v>
      </c>
      <c r="Y38" s="24">
        <v>0</v>
      </c>
      <c r="Z38" s="25">
        <v>22926000</v>
      </c>
      <c r="AA38" s="25">
        <v>21395030</v>
      </c>
      <c r="AB38" s="28">
        <f t="shared" si="15"/>
        <v>44321030</v>
      </c>
      <c r="AC38" s="31">
        <f t="shared" si="16"/>
        <v>442249970</v>
      </c>
      <c r="AD38" s="101">
        <f>'Forecasted Sales'!C8</f>
        <v>480580000</v>
      </c>
      <c r="AE38" s="71">
        <f>AE37</f>
        <v>3.5466251942551597E-2</v>
      </c>
      <c r="AF38" s="33">
        <v>3.3799999999999997E-2</v>
      </c>
      <c r="AG38" s="73">
        <f t="shared" si="17"/>
        <v>1.6662519425515998E-3</v>
      </c>
      <c r="AH38" s="37">
        <f t="shared" si="19"/>
        <v>-21706256.111813869</v>
      </c>
    </row>
    <row r="39" spans="1:35" x14ac:dyDescent="0.2">
      <c r="A39" s="51">
        <v>45748</v>
      </c>
      <c r="B39" s="51">
        <v>45809</v>
      </c>
      <c r="C39" s="9">
        <v>5166295.41</v>
      </c>
      <c r="D39" s="10">
        <v>96647.53</v>
      </c>
      <c r="E39" s="10">
        <v>2538611.89</v>
      </c>
      <c r="F39" s="10">
        <v>0</v>
      </c>
      <c r="G39" s="10">
        <v>0</v>
      </c>
      <c r="H39" s="10">
        <v>0</v>
      </c>
      <c r="I39" s="16">
        <f t="shared" si="11"/>
        <v>7801554.8300000001</v>
      </c>
      <c r="J39" s="9">
        <v>0</v>
      </c>
      <c r="K39" s="10">
        <v>8191897</v>
      </c>
      <c r="L39" s="10">
        <v>0</v>
      </c>
      <c r="M39" s="16">
        <f t="shared" si="12"/>
        <v>8191897</v>
      </c>
      <c r="N39" s="11">
        <v>1000169</v>
      </c>
      <c r="O39" s="37">
        <f t="shared" si="13"/>
        <v>14993282.83</v>
      </c>
      <c r="P39" s="11">
        <v>-15281.219514999539</v>
      </c>
      <c r="Q39" s="69">
        <f>'2. Pg4'!N34</f>
        <v>-135728</v>
      </c>
      <c r="R39" s="37">
        <f t="shared" si="3"/>
        <v>15113729.610485001</v>
      </c>
      <c r="S39" s="11">
        <v>584116.8399999995</v>
      </c>
      <c r="T39" s="37">
        <f t="shared" si="10"/>
        <v>15697846.450485</v>
      </c>
      <c r="U39" s="48">
        <f t="shared" si="18"/>
        <v>18234937.507325098</v>
      </c>
      <c r="V39" s="24">
        <v>222436000</v>
      </c>
      <c r="W39" s="25">
        <v>215967000</v>
      </c>
      <c r="X39" s="28">
        <f t="shared" si="14"/>
        <v>438403000</v>
      </c>
      <c r="Y39" s="24">
        <v>0</v>
      </c>
      <c r="Z39" s="25">
        <v>25077000</v>
      </c>
      <c r="AA39" s="25">
        <v>19190151</v>
      </c>
      <c r="AB39" s="28">
        <f t="shared" si="15"/>
        <v>44267151</v>
      </c>
      <c r="AC39" s="31">
        <f t="shared" si="16"/>
        <v>394135849</v>
      </c>
      <c r="AD39" s="101">
        <f>'Forecasted Sales'!C9</f>
        <v>507224000</v>
      </c>
      <c r="AE39" s="71">
        <f>AE38</f>
        <v>3.5466251942551597E-2</v>
      </c>
      <c r="AF39" s="33">
        <v>3.3799999999999997E-2</v>
      </c>
      <c r="AG39" s="73">
        <f t="shared" si="17"/>
        <v>1.6662519425515998E-3</v>
      </c>
      <c r="AH39" s="37">
        <f t="shared" si="19"/>
        <v>-19169165.054973774</v>
      </c>
    </row>
    <row r="40" spans="1:35" x14ac:dyDescent="0.2">
      <c r="A40" s="51">
        <v>45778</v>
      </c>
      <c r="B40" s="51">
        <v>45839</v>
      </c>
      <c r="C40" s="9">
        <v>1362557.52</v>
      </c>
      <c r="D40" s="10">
        <v>160652.59</v>
      </c>
      <c r="E40" s="10">
        <v>2950457.55</v>
      </c>
      <c r="F40" s="10">
        <v>0</v>
      </c>
      <c r="G40" s="10">
        <v>0</v>
      </c>
      <c r="H40" s="10">
        <v>0</v>
      </c>
      <c r="I40" s="16">
        <f t="shared" si="11"/>
        <v>4473667.66</v>
      </c>
      <c r="J40" s="9">
        <v>0</v>
      </c>
      <c r="K40" s="10">
        <v>11327156</v>
      </c>
      <c r="L40" s="10">
        <v>0</v>
      </c>
      <c r="M40" s="16">
        <f t="shared" si="12"/>
        <v>11327156</v>
      </c>
      <c r="N40" s="11">
        <v>931449</v>
      </c>
      <c r="O40" s="37">
        <f t="shared" si="13"/>
        <v>14869374.66</v>
      </c>
      <c r="P40" s="11">
        <v>-258432.84999999963</v>
      </c>
      <c r="Q40" s="69">
        <f>'2. Pg4'!N35</f>
        <v>-152673</v>
      </c>
      <c r="R40" s="37">
        <f t="shared" si="3"/>
        <v>14763614.810000001</v>
      </c>
      <c r="S40" s="11">
        <v>-770661.8</v>
      </c>
      <c r="T40" s="37">
        <f t="shared" si="10"/>
        <v>13992953.01</v>
      </c>
      <c r="U40" s="48">
        <f t="shared" si="18"/>
        <v>18434865.220658433</v>
      </c>
      <c r="V40" s="24">
        <v>121032000</v>
      </c>
      <c r="W40" s="25">
        <v>299205000</v>
      </c>
      <c r="X40" s="28">
        <f t="shared" si="14"/>
        <v>420237000</v>
      </c>
      <c r="Y40" s="24">
        <v>0</v>
      </c>
      <c r="Z40" s="25">
        <v>26745000</v>
      </c>
      <c r="AA40" s="25">
        <v>21316836</v>
      </c>
      <c r="AB40" s="28">
        <f t="shared" si="15"/>
        <v>48061836</v>
      </c>
      <c r="AC40" s="31">
        <f t="shared" si="16"/>
        <v>372175164</v>
      </c>
      <c r="AD40" s="101">
        <f>'Forecasted Sales'!C10</f>
        <v>549254000</v>
      </c>
      <c r="AE40" s="71">
        <f>(U40+U39+U38)/(AD42+AD41+AD40)</f>
        <v>3.4612115309981942E-2</v>
      </c>
      <c r="AF40" s="33">
        <v>3.3799999999999997E-2</v>
      </c>
      <c r="AG40" s="73">
        <f t="shared" si="17"/>
        <v>8.1211530998194503E-4</v>
      </c>
      <c r="AH40" s="37">
        <f t="shared" si="19"/>
        <v>-14727252.844315341</v>
      </c>
    </row>
    <row r="41" spans="1:35" x14ac:dyDescent="0.2">
      <c r="A41" s="51">
        <v>45809</v>
      </c>
      <c r="B41" s="51">
        <v>45870</v>
      </c>
      <c r="C41" s="9">
        <v>9601209.5500000007</v>
      </c>
      <c r="D41" s="10">
        <v>1026257.44</v>
      </c>
      <c r="E41" s="10">
        <v>4199683.7</v>
      </c>
      <c r="F41" s="10">
        <v>0</v>
      </c>
      <c r="G41" s="10">
        <v>0</v>
      </c>
      <c r="H41" s="10">
        <v>0</v>
      </c>
      <c r="I41" s="16">
        <f t="shared" si="11"/>
        <v>14827150.690000001</v>
      </c>
      <c r="J41" s="9">
        <v>0</v>
      </c>
      <c r="K41" s="10">
        <v>10322046</v>
      </c>
      <c r="L41" s="10">
        <v>0</v>
      </c>
      <c r="M41" s="16">
        <f t="shared" si="12"/>
        <v>10322046</v>
      </c>
      <c r="N41" s="11">
        <v>4577542</v>
      </c>
      <c r="O41" s="37">
        <f t="shared" si="13"/>
        <v>20571654.690000001</v>
      </c>
      <c r="P41" s="11">
        <v>-2104483.2800000012</v>
      </c>
      <c r="Q41" s="69">
        <f>'2. Pg4'!N36</f>
        <v>-170199</v>
      </c>
      <c r="R41" s="37">
        <f t="shared" si="3"/>
        <v>18637370.41</v>
      </c>
      <c r="S41" s="11">
        <v>1772570.5700000005</v>
      </c>
      <c r="T41" s="37">
        <f t="shared" si="10"/>
        <v>20409940.98</v>
      </c>
      <c r="U41" s="48">
        <f t="shared" si="18"/>
        <v>18648641.181491766</v>
      </c>
      <c r="V41" s="24">
        <v>293362000</v>
      </c>
      <c r="W41" s="25">
        <v>255678000</v>
      </c>
      <c r="X41" s="28">
        <f t="shared" si="14"/>
        <v>549040000</v>
      </c>
      <c r="Y41" s="24">
        <v>0</v>
      </c>
      <c r="Z41" s="25">
        <v>90341000</v>
      </c>
      <c r="AA41" s="25">
        <v>17370804</v>
      </c>
      <c r="AB41" s="28">
        <f t="shared" si="15"/>
        <v>107711804</v>
      </c>
      <c r="AC41" s="31">
        <f t="shared" si="16"/>
        <v>441328196</v>
      </c>
      <c r="AD41" s="101">
        <f>'Forecasted Sales'!C11</f>
        <v>548181000</v>
      </c>
      <c r="AE41" s="71">
        <f>AE40</f>
        <v>3.4612115309981942E-2</v>
      </c>
      <c r="AF41" s="33">
        <v>3.3799999999999997E-2</v>
      </c>
      <c r="AG41" s="73">
        <f t="shared" si="17"/>
        <v>8.1211530998194503E-4</v>
      </c>
      <c r="AH41" s="37">
        <f t="shared" si="19"/>
        <v>-16488552.642823575</v>
      </c>
    </row>
    <row r="42" spans="1:35" x14ac:dyDescent="0.2">
      <c r="A42" s="51">
        <v>45839</v>
      </c>
      <c r="B42" s="51">
        <v>45901</v>
      </c>
      <c r="C42" s="9">
        <v>9639698.9399999995</v>
      </c>
      <c r="D42" s="10">
        <v>310596.71999999997</v>
      </c>
      <c r="E42" s="10">
        <v>5005996.97</v>
      </c>
      <c r="F42" s="10">
        <v>0</v>
      </c>
      <c r="G42" s="10">
        <v>0</v>
      </c>
      <c r="H42" s="10">
        <v>0</v>
      </c>
      <c r="I42" s="16">
        <f t="shared" si="11"/>
        <v>14956292.629999999</v>
      </c>
      <c r="J42" s="9">
        <v>0</v>
      </c>
      <c r="K42" s="10">
        <v>10472232.41</v>
      </c>
      <c r="L42" s="10">
        <v>0</v>
      </c>
      <c r="M42" s="16">
        <f t="shared" si="12"/>
        <v>10472232.41</v>
      </c>
      <c r="N42" s="11">
        <v>3555853.0819999999</v>
      </c>
      <c r="O42" s="37">
        <f t="shared" si="13"/>
        <v>21872671.958000001</v>
      </c>
      <c r="P42" s="11">
        <v>-164316.07600000128</v>
      </c>
      <c r="Q42" s="69">
        <f>'2. Pg4'!N37</f>
        <v>-35028</v>
      </c>
      <c r="R42" s="37">
        <f t="shared" si="3"/>
        <v>21743383.881999999</v>
      </c>
      <c r="S42" s="11">
        <v>1457841.25</v>
      </c>
      <c r="T42" s="37">
        <f t="shared" si="10"/>
        <v>23201225.131999999</v>
      </c>
      <c r="U42" s="48">
        <f t="shared" si="18"/>
        <v>19050612.721335307</v>
      </c>
      <c r="V42" s="24">
        <v>410518000</v>
      </c>
      <c r="W42" s="25">
        <v>162349000</v>
      </c>
      <c r="X42" s="28">
        <f t="shared" si="14"/>
        <v>572867000</v>
      </c>
      <c r="Y42" s="24">
        <v>0</v>
      </c>
      <c r="Z42" s="25">
        <v>45144000</v>
      </c>
      <c r="AA42" s="25">
        <v>22962393</v>
      </c>
      <c r="AB42" s="28">
        <f t="shared" si="15"/>
        <v>68106393</v>
      </c>
      <c r="AC42" s="31">
        <f t="shared" si="16"/>
        <v>504760607</v>
      </c>
      <c r="AD42" s="101">
        <f>'Forecasted Sales'!C12</f>
        <v>483072000</v>
      </c>
      <c r="AE42" s="71">
        <f>AE41</f>
        <v>3.4612115309981942E-2</v>
      </c>
      <c r="AF42" s="33">
        <v>3.3799999999999997E-2</v>
      </c>
      <c r="AG42" s="73">
        <f t="shared" si="17"/>
        <v>8.1211530998194503E-4</v>
      </c>
      <c r="AH42" s="37">
        <f t="shared" si="19"/>
        <v>-20639165.053488269</v>
      </c>
    </row>
    <row r="43" spans="1:35" x14ac:dyDescent="0.2">
      <c r="A43" s="51">
        <v>45870</v>
      </c>
      <c r="B43" s="51">
        <v>45931</v>
      </c>
      <c r="C43" s="9">
        <v>7211243.7999999998</v>
      </c>
      <c r="D43" s="10">
        <v>229206.49</v>
      </c>
      <c r="E43" s="10">
        <v>4478586.49</v>
      </c>
      <c r="F43" s="10">
        <v>0</v>
      </c>
      <c r="G43" s="10">
        <v>0</v>
      </c>
      <c r="H43" s="10">
        <v>0</v>
      </c>
      <c r="I43" s="16">
        <f t="shared" si="11"/>
        <v>11919036.780000001</v>
      </c>
      <c r="J43" s="9">
        <v>0</v>
      </c>
      <c r="K43" s="10">
        <v>5494884</v>
      </c>
      <c r="L43" s="10">
        <v>0</v>
      </c>
      <c r="M43" s="16">
        <f t="shared" si="12"/>
        <v>5494884</v>
      </c>
      <c r="N43" s="11">
        <v>2117358</v>
      </c>
      <c r="O43" s="37">
        <f t="shared" si="13"/>
        <v>15296562.780000001</v>
      </c>
      <c r="P43" s="11">
        <v>-2691105.2349900007</v>
      </c>
      <c r="Q43" s="69">
        <f>'2. Pg4'!N38</f>
        <v>-57184</v>
      </c>
      <c r="R43" s="37">
        <f t="shared" si="3"/>
        <v>12662641.54501</v>
      </c>
      <c r="S43" s="11">
        <v>467096.12</v>
      </c>
      <c r="T43" s="37">
        <f t="shared" si="10"/>
        <v>13129737.66501</v>
      </c>
      <c r="U43" s="48">
        <f t="shared" si="18"/>
        <v>18724628.342586141</v>
      </c>
      <c r="V43" s="24">
        <v>350400000</v>
      </c>
      <c r="W43" s="25">
        <v>169471000</v>
      </c>
      <c r="X43" s="28">
        <f t="shared" si="14"/>
        <v>519871000</v>
      </c>
      <c r="Y43" s="24">
        <v>0</v>
      </c>
      <c r="Z43" s="25">
        <v>61334000</v>
      </c>
      <c r="AA43" s="25">
        <v>21463515</v>
      </c>
      <c r="AB43" s="28">
        <f t="shared" si="15"/>
        <v>82797515</v>
      </c>
      <c r="AC43" s="31">
        <f t="shared" si="16"/>
        <v>437073485</v>
      </c>
      <c r="AD43" s="101">
        <f>'Forecasted Sales'!C13</f>
        <v>472910000</v>
      </c>
      <c r="AE43" s="71">
        <f>(U43+U42+U41)/(AD45+AD44+AD43)</f>
        <v>3.5554316316753938E-2</v>
      </c>
      <c r="AF43" s="33">
        <v>3.3799999999999997E-2</v>
      </c>
      <c r="AG43" s="73">
        <f t="shared" si="17"/>
        <v>1.7543163167539413E-3</v>
      </c>
      <c r="AH43" s="37">
        <f t="shared" si="19"/>
        <v>-15044274.375912128</v>
      </c>
    </row>
    <row r="44" spans="1:35" x14ac:dyDescent="0.2">
      <c r="A44" s="51">
        <v>45901</v>
      </c>
      <c r="B44" s="51">
        <v>45962</v>
      </c>
      <c r="C44" s="9">
        <v>2473641.0099999998</v>
      </c>
      <c r="D44" s="10">
        <v>191928.15</v>
      </c>
      <c r="E44" s="10">
        <v>2137023.79</v>
      </c>
      <c r="F44" s="10">
        <v>0</v>
      </c>
      <c r="G44" s="10">
        <v>0</v>
      </c>
      <c r="H44" s="10">
        <v>0</v>
      </c>
      <c r="I44" s="16">
        <f t="shared" si="11"/>
        <v>4802592.9499999993</v>
      </c>
      <c r="J44" s="9">
        <v>0</v>
      </c>
      <c r="K44" s="10">
        <v>11149256</v>
      </c>
      <c r="L44" s="10">
        <v>0</v>
      </c>
      <c r="M44" s="16">
        <f t="shared" si="12"/>
        <v>11149256</v>
      </c>
      <c r="N44" s="11">
        <v>1018688</v>
      </c>
      <c r="O44" s="37">
        <f t="shared" si="13"/>
        <v>14933160.949999999</v>
      </c>
      <c r="P44" s="11">
        <v>-366791.87999999896</v>
      </c>
      <c r="Q44" s="69">
        <f>'2. Pg4'!N39</f>
        <v>-98527</v>
      </c>
      <c r="R44" s="37">
        <f t="shared" si="3"/>
        <v>14664896.07</v>
      </c>
      <c r="S44" s="11">
        <v>734418.41999999993</v>
      </c>
      <c r="T44" s="37">
        <f t="shared" si="10"/>
        <v>15399314.49</v>
      </c>
      <c r="U44" s="48">
        <f t="shared" si="18"/>
        <v>18744964.766150143</v>
      </c>
      <c r="V44" s="24">
        <v>135750000</v>
      </c>
      <c r="W44" s="25">
        <v>276022000</v>
      </c>
      <c r="X44" s="28">
        <f t="shared" si="14"/>
        <v>411772000</v>
      </c>
      <c r="Y44" s="24">
        <v>0</v>
      </c>
      <c r="Z44" s="25">
        <v>32495000</v>
      </c>
      <c r="AA44" s="25">
        <v>16819593</v>
      </c>
      <c r="AB44" s="28">
        <f t="shared" si="15"/>
        <v>49314593</v>
      </c>
      <c r="AC44" s="31">
        <f t="shared" si="16"/>
        <v>362457407</v>
      </c>
      <c r="AD44" s="101">
        <f>'Forecasted Sales'!C14</f>
        <v>508842000</v>
      </c>
      <c r="AE44" s="71">
        <f>AE43</f>
        <v>3.5554316316753938E-2</v>
      </c>
      <c r="AF44" s="33">
        <v>3.3799999999999997E-2</v>
      </c>
      <c r="AG44" s="73">
        <f t="shared" si="17"/>
        <v>1.7543163167539413E-3</v>
      </c>
      <c r="AH44" s="37">
        <f t="shared" si="19"/>
        <v>-11698624.099761985</v>
      </c>
    </row>
    <row r="45" spans="1:35" x14ac:dyDescent="0.2">
      <c r="A45" s="51">
        <v>45931</v>
      </c>
      <c r="B45" s="51">
        <v>45992</v>
      </c>
      <c r="C45" s="9">
        <v>9776000.9299999997</v>
      </c>
      <c r="D45" s="10">
        <v>299158.57000000007</v>
      </c>
      <c r="E45" s="10">
        <v>618586.98</v>
      </c>
      <c r="F45" s="10">
        <v>0</v>
      </c>
      <c r="G45" s="10">
        <v>0</v>
      </c>
      <c r="H45" s="10">
        <v>0</v>
      </c>
      <c r="I45" s="16">
        <f t="shared" si="11"/>
        <v>10693746.48</v>
      </c>
      <c r="J45" s="9">
        <v>0</v>
      </c>
      <c r="K45" s="10">
        <v>10013201.297</v>
      </c>
      <c r="L45" s="10">
        <v>0</v>
      </c>
      <c r="M45" s="16">
        <f t="shared" si="12"/>
        <v>10013201.297</v>
      </c>
      <c r="N45" s="11">
        <v>2824145.1169999996</v>
      </c>
      <c r="O45" s="37">
        <f t="shared" si="13"/>
        <v>17882802.660000004</v>
      </c>
      <c r="P45" s="11">
        <v>-1697616.4776785076</v>
      </c>
      <c r="Q45" s="69">
        <f>'2. Pg4'!N40</f>
        <v>-309756</v>
      </c>
      <c r="R45" s="37">
        <f t="shared" si="3"/>
        <v>16494942.182321496</v>
      </c>
      <c r="S45" s="11">
        <v>-488036.95999999979</v>
      </c>
      <c r="T45" s="37">
        <f t="shared" si="10"/>
        <v>16006905.222321497</v>
      </c>
      <c r="U45" s="48">
        <f t="shared" si="18"/>
        <v>18862129.043736853</v>
      </c>
      <c r="V45" s="24">
        <v>253108000</v>
      </c>
      <c r="W45" s="25">
        <v>207166000</v>
      </c>
      <c r="X45" s="28">
        <f t="shared" si="14"/>
        <v>460274000</v>
      </c>
      <c r="Y45" s="24">
        <v>0</v>
      </c>
      <c r="Z45" s="25">
        <v>53883000</v>
      </c>
      <c r="AA45" s="25">
        <v>19852871</v>
      </c>
      <c r="AB45" s="28">
        <f t="shared" si="15"/>
        <v>73735871</v>
      </c>
      <c r="AC45" s="31">
        <f t="shared" si="16"/>
        <v>386538129</v>
      </c>
      <c r="AD45" s="101">
        <f>'Forecasted Sales'!C15</f>
        <v>605225000</v>
      </c>
      <c r="AE45" s="71">
        <f>AE44</f>
        <v>3.5554316316753938E-2</v>
      </c>
      <c r="AF45" s="33">
        <v>3.3799999999999997E-2</v>
      </c>
      <c r="AG45" s="73">
        <f t="shared" si="17"/>
        <v>1.7543163167539413E-3</v>
      </c>
      <c r="AH45" s="37">
        <f t="shared" si="19"/>
        <v>-8843400.2783466298</v>
      </c>
    </row>
    <row r="46" spans="1:35" x14ac:dyDescent="0.2">
      <c r="A46" s="51">
        <v>45962</v>
      </c>
      <c r="B46" s="51">
        <v>46023</v>
      </c>
      <c r="C46" s="9">
        <v>8506193.7199999988</v>
      </c>
      <c r="D46" s="10">
        <v>295059.15999999992</v>
      </c>
      <c r="E46" s="10">
        <v>3778212.0999999996</v>
      </c>
      <c r="F46" s="10">
        <v>0</v>
      </c>
      <c r="G46" s="10">
        <v>0</v>
      </c>
      <c r="H46" s="10">
        <v>0</v>
      </c>
      <c r="I46" s="16">
        <f t="shared" si="11"/>
        <v>12579464.979999999</v>
      </c>
      <c r="J46" s="9">
        <v>0</v>
      </c>
      <c r="K46" s="10">
        <v>10549355</v>
      </c>
      <c r="L46" s="10">
        <v>0</v>
      </c>
      <c r="M46" s="16">
        <f t="shared" si="12"/>
        <v>10549355</v>
      </c>
      <c r="N46" s="11">
        <v>5875246.2100000009</v>
      </c>
      <c r="O46" s="37">
        <f t="shared" si="13"/>
        <v>17253573.769999996</v>
      </c>
      <c r="P46" s="11">
        <v>-2550539.322004931</v>
      </c>
      <c r="Q46" s="69">
        <f>'2. Pg4'!N41</f>
        <v>-269645</v>
      </c>
      <c r="R46" s="37">
        <f t="shared" si="3"/>
        <v>14972679.447995065</v>
      </c>
      <c r="S46" s="11">
        <v>690056.16000000038</v>
      </c>
      <c r="T46" s="37">
        <f t="shared" si="10"/>
        <v>15662735.607995065</v>
      </c>
      <c r="U46" s="48">
        <f t="shared" si="18"/>
        <v>18842081.860437799</v>
      </c>
      <c r="V46" s="24">
        <v>338098000</v>
      </c>
      <c r="W46" s="25">
        <v>221814000</v>
      </c>
      <c r="X46" s="28">
        <f t="shared" si="14"/>
        <v>559912000</v>
      </c>
      <c r="Y46" s="24">
        <v>0</v>
      </c>
      <c r="Z46" s="25">
        <v>127655000</v>
      </c>
      <c r="AA46" s="25">
        <v>22881757</v>
      </c>
      <c r="AB46" s="28">
        <f t="shared" si="15"/>
        <v>150536757</v>
      </c>
      <c r="AC46" s="31">
        <f t="shared" si="16"/>
        <v>409375243</v>
      </c>
      <c r="AD46" s="101"/>
      <c r="AE46" s="71"/>
      <c r="AF46" s="33"/>
      <c r="AG46" s="73"/>
      <c r="AH46" s="37"/>
    </row>
    <row r="47" spans="1:35" ht="13.5" thickBot="1" x14ac:dyDescent="0.25">
      <c r="A47" s="51">
        <v>45992</v>
      </c>
      <c r="B47" s="51">
        <v>46054</v>
      </c>
      <c r="C47" s="12">
        <v>7484498.2699999986</v>
      </c>
      <c r="D47" s="13">
        <v>422823.41</v>
      </c>
      <c r="E47" s="13">
        <v>5135400.88</v>
      </c>
      <c r="F47" s="13">
        <v>0</v>
      </c>
      <c r="G47" s="13">
        <v>0</v>
      </c>
      <c r="H47" s="13">
        <v>0</v>
      </c>
      <c r="I47" s="17">
        <f t="shared" si="11"/>
        <v>13042722.559999999</v>
      </c>
      <c r="J47" s="12">
        <v>0</v>
      </c>
      <c r="K47" s="13">
        <v>11195248.76</v>
      </c>
      <c r="L47" s="13">
        <v>0</v>
      </c>
      <c r="M47" s="17">
        <f t="shared" si="12"/>
        <v>11195248.76</v>
      </c>
      <c r="N47" s="14">
        <v>2073214.496</v>
      </c>
      <c r="O47" s="38">
        <f t="shared" si="13"/>
        <v>22164756.824000001</v>
      </c>
      <c r="P47" s="14">
        <v>-874632.74927384034</v>
      </c>
      <c r="Q47" s="70">
        <f>'2. Pg4'!N42</f>
        <v>-145423</v>
      </c>
      <c r="R47" s="38">
        <f t="shared" si="3"/>
        <v>21435547.074726161</v>
      </c>
      <c r="S47" s="14">
        <v>63926.51999999932</v>
      </c>
      <c r="T47" s="38">
        <f t="shared" si="10"/>
        <v>21499473.59472616</v>
      </c>
      <c r="U47" s="49">
        <f t="shared" si="18"/>
        <v>18954530.00572921</v>
      </c>
      <c r="V47" s="26">
        <v>344193000</v>
      </c>
      <c r="W47" s="27">
        <v>239435000</v>
      </c>
      <c r="X47" s="29">
        <f t="shared" si="14"/>
        <v>583628000</v>
      </c>
      <c r="Y47" s="26">
        <v>0</v>
      </c>
      <c r="Z47" s="27">
        <v>46709000</v>
      </c>
      <c r="AA47" s="27">
        <v>29924225</v>
      </c>
      <c r="AB47" s="29">
        <f t="shared" si="15"/>
        <v>76633225</v>
      </c>
      <c r="AC47" s="32">
        <f t="shared" si="16"/>
        <v>506994775</v>
      </c>
      <c r="AD47" s="102"/>
      <c r="AE47" s="72"/>
      <c r="AF47" s="40"/>
      <c r="AG47" s="74"/>
      <c r="AH47" s="38"/>
      <c r="AI47" s="99"/>
    </row>
    <row r="48" spans="1:35" x14ac:dyDescent="0.2"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</row>
    <row r="49" spans="17:33" x14ac:dyDescent="0.2"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</row>
    <row r="50" spans="17:33" x14ac:dyDescent="0.2"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</row>
    <row r="51" spans="17:33" x14ac:dyDescent="0.2">
      <c r="Q51" s="99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</row>
    <row r="52" spans="17:33" x14ac:dyDescent="0.2"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</row>
    <row r="53" spans="17:33" x14ac:dyDescent="0.2"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</row>
  </sheetData>
  <mergeCells count="8">
    <mergeCell ref="C4:U4"/>
    <mergeCell ref="V4:AC4"/>
    <mergeCell ref="AE4:AG4"/>
    <mergeCell ref="C5:I5"/>
    <mergeCell ref="J5:M5"/>
    <mergeCell ref="V5:X5"/>
    <mergeCell ref="Y5:AB5"/>
    <mergeCell ref="AE5:AG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</documentManagement>
</p:properties>
</file>

<file path=customXml/item2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WQ+e0U4NEJDQ0E4LUVBNzQtNEFBNi05MkQ0LTQ0M0MxNkMxQzU3OH08L2lkPjxWYWxpZD50cnVlPC9WYWxpZD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yOTA3OTI8L1VzZXJOYW1lPjxEYXRlVGltZT4zLzExLzIwMjYgNDo0MzoyNiBQTTwvRGF0ZVRpbWU+PExhYmVsU3RyaW5nPkFFUCBJbnRlcm5hbDwvTGFiZWxTdHJpbmc+PC9pdGVtPjwvbGFiZWxIaXN0b3J5Pg==</Value>
  <Signature xmlns="http://www.w3.org/2000/09/xmldsig#">
    <SignedInfo>
      <CanonicalizationMethod Algorithm="http://www.w3.org/TR/2001/REC-xml-c14n-20010315"/>
      <SignatureMethod Algorithm="http://www.w3.org/2001/04/xmldsig-more#rsa-sha256"/>
      <Reference URI="">
        <Transforms>
          <Transform Algorithm="http://www.w3.org/2000/09/xmldsig#enveloped-signature"/>
        </Transforms>
        <DigestMethod Algorithm="http://www.w3.org/2001/04/xmlenc#sha256"/>
        <DigestValue>QkFR/Li/tQ5SXustKLAHU8rLfU0mGESD9JBHaIQ7mH0=</DigestValue>
      </Reference>
      <Reference URI="#CLASSIFICATIONHISTORY">
        <DigestMethod Algorithm="http://www.w3.org/2001/04/xmlenc#sha256"/>
        <DigestValue>zBeNdxcx5fOghTrIWXBz98lGX9NrlAhNaGxLzVhsulw=</DigestValue>
      </Reference>
    </SignedInfo>
    <SignatureValue>LsLc9ISfSv0GoWoGEl4s2OJnyv3MMS5ktW2gnK2ygl4IWpomPp0POWlLz9KYJauhTvI688TaGFogEUYFsKRCQw==</SignatureValue>
    <Object Id="CLASSIFICATIONHISTORY">
      <ArrayOfString xmlns:xsd="http://www.w3.org/2001/XMLSchema" xmlns:xsi="http://www.w3.org/2001/XMLSchema-instance" xmlns="">
        <string>uCe0rmnPJecF1g7BhWkydSvRB7zuq3Hi</string>
      </ArrayOfString>
    </Object>
  </Signature>
</WrappedLabelHistory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049995464e7bd8919604ce5b50842935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d05b0b3c092d42dd81fdac30d210b6a3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OriginalFileDate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riginalFileDate" ma:index="23" nillable="true" ma:displayName="Original File Date" ma:format="DateOnly" ma:internalName="OriginalFileDate">
      <xsd:simpleType>
        <xsd:restriction base="dms:DateTime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Props1.xml><?xml version="1.0" encoding="utf-8"?>
<ds:datastoreItem xmlns:ds="http://schemas.openxmlformats.org/officeDocument/2006/customXml" ds:itemID="{3E4BE1B7-AA1F-4D81-9662-38827985B375}">
  <ds:schemaRefs>
    <ds:schemaRef ds:uri="http://schemas.microsoft.com/office/2006/documentManagement/types"/>
    <ds:schemaRef ds:uri="http://schemas.openxmlformats.org/package/2006/metadata/core-properties"/>
    <ds:schemaRef ds:uri="f88ffb1c-9230-4705-a789-27bae69f5829"/>
    <ds:schemaRef ds:uri="http://schemas.microsoft.com/office/2006/metadata/properties"/>
    <ds:schemaRef ds:uri="http://www.w3.org/XML/1998/namespace"/>
    <ds:schemaRef ds:uri="http://purl.org/dc/dcmitype/"/>
    <ds:schemaRef ds:uri="http://purl.org/dc/terms/"/>
    <ds:schemaRef ds:uri="b6888f76-1100-40b0-929b-1efe9044426d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84BCCA8-EA74-4AA6-92D4-443C16C1C578}">
  <ds:schemaRefs>
    <ds:schemaRef ds:uri="http://www.w3.org/2001/XMLSchema"/>
    <ds:schemaRef ds:uri="http://www.boldonjames.com/2016/02/Classifier/internal/wrappedLabelHistory"/>
    <ds:schemaRef ds:uri="http://www.w3.org/2000/09/xmldsig#"/>
    <ds:schemaRef ds:uri=""/>
  </ds:schemaRefs>
</ds:datastoreItem>
</file>

<file path=customXml/itemProps3.xml><?xml version="1.0" encoding="utf-8"?>
<ds:datastoreItem xmlns:ds="http://schemas.openxmlformats.org/officeDocument/2006/customXml" ds:itemID="{4F811691-2CAF-4073-A3F7-5E94A7F3097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386F5A7-8EAC-4F1F-90D8-59520422C0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B7B5D63A-24E6-4A14-967F-BE5B4823172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Summary</vt:lpstr>
      <vt:lpstr>Current &gt;</vt:lpstr>
      <vt:lpstr>0. Rate Calc</vt:lpstr>
      <vt:lpstr>0. Pg4</vt:lpstr>
      <vt:lpstr>Option 1 &gt;</vt:lpstr>
      <vt:lpstr>1. Rate Calc</vt:lpstr>
      <vt:lpstr>1. Pg4</vt:lpstr>
      <vt:lpstr>Option 2 &gt;</vt:lpstr>
      <vt:lpstr>2. Rate Calc</vt:lpstr>
      <vt:lpstr>2. Pg4</vt:lpstr>
      <vt:lpstr>Option 3 &gt; </vt:lpstr>
      <vt:lpstr>3. Rate Calc</vt:lpstr>
      <vt:lpstr>3. Pg4</vt:lpstr>
      <vt:lpstr>Option 4 &gt;</vt:lpstr>
      <vt:lpstr>4. Rate Calc</vt:lpstr>
      <vt:lpstr>4. Pg 4</vt:lpstr>
      <vt:lpstr>1a. Injected O.U</vt:lpstr>
      <vt:lpstr>1a. Rate Calc</vt:lpstr>
      <vt:lpstr>1a. Pg4</vt:lpstr>
      <vt:lpstr>Addl Info &gt;</vt:lpstr>
      <vt:lpstr>Historical Sales</vt:lpstr>
      <vt:lpstr>Forecasted Sales</vt:lpstr>
      <vt:lpstr>FAC Charge Chart</vt:lpstr>
      <vt:lpstr>AMP Chart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Lerah M Kahn</dc:creator>
  <cp:lastModifiedBy>Lerah M Kahn</cp:lastModifiedBy>
  <dcterms:created xsi:type="dcterms:W3CDTF">2026-03-11T15:43:33Z</dcterms:created>
  <dcterms:modified xsi:type="dcterms:W3CDTF">2026-05-11T19:51:08Z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18c0c7d1-06ac-423b-a833-3316db26437c</vt:lpwstr>
  </property>
  <property fmtid="{D5CDD505-2E9C-101B-9397-08002B2CF9AE}" pid="3" name="bjClsUserRVM">
    <vt:lpwstr>[]</vt:lpwstr>
  </property>
  <property fmtid="{D5CDD505-2E9C-101B-9397-08002B2CF9AE}" pid="4" name="bjSaver">
    <vt:lpwstr>Yzo6iu4RCOp5VcJWjy40zzIEO7NbA0wx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pmDocIH">
    <vt:lpwstr>UlCBV6MZkbRiHma6CQZ9UtsxQkWfju0H</vt:lpwstr>
  </property>
  <property fmtid="{D5CDD505-2E9C-101B-9397-08002B2CF9AE}" pid="12" name="bjLabelHistoryID">
    <vt:lpwstr>{E84BCCA8-EA74-4AA6-92D4-443C16C1C578}</vt:lpwstr>
  </property>
  <property fmtid="{D5CDD505-2E9C-101B-9397-08002B2CF9AE}" pid="13" name="ContentTypeId">
    <vt:lpwstr>0x0101004DF805D1E1DA4A49A223477D3B105720</vt:lpwstr>
  </property>
  <property fmtid="{D5CDD505-2E9C-101B-9397-08002B2CF9AE}" pid="14" name="MediaServiceImageTags">
    <vt:lpwstr/>
  </property>
</Properties>
</file>