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penergy.sharepoint.com/sites/RegulatoryServices/OPCO/Kentucky Power/Riders/2022-00190 Fuel Adjustment Clause Regulation Investigation/03_Supplemental Comments P2/"/>
    </mc:Choice>
  </mc:AlternateContent>
  <xr:revisionPtr revIDLastSave="129" documentId="13_ncr:1_{3618CCEC-B0AC-47FE-A927-4523B78F8A05}" xr6:coauthVersionLast="47" xr6:coauthVersionMax="47" xr10:uidLastSave="{0F14F7AA-6C08-4EDA-A36F-52EE78D4B393}"/>
  <bookViews>
    <workbookView xWindow="38280" yWindow="-120" windowWidth="38640" windowHeight="21120" activeTab="1" xr2:uid="{FC0AE74E-6440-42E0-8856-764709357A7A}"/>
  </bookViews>
  <sheets>
    <sheet name="Summary" sheetId="3" r:id="rId1"/>
    <sheet name="Chart" sheetId="4" r:id="rId2"/>
    <sheet name="As Filed FAC Rates" sheetId="1" r:id="rId3"/>
    <sheet name="Residential Average Usag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3" l="1"/>
  <c r="C4" i="3" s="1"/>
  <c r="C3" i="3"/>
  <c r="H14" i="3"/>
  <c r="H15" i="3" s="1"/>
  <c r="H16" i="3" s="1"/>
  <c r="H17" i="3" s="1"/>
  <c r="H18" i="3" s="1"/>
  <c r="H19" i="3" s="1"/>
  <c r="H20" i="3" s="1"/>
  <c r="H21" i="3" s="1"/>
  <c r="H22" i="3" s="1"/>
  <c r="H23" i="3" s="1"/>
  <c r="H13" i="3"/>
  <c r="H12" i="3"/>
  <c r="G13" i="3" l="1"/>
  <c r="G14" i="3"/>
  <c r="G15" i="3"/>
  <c r="G16" i="3"/>
  <c r="G17" i="3"/>
  <c r="G18" i="3"/>
  <c r="G19" i="3"/>
  <c r="G20" i="3"/>
  <c r="G21" i="3"/>
  <c r="G22" i="3"/>
  <c r="G23" i="3"/>
  <c r="G12" i="3"/>
  <c r="D13" i="3" l="1"/>
  <c r="D22" i="3"/>
  <c r="D21" i="3"/>
  <c r="D18" i="3"/>
  <c r="D12" i="3"/>
  <c r="C12" i="3"/>
  <c r="C13" i="3"/>
  <c r="C14" i="3"/>
  <c r="D14" i="3" s="1"/>
  <c r="C15" i="3"/>
  <c r="D15" i="3" s="1"/>
  <c r="C16" i="3"/>
  <c r="D16" i="3" s="1"/>
  <c r="C17" i="3"/>
  <c r="D17" i="3" s="1"/>
  <c r="C18" i="3"/>
  <c r="C19" i="3"/>
  <c r="D19" i="3" s="1"/>
  <c r="C20" i="3"/>
  <c r="D20" i="3" s="1"/>
  <c r="C21" i="3"/>
  <c r="C22" i="3"/>
  <c r="C23" i="3"/>
  <c r="D23" i="3" s="1"/>
  <c r="E3" i="3"/>
  <c r="D3" i="3"/>
  <c r="AE7" i="1"/>
  <c r="AE8" i="1"/>
  <c r="AE9" i="1"/>
  <c r="AE10" i="1"/>
  <c r="AE11" i="1"/>
  <c r="AE12" i="1"/>
  <c r="AE13" i="1"/>
  <c r="AE14" i="1"/>
  <c r="AC7" i="1"/>
  <c r="AC8" i="1"/>
  <c r="AC9" i="1"/>
  <c r="AC10" i="1"/>
  <c r="AC11" i="1"/>
  <c r="AC12" i="1"/>
  <c r="AC13" i="1"/>
  <c r="AC14" i="1"/>
  <c r="AB7" i="1"/>
  <c r="AB8" i="1"/>
  <c r="AB9" i="1"/>
  <c r="AB10" i="1"/>
  <c r="AB11" i="1"/>
  <c r="AB12" i="1"/>
  <c r="AB13" i="1"/>
  <c r="AB14" i="1"/>
  <c r="AA7" i="1"/>
  <c r="AA8" i="1"/>
  <c r="AA9" i="1"/>
  <c r="AA10" i="1"/>
  <c r="AA11" i="1"/>
  <c r="AA12" i="1"/>
  <c r="AA13" i="1"/>
  <c r="AA14" i="1"/>
  <c r="W7" i="1"/>
  <c r="W8" i="1"/>
  <c r="W9" i="1"/>
  <c r="W10" i="1"/>
  <c r="W11" i="1"/>
  <c r="W12" i="1"/>
  <c r="W13" i="1"/>
  <c r="W14" i="1"/>
  <c r="T12" i="1"/>
  <c r="T11" i="1"/>
  <c r="T10" i="1"/>
  <c r="T9" i="1"/>
  <c r="T8" i="1"/>
  <c r="M7" i="1"/>
  <c r="M8" i="1"/>
  <c r="M9" i="1"/>
  <c r="M10" i="1"/>
  <c r="M11" i="1"/>
  <c r="M12" i="1"/>
  <c r="M13" i="1"/>
  <c r="M14" i="1"/>
  <c r="I7" i="1"/>
  <c r="O7" i="1" s="1"/>
  <c r="R7" i="1" s="1"/>
  <c r="T7" i="1" s="1"/>
  <c r="I8" i="1"/>
  <c r="O8" i="1" s="1"/>
  <c r="R8" i="1" s="1"/>
  <c r="I9" i="1"/>
  <c r="I10" i="1"/>
  <c r="I11" i="1"/>
  <c r="O11" i="1" s="1"/>
  <c r="R11" i="1" s="1"/>
  <c r="I12" i="1"/>
  <c r="O12" i="1" s="1"/>
  <c r="R12" i="1" s="1"/>
  <c r="I13" i="1"/>
  <c r="O13" i="1" s="1"/>
  <c r="R13" i="1" s="1"/>
  <c r="T13" i="1" s="1"/>
  <c r="I14" i="1"/>
  <c r="O14" i="1" s="1"/>
  <c r="R14" i="1" s="1"/>
  <c r="T14" i="1" s="1"/>
  <c r="H24" i="3" l="1"/>
  <c r="O9" i="1"/>
  <c r="R9" i="1" s="1"/>
  <c r="O10" i="1"/>
  <c r="R10" i="1" s="1"/>
  <c r="E19" i="3" l="1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23" i="3"/>
  <c r="F23" i="3" s="1"/>
  <c r="E22" i="3"/>
  <c r="F22" i="3" s="1"/>
  <c r="E21" i="3"/>
  <c r="F21" i="3" s="1"/>
  <c r="E20" i="3"/>
  <c r="F20" i="3" s="1"/>
  <c r="E12" i="3"/>
  <c r="F12" i="3" s="1"/>
  <c r="AA55" i="1"/>
  <c r="AA56" i="1"/>
  <c r="AA57" i="1"/>
  <c r="AA58" i="1"/>
  <c r="AA59" i="1"/>
  <c r="W55" i="1"/>
  <c r="W56" i="1"/>
  <c r="W57" i="1"/>
  <c r="W58" i="1"/>
  <c r="W59" i="1"/>
  <c r="M55" i="1"/>
  <c r="M56" i="1"/>
  <c r="M57" i="1"/>
  <c r="M58" i="1"/>
  <c r="M59" i="1"/>
  <c r="I55" i="1"/>
  <c r="I56" i="1"/>
  <c r="I57" i="1"/>
  <c r="I58" i="1"/>
  <c r="I59" i="1"/>
  <c r="O55" i="1" l="1"/>
  <c r="R55" i="1" s="1"/>
  <c r="T55" i="1" s="1"/>
  <c r="O56" i="1"/>
  <c r="R56" i="1" s="1"/>
  <c r="T56" i="1" s="1"/>
  <c r="AB55" i="1"/>
  <c r="AB59" i="1"/>
  <c r="AB56" i="1"/>
  <c r="O59" i="1"/>
  <c r="R59" i="1" s="1"/>
  <c r="T59" i="1" s="1"/>
  <c r="AC59" i="1" s="1"/>
  <c r="AE59" i="1" s="1"/>
  <c r="C52" i="3" s="1"/>
  <c r="D52" i="3" s="1"/>
  <c r="O58" i="1"/>
  <c r="R58" i="1" s="1"/>
  <c r="T58" i="1" s="1"/>
  <c r="O57" i="1"/>
  <c r="R57" i="1" s="1"/>
  <c r="T57" i="1" s="1"/>
  <c r="AB58" i="1"/>
  <c r="AB57" i="1"/>
  <c r="AC58" i="1" l="1"/>
  <c r="AE58" i="1" s="1"/>
  <c r="C51" i="3" s="1"/>
  <c r="D51" i="3" s="1"/>
  <c r="AC55" i="1"/>
  <c r="AE55" i="1" s="1"/>
  <c r="C48" i="3" s="1"/>
  <c r="D48" i="3" s="1"/>
  <c r="AC56" i="1"/>
  <c r="AE56" i="1" s="1"/>
  <c r="C49" i="3" s="1"/>
  <c r="D49" i="3" s="1"/>
  <c r="AC57" i="1"/>
  <c r="AE57" i="1" s="1"/>
  <c r="C50" i="3" s="1"/>
  <c r="D50" i="3" s="1"/>
  <c r="N9" i="2"/>
  <c r="N10" i="2"/>
  <c r="N11" i="2"/>
  <c r="N6" i="2" s="1"/>
  <c r="N12" i="2"/>
  <c r="N13" i="2"/>
  <c r="N8" i="2"/>
  <c r="J6" i="2"/>
  <c r="K6" i="2"/>
  <c r="L6" i="2"/>
  <c r="M6" i="2"/>
  <c r="I6" i="2"/>
  <c r="C6" i="2"/>
  <c r="D6" i="2"/>
  <c r="E6" i="2"/>
  <c r="F6" i="2"/>
  <c r="G6" i="2"/>
  <c r="H6" i="2"/>
  <c r="B6" i="2"/>
  <c r="AA54" i="1" l="1"/>
  <c r="W54" i="1"/>
  <c r="M54" i="1"/>
  <c r="I54" i="1"/>
  <c r="AA53" i="1"/>
  <c r="W53" i="1"/>
  <c r="M53" i="1"/>
  <c r="I53" i="1"/>
  <c r="AA52" i="1"/>
  <c r="W52" i="1"/>
  <c r="M52" i="1"/>
  <c r="I52" i="1"/>
  <c r="AA51" i="1"/>
  <c r="W51" i="1"/>
  <c r="M51" i="1"/>
  <c r="I51" i="1"/>
  <c r="O51" i="1" s="1"/>
  <c r="R51" i="1" s="1"/>
  <c r="T51" i="1" s="1"/>
  <c r="AA50" i="1"/>
  <c r="W50" i="1"/>
  <c r="M50" i="1"/>
  <c r="I50" i="1"/>
  <c r="AA49" i="1"/>
  <c r="W49" i="1"/>
  <c r="M49" i="1"/>
  <c r="I49" i="1"/>
  <c r="AA48" i="1"/>
  <c r="W48" i="1"/>
  <c r="M48" i="1"/>
  <c r="I48" i="1"/>
  <c r="AA47" i="1"/>
  <c r="W47" i="1"/>
  <c r="M47" i="1"/>
  <c r="I47" i="1"/>
  <c r="O47" i="1" s="1"/>
  <c r="R47" i="1" s="1"/>
  <c r="T47" i="1" s="1"/>
  <c r="AA46" i="1"/>
  <c r="W46" i="1"/>
  <c r="M46" i="1"/>
  <c r="I46" i="1"/>
  <c r="AA45" i="1"/>
  <c r="W45" i="1"/>
  <c r="M45" i="1"/>
  <c r="I45" i="1"/>
  <c r="O45" i="1" s="1"/>
  <c r="R45" i="1" s="1"/>
  <c r="T45" i="1" s="1"/>
  <c r="AA44" i="1"/>
  <c r="W44" i="1"/>
  <c r="M44" i="1"/>
  <c r="I44" i="1"/>
  <c r="AA43" i="1"/>
  <c r="W43" i="1"/>
  <c r="M43" i="1"/>
  <c r="I43" i="1"/>
  <c r="O43" i="1" s="1"/>
  <c r="R43" i="1" s="1"/>
  <c r="T43" i="1" s="1"/>
  <c r="AA42" i="1"/>
  <c r="W42" i="1"/>
  <c r="M42" i="1"/>
  <c r="I42" i="1"/>
  <c r="AA41" i="1"/>
  <c r="W41" i="1"/>
  <c r="M41" i="1"/>
  <c r="I41" i="1"/>
  <c r="AA40" i="1"/>
  <c r="W40" i="1"/>
  <c r="M40" i="1"/>
  <c r="I40" i="1"/>
  <c r="AA39" i="1"/>
  <c r="W39" i="1"/>
  <c r="M39" i="1"/>
  <c r="I39" i="1"/>
  <c r="AA38" i="1"/>
  <c r="W38" i="1"/>
  <c r="M38" i="1"/>
  <c r="I38" i="1"/>
  <c r="AA37" i="1"/>
  <c r="W37" i="1"/>
  <c r="M37" i="1"/>
  <c r="I37" i="1"/>
  <c r="AA36" i="1"/>
  <c r="W36" i="1"/>
  <c r="M36" i="1"/>
  <c r="I36" i="1"/>
  <c r="AA35" i="1"/>
  <c r="W35" i="1"/>
  <c r="M35" i="1"/>
  <c r="I35" i="1"/>
  <c r="AA34" i="1"/>
  <c r="W34" i="1"/>
  <c r="M34" i="1"/>
  <c r="I34" i="1"/>
  <c r="AA33" i="1"/>
  <c r="W33" i="1"/>
  <c r="M33" i="1"/>
  <c r="I33" i="1"/>
  <c r="AA32" i="1"/>
  <c r="W32" i="1"/>
  <c r="M32" i="1"/>
  <c r="I32" i="1"/>
  <c r="AA31" i="1"/>
  <c r="W31" i="1"/>
  <c r="M31" i="1"/>
  <c r="I31" i="1"/>
  <c r="AA30" i="1"/>
  <c r="W30" i="1"/>
  <c r="M30" i="1"/>
  <c r="I30" i="1"/>
  <c r="AA29" i="1"/>
  <c r="W29" i="1"/>
  <c r="M29" i="1"/>
  <c r="I29" i="1"/>
  <c r="AA28" i="1"/>
  <c r="W28" i="1"/>
  <c r="M28" i="1"/>
  <c r="I28" i="1"/>
  <c r="AA27" i="1"/>
  <c r="W27" i="1"/>
  <c r="M27" i="1"/>
  <c r="I27" i="1"/>
  <c r="O27" i="1" s="1"/>
  <c r="R27" i="1" s="1"/>
  <c r="T27" i="1" s="1"/>
  <c r="AA26" i="1"/>
  <c r="W26" i="1"/>
  <c r="M26" i="1"/>
  <c r="I26" i="1"/>
  <c r="AA25" i="1"/>
  <c r="W25" i="1"/>
  <c r="M25" i="1"/>
  <c r="I25" i="1"/>
  <c r="AA24" i="1"/>
  <c r="W24" i="1"/>
  <c r="M24" i="1"/>
  <c r="I24" i="1"/>
  <c r="AA23" i="1"/>
  <c r="W23" i="1"/>
  <c r="M23" i="1"/>
  <c r="I23" i="1"/>
  <c r="AA22" i="1"/>
  <c r="W22" i="1"/>
  <c r="M22" i="1"/>
  <c r="I22" i="1"/>
  <c r="AA21" i="1"/>
  <c r="W21" i="1"/>
  <c r="M21" i="1"/>
  <c r="I21" i="1"/>
  <c r="AA20" i="1"/>
  <c r="W20" i="1"/>
  <c r="M20" i="1"/>
  <c r="I20" i="1"/>
  <c r="AA19" i="1"/>
  <c r="W19" i="1"/>
  <c r="M19" i="1"/>
  <c r="I19" i="1"/>
  <c r="AA18" i="1"/>
  <c r="W18" i="1"/>
  <c r="M18" i="1"/>
  <c r="I18" i="1"/>
  <c r="AA17" i="1"/>
  <c r="W17" i="1"/>
  <c r="M17" i="1"/>
  <c r="I17" i="1"/>
  <c r="AA16" i="1"/>
  <c r="W16" i="1"/>
  <c r="M16" i="1"/>
  <c r="I16" i="1"/>
  <c r="AA15" i="1"/>
  <c r="W15" i="1"/>
  <c r="M15" i="1"/>
  <c r="I15" i="1"/>
  <c r="AB16" i="1" l="1"/>
  <c r="AB18" i="1"/>
  <c r="AB20" i="1"/>
  <c r="AB28" i="1"/>
  <c r="AB30" i="1"/>
  <c r="AB32" i="1"/>
  <c r="AB38" i="1"/>
  <c r="AB27" i="1"/>
  <c r="AC27" i="1" s="1"/>
  <c r="AE27" i="1" s="1"/>
  <c r="AB29" i="1"/>
  <c r="AB31" i="1"/>
  <c r="AB33" i="1"/>
  <c r="AB40" i="1"/>
  <c r="O20" i="1"/>
  <c r="R20" i="1" s="1"/>
  <c r="T20" i="1" s="1"/>
  <c r="AC20" i="1" s="1"/>
  <c r="AE20" i="1" s="1"/>
  <c r="O22" i="1"/>
  <c r="R22" i="1" s="1"/>
  <c r="T22" i="1" s="1"/>
  <c r="O24" i="1"/>
  <c r="R24" i="1" s="1"/>
  <c r="T24" i="1" s="1"/>
  <c r="O26" i="1"/>
  <c r="R26" i="1" s="1"/>
  <c r="T26" i="1" s="1"/>
  <c r="O42" i="1"/>
  <c r="R42" i="1" s="1"/>
  <c r="T42" i="1" s="1"/>
  <c r="O44" i="1"/>
  <c r="R44" i="1" s="1"/>
  <c r="T44" i="1" s="1"/>
  <c r="AB22" i="1"/>
  <c r="AB26" i="1"/>
  <c r="O36" i="1"/>
  <c r="R36" i="1" s="1"/>
  <c r="T36" i="1" s="1"/>
  <c r="O19" i="1"/>
  <c r="R19" i="1" s="1"/>
  <c r="T19" i="1" s="1"/>
  <c r="AB42" i="1"/>
  <c r="AB46" i="1"/>
  <c r="AB17" i="1"/>
  <c r="O35" i="1"/>
  <c r="R35" i="1" s="1"/>
  <c r="T35" i="1" s="1"/>
  <c r="AB37" i="1"/>
  <c r="AB39" i="1"/>
  <c r="AB41" i="1"/>
  <c r="AB43" i="1"/>
  <c r="AB45" i="1"/>
  <c r="AC45" i="1" s="1"/>
  <c r="AE45" i="1" s="1"/>
  <c r="C38" i="3" s="1"/>
  <c r="D38" i="3" s="1"/>
  <c r="AB51" i="1"/>
  <c r="AC51" i="1" s="1"/>
  <c r="AE51" i="1" s="1"/>
  <c r="C44" i="3" s="1"/>
  <c r="D44" i="3" s="1"/>
  <c r="O16" i="1"/>
  <c r="R16" i="1" s="1"/>
  <c r="T16" i="1" s="1"/>
  <c r="O18" i="1"/>
  <c r="R18" i="1" s="1"/>
  <c r="T18" i="1" s="1"/>
  <c r="AC18" i="1" s="1"/>
  <c r="AE18" i="1" s="1"/>
  <c r="AB21" i="1"/>
  <c r="O31" i="1"/>
  <c r="R31" i="1" s="1"/>
  <c r="T31" i="1" s="1"/>
  <c r="O37" i="1"/>
  <c r="R37" i="1" s="1"/>
  <c r="T37" i="1" s="1"/>
  <c r="O39" i="1"/>
  <c r="R39" i="1" s="1"/>
  <c r="T39" i="1" s="1"/>
  <c r="AB52" i="1"/>
  <c r="AB54" i="1"/>
  <c r="AB25" i="1"/>
  <c r="O15" i="1"/>
  <c r="R15" i="1" s="1"/>
  <c r="T15" i="1" s="1"/>
  <c r="O38" i="1"/>
  <c r="R38" i="1" s="1"/>
  <c r="T38" i="1" s="1"/>
  <c r="AB49" i="1"/>
  <c r="AB53" i="1"/>
  <c r="O50" i="1"/>
  <c r="R50" i="1" s="1"/>
  <c r="T50" i="1" s="1"/>
  <c r="AB15" i="1"/>
  <c r="AB19" i="1"/>
  <c r="O23" i="1"/>
  <c r="R23" i="1" s="1"/>
  <c r="T23" i="1" s="1"/>
  <c r="AB44" i="1"/>
  <c r="AB50" i="1"/>
  <c r="AB24" i="1"/>
  <c r="O32" i="1"/>
  <c r="R32" i="1" s="1"/>
  <c r="T32" i="1" s="1"/>
  <c r="AC32" i="1" s="1"/>
  <c r="AE32" i="1" s="1"/>
  <c r="C25" i="3" s="1"/>
  <c r="D25" i="3" s="1"/>
  <c r="O34" i="1"/>
  <c r="R34" i="1" s="1"/>
  <c r="T34" i="1" s="1"/>
  <c r="AB35" i="1"/>
  <c r="AB48" i="1"/>
  <c r="O40" i="1"/>
  <c r="R40" i="1" s="1"/>
  <c r="T40" i="1" s="1"/>
  <c r="O25" i="1"/>
  <c r="R25" i="1" s="1"/>
  <c r="T25" i="1" s="1"/>
  <c r="O28" i="1"/>
  <c r="R28" i="1" s="1"/>
  <c r="T28" i="1" s="1"/>
  <c r="AC28" i="1" s="1"/>
  <c r="AE28" i="1" s="1"/>
  <c r="O30" i="1"/>
  <c r="R30" i="1" s="1"/>
  <c r="T30" i="1" s="1"/>
  <c r="AB34" i="1"/>
  <c r="O46" i="1"/>
  <c r="R46" i="1" s="1"/>
  <c r="T46" i="1" s="1"/>
  <c r="O52" i="1"/>
  <c r="R52" i="1" s="1"/>
  <c r="T52" i="1" s="1"/>
  <c r="O54" i="1"/>
  <c r="R54" i="1" s="1"/>
  <c r="T54" i="1" s="1"/>
  <c r="O48" i="1"/>
  <c r="R48" i="1" s="1"/>
  <c r="T48" i="1" s="1"/>
  <c r="AB23" i="1"/>
  <c r="AB36" i="1"/>
  <c r="AB47" i="1"/>
  <c r="AC47" i="1" s="1"/>
  <c r="AE47" i="1" s="1"/>
  <c r="C40" i="3" s="1"/>
  <c r="D40" i="3" s="1"/>
  <c r="O53" i="1"/>
  <c r="R53" i="1" s="1"/>
  <c r="T53" i="1" s="1"/>
  <c r="O41" i="1"/>
  <c r="R41" i="1" s="1"/>
  <c r="T41" i="1" s="1"/>
  <c r="O21" i="1"/>
  <c r="R21" i="1" s="1"/>
  <c r="T21" i="1" s="1"/>
  <c r="O29" i="1"/>
  <c r="R29" i="1" s="1"/>
  <c r="T29" i="1" s="1"/>
  <c r="O17" i="1"/>
  <c r="R17" i="1" s="1"/>
  <c r="T17" i="1" s="1"/>
  <c r="O33" i="1"/>
  <c r="R33" i="1" s="1"/>
  <c r="T33" i="1" s="1"/>
  <c r="AC33" i="1" s="1"/>
  <c r="AE33" i="1" s="1"/>
  <c r="C26" i="3" s="1"/>
  <c r="D26" i="3" s="1"/>
  <c r="O49" i="1"/>
  <c r="R49" i="1" s="1"/>
  <c r="T49" i="1" s="1"/>
  <c r="AC49" i="1" s="1"/>
  <c r="AE49" i="1" s="1"/>
  <c r="C42" i="3" s="1"/>
  <c r="D42" i="3" s="1"/>
  <c r="AC36" i="1" l="1"/>
  <c r="AE36" i="1" s="1"/>
  <c r="C29" i="3" s="1"/>
  <c r="D29" i="3" s="1"/>
  <c r="AC42" i="1"/>
  <c r="AE42" i="1" s="1"/>
  <c r="C35" i="3" s="1"/>
  <c r="D35" i="3" s="1"/>
  <c r="AC30" i="1"/>
  <c r="AE30" i="1" s="1"/>
  <c r="AC24" i="1"/>
  <c r="AE24" i="1" s="1"/>
  <c r="AC46" i="1"/>
  <c r="AE46" i="1" s="1"/>
  <c r="C39" i="3" s="1"/>
  <c r="D39" i="3" s="1"/>
  <c r="AC26" i="1"/>
  <c r="AE26" i="1" s="1"/>
  <c r="AC38" i="1"/>
  <c r="AE38" i="1" s="1"/>
  <c r="C31" i="3" s="1"/>
  <c r="D31" i="3" s="1"/>
  <c r="AC29" i="1"/>
  <c r="AE29" i="1" s="1"/>
  <c r="AC40" i="1"/>
  <c r="AE40" i="1" s="1"/>
  <c r="C33" i="3" s="1"/>
  <c r="D33" i="3" s="1"/>
  <c r="AC15" i="1"/>
  <c r="AE15" i="1" s="1"/>
  <c r="AC35" i="1"/>
  <c r="AE35" i="1" s="1"/>
  <c r="C28" i="3" s="1"/>
  <c r="D28" i="3" s="1"/>
  <c r="AC54" i="1"/>
  <c r="AE54" i="1" s="1"/>
  <c r="C47" i="3" s="1"/>
  <c r="D47" i="3" s="1"/>
  <c r="AC16" i="1"/>
  <c r="AE16" i="1" s="1"/>
  <c r="AC44" i="1"/>
  <c r="AE44" i="1" s="1"/>
  <c r="C37" i="3" s="1"/>
  <c r="D37" i="3" s="1"/>
  <c r="AC22" i="1"/>
  <c r="AE22" i="1" s="1"/>
  <c r="AC41" i="1"/>
  <c r="AE41" i="1" s="1"/>
  <c r="C34" i="3" s="1"/>
  <c r="D34" i="3" s="1"/>
  <c r="E5" i="3"/>
  <c r="AC50" i="1"/>
  <c r="AE50" i="1" s="1"/>
  <c r="C43" i="3" s="1"/>
  <c r="D43" i="3" s="1"/>
  <c r="AC39" i="1"/>
  <c r="AE39" i="1" s="1"/>
  <c r="C32" i="3" s="1"/>
  <c r="D32" i="3" s="1"/>
  <c r="AC23" i="1"/>
  <c r="AE23" i="1" s="1"/>
  <c r="AC48" i="1"/>
  <c r="AE48" i="1" s="1"/>
  <c r="C41" i="3" s="1"/>
  <c r="D41" i="3" s="1"/>
  <c r="AC37" i="1"/>
  <c r="AE37" i="1" s="1"/>
  <c r="C30" i="3" s="1"/>
  <c r="D30" i="3" s="1"/>
  <c r="AC21" i="1"/>
  <c r="AE21" i="1" s="1"/>
  <c r="E6" i="3"/>
  <c r="AC43" i="1"/>
  <c r="AE43" i="1" s="1"/>
  <c r="C36" i="3" s="1"/>
  <c r="D36" i="3" s="1"/>
  <c r="AC31" i="1"/>
  <c r="AE31" i="1" s="1"/>
  <c r="C24" i="3" s="1"/>
  <c r="D24" i="3" s="1"/>
  <c r="AC17" i="1"/>
  <c r="AE17" i="1" s="1"/>
  <c r="AC52" i="1"/>
  <c r="AE52" i="1" s="1"/>
  <c r="C45" i="3" s="1"/>
  <c r="D45" i="3" s="1"/>
  <c r="AC19" i="1"/>
  <c r="AE19" i="1" s="1"/>
  <c r="E4" i="3"/>
  <c r="AC53" i="1"/>
  <c r="AE53" i="1" s="1"/>
  <c r="C46" i="3" s="1"/>
  <c r="D46" i="3" s="1"/>
  <c r="AC25" i="1"/>
  <c r="AE25" i="1" s="1"/>
  <c r="AC34" i="1"/>
  <c r="AE34" i="1" s="1"/>
  <c r="C27" i="3" s="1"/>
  <c r="D27" i="3" s="1"/>
  <c r="H25" i="3" l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D5" i="3" s="1"/>
  <c r="E24" i="3"/>
  <c r="F24" i="3" s="1"/>
  <c r="G24" i="3" s="1"/>
  <c r="C5" i="3" l="1"/>
  <c r="E39" i="3" s="1"/>
  <c r="F39" i="3" s="1"/>
  <c r="G39" i="3" s="1"/>
  <c r="H36" i="3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D6" i="3" s="1"/>
  <c r="E34" i="3"/>
  <c r="F34" i="3" s="1"/>
  <c r="G34" i="3" s="1"/>
  <c r="E28" i="3"/>
  <c r="E31" i="3" s="1"/>
  <c r="F31" i="3" s="1"/>
  <c r="G31" i="3" s="1"/>
  <c r="E29" i="3"/>
  <c r="F29" i="3" s="1"/>
  <c r="G29" i="3" s="1"/>
  <c r="E35" i="3"/>
  <c r="F35" i="3" s="1"/>
  <c r="G35" i="3" s="1"/>
  <c r="E27" i="3"/>
  <c r="F27" i="3" s="1"/>
  <c r="G27" i="3" s="1"/>
  <c r="E33" i="3"/>
  <c r="F33" i="3" s="1"/>
  <c r="G33" i="3" s="1"/>
  <c r="E26" i="3"/>
  <c r="F26" i="3" s="1"/>
  <c r="G26" i="3" s="1"/>
  <c r="E32" i="3"/>
  <c r="F32" i="3" s="1"/>
  <c r="G32" i="3" s="1"/>
  <c r="E25" i="3"/>
  <c r="F25" i="3" s="1"/>
  <c r="G25" i="3" s="1"/>
  <c r="E30" i="3"/>
  <c r="F30" i="3" s="1"/>
  <c r="G30" i="3" s="1"/>
  <c r="E42" i="3" l="1"/>
  <c r="F42" i="3" s="1"/>
  <c r="G42" i="3" s="1"/>
  <c r="E41" i="3"/>
  <c r="F41" i="3" s="1"/>
  <c r="G41" i="3" s="1"/>
  <c r="E38" i="3"/>
  <c r="F38" i="3" s="1"/>
  <c r="G38" i="3" s="1"/>
  <c r="E45" i="3"/>
  <c r="F45" i="3" s="1"/>
  <c r="G45" i="3" s="1"/>
  <c r="E40" i="3"/>
  <c r="F40" i="3" s="1"/>
  <c r="G40" i="3" s="1"/>
  <c r="E47" i="3"/>
  <c r="F47" i="3" s="1"/>
  <c r="G47" i="3" s="1"/>
  <c r="E46" i="3"/>
  <c r="F46" i="3" s="1"/>
  <c r="G46" i="3" s="1"/>
  <c r="E37" i="3"/>
  <c r="F37" i="3" s="1"/>
  <c r="G37" i="3" s="1"/>
  <c r="E44" i="3"/>
  <c r="F44" i="3" s="1"/>
  <c r="G44" i="3" s="1"/>
  <c r="E36" i="3"/>
  <c r="F36" i="3" s="1"/>
  <c r="G36" i="3" s="1"/>
  <c r="E43" i="3"/>
  <c r="F43" i="3" s="1"/>
  <c r="G43" i="3" s="1"/>
  <c r="H48" i="3"/>
  <c r="H49" i="3" s="1"/>
  <c r="H50" i="3" s="1"/>
  <c r="H51" i="3" s="1"/>
  <c r="H52" i="3" s="1"/>
  <c r="C6" i="3"/>
  <c r="E48" i="3" s="1"/>
  <c r="F28" i="3"/>
  <c r="G28" i="3" s="1"/>
  <c r="E49" i="3" l="1"/>
  <c r="F49" i="3" s="1"/>
  <c r="G49" i="3" s="1"/>
  <c r="E51" i="3"/>
  <c r="F51" i="3" s="1"/>
  <c r="G51" i="3" s="1"/>
  <c r="E50" i="3"/>
  <c r="F50" i="3" s="1"/>
  <c r="G50" i="3" s="1"/>
  <c r="E52" i="3"/>
  <c r="F52" i="3" s="1"/>
  <c r="G52" i="3" s="1"/>
  <c r="F48" i="3"/>
  <c r="G48" i="3" s="1"/>
</calcChain>
</file>

<file path=xl/sharedStrings.xml><?xml version="1.0" encoding="utf-8"?>
<sst xmlns="http://schemas.openxmlformats.org/spreadsheetml/2006/main" count="112" uniqueCount="76">
  <si>
    <t>Page 2 of 5 (Numerator)</t>
  </si>
  <si>
    <t>Page 3 of 5 (Denominator)</t>
  </si>
  <si>
    <t>Page 1 of 5
(Rate Calculation)</t>
  </si>
  <si>
    <t>A. Company Generation</t>
  </si>
  <si>
    <t>B. Purchases</t>
  </si>
  <si>
    <t>C. Inter-System Fuel Costs</t>
  </si>
  <si>
    <t>D. Total Fuel Costs</t>
  </si>
  <si>
    <t>E. Adjustment</t>
  </si>
  <si>
    <t>F. Over or (Under)</t>
  </si>
  <si>
    <t>G. Total Fuel Costs</t>
  </si>
  <si>
    <t>H. Fuel Related PJM BLIs</t>
  </si>
  <si>
    <t>I. Grand Total Fuel Costs</t>
  </si>
  <si>
    <t>A. Sales In</t>
  </si>
  <si>
    <t>B. Sales Out</t>
  </si>
  <si>
    <t>Total Sales</t>
  </si>
  <si>
    <t>Rate Calculation</t>
  </si>
  <si>
    <t>Expense Month</t>
  </si>
  <si>
    <t>Revenue / 
Billing Month</t>
  </si>
  <si>
    <t>Coal Burned</t>
  </si>
  <si>
    <t>Oil Burned</t>
  </si>
  <si>
    <t>Gas Burned</t>
  </si>
  <si>
    <t>Fuel (Joint Plant)</t>
  </si>
  <si>
    <t>Fuel (Assigned During FO)</t>
  </si>
  <si>
    <t>Fuel (Substitute for FO)</t>
  </si>
  <si>
    <t>Subtotal</t>
  </si>
  <si>
    <t>Net Energy Cost - Economy Purchases</t>
  </si>
  <si>
    <t>Identifiable Fuel Cost - Other</t>
  </si>
  <si>
    <t>Identifiable Fuel Cost (Substitute for FO)</t>
  </si>
  <si>
    <t>Total</t>
  </si>
  <si>
    <t>A + B - C</t>
  </si>
  <si>
    <t>Actual vs. Estimated Fuel costs</t>
  </si>
  <si>
    <t>Over / (Under) for Billing Period</t>
  </si>
  <si>
    <t>D + E - F</t>
  </si>
  <si>
    <t>G + H</t>
  </si>
  <si>
    <t>Generation (Net)</t>
  </si>
  <si>
    <t>Purchases In</t>
  </si>
  <si>
    <t>Pumped Storage</t>
  </si>
  <si>
    <t>Inter-System</t>
  </si>
  <si>
    <t>System Losses</t>
  </si>
  <si>
    <t>A - B</t>
  </si>
  <si>
    <t>Base</t>
  </si>
  <si>
    <t>FAC</t>
  </si>
  <si>
    <t>(+)</t>
  </si>
  <si>
    <t>(-)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</si>
  <si>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</si>
  <si>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</si>
  <si>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</si>
  <si>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</si>
  <si>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</si>
  <si>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</si>
  <si>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</si>
  <si>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</si>
  <si>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</si>
  <si>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</si>
  <si>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</si>
  <si>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</si>
  <si>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</si>
  <si>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3-Year Average</t>
  </si>
  <si>
    <t>Monthly Residential Avg Usage</t>
  </si>
  <si>
    <t>Annual FAC Rate</t>
  </si>
  <si>
    <t>Annual FAC Rate*</t>
  </si>
  <si>
    <t>Billing month</t>
  </si>
  <si>
    <t>12-mo Billing Period</t>
  </si>
  <si>
    <t>Mar 2024 - Feb 2025</t>
  </si>
  <si>
    <t>Mar 2025 - Feb 2026</t>
  </si>
  <si>
    <t>Average Sales</t>
  </si>
  <si>
    <t>Company/(Customer) Carried Amount</t>
  </si>
  <si>
    <t>*Based on Previous 12-month's Average Grand Total Fuel Cost /Average Total Sales</t>
  </si>
  <si>
    <t>Mar 2026-Feb 2027</t>
  </si>
  <si>
    <t>Mar 2023 - Feb 2024</t>
  </si>
  <si>
    <t>As Filed</t>
  </si>
  <si>
    <t>Rate</t>
  </si>
  <si>
    <t>Residential Charge</t>
  </si>
  <si>
    <t>Difference in Residential Charge</t>
  </si>
  <si>
    <t>Average Grand Total Fuel Cost**</t>
  </si>
  <si>
    <t xml:space="preserve">**Average Grand Total Fuel Cost for all periods beginning with Mar 2024 - Feb 2025 include a true-up to the cumulative over/under collected amount at the end of the previous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</si>
</sst>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00_);_(* \(#,##0.00000\);_(* &quot;-&quot;??_);_(@_)"/>
    <numFmt numFmtId="167" formatCode="0.00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u/>
      <sz val="22"/>
      <name val="Arial"/>
      <family val="2"/>
    </font>
    <font>
      <b/>
      <sz val="10"/>
      <color rgb="FF0000FF"/>
      <name val="Arial"/>
      <family val="2"/>
    </font>
    <font>
      <b/>
      <sz val="10"/>
      <color theme="0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3" fillId="0" borderId="8" xfId="1" applyNumberFormat="1" applyFont="1" applyBorder="1"/>
    <xf numFmtId="164" fontId="3" fillId="0" borderId="0" xfId="1" applyNumberFormat="1" applyFont="1" applyBorder="1"/>
    <xf numFmtId="17" fontId="4" fillId="0" borderId="0" xfId="0" applyNumberFormat="1" applyFont="1" applyAlignment="1">
      <alignment horizontal="center"/>
    </xf>
    <xf numFmtId="165" fontId="3" fillId="0" borderId="8" xfId="2" applyNumberFormat="1" applyFont="1" applyBorder="1"/>
    <xf numFmtId="165" fontId="3" fillId="0" borderId="0" xfId="2" applyNumberFormat="1" applyFont="1" applyBorder="1"/>
    <xf numFmtId="165" fontId="3" fillId="6" borderId="9" xfId="2" applyNumberFormat="1" applyFont="1" applyFill="1" applyBorder="1"/>
    <xf numFmtId="165" fontId="3" fillId="0" borderId="10" xfId="2" applyNumberFormat="1" applyFont="1" applyBorder="1"/>
    <xf numFmtId="165" fontId="3" fillId="6" borderId="10" xfId="2" applyNumberFormat="1" applyFont="1" applyFill="1" applyBorder="1"/>
    <xf numFmtId="164" fontId="3" fillId="6" borderId="9" xfId="1" applyNumberFormat="1" applyFont="1" applyFill="1" applyBorder="1"/>
    <xf numFmtId="164" fontId="3" fillId="6" borderId="10" xfId="1" applyNumberFormat="1" applyFont="1" applyFill="1" applyBorder="1"/>
    <xf numFmtId="166" fontId="3" fillId="6" borderId="8" xfId="1" applyNumberFormat="1" applyFont="1" applyFill="1" applyBorder="1"/>
    <xf numFmtId="166" fontId="3" fillId="0" borderId="0" xfId="1" applyNumberFormat="1" applyFont="1" applyBorder="1"/>
    <xf numFmtId="166" fontId="3" fillId="6" borderId="9" xfId="1" applyNumberFormat="1" applyFont="1" applyFill="1" applyBorder="1"/>
    <xf numFmtId="37" fontId="3" fillId="0" borderId="0" xfId="1" applyNumberFormat="1" applyFont="1" applyBorder="1"/>
    <xf numFmtId="165" fontId="3" fillId="0" borderId="10" xfId="2" applyNumberFormat="1" applyFont="1" applyFill="1" applyBorder="1"/>
    <xf numFmtId="165" fontId="3" fillId="0" borderId="11" xfId="2" applyNumberFormat="1" applyFont="1" applyBorder="1"/>
    <xf numFmtId="165" fontId="3" fillId="0" borderId="12" xfId="2" applyNumberFormat="1" applyFont="1" applyBorder="1"/>
    <xf numFmtId="165" fontId="3" fillId="6" borderId="13" xfId="2" applyNumberFormat="1" applyFont="1" applyFill="1" applyBorder="1"/>
    <xf numFmtId="165" fontId="3" fillId="6" borderId="14" xfId="2" applyNumberFormat="1" applyFont="1" applyFill="1" applyBorder="1"/>
    <xf numFmtId="164" fontId="3" fillId="0" borderId="11" xfId="1" applyNumberFormat="1" applyFont="1" applyBorder="1"/>
    <xf numFmtId="164" fontId="3" fillId="6" borderId="13" xfId="1" applyNumberFormat="1" applyFont="1" applyFill="1" applyBorder="1"/>
    <xf numFmtId="164" fontId="3" fillId="6" borderId="14" xfId="1" applyNumberFormat="1" applyFont="1" applyFill="1" applyBorder="1"/>
    <xf numFmtId="166" fontId="3" fillId="6" borderId="11" xfId="1" applyNumberFormat="1" applyFont="1" applyFill="1" applyBorder="1"/>
    <xf numFmtId="166" fontId="3" fillId="0" borderId="12" xfId="1" applyNumberFormat="1" applyFont="1" applyBorder="1"/>
    <xf numFmtId="166" fontId="3" fillId="6" borderId="13" xfId="1" applyNumberFormat="1" applyFont="1" applyFill="1" applyBorder="1"/>
    <xf numFmtId="0" fontId="0" fillId="0" borderId="0" xfId="0" applyAlignment="1">
      <alignment horizontal="center"/>
    </xf>
    <xf numFmtId="0" fontId="7" fillId="2" borderId="4" xfId="0" applyFont="1" applyFill="1" applyBorder="1"/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/>
    <xf numFmtId="164" fontId="9" fillId="0" borderId="2" xfId="1" applyNumberFormat="1" applyFont="1" applyFill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/>
    </xf>
    <xf numFmtId="164" fontId="10" fillId="0" borderId="15" xfId="1" applyNumberFormat="1" applyFont="1" applyFill="1" applyBorder="1" applyAlignment="1">
      <alignment horizontal="center"/>
    </xf>
    <xf numFmtId="164" fontId="11" fillId="0" borderId="0" xfId="1" applyNumberFormat="1" applyFont="1" applyFill="1" applyBorder="1" applyAlignment="1">
      <alignment horizontal="center"/>
    </xf>
    <xf numFmtId="0" fontId="3" fillId="0" borderId="16" xfId="0" applyFont="1" applyBorder="1"/>
    <xf numFmtId="166" fontId="3" fillId="0" borderId="16" xfId="0" applyNumberFormat="1" applyFont="1" applyBorder="1"/>
    <xf numFmtId="165" fontId="3" fillId="0" borderId="16" xfId="2" applyNumberFormat="1" applyFont="1" applyBorder="1"/>
    <xf numFmtId="164" fontId="3" fillId="0" borderId="16" xfId="1" applyNumberFormat="1" applyFont="1" applyBorder="1"/>
    <xf numFmtId="0" fontId="4" fillId="0" borderId="6" xfId="0" applyFont="1" applyBorder="1" applyAlignment="1">
      <alignment horizontal="center" vertical="center" wrapText="1"/>
    </xf>
    <xf numFmtId="164" fontId="3" fillId="0" borderId="0" xfId="1" applyNumberFormat="1" applyFont="1" applyFill="1" applyBorder="1"/>
    <xf numFmtId="37" fontId="5" fillId="0" borderId="0" xfId="0" applyNumberFormat="1" applyFont="1"/>
    <xf numFmtId="0" fontId="4" fillId="0" borderId="0" xfId="0" quotePrefix="1" applyFont="1" applyAlignment="1">
      <alignment horizontal="center" vertical="center" wrapText="1"/>
    </xf>
    <xf numFmtId="164" fontId="3" fillId="0" borderId="8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5" fontId="3" fillId="0" borderId="14" xfId="2" applyNumberFormat="1" applyFont="1" applyFill="1" applyBorder="1"/>
    <xf numFmtId="165" fontId="3" fillId="0" borderId="0" xfId="2" applyNumberFormat="1" applyFont="1" applyFill="1"/>
    <xf numFmtId="165" fontId="3" fillId="0" borderId="0" xfId="2" applyNumberFormat="1" applyFont="1" applyFill="1" applyBorder="1"/>
    <xf numFmtId="165" fontId="3" fillId="0" borderId="0" xfId="2" quotePrefix="1" applyNumberFormat="1" applyFont="1" applyAlignment="1">
      <alignment horizontal="left"/>
    </xf>
    <xf numFmtId="0" fontId="4" fillId="0" borderId="9" xfId="0" quotePrefix="1" applyFont="1" applyBorder="1" applyAlignment="1">
      <alignment horizontal="center" vertical="center" wrapText="1"/>
    </xf>
    <xf numFmtId="165" fontId="3" fillId="0" borderId="9" xfId="2" applyNumberFormat="1" applyFont="1" applyBorder="1"/>
    <xf numFmtId="165" fontId="3" fillId="0" borderId="9" xfId="2" applyNumberFormat="1" applyFont="1" applyFill="1" applyBorder="1"/>
    <xf numFmtId="165" fontId="3" fillId="0" borderId="13" xfId="2" applyNumberFormat="1" applyFont="1" applyFill="1" applyBorder="1"/>
    <xf numFmtId="165" fontId="3" fillId="0" borderId="8" xfId="2" applyNumberFormat="1" applyFont="1" applyFill="1" applyBorder="1"/>
    <xf numFmtId="165" fontId="3" fillId="0" borderId="0" xfId="2" quotePrefix="1" applyNumberFormat="1" applyFont="1" applyBorder="1" applyAlignment="1">
      <alignment horizontal="left"/>
    </xf>
    <xf numFmtId="164" fontId="5" fillId="0" borderId="0" xfId="1" applyNumberFormat="1" applyFont="1" applyFill="1" applyAlignment="1">
      <alignment horizontal="center"/>
    </xf>
    <xf numFmtId="0" fontId="5" fillId="0" borderId="16" xfId="0" applyFont="1" applyBorder="1"/>
    <xf numFmtId="165" fontId="5" fillId="0" borderId="16" xfId="2" applyNumberFormat="1" applyFont="1" applyFill="1" applyBorder="1"/>
    <xf numFmtId="17" fontId="3" fillId="0" borderId="16" xfId="0" applyNumberFormat="1" applyFont="1" applyBorder="1" applyAlignment="1">
      <alignment horizontal="left"/>
    </xf>
    <xf numFmtId="167" fontId="3" fillId="9" borderId="16" xfId="0" applyNumberFormat="1" applyFont="1" applyFill="1" applyBorder="1"/>
    <xf numFmtId="44" fontId="3" fillId="9" borderId="16" xfId="2" applyFont="1" applyFill="1" applyBorder="1"/>
    <xf numFmtId="166" fontId="5" fillId="8" borderId="16" xfId="0" applyNumberFormat="1" applyFont="1" applyFill="1" applyBorder="1"/>
    <xf numFmtId="44" fontId="3" fillId="8" borderId="16" xfId="2" applyFont="1" applyFill="1" applyBorder="1"/>
    <xf numFmtId="8" fontId="3" fillId="0" borderId="16" xfId="0" applyNumberFormat="1" applyFont="1" applyBorder="1"/>
    <xf numFmtId="165" fontId="3" fillId="0" borderId="16" xfId="0" applyNumberFormat="1" applyFont="1" applyBorder="1" applyAlignment="1">
      <alignment horizontal="center"/>
    </xf>
    <xf numFmtId="166" fontId="3" fillId="8" borderId="16" xfId="0" applyNumberFormat="1" applyFont="1" applyFill="1" applyBorder="1"/>
    <xf numFmtId="165" fontId="3" fillId="0" borderId="16" xfId="0" applyNumberFormat="1" applyFont="1" applyBorder="1"/>
    <xf numFmtId="44" fontId="3" fillId="0" borderId="0" xfId="0" applyNumberFormat="1" applyFont="1"/>
    <xf numFmtId="0" fontId="12" fillId="2" borderId="16" xfId="0" applyFont="1" applyFill="1" applyBorder="1" applyAlignment="1">
      <alignment wrapText="1"/>
    </xf>
    <xf numFmtId="0" fontId="3" fillId="0" borderId="0" xfId="0" applyFont="1" applyAlignment="1">
      <alignment wrapText="1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/>
    <xf numFmtId="0" fontId="8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12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8" fillId="2" borderId="22" xfId="0" applyFont="1" applyFill="1" applyBorder="1" applyAlignment="1">
      <alignment horizontal="center" wrapText="1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4" fillId="8" borderId="2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 Rate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Summary!$C$10</c:f>
              <c:strCache>
                <c:ptCount val="1"/>
                <c:pt idx="0">
                  <c:v>As Filed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Summary!$B$11:$B$52</c15:sqref>
                  </c15:fullRef>
                </c:ext>
              </c:extLst>
              <c:f>Summary!$B$12:$B$52</c:f>
              <c:numCache>
                <c:formatCode>mmm\-yy</c:formatCode>
                <c:ptCount val="41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  <c:pt idx="23">
                  <c:v>45689</c:v>
                </c:pt>
                <c:pt idx="24">
                  <c:v>45717</c:v>
                </c:pt>
                <c:pt idx="25">
                  <c:v>45748</c:v>
                </c:pt>
                <c:pt idx="26">
                  <c:v>45778</c:v>
                </c:pt>
                <c:pt idx="27">
                  <c:v>45809</c:v>
                </c:pt>
                <c:pt idx="28">
                  <c:v>45839</c:v>
                </c:pt>
                <c:pt idx="29">
                  <c:v>45870</c:v>
                </c:pt>
                <c:pt idx="30">
                  <c:v>45901</c:v>
                </c:pt>
                <c:pt idx="31">
                  <c:v>45931</c:v>
                </c:pt>
                <c:pt idx="32">
                  <c:v>45962</c:v>
                </c:pt>
                <c:pt idx="33">
                  <c:v>45992</c:v>
                </c:pt>
                <c:pt idx="34">
                  <c:v>46023</c:v>
                </c:pt>
                <c:pt idx="35">
                  <c:v>46054</c:v>
                </c:pt>
                <c:pt idx="36">
                  <c:v>46082</c:v>
                </c:pt>
                <c:pt idx="37">
                  <c:v>46113</c:v>
                </c:pt>
                <c:pt idx="38">
                  <c:v>46143</c:v>
                </c:pt>
                <c:pt idx="39">
                  <c:v>46174</c:v>
                </c:pt>
                <c:pt idx="40">
                  <c:v>46204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Summary!$C$11:$C$52</c15:sqref>
                  </c15:fullRef>
                </c:ext>
              </c:extLst>
              <c:f>Summary!$C$12:$C$52</c:f>
              <c:numCache>
                <c:formatCode>0.00000</c:formatCode>
                <c:ptCount val="41"/>
                <c:pt idx="0">
                  <c:v>-1.8882028279516013E-2</c:v>
                </c:pt>
                <c:pt idx="1">
                  <c:v>1.6826107778658127E-2</c:v>
                </c:pt>
                <c:pt idx="2">
                  <c:v>2.2855647911128388E-3</c:v>
                </c:pt>
                <c:pt idx="3">
                  <c:v>8.5950969506500378E-3</c:v>
                </c:pt>
                <c:pt idx="4">
                  <c:v>4.8938915595022267E-3</c:v>
                </c:pt>
                <c:pt idx="5">
                  <c:v>6.2513524054687609E-3</c:v>
                </c:pt>
                <c:pt idx="6">
                  <c:v>8.7828700419357482E-3</c:v>
                </c:pt>
                <c:pt idx="7">
                  <c:v>9.7398600234996045E-3</c:v>
                </c:pt>
                <c:pt idx="8">
                  <c:v>7.4496881503999073E-3</c:v>
                </c:pt>
                <c:pt idx="9">
                  <c:v>7.0156904529088855E-3</c:v>
                </c:pt>
                <c:pt idx="10">
                  <c:v>9.3486206784917057E-3</c:v>
                </c:pt>
                <c:pt idx="11">
                  <c:v>1.7663023817067077E-2</c:v>
                </c:pt>
                <c:pt idx="12">
                  <c:v>1.3964499075129869E-2</c:v>
                </c:pt>
                <c:pt idx="13">
                  <c:v>8.6754969074595324E-3</c:v>
                </c:pt>
                <c:pt idx="14">
                  <c:v>1.289877103147841E-2</c:v>
                </c:pt>
                <c:pt idx="15">
                  <c:v>7.1050966287420879E-3</c:v>
                </c:pt>
                <c:pt idx="16">
                  <c:v>2.1182767640450725E-3</c:v>
                </c:pt>
                <c:pt idx="17">
                  <c:v>1.2021200475964635E-2</c:v>
                </c:pt>
                <c:pt idx="18">
                  <c:v>1.3755154240120384E-2</c:v>
                </c:pt>
                <c:pt idx="19">
                  <c:v>1.0161669841443035E-2</c:v>
                </c:pt>
                <c:pt idx="20">
                  <c:v>1.249977395716147E-2</c:v>
                </c:pt>
                <c:pt idx="21">
                  <c:v>1.0261489566574373E-2</c:v>
                </c:pt>
                <c:pt idx="22">
                  <c:v>1.2060374523678554E-2</c:v>
                </c:pt>
                <c:pt idx="23">
                  <c:v>1.2688082141222894E-2</c:v>
                </c:pt>
                <c:pt idx="24">
                  <c:v>1.6767258172044289E-2</c:v>
                </c:pt>
                <c:pt idx="25">
                  <c:v>5.8663133189359243E-3</c:v>
                </c:pt>
                <c:pt idx="26">
                  <c:v>1.6255969761202589E-2</c:v>
                </c:pt>
                <c:pt idx="27">
                  <c:v>6.8925010530696551E-3</c:v>
                </c:pt>
                <c:pt idx="28">
                  <c:v>9.0876895181538839E-3</c:v>
                </c:pt>
                <c:pt idx="29">
                  <c:v>1.2204749218425195E-2</c:v>
                </c:pt>
                <c:pt idx="30">
                  <c:v>1.0088968007362746E-2</c:v>
                </c:pt>
                <c:pt idx="31">
                  <c:v>-4.3068870398075033E-3</c:v>
                </c:pt>
                <c:pt idx="32">
                  <c:v>1.1185648451653797E-2</c:v>
                </c:pt>
                <c:pt idx="33">
                  <c:v>5.8608615610117459E-3</c:v>
                </c:pt>
                <c:pt idx="34">
                  <c:v>3.4610382987792579E-3</c:v>
                </c:pt>
                <c:pt idx="35">
                  <c:v>7.6328285626339268E-3</c:v>
                </c:pt>
                <c:pt idx="36">
                  <c:v>2.2001899122872454E-2</c:v>
                </c:pt>
                <c:pt idx="37">
                  <c:v>1.4135227095722069E-2</c:v>
                </c:pt>
                <c:pt idx="38">
                  <c:v>1.7742951153821143E-2</c:v>
                </c:pt>
                <c:pt idx="39">
                  <c:v>1.3476881749976244E-2</c:v>
                </c:pt>
                <c:pt idx="40">
                  <c:v>-1.6689261364603858E-4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7-4F3B-9D25-CED4E8F6FF8E}"/>
            </c:ext>
          </c:extLst>
        </c:ser>
        <c:ser>
          <c:idx val="2"/>
          <c:order val="2"/>
          <c:tx>
            <c:strRef>
              <c:f>Summary!$E$10</c:f>
              <c:strCache>
                <c:ptCount val="1"/>
                <c:pt idx="0">
                  <c:v>Annual FAC Rate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Summary!$B$11:$B$52</c15:sqref>
                  </c15:fullRef>
                </c:ext>
              </c:extLst>
              <c:f>Summary!$B$12:$B$52</c:f>
              <c:numCache>
                <c:formatCode>mmm\-yy</c:formatCode>
                <c:ptCount val="41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  <c:pt idx="23">
                  <c:v>45689</c:v>
                </c:pt>
                <c:pt idx="24">
                  <c:v>45717</c:v>
                </c:pt>
                <c:pt idx="25">
                  <c:v>45748</c:v>
                </c:pt>
                <c:pt idx="26">
                  <c:v>45778</c:v>
                </c:pt>
                <c:pt idx="27">
                  <c:v>45809</c:v>
                </c:pt>
                <c:pt idx="28">
                  <c:v>45839</c:v>
                </c:pt>
                <c:pt idx="29">
                  <c:v>45870</c:v>
                </c:pt>
                <c:pt idx="30">
                  <c:v>45901</c:v>
                </c:pt>
                <c:pt idx="31">
                  <c:v>45931</c:v>
                </c:pt>
                <c:pt idx="32">
                  <c:v>45962</c:v>
                </c:pt>
                <c:pt idx="33">
                  <c:v>45992</c:v>
                </c:pt>
                <c:pt idx="34">
                  <c:v>46023</c:v>
                </c:pt>
                <c:pt idx="35">
                  <c:v>46054</c:v>
                </c:pt>
                <c:pt idx="36">
                  <c:v>46082</c:v>
                </c:pt>
                <c:pt idx="37">
                  <c:v>46113</c:v>
                </c:pt>
                <c:pt idx="38">
                  <c:v>46143</c:v>
                </c:pt>
                <c:pt idx="39">
                  <c:v>46174</c:v>
                </c:pt>
                <c:pt idx="40">
                  <c:v>46204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Summary!$E$11:$E$52</c15:sqref>
                  </c15:fullRef>
                </c:ext>
              </c:extLst>
              <c:f>Summary!$E$12:$E$52</c:f>
              <c:numCache>
                <c:formatCode>_(* #,##0.00000_);_(* \(#,##0.00000\);_(* "-"??_);_(@_)</c:formatCode>
                <c:ptCount val="41"/>
                <c:pt idx="0">
                  <c:v>2.7546951065653306E-2</c:v>
                </c:pt>
                <c:pt idx="1">
                  <c:v>2.7546951065653306E-2</c:v>
                </c:pt>
                <c:pt idx="2">
                  <c:v>2.7546951065653306E-2</c:v>
                </c:pt>
                <c:pt idx="3">
                  <c:v>2.7546951065653306E-2</c:v>
                </c:pt>
                <c:pt idx="4">
                  <c:v>2.7546951065653306E-2</c:v>
                </c:pt>
                <c:pt idx="5">
                  <c:v>2.7546951065653306E-2</c:v>
                </c:pt>
                <c:pt idx="6">
                  <c:v>2.7546951065653306E-2</c:v>
                </c:pt>
                <c:pt idx="7">
                  <c:v>2.7546951065653306E-2</c:v>
                </c:pt>
                <c:pt idx="8">
                  <c:v>2.7546951065653306E-2</c:v>
                </c:pt>
                <c:pt idx="9">
                  <c:v>2.7546951065653306E-2</c:v>
                </c:pt>
                <c:pt idx="10">
                  <c:v>2.7546951065653306E-2</c:v>
                </c:pt>
                <c:pt idx="11">
                  <c:v>2.7546951065653306E-2</c:v>
                </c:pt>
                <c:pt idx="12">
                  <c:v>-1.726048207862001E-2</c:v>
                </c:pt>
                <c:pt idx="13">
                  <c:v>-1.726048207862001E-2</c:v>
                </c:pt>
                <c:pt idx="14">
                  <c:v>-1.726048207862001E-2</c:v>
                </c:pt>
                <c:pt idx="15">
                  <c:v>-1.726048207862001E-2</c:v>
                </c:pt>
                <c:pt idx="16">
                  <c:v>-1.726048207862001E-2</c:v>
                </c:pt>
                <c:pt idx="17">
                  <c:v>-1.726048207862001E-2</c:v>
                </c:pt>
                <c:pt idx="18">
                  <c:v>-1.726048207862001E-2</c:v>
                </c:pt>
                <c:pt idx="19">
                  <c:v>-1.726048207862001E-2</c:v>
                </c:pt>
                <c:pt idx="20">
                  <c:v>-1.726048207862001E-2</c:v>
                </c:pt>
                <c:pt idx="21">
                  <c:v>-1.726048207862001E-2</c:v>
                </c:pt>
                <c:pt idx="22">
                  <c:v>-1.726048207862001E-2</c:v>
                </c:pt>
                <c:pt idx="23">
                  <c:v>-1.726048207862001E-2</c:v>
                </c:pt>
                <c:pt idx="24">
                  <c:v>8.6555965801645846E-3</c:v>
                </c:pt>
                <c:pt idx="25">
                  <c:v>8.6555965801645846E-3</c:v>
                </c:pt>
                <c:pt idx="26">
                  <c:v>8.6555965801645846E-3</c:v>
                </c:pt>
                <c:pt idx="27">
                  <c:v>8.6555965801645846E-3</c:v>
                </c:pt>
                <c:pt idx="28">
                  <c:v>8.6555965801645846E-3</c:v>
                </c:pt>
                <c:pt idx="29">
                  <c:v>8.6555965801645846E-3</c:v>
                </c:pt>
                <c:pt idx="30">
                  <c:v>8.6555965801645846E-3</c:v>
                </c:pt>
                <c:pt idx="31">
                  <c:v>8.6555965801645846E-3</c:v>
                </c:pt>
                <c:pt idx="32">
                  <c:v>8.6555965801645846E-3</c:v>
                </c:pt>
                <c:pt idx="33">
                  <c:v>8.6555965801645846E-3</c:v>
                </c:pt>
                <c:pt idx="34">
                  <c:v>8.6555965801645846E-3</c:v>
                </c:pt>
                <c:pt idx="35">
                  <c:v>8.6555965801645846E-3</c:v>
                </c:pt>
                <c:pt idx="36">
                  <c:v>1.4145050175515032E-2</c:v>
                </c:pt>
                <c:pt idx="37">
                  <c:v>1.4145050175515032E-2</c:v>
                </c:pt>
                <c:pt idx="38">
                  <c:v>1.4145050175515032E-2</c:v>
                </c:pt>
                <c:pt idx="39">
                  <c:v>1.4145050175515032E-2</c:v>
                </c:pt>
                <c:pt idx="40">
                  <c:v>1.4145050175515032E-2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7-4F3B-9D25-CED4E8F6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735295"/>
        <c:axId val="1410733375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Summary!$D$10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222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square"/>
                  <c:size val="6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  <a:round/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ullRef>
                          <c15:sqref>Summary!$B$11:$B$52</c15:sqref>
                        </c15:fullRef>
                        <c15:formulaRef>
                          <c15:sqref>Summary!$B$12:$B$52</c15:sqref>
                        </c15:formulaRef>
                      </c:ext>
                    </c:extLst>
                    <c:numCache>
                      <c:formatCode>mmm\-yy</c:formatCode>
                      <c:ptCount val="41"/>
                      <c:pt idx="0">
                        <c:v>44986</c:v>
                      </c:pt>
                      <c:pt idx="1">
                        <c:v>45017</c:v>
                      </c:pt>
                      <c:pt idx="2">
                        <c:v>45047</c:v>
                      </c:pt>
                      <c:pt idx="3">
                        <c:v>45078</c:v>
                      </c:pt>
                      <c:pt idx="4">
                        <c:v>45108</c:v>
                      </c:pt>
                      <c:pt idx="5">
                        <c:v>45139</c:v>
                      </c:pt>
                      <c:pt idx="6">
                        <c:v>45170</c:v>
                      </c:pt>
                      <c:pt idx="7">
                        <c:v>45200</c:v>
                      </c:pt>
                      <c:pt idx="8">
                        <c:v>45231</c:v>
                      </c:pt>
                      <c:pt idx="9">
                        <c:v>45261</c:v>
                      </c:pt>
                      <c:pt idx="10">
                        <c:v>45292</c:v>
                      </c:pt>
                      <c:pt idx="11">
                        <c:v>45323</c:v>
                      </c:pt>
                      <c:pt idx="12">
                        <c:v>45352</c:v>
                      </c:pt>
                      <c:pt idx="13">
                        <c:v>45383</c:v>
                      </c:pt>
                      <c:pt idx="14">
                        <c:v>45413</c:v>
                      </c:pt>
                      <c:pt idx="15">
                        <c:v>45444</c:v>
                      </c:pt>
                      <c:pt idx="16">
                        <c:v>45474</c:v>
                      </c:pt>
                      <c:pt idx="17">
                        <c:v>45505</c:v>
                      </c:pt>
                      <c:pt idx="18">
                        <c:v>45536</c:v>
                      </c:pt>
                      <c:pt idx="19">
                        <c:v>45566</c:v>
                      </c:pt>
                      <c:pt idx="20">
                        <c:v>45597</c:v>
                      </c:pt>
                      <c:pt idx="21">
                        <c:v>45627</c:v>
                      </c:pt>
                      <c:pt idx="22">
                        <c:v>45658</c:v>
                      </c:pt>
                      <c:pt idx="23">
                        <c:v>45689</c:v>
                      </c:pt>
                      <c:pt idx="24">
                        <c:v>45717</c:v>
                      </c:pt>
                      <c:pt idx="25">
                        <c:v>45748</c:v>
                      </c:pt>
                      <c:pt idx="26">
                        <c:v>45778</c:v>
                      </c:pt>
                      <c:pt idx="27">
                        <c:v>45809</c:v>
                      </c:pt>
                      <c:pt idx="28">
                        <c:v>45839</c:v>
                      </c:pt>
                      <c:pt idx="29">
                        <c:v>45870</c:v>
                      </c:pt>
                      <c:pt idx="30">
                        <c:v>45901</c:v>
                      </c:pt>
                      <c:pt idx="31">
                        <c:v>45931</c:v>
                      </c:pt>
                      <c:pt idx="32">
                        <c:v>45962</c:v>
                      </c:pt>
                      <c:pt idx="33">
                        <c:v>45992</c:v>
                      </c:pt>
                      <c:pt idx="34">
                        <c:v>46023</c:v>
                      </c:pt>
                      <c:pt idx="35">
                        <c:v>46054</c:v>
                      </c:pt>
                      <c:pt idx="36">
                        <c:v>46082</c:v>
                      </c:pt>
                      <c:pt idx="37">
                        <c:v>46113</c:v>
                      </c:pt>
                      <c:pt idx="38">
                        <c:v>46143</c:v>
                      </c:pt>
                      <c:pt idx="39">
                        <c:v>46174</c:v>
                      </c:pt>
                      <c:pt idx="40">
                        <c:v>46204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Summary!$D$11:$D$52</c15:sqref>
                        </c15:fullRef>
                        <c15:formulaRef>
                          <c15:sqref>Summary!$D$12:$D$52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41"/>
                      <c:pt idx="0">
                        <c:v>-22.179073510730706</c:v>
                      </c:pt>
                      <c:pt idx="1">
                        <c:v>15.080700911508563</c:v>
                      </c:pt>
                      <c:pt idx="2">
                        <c:v>1.7769066046986066</c:v>
                      </c:pt>
                      <c:pt idx="3">
                        <c:v>7.3182896482844084</c:v>
                      </c:pt>
                      <c:pt idx="4">
                        <c:v>6.0058587270289152</c:v>
                      </c:pt>
                      <c:pt idx="5">
                        <c:v>7.7137993338016981</c:v>
                      </c:pt>
                      <c:pt idx="6">
                        <c:v>7.7596636358871205</c:v>
                      </c:pt>
                      <c:pt idx="7">
                        <c:v>8.6541399333738322</c:v>
                      </c:pt>
                      <c:pt idx="8">
                        <c:v>8.1305819050448509</c:v>
                      </c:pt>
                      <c:pt idx="9">
                        <c:v>10.37621940841472</c:v>
                      </c:pt>
                      <c:pt idx="10">
                        <c:v>18.099926576423378</c:v>
                      </c:pt>
                      <c:pt idx="11">
                        <c:v>25.160607997386801</c:v>
                      </c:pt>
                      <c:pt idx="12">
                        <c:v>16.089737262739046</c:v>
                      </c:pt>
                      <c:pt idx="13">
                        <c:v>6.9313413962345711</c:v>
                      </c:pt>
                      <c:pt idx="14">
                        <c:v>12.991688314803776</c:v>
                      </c:pt>
                      <c:pt idx="15">
                        <c:v>6.8803351638897592</c:v>
                      </c:pt>
                      <c:pt idx="16">
                        <c:v>2.8549769155426006</c:v>
                      </c:pt>
                      <c:pt idx="17">
                        <c:v>15.134250207879155</c:v>
                      </c:pt>
                      <c:pt idx="18">
                        <c:v>11.898044692156564</c:v>
                      </c:pt>
                      <c:pt idx="19">
                        <c:v>8.7218629293454484</c:v>
                      </c:pt>
                      <c:pt idx="20">
                        <c:v>12.662315261363856</c:v>
                      </c:pt>
                      <c:pt idx="21">
                        <c:v>16.080486756098423</c:v>
                      </c:pt>
                      <c:pt idx="22">
                        <c:v>26.285309800449948</c:v>
                      </c:pt>
                      <c:pt idx="23">
                        <c:v>18.373570138434502</c:v>
                      </c:pt>
                      <c:pt idx="24">
                        <c:v>23.684657019207396</c:v>
                      </c:pt>
                      <c:pt idx="25">
                        <c:v>4.756806391970736</c:v>
                      </c:pt>
                      <c:pt idx="26">
                        <c:v>10.87390068015756</c:v>
                      </c:pt>
                      <c:pt idx="27">
                        <c:v>8.8726227058409251</c:v>
                      </c:pt>
                      <c:pt idx="28">
                        <c:v>12.585785264791268</c:v>
                      </c:pt>
                      <c:pt idx="29">
                        <c:v>14.6661697529852</c:v>
                      </c:pt>
                      <c:pt idx="30">
                        <c:v>8.3560873931142545</c:v>
                      </c:pt>
                      <c:pt idx="31">
                        <c:v>-3.8446603911730226</c:v>
                      </c:pt>
                      <c:pt idx="32">
                        <c:v>11.757627801294415</c:v>
                      </c:pt>
                      <c:pt idx="33">
                        <c:v>8.3797500194572194</c:v>
                      </c:pt>
                      <c:pt idx="34">
                        <c:v>7.3062769285181677</c:v>
                      </c:pt>
                      <c:pt idx="35">
                        <c:v>13.040819601798917</c:v>
                      </c:pt>
                      <c:pt idx="36">
                        <c:v>25.219069090739737</c:v>
                      </c:pt>
                      <c:pt idx="37">
                        <c:v>10.543724808128161</c:v>
                      </c:pt>
                      <c:pt idx="38">
                        <c:v>15.97957437671697</c:v>
                      </c:pt>
                      <c:pt idx="39">
                        <c:v>13.219859068893967</c:v>
                      </c:pt>
                      <c:pt idx="40">
                        <c:v>-0.22344362047705993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C047-4F3B-9D25-CED4E8F6FF8E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Summary!$F$10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222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x"/>
                  <c:size val="6"/>
                  <c:spPr>
                    <a:noFill/>
                    <a:ln w="9525">
                      <a:solidFill>
                        <a:schemeClr val="accent1">
                          <a:lumMod val="60000"/>
                        </a:schemeClr>
                      </a:solidFill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Summary!$B$11:$B$52</c15:sqref>
                        </c15:fullRef>
                        <c15:formulaRef>
                          <c15:sqref>Summary!$B$12:$B$52</c15:sqref>
                        </c15:formulaRef>
                      </c:ext>
                    </c:extLst>
                    <c:numCache>
                      <c:formatCode>mmm\-yy</c:formatCode>
                      <c:ptCount val="41"/>
                      <c:pt idx="0">
                        <c:v>44986</c:v>
                      </c:pt>
                      <c:pt idx="1">
                        <c:v>45017</c:v>
                      </c:pt>
                      <c:pt idx="2">
                        <c:v>45047</c:v>
                      </c:pt>
                      <c:pt idx="3">
                        <c:v>45078</c:v>
                      </c:pt>
                      <c:pt idx="4">
                        <c:v>45108</c:v>
                      </c:pt>
                      <c:pt idx="5">
                        <c:v>45139</c:v>
                      </c:pt>
                      <c:pt idx="6">
                        <c:v>45170</c:v>
                      </c:pt>
                      <c:pt idx="7">
                        <c:v>45200</c:v>
                      </c:pt>
                      <c:pt idx="8">
                        <c:v>45231</c:v>
                      </c:pt>
                      <c:pt idx="9">
                        <c:v>45261</c:v>
                      </c:pt>
                      <c:pt idx="10">
                        <c:v>45292</c:v>
                      </c:pt>
                      <c:pt idx="11">
                        <c:v>45323</c:v>
                      </c:pt>
                      <c:pt idx="12">
                        <c:v>45352</c:v>
                      </c:pt>
                      <c:pt idx="13">
                        <c:v>45383</c:v>
                      </c:pt>
                      <c:pt idx="14">
                        <c:v>45413</c:v>
                      </c:pt>
                      <c:pt idx="15">
                        <c:v>45444</c:v>
                      </c:pt>
                      <c:pt idx="16">
                        <c:v>45474</c:v>
                      </c:pt>
                      <c:pt idx="17">
                        <c:v>45505</c:v>
                      </c:pt>
                      <c:pt idx="18">
                        <c:v>45536</c:v>
                      </c:pt>
                      <c:pt idx="19">
                        <c:v>45566</c:v>
                      </c:pt>
                      <c:pt idx="20">
                        <c:v>45597</c:v>
                      </c:pt>
                      <c:pt idx="21">
                        <c:v>45627</c:v>
                      </c:pt>
                      <c:pt idx="22">
                        <c:v>45658</c:v>
                      </c:pt>
                      <c:pt idx="23">
                        <c:v>45689</c:v>
                      </c:pt>
                      <c:pt idx="24">
                        <c:v>45717</c:v>
                      </c:pt>
                      <c:pt idx="25">
                        <c:v>45748</c:v>
                      </c:pt>
                      <c:pt idx="26">
                        <c:v>45778</c:v>
                      </c:pt>
                      <c:pt idx="27">
                        <c:v>45809</c:v>
                      </c:pt>
                      <c:pt idx="28">
                        <c:v>45839</c:v>
                      </c:pt>
                      <c:pt idx="29">
                        <c:v>45870</c:v>
                      </c:pt>
                      <c:pt idx="30">
                        <c:v>45901</c:v>
                      </c:pt>
                      <c:pt idx="31">
                        <c:v>45931</c:v>
                      </c:pt>
                      <c:pt idx="32">
                        <c:v>45962</c:v>
                      </c:pt>
                      <c:pt idx="33">
                        <c:v>45992</c:v>
                      </c:pt>
                      <c:pt idx="34">
                        <c:v>46023</c:v>
                      </c:pt>
                      <c:pt idx="35">
                        <c:v>46054</c:v>
                      </c:pt>
                      <c:pt idx="36">
                        <c:v>46082</c:v>
                      </c:pt>
                      <c:pt idx="37">
                        <c:v>46113</c:v>
                      </c:pt>
                      <c:pt idx="38">
                        <c:v>46143</c:v>
                      </c:pt>
                      <c:pt idx="39">
                        <c:v>46174</c:v>
                      </c:pt>
                      <c:pt idx="40">
                        <c:v>46204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Summary!$F$11:$F$52</c15:sqref>
                        </c15:fullRef>
                        <c15:formulaRef>
                          <c15:sqref>Summary!$F$12:$F$52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41"/>
                      <c:pt idx="0">
                        <c:v>32.357003370470892</c:v>
                      </c:pt>
                      <c:pt idx="1">
                        <c:v>24.689449010424067</c:v>
                      </c:pt>
                      <c:pt idx="2">
                        <c:v>21.416307898248547</c:v>
                      </c:pt>
                      <c:pt idx="3">
                        <c:v>23.454833375709768</c:v>
                      </c:pt>
                      <c:pt idx="4">
                        <c:v>33.80604054036705</c:v>
                      </c:pt>
                      <c:pt idx="5">
                        <c:v>33.991309239359808</c:v>
                      </c:pt>
                      <c:pt idx="6">
                        <c:v>24.337724848835428</c:v>
                      </c:pt>
                      <c:pt idx="7">
                        <c:v>24.476241823268825</c:v>
                      </c:pt>
                      <c:pt idx="8">
                        <c:v>30.064713764096773</c:v>
                      </c:pt>
                      <c:pt idx="9">
                        <c:v>40.741992567754842</c:v>
                      </c:pt>
                      <c:pt idx="10">
                        <c:v>53.333834887511522</c:v>
                      </c:pt>
                      <c:pt idx="11">
                        <c:v>39.240055636248783</c:v>
                      </c:pt>
                      <c:pt idx="12">
                        <c:v>-19.887331452354953</c:v>
                      </c:pt>
                      <c:pt idx="13">
                        <c:v>-13.790367886320624</c:v>
                      </c:pt>
                      <c:pt idx="14">
                        <c:v>-17.384819280956389</c:v>
                      </c:pt>
                      <c:pt idx="15">
                        <c:v>-16.714466811163351</c:v>
                      </c:pt>
                      <c:pt idx="16">
                        <c:v>-23.263380273073867</c:v>
                      </c:pt>
                      <c:pt idx="17">
                        <c:v>-21.730313458189581</c:v>
                      </c:pt>
                      <c:pt idx="18">
                        <c:v>-14.930111549064749</c:v>
                      </c:pt>
                      <c:pt idx="19">
                        <c:v>-14.814844521928396</c:v>
                      </c:pt>
                      <c:pt idx="20">
                        <c:v>-17.484929438855147</c:v>
                      </c:pt>
                      <c:pt idx="21">
                        <c:v>-27.04840770615148</c:v>
                      </c:pt>
                      <c:pt idx="22">
                        <c:v>-37.61882500836785</c:v>
                      </c:pt>
                      <c:pt idx="23">
                        <c:v>-24.994847492699982</c:v>
                      </c:pt>
                      <c:pt idx="24">
                        <c:v>12.226497271904782</c:v>
                      </c:pt>
                      <c:pt idx="25">
                        <c:v>7.0185472374863203</c:v>
                      </c:pt>
                      <c:pt idx="26">
                        <c:v>5.7898789750983326</c:v>
                      </c:pt>
                      <c:pt idx="27">
                        <c:v>11.142231558392661</c:v>
                      </c:pt>
                      <c:pt idx="28">
                        <c:v>11.987368151057078</c:v>
                      </c:pt>
                      <c:pt idx="29">
                        <c:v>10.401233690767459</c:v>
                      </c:pt>
                      <c:pt idx="30">
                        <c:v>7.1689117668539799</c:v>
                      </c:pt>
                      <c:pt idx="31">
                        <c:v>7.7266547801585252</c:v>
                      </c:pt>
                      <c:pt idx="32">
                        <c:v>9.0982014522980474</c:v>
                      </c:pt>
                      <c:pt idx="33">
                        <c:v>12.37560977272547</c:v>
                      </c:pt>
                      <c:pt idx="34">
                        <c:v>18.272027101960326</c:v>
                      </c:pt>
                      <c:pt idx="35">
                        <c:v>14.788236447553967</c:v>
                      </c:pt>
                      <c:pt idx="36">
                        <c:v>16.213373021852199</c:v>
                      </c:pt>
                      <c:pt idx="37">
                        <c:v>10.551052023276805</c:v>
                      </c:pt>
                      <c:pt idx="38">
                        <c:v>12.739249484624626</c:v>
                      </c:pt>
                      <c:pt idx="39">
                        <c:v>13.87528460306274</c:v>
                      </c:pt>
                      <c:pt idx="40">
                        <c:v>18.938053362565771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047-4F3B-9D25-CED4E8F6FF8E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Summary!$G$10</c15:sqref>
                        </c15:formulaRef>
                      </c:ext>
                    </c:extLst>
                    <c:strCache>
                      <c:ptCount val="1"/>
                      <c:pt idx="0">
                        <c:v>Difference in Residential Charge</c:v>
                      </c:pt>
                    </c:strCache>
                  </c:strRef>
                </c:tx>
                <c:spPr>
                  <a:ln w="22225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star"/>
                  <c:size val="6"/>
                  <c:spPr>
                    <a:noFill/>
                    <a:ln w="9525">
                      <a:solidFill>
                        <a:schemeClr val="accent3">
                          <a:lumMod val="60000"/>
                        </a:schemeClr>
                      </a:solidFill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Summary!$B$11:$B$52</c15:sqref>
                        </c15:fullRef>
                        <c15:formulaRef>
                          <c15:sqref>Summary!$B$12:$B$52</c15:sqref>
                        </c15:formulaRef>
                      </c:ext>
                    </c:extLst>
                    <c:numCache>
                      <c:formatCode>mmm\-yy</c:formatCode>
                      <c:ptCount val="41"/>
                      <c:pt idx="0">
                        <c:v>44986</c:v>
                      </c:pt>
                      <c:pt idx="1">
                        <c:v>45017</c:v>
                      </c:pt>
                      <c:pt idx="2">
                        <c:v>45047</c:v>
                      </c:pt>
                      <c:pt idx="3">
                        <c:v>45078</c:v>
                      </c:pt>
                      <c:pt idx="4">
                        <c:v>45108</c:v>
                      </c:pt>
                      <c:pt idx="5">
                        <c:v>45139</c:v>
                      </c:pt>
                      <c:pt idx="6">
                        <c:v>45170</c:v>
                      </c:pt>
                      <c:pt idx="7">
                        <c:v>45200</c:v>
                      </c:pt>
                      <c:pt idx="8">
                        <c:v>45231</c:v>
                      </c:pt>
                      <c:pt idx="9">
                        <c:v>45261</c:v>
                      </c:pt>
                      <c:pt idx="10">
                        <c:v>45292</c:v>
                      </c:pt>
                      <c:pt idx="11">
                        <c:v>45323</c:v>
                      </c:pt>
                      <c:pt idx="12">
                        <c:v>45352</c:v>
                      </c:pt>
                      <c:pt idx="13">
                        <c:v>45383</c:v>
                      </c:pt>
                      <c:pt idx="14">
                        <c:v>45413</c:v>
                      </c:pt>
                      <c:pt idx="15">
                        <c:v>45444</c:v>
                      </c:pt>
                      <c:pt idx="16">
                        <c:v>45474</c:v>
                      </c:pt>
                      <c:pt idx="17">
                        <c:v>45505</c:v>
                      </c:pt>
                      <c:pt idx="18">
                        <c:v>45536</c:v>
                      </c:pt>
                      <c:pt idx="19">
                        <c:v>45566</c:v>
                      </c:pt>
                      <c:pt idx="20">
                        <c:v>45597</c:v>
                      </c:pt>
                      <c:pt idx="21">
                        <c:v>45627</c:v>
                      </c:pt>
                      <c:pt idx="22">
                        <c:v>45658</c:v>
                      </c:pt>
                      <c:pt idx="23">
                        <c:v>45689</c:v>
                      </c:pt>
                      <c:pt idx="24">
                        <c:v>45717</c:v>
                      </c:pt>
                      <c:pt idx="25">
                        <c:v>45748</c:v>
                      </c:pt>
                      <c:pt idx="26">
                        <c:v>45778</c:v>
                      </c:pt>
                      <c:pt idx="27">
                        <c:v>45809</c:v>
                      </c:pt>
                      <c:pt idx="28">
                        <c:v>45839</c:v>
                      </c:pt>
                      <c:pt idx="29">
                        <c:v>45870</c:v>
                      </c:pt>
                      <c:pt idx="30">
                        <c:v>45901</c:v>
                      </c:pt>
                      <c:pt idx="31">
                        <c:v>45931</c:v>
                      </c:pt>
                      <c:pt idx="32">
                        <c:v>45962</c:v>
                      </c:pt>
                      <c:pt idx="33">
                        <c:v>45992</c:v>
                      </c:pt>
                      <c:pt idx="34">
                        <c:v>46023</c:v>
                      </c:pt>
                      <c:pt idx="35">
                        <c:v>46054</c:v>
                      </c:pt>
                      <c:pt idx="36">
                        <c:v>46082</c:v>
                      </c:pt>
                      <c:pt idx="37">
                        <c:v>46113</c:v>
                      </c:pt>
                      <c:pt idx="38">
                        <c:v>46143</c:v>
                      </c:pt>
                      <c:pt idx="39">
                        <c:v>46174</c:v>
                      </c:pt>
                      <c:pt idx="40">
                        <c:v>46204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Summary!$G$11:$G$52</c15:sqref>
                        </c15:fullRef>
                        <c15:formulaRef>
                          <c15:sqref>Summary!$G$12:$G$52</c15:sqref>
                        </c15:formulaRef>
                      </c:ext>
                    </c:extLst>
                    <c:numCache>
                      <c:formatCode>"$"#,##0.00_);[Red]\("$"#,##0.00\)</c:formatCode>
                      <c:ptCount val="41"/>
                      <c:pt idx="0">
                        <c:v>54.536076881201595</c:v>
                      </c:pt>
                      <c:pt idx="1">
                        <c:v>9.6087480989155036</c:v>
                      </c:pt>
                      <c:pt idx="2">
                        <c:v>19.639401293549941</c:v>
                      </c:pt>
                      <c:pt idx="3">
                        <c:v>16.136543727425359</c:v>
                      </c:pt>
                      <c:pt idx="4">
                        <c:v>27.800181813338135</c:v>
                      </c:pt>
                      <c:pt idx="5">
                        <c:v>26.277509905558109</c:v>
                      </c:pt>
                      <c:pt idx="6">
                        <c:v>16.578061212948306</c:v>
                      </c:pt>
                      <c:pt idx="7">
                        <c:v>15.822101889894993</c:v>
                      </c:pt>
                      <c:pt idx="8">
                        <c:v>21.934131859051924</c:v>
                      </c:pt>
                      <c:pt idx="9">
                        <c:v>30.365773159340122</c:v>
                      </c:pt>
                      <c:pt idx="10">
                        <c:v>35.233908311088143</c:v>
                      </c:pt>
                      <c:pt idx="11">
                        <c:v>14.079447638861982</c:v>
                      </c:pt>
                      <c:pt idx="12">
                        <c:v>-35.977068715093999</c:v>
                      </c:pt>
                      <c:pt idx="13">
                        <c:v>-20.721709282555196</c:v>
                      </c:pt>
                      <c:pt idx="14">
                        <c:v>-30.376507595760167</c:v>
                      </c:pt>
                      <c:pt idx="15">
                        <c:v>-23.594801975053109</c:v>
                      </c:pt>
                      <c:pt idx="16">
                        <c:v>-26.118357188616468</c:v>
                      </c:pt>
                      <c:pt idx="17">
                        <c:v>-36.864563666068733</c:v>
                      </c:pt>
                      <c:pt idx="18">
                        <c:v>-26.828156241221315</c:v>
                      </c:pt>
                      <c:pt idx="19">
                        <c:v>-23.536707451273845</c:v>
                      </c:pt>
                      <c:pt idx="20">
                        <c:v>-30.147244700219005</c:v>
                      </c:pt>
                      <c:pt idx="21">
                        <c:v>-43.128894462249903</c:v>
                      </c:pt>
                      <c:pt idx="22">
                        <c:v>-63.904134808817801</c:v>
                      </c:pt>
                      <c:pt idx="23">
                        <c:v>-43.368417631134484</c:v>
                      </c:pt>
                      <c:pt idx="24">
                        <c:v>-11.458159747302615</c:v>
                      </c:pt>
                      <c:pt idx="25">
                        <c:v>2.2617408455155843</c:v>
                      </c:pt>
                      <c:pt idx="26">
                        <c:v>-5.0840217050592269</c:v>
                      </c:pt>
                      <c:pt idx="27">
                        <c:v>2.2696088525517357</c:v>
                      </c:pt>
                      <c:pt idx="28">
                        <c:v>-0.5984171137341896</c:v>
                      </c:pt>
                      <c:pt idx="29">
                        <c:v>-4.2649360622177408</c:v>
                      </c:pt>
                      <c:pt idx="30">
                        <c:v>-1.1871756262602746</c:v>
                      </c:pt>
                      <c:pt idx="31">
                        <c:v>11.571315171331548</c:v>
                      </c:pt>
                      <c:pt idx="32">
                        <c:v>-2.6594263489963677</c:v>
                      </c:pt>
                      <c:pt idx="33">
                        <c:v>3.9958597532682507</c:v>
                      </c:pt>
                      <c:pt idx="34">
                        <c:v>10.965750173442158</c:v>
                      </c:pt>
                      <c:pt idx="35">
                        <c:v>1.7474168457550494</c:v>
                      </c:pt>
                      <c:pt idx="36">
                        <c:v>-9.0056960688875378</c:v>
                      </c:pt>
                      <c:pt idx="37">
                        <c:v>7.327215148643873E-3</c:v>
                      </c:pt>
                      <c:pt idx="38">
                        <c:v>-3.2403248920923442</c:v>
                      </c:pt>
                      <c:pt idx="39">
                        <c:v>0.65542553416877247</c:v>
                      </c:pt>
                      <c:pt idx="40">
                        <c:v>19.161496983042831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D90-453E-A361-FE2047A8E913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Summary!$H$10</c15:sqref>
                        </c15:formulaRef>
                      </c:ext>
                    </c:extLst>
                    <c:strCache>
                      <c:ptCount val="1"/>
                      <c:pt idx="0">
                        <c:v>Company/(Customer) Carried Amount</c:v>
                      </c:pt>
                    </c:strCache>
                  </c:strRef>
                </c:tx>
                <c:spPr>
                  <a:ln w="22225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accent5">
                        <a:lumMod val="60000"/>
                      </a:schemeClr>
                    </a:solidFill>
                    <a:ln w="9525">
                      <a:solidFill>
                        <a:schemeClr val="accent5">
                          <a:lumMod val="60000"/>
                        </a:schemeClr>
                      </a:solidFill>
                      <a:round/>
                    </a:ln>
                    <a:effectLst/>
                  </c:spPr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Summary!$B$11:$B$52</c15:sqref>
                        </c15:fullRef>
                        <c15:formulaRef>
                          <c15:sqref>Summary!$B$12:$B$52</c15:sqref>
                        </c15:formulaRef>
                      </c:ext>
                    </c:extLst>
                    <c:numCache>
                      <c:formatCode>mmm\-yy</c:formatCode>
                      <c:ptCount val="41"/>
                      <c:pt idx="0">
                        <c:v>44986</c:v>
                      </c:pt>
                      <c:pt idx="1">
                        <c:v>45017</c:v>
                      </c:pt>
                      <c:pt idx="2">
                        <c:v>45047</c:v>
                      </c:pt>
                      <c:pt idx="3">
                        <c:v>45078</c:v>
                      </c:pt>
                      <c:pt idx="4">
                        <c:v>45108</c:v>
                      </c:pt>
                      <c:pt idx="5">
                        <c:v>45139</c:v>
                      </c:pt>
                      <c:pt idx="6">
                        <c:v>45170</c:v>
                      </c:pt>
                      <c:pt idx="7">
                        <c:v>45200</c:v>
                      </c:pt>
                      <c:pt idx="8">
                        <c:v>45231</c:v>
                      </c:pt>
                      <c:pt idx="9">
                        <c:v>45261</c:v>
                      </c:pt>
                      <c:pt idx="10">
                        <c:v>45292</c:v>
                      </c:pt>
                      <c:pt idx="11">
                        <c:v>45323</c:v>
                      </c:pt>
                      <c:pt idx="12">
                        <c:v>45352</c:v>
                      </c:pt>
                      <c:pt idx="13">
                        <c:v>45383</c:v>
                      </c:pt>
                      <c:pt idx="14">
                        <c:v>45413</c:v>
                      </c:pt>
                      <c:pt idx="15">
                        <c:v>45444</c:v>
                      </c:pt>
                      <c:pt idx="16">
                        <c:v>45474</c:v>
                      </c:pt>
                      <c:pt idx="17">
                        <c:v>45505</c:v>
                      </c:pt>
                      <c:pt idx="18">
                        <c:v>45536</c:v>
                      </c:pt>
                      <c:pt idx="19">
                        <c:v>45566</c:v>
                      </c:pt>
                      <c:pt idx="20">
                        <c:v>45597</c:v>
                      </c:pt>
                      <c:pt idx="21">
                        <c:v>45627</c:v>
                      </c:pt>
                      <c:pt idx="22">
                        <c:v>45658</c:v>
                      </c:pt>
                      <c:pt idx="23">
                        <c:v>45689</c:v>
                      </c:pt>
                      <c:pt idx="24">
                        <c:v>45717</c:v>
                      </c:pt>
                      <c:pt idx="25">
                        <c:v>45748</c:v>
                      </c:pt>
                      <c:pt idx="26">
                        <c:v>45778</c:v>
                      </c:pt>
                      <c:pt idx="27">
                        <c:v>45809</c:v>
                      </c:pt>
                      <c:pt idx="28">
                        <c:v>45839</c:v>
                      </c:pt>
                      <c:pt idx="29">
                        <c:v>45870</c:v>
                      </c:pt>
                      <c:pt idx="30">
                        <c:v>45901</c:v>
                      </c:pt>
                      <c:pt idx="31">
                        <c:v>45931</c:v>
                      </c:pt>
                      <c:pt idx="32">
                        <c:v>45962</c:v>
                      </c:pt>
                      <c:pt idx="33">
                        <c:v>45992</c:v>
                      </c:pt>
                      <c:pt idx="34">
                        <c:v>46023</c:v>
                      </c:pt>
                      <c:pt idx="35">
                        <c:v>46054</c:v>
                      </c:pt>
                      <c:pt idx="36">
                        <c:v>46082</c:v>
                      </c:pt>
                      <c:pt idx="37">
                        <c:v>46113</c:v>
                      </c:pt>
                      <c:pt idx="38">
                        <c:v>46143</c:v>
                      </c:pt>
                      <c:pt idx="39">
                        <c:v>46174</c:v>
                      </c:pt>
                      <c:pt idx="40">
                        <c:v>46204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Summary!$H$11:$H$52</c15:sqref>
                        </c15:fullRef>
                        <c15:formulaRef>
                          <c15:sqref>Summary!$H$12:$H$52</c15:sqref>
                        </c15:formulaRef>
                      </c:ext>
                    </c:extLst>
                    <c:numCache>
                      <c:formatCode>_("$"* #,##0_);_("$"* \(#,##0\);_("$"* "-"??_);_(@_)</c:formatCode>
                      <c:ptCount val="41"/>
                      <c:pt idx="0">
                        <c:v>-20854125.005167995</c:v>
                      </c:pt>
                      <c:pt idx="1">
                        <c:v>-27240617.24520899</c:v>
                      </c:pt>
                      <c:pt idx="2">
                        <c:v>-38880887.848515958</c:v>
                      </c:pt>
                      <c:pt idx="3">
                        <c:v>-49850652.107676953</c:v>
                      </c:pt>
                      <c:pt idx="4">
                        <c:v>-61963173.207717955</c:v>
                      </c:pt>
                      <c:pt idx="5">
                        <c:v>-72914148.187049955</c:v>
                      </c:pt>
                      <c:pt idx="6">
                        <c:v>-80669984.108313948</c:v>
                      </c:pt>
                      <c:pt idx="7">
                        <c:v>-88390815.571739942</c:v>
                      </c:pt>
                      <c:pt idx="8">
                        <c:v>-99064514.130780935</c:v>
                      </c:pt>
                      <c:pt idx="9">
                        <c:v>-110757429.58082193</c:v>
                      </c:pt>
                      <c:pt idx="10">
                        <c:v>-119481449.99086294</c:v>
                      </c:pt>
                      <c:pt idx="11">
                        <c:v>-123674235.68090394</c:v>
                      </c:pt>
                      <c:pt idx="12">
                        <c:v>-102782935.77046095</c:v>
                      </c:pt>
                      <c:pt idx="13">
                        <c:v>-91460209.025817961</c:v>
                      </c:pt>
                      <c:pt idx="14">
                        <c:v>-78724703.742374972</c:v>
                      </c:pt>
                      <c:pt idx="15">
                        <c:v>-69377921.485346988</c:v>
                      </c:pt>
                      <c:pt idx="16">
                        <c:v>-61606814.791904002</c:v>
                      </c:pt>
                      <c:pt idx="17">
                        <c:v>-48006734.098461017</c:v>
                      </c:pt>
                      <c:pt idx="18">
                        <c:v>-32813091.451140534</c:v>
                      </c:pt>
                      <c:pt idx="19">
                        <c:v>-19872400.997697543</c:v>
                      </c:pt>
                      <c:pt idx="20">
                        <c:v>-8315282.3470225539</c:v>
                      </c:pt>
                      <c:pt idx="21">
                        <c:v>2375147.7877014372</c:v>
                      </c:pt>
                      <c:pt idx="22">
                        <c:v>14028048.538728092</c:v>
                      </c:pt>
                      <c:pt idx="23">
                        <c:v>29361091.633400358</c:v>
                      </c:pt>
                      <c:pt idx="24">
                        <c:v>42074106.52886796</c:v>
                      </c:pt>
                      <c:pt idx="25">
                        <c:v>42320518.753335558</c:v>
                      </c:pt>
                      <c:pt idx="26">
                        <c:v>45398438.543015912</c:v>
                      </c:pt>
                      <c:pt idx="27">
                        <c:v>42377480.657968514</c:v>
                      </c:pt>
                      <c:pt idx="28">
                        <c:v>39279882.202436112</c:v>
                      </c:pt>
                      <c:pt idx="29">
                        <c:v>40523743.846903712</c:v>
                      </c:pt>
                      <c:pt idx="30">
                        <c:v>43617834.643371314</c:v>
                      </c:pt>
                      <c:pt idx="31">
                        <c:v>37449160.972848915</c:v>
                      </c:pt>
                      <c:pt idx="32">
                        <c:v>34695211.127316512</c:v>
                      </c:pt>
                      <c:pt idx="33">
                        <c:v>30966315.014105611</c:v>
                      </c:pt>
                      <c:pt idx="34">
                        <c:v>27160730.286568277</c:v>
                      </c:pt>
                      <c:pt idx="35">
                        <c:v>29107626.545762036</c:v>
                      </c:pt>
                      <c:pt idx="36">
                        <c:v>43372632.830356687</c:v>
                      </c:pt>
                      <c:pt idx="37">
                        <c:v>42787818.039980642</c:v>
                      </c:pt>
                      <c:pt idx="38">
                        <c:v>41242734.249604598</c:v>
                      </c:pt>
                      <c:pt idx="39">
                        <c:v>37130555.459228553</c:v>
                      </c:pt>
                      <c:pt idx="40">
                        <c:v>28703947.668852508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90-453E-A361-FE2047A8E913}"/>
                  </c:ext>
                </c:extLst>
              </c15:ser>
            </c15:filteredLineSeries>
          </c:ext>
        </c:extLst>
      </c:lineChart>
      <c:dateAx>
        <c:axId val="141073529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0733375"/>
        <c:crosses val="autoZero"/>
        <c:auto val="1"/>
        <c:lblOffset val="100"/>
        <c:baseTimeUnit val="months"/>
      </c:dateAx>
      <c:valAx>
        <c:axId val="1410733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0735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19049</xdr:rowOff>
    </xdr:from>
    <xdr:to>
      <xdr:col>35</xdr:col>
      <xdr:colOff>0</xdr:colOff>
      <xdr:row>49</xdr:row>
      <xdr:rowOff>13230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479914B-127D-8A51-4CD8-9DC23FF40C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78C6-206A-4081-9A15-041D0AD3F31C}">
  <sheetPr>
    <tabColor theme="6" tint="0.79998168889431442"/>
  </sheetPr>
  <dimension ref="B2:P52"/>
  <sheetViews>
    <sheetView zoomScale="115" zoomScaleNormal="115" workbookViewId="0">
      <selection activeCell="B9" sqref="B9"/>
    </sheetView>
  </sheetViews>
  <sheetFormatPr defaultRowHeight="12.75" x14ac:dyDescent="0.2"/>
  <cols>
    <col min="1" max="1" width="9.140625" style="1"/>
    <col min="2" max="2" width="19.85546875" style="1" customWidth="1"/>
    <col min="3" max="3" width="19.5703125" style="1" bestFit="1" customWidth="1"/>
    <col min="4" max="4" width="20.7109375" style="1" customWidth="1"/>
    <col min="5" max="5" width="16.85546875" style="1" bestFit="1" customWidth="1"/>
    <col min="6" max="6" width="22.85546875" style="1" customWidth="1"/>
    <col min="7" max="7" width="19.7109375" style="1" customWidth="1"/>
    <col min="8" max="8" width="21.5703125" style="1" customWidth="1"/>
    <col min="9" max="10" width="9.140625" style="1"/>
    <col min="11" max="11" width="11.28515625" style="91" customWidth="1"/>
    <col min="12" max="15" width="9.140625" style="1"/>
    <col min="16" max="16" width="16.28515625" style="1" bestFit="1" customWidth="1"/>
    <col min="17" max="16384" width="9.140625" style="1"/>
  </cols>
  <sheetData>
    <row r="2" spans="2:12" s="84" customFormat="1" ht="27.75" customHeight="1" x14ac:dyDescent="0.2">
      <c r="B2" s="83" t="s">
        <v>62</v>
      </c>
      <c r="C2" s="83" t="s">
        <v>60</v>
      </c>
      <c r="D2" s="95" t="s">
        <v>74</v>
      </c>
      <c r="E2" s="83" t="s">
        <v>65</v>
      </c>
      <c r="K2" s="90"/>
    </row>
    <row r="3" spans="2:12" x14ac:dyDescent="0.2">
      <c r="B3" s="71" t="s">
        <v>69</v>
      </c>
      <c r="C3" s="50">
        <f>(D3/E3)-0.02612</f>
        <v>2.7546951065653306E-2</v>
      </c>
      <c r="D3" s="72">
        <f>AVERAGE('As Filed FAC Rates'!T7:T18)</f>
        <v>24472002.370040998</v>
      </c>
      <c r="E3" s="52">
        <f>AVERAGE('As Filed FAC Rates'!AB7:AB18)</f>
        <v>455997627.66666669</v>
      </c>
    </row>
    <row r="4" spans="2:12" x14ac:dyDescent="0.2">
      <c r="B4" s="49" t="s">
        <v>63</v>
      </c>
      <c r="C4" s="50">
        <f>(D4/E4)-0.02612</f>
        <v>-1.726048207862001E-2</v>
      </c>
      <c r="D4" s="51">
        <f>(SUM('As Filed FAC Rates'!T19:T30)+H23)/12</f>
        <v>3859629.7565570101</v>
      </c>
      <c r="E4" s="52">
        <f>AVERAGE('As Filed FAC Rates'!AB19:AB30)</f>
        <v>435647829.91666669</v>
      </c>
    </row>
    <row r="5" spans="2:12" x14ac:dyDescent="0.2">
      <c r="B5" s="49" t="s">
        <v>64</v>
      </c>
      <c r="C5" s="50">
        <f>(D5/E5)-0.0338</f>
        <v>8.6555965801645846E-3</v>
      </c>
      <c r="D5" s="51">
        <f>(SUM('As Filed FAC Rates'!T31:T42)+H35)/12</f>
        <v>19059331.335532401</v>
      </c>
      <c r="E5" s="52">
        <f>AVERAGE('As Filed FAC Rates'!AB31:AB42)</f>
        <v>448923884.5</v>
      </c>
    </row>
    <row r="6" spans="2:12" x14ac:dyDescent="0.2">
      <c r="B6" s="49" t="s">
        <v>68</v>
      </c>
      <c r="C6" s="50">
        <f>(D6/E6)-0.0338</f>
        <v>1.4145050175515032E-2</v>
      </c>
      <c r="D6" s="51">
        <f>(SUM('As Filed FAC Rates'!T43:T54)+H47)/12</f>
        <v>21463844.790376045</v>
      </c>
      <c r="E6" s="52">
        <f>AVERAGE('As Filed FAC Rates'!AB43:AB54)</f>
        <v>447675927.16666669</v>
      </c>
    </row>
    <row r="7" spans="2:12" x14ac:dyDescent="0.2">
      <c r="B7" s="1" t="s">
        <v>67</v>
      </c>
    </row>
    <row r="8" spans="2:12" x14ac:dyDescent="0.2">
      <c r="B8" s="1" t="s">
        <v>75</v>
      </c>
    </row>
    <row r="9" spans="2:12" x14ac:dyDescent="0.2">
      <c r="K9" s="92"/>
      <c r="L9" s="94"/>
    </row>
    <row r="10" spans="2:12" ht="12.75" customHeight="1" x14ac:dyDescent="0.2">
      <c r="B10" s="100" t="s">
        <v>61</v>
      </c>
      <c r="C10" s="102" t="s">
        <v>70</v>
      </c>
      <c r="D10" s="103"/>
      <c r="E10" s="104" t="s">
        <v>59</v>
      </c>
      <c r="F10" s="105"/>
      <c r="G10" s="98" t="s">
        <v>73</v>
      </c>
      <c r="H10" s="96" t="s">
        <v>66</v>
      </c>
      <c r="L10" s="91"/>
    </row>
    <row r="11" spans="2:12" s="89" customFormat="1" x14ac:dyDescent="0.25">
      <c r="B11" s="101"/>
      <c r="C11" s="88" t="s">
        <v>71</v>
      </c>
      <c r="D11" s="88" t="s">
        <v>72</v>
      </c>
      <c r="E11" s="88" t="s">
        <v>71</v>
      </c>
      <c r="F11" s="88" t="s">
        <v>72</v>
      </c>
      <c r="G11" s="99"/>
      <c r="H11" s="97"/>
      <c r="K11" s="93"/>
      <c r="L11" s="93"/>
    </row>
    <row r="12" spans="2:12" x14ac:dyDescent="0.2">
      <c r="B12" s="73">
        <v>44986</v>
      </c>
      <c r="C12" s="74">
        <f>'As Filed FAC Rates'!AE19</f>
        <v>-1.8882028279516013E-2</v>
      </c>
      <c r="D12" s="75">
        <f>C12*'Residential Average Usage'!D11</f>
        <v>-22.179073510730706</v>
      </c>
      <c r="E12" s="76">
        <f>C3</f>
        <v>2.7546951065653306E-2</v>
      </c>
      <c r="F12" s="77">
        <f>E12*'Residential Average Usage'!D11</f>
        <v>32.357003370470892</v>
      </c>
      <c r="G12" s="78">
        <f>F12-D12</f>
        <v>54.536076881201595</v>
      </c>
      <c r="H12" s="79">
        <f>'As Filed FAC Rates'!T19-Summary!D3</f>
        <v>-20854125.005167995</v>
      </c>
      <c r="L12" s="91"/>
    </row>
    <row r="13" spans="2:12" x14ac:dyDescent="0.2">
      <c r="B13" s="73">
        <v>45017</v>
      </c>
      <c r="C13" s="74">
        <f>'As Filed FAC Rates'!AE20</f>
        <v>1.6826107778658127E-2</v>
      </c>
      <c r="D13" s="75">
        <f>C13*'Residential Average Usage'!E11</f>
        <v>15.080700911508563</v>
      </c>
      <c r="E13" s="76">
        <f>C3</f>
        <v>2.7546951065653306E-2</v>
      </c>
      <c r="F13" s="77">
        <f>E13*'Residential Average Usage'!E11</f>
        <v>24.689449010424067</v>
      </c>
      <c r="G13" s="78">
        <f t="shared" ref="G13:G52" si="0">F13-D13</f>
        <v>9.6087480989155036</v>
      </c>
      <c r="H13" s="79">
        <f>('As Filed FAC Rates'!T20-Summary!D3)+H12</f>
        <v>-27240617.24520899</v>
      </c>
    </row>
    <row r="14" spans="2:12" x14ac:dyDescent="0.2">
      <c r="B14" s="73">
        <v>45047</v>
      </c>
      <c r="C14" s="74">
        <f>'As Filed FAC Rates'!AE21</f>
        <v>2.2855647911128388E-3</v>
      </c>
      <c r="D14" s="75">
        <f>C14*'Residential Average Usage'!F11</f>
        <v>1.7769066046986066</v>
      </c>
      <c r="E14" s="76">
        <f>C3</f>
        <v>2.7546951065653306E-2</v>
      </c>
      <c r="F14" s="77">
        <f>E14*'Residential Average Usage'!F11</f>
        <v>21.416307898248547</v>
      </c>
      <c r="G14" s="78">
        <f t="shared" si="0"/>
        <v>19.639401293549941</v>
      </c>
      <c r="H14" s="79">
        <f>('As Filed FAC Rates'!T21-Summary!D3)+H13</f>
        <v>-38880887.848515958</v>
      </c>
    </row>
    <row r="15" spans="2:12" x14ac:dyDescent="0.2">
      <c r="B15" s="73">
        <v>45078</v>
      </c>
      <c r="C15" s="74">
        <f>'As Filed FAC Rates'!AE22</f>
        <v>8.5950969506500378E-3</v>
      </c>
      <c r="D15" s="75">
        <f>C15*'Residential Average Usage'!G11</f>
        <v>7.3182896482844084</v>
      </c>
      <c r="E15" s="76">
        <f>C3</f>
        <v>2.7546951065653306E-2</v>
      </c>
      <c r="F15" s="77">
        <f>E15*'Residential Average Usage'!G11</f>
        <v>23.454833375709768</v>
      </c>
      <c r="G15" s="78">
        <f t="shared" si="0"/>
        <v>16.136543727425359</v>
      </c>
      <c r="H15" s="79">
        <f>('As Filed FAC Rates'!T22-Summary!D3)+H14</f>
        <v>-49850652.107676953</v>
      </c>
    </row>
    <row r="16" spans="2:12" x14ac:dyDescent="0.2">
      <c r="B16" s="73">
        <v>45108</v>
      </c>
      <c r="C16" s="74">
        <f>'As Filed FAC Rates'!AE23</f>
        <v>4.8938915595022267E-3</v>
      </c>
      <c r="D16" s="75">
        <f>C16*'Residential Average Usage'!H11</f>
        <v>6.0058587270289152</v>
      </c>
      <c r="E16" s="76">
        <f>C3</f>
        <v>2.7546951065653306E-2</v>
      </c>
      <c r="F16" s="77">
        <f>E16*'Residential Average Usage'!H11</f>
        <v>33.80604054036705</v>
      </c>
      <c r="G16" s="78">
        <f t="shared" si="0"/>
        <v>27.800181813338135</v>
      </c>
      <c r="H16" s="79">
        <f>('As Filed FAC Rates'!T23-Summary!D3)+H15</f>
        <v>-61963173.207717955</v>
      </c>
    </row>
    <row r="17" spans="2:8" x14ac:dyDescent="0.2">
      <c r="B17" s="73">
        <v>45139</v>
      </c>
      <c r="C17" s="74">
        <f>'As Filed FAC Rates'!AE24</f>
        <v>6.2513524054687609E-3</v>
      </c>
      <c r="D17" s="75">
        <f>C17*'Residential Average Usage'!I11</f>
        <v>7.7137993338016981</v>
      </c>
      <c r="E17" s="76">
        <f>C3</f>
        <v>2.7546951065653306E-2</v>
      </c>
      <c r="F17" s="77">
        <f>E17*'Residential Average Usage'!I11</f>
        <v>33.991309239359808</v>
      </c>
      <c r="G17" s="78">
        <f t="shared" si="0"/>
        <v>26.277509905558109</v>
      </c>
      <c r="H17" s="79">
        <f>('As Filed FAC Rates'!T24-Summary!D3)+H16</f>
        <v>-72914148.187049955</v>
      </c>
    </row>
    <row r="18" spans="2:8" x14ac:dyDescent="0.2">
      <c r="B18" s="73">
        <v>45170</v>
      </c>
      <c r="C18" s="74">
        <f>'As Filed FAC Rates'!AE25</f>
        <v>8.7828700419357482E-3</v>
      </c>
      <c r="D18" s="75">
        <f>C18*'Residential Average Usage'!J11</f>
        <v>7.7596636358871205</v>
      </c>
      <c r="E18" s="76">
        <f>C3</f>
        <v>2.7546951065653306E-2</v>
      </c>
      <c r="F18" s="77">
        <f>E18*'Residential Average Usage'!J11</f>
        <v>24.337724848835428</v>
      </c>
      <c r="G18" s="78">
        <f t="shared" si="0"/>
        <v>16.578061212948306</v>
      </c>
      <c r="H18" s="79">
        <f>('As Filed FAC Rates'!T25-Summary!D3)+H17</f>
        <v>-80669984.108313948</v>
      </c>
    </row>
    <row r="19" spans="2:8" x14ac:dyDescent="0.2">
      <c r="B19" s="73">
        <v>45200</v>
      </c>
      <c r="C19" s="74">
        <f>'As Filed FAC Rates'!AE26</f>
        <v>9.7398600234996045E-3</v>
      </c>
      <c r="D19" s="75">
        <f>C19*'Residential Average Usage'!K11</f>
        <v>8.6541399333738322</v>
      </c>
      <c r="E19" s="76">
        <f>C3</f>
        <v>2.7546951065653306E-2</v>
      </c>
      <c r="F19" s="77">
        <f>E19*'Residential Average Usage'!K11</f>
        <v>24.476241823268825</v>
      </c>
      <c r="G19" s="78">
        <f t="shared" si="0"/>
        <v>15.822101889894993</v>
      </c>
      <c r="H19" s="79">
        <f>('As Filed FAC Rates'!T26-Summary!D3)+H18</f>
        <v>-88390815.571739942</v>
      </c>
    </row>
    <row r="20" spans="2:8" x14ac:dyDescent="0.2">
      <c r="B20" s="73">
        <v>45231</v>
      </c>
      <c r="C20" s="74">
        <f>'As Filed FAC Rates'!AE27</f>
        <v>7.4496881503999073E-3</v>
      </c>
      <c r="D20" s="75">
        <f>C20*'Residential Average Usage'!L11</f>
        <v>8.1305819050448509</v>
      </c>
      <c r="E20" s="76">
        <f>C3</f>
        <v>2.7546951065653306E-2</v>
      </c>
      <c r="F20" s="77">
        <f>E20*'Residential Average Usage'!L11</f>
        <v>30.064713764096773</v>
      </c>
      <c r="G20" s="78">
        <f t="shared" si="0"/>
        <v>21.934131859051924</v>
      </c>
      <c r="H20" s="79">
        <f>('As Filed FAC Rates'!T27-Summary!D3)+H19</f>
        <v>-99064514.130780935</v>
      </c>
    </row>
    <row r="21" spans="2:8" x14ac:dyDescent="0.2">
      <c r="B21" s="73">
        <v>45261</v>
      </c>
      <c r="C21" s="74">
        <f>'As Filed FAC Rates'!AE28</f>
        <v>7.0156904529088855E-3</v>
      </c>
      <c r="D21" s="75">
        <f>C21*'Residential Average Usage'!M11</f>
        <v>10.37621940841472</v>
      </c>
      <c r="E21" s="76">
        <f>C3</f>
        <v>2.7546951065653306E-2</v>
      </c>
      <c r="F21" s="77">
        <f>E21*'Residential Average Usage'!M11</f>
        <v>40.741992567754842</v>
      </c>
      <c r="G21" s="78">
        <f t="shared" si="0"/>
        <v>30.365773159340122</v>
      </c>
      <c r="H21" s="79">
        <f>('As Filed FAC Rates'!T28-Summary!D3)+H20</f>
        <v>-110757429.58082193</v>
      </c>
    </row>
    <row r="22" spans="2:8" x14ac:dyDescent="0.2">
      <c r="B22" s="73">
        <v>45292</v>
      </c>
      <c r="C22" s="74">
        <f>'As Filed FAC Rates'!AE29</f>
        <v>9.3486206784917057E-3</v>
      </c>
      <c r="D22" s="75">
        <f>C22*'Residential Average Usage'!B12</f>
        <v>18.099926576423378</v>
      </c>
      <c r="E22" s="76">
        <f>C3</f>
        <v>2.7546951065653306E-2</v>
      </c>
      <c r="F22" s="77">
        <f>E22*'Residential Average Usage'!B12</f>
        <v>53.333834887511522</v>
      </c>
      <c r="G22" s="78">
        <f t="shared" si="0"/>
        <v>35.233908311088143</v>
      </c>
      <c r="H22" s="79">
        <f>('As Filed FAC Rates'!T29-Summary!D3)+H21</f>
        <v>-119481449.99086294</v>
      </c>
    </row>
    <row r="23" spans="2:8" x14ac:dyDescent="0.2">
      <c r="B23" s="73">
        <v>45323</v>
      </c>
      <c r="C23" s="74">
        <f>'As Filed FAC Rates'!AE30</f>
        <v>1.7663023817067077E-2</v>
      </c>
      <c r="D23" s="75">
        <f>C23*'Residential Average Usage'!C12</f>
        <v>25.160607997386801</v>
      </c>
      <c r="E23" s="76">
        <f>C3</f>
        <v>2.7546951065653306E-2</v>
      </c>
      <c r="F23" s="77">
        <f>E23*'Residential Average Usage'!C12</f>
        <v>39.240055636248783</v>
      </c>
      <c r="G23" s="78">
        <f t="shared" si="0"/>
        <v>14.079447638861982</v>
      </c>
      <c r="H23" s="79">
        <f>('As Filed FAC Rates'!T30-Summary!D3)+H22</f>
        <v>-123674235.68090394</v>
      </c>
    </row>
    <row r="24" spans="2:8" x14ac:dyDescent="0.2">
      <c r="B24" s="73">
        <v>45352</v>
      </c>
      <c r="C24" s="74">
        <f>'As Filed FAC Rates'!AE31</f>
        <v>1.3964499075129869E-2</v>
      </c>
      <c r="D24" s="75">
        <f>C24*'Residential Average Usage'!D12</f>
        <v>16.089737262739046</v>
      </c>
      <c r="E24" s="80">
        <f>C4</f>
        <v>-1.726048207862001E-2</v>
      </c>
      <c r="F24" s="77">
        <f>E24*'Residential Average Usage'!D12</f>
        <v>-19.887331452354953</v>
      </c>
      <c r="G24" s="78">
        <f t="shared" si="0"/>
        <v>-35.977068715093999</v>
      </c>
      <c r="H24" s="81">
        <f>('As Filed FAC Rates'!T31-D4)+H23</f>
        <v>-102782935.77046095</v>
      </c>
    </row>
    <row r="25" spans="2:8" x14ac:dyDescent="0.2">
      <c r="B25" s="73">
        <v>45383</v>
      </c>
      <c r="C25" s="74">
        <f>'As Filed FAC Rates'!AE32</f>
        <v>8.6754969074595324E-3</v>
      </c>
      <c r="D25" s="75">
        <f>C25*'Residential Average Usage'!E12</f>
        <v>6.9313413962345711</v>
      </c>
      <c r="E25" s="80">
        <f>C4</f>
        <v>-1.726048207862001E-2</v>
      </c>
      <c r="F25" s="77">
        <f>E25*'Residential Average Usage'!E12</f>
        <v>-13.790367886320624</v>
      </c>
      <c r="G25" s="78">
        <f t="shared" si="0"/>
        <v>-20.721709282555196</v>
      </c>
      <c r="H25" s="81">
        <f>('As Filed FAC Rates'!T32-D4)+H24</f>
        <v>-91460209.025817961</v>
      </c>
    </row>
    <row r="26" spans="2:8" x14ac:dyDescent="0.2">
      <c r="B26" s="73">
        <v>45413</v>
      </c>
      <c r="C26" s="74">
        <f>'As Filed FAC Rates'!AE33</f>
        <v>1.289877103147841E-2</v>
      </c>
      <c r="D26" s="75">
        <f>C26*'Residential Average Usage'!F12</f>
        <v>12.991688314803776</v>
      </c>
      <c r="E26" s="80">
        <f>C4</f>
        <v>-1.726048207862001E-2</v>
      </c>
      <c r="F26" s="77">
        <f>E26*'Residential Average Usage'!F12</f>
        <v>-17.384819280956389</v>
      </c>
      <c r="G26" s="78">
        <f t="shared" si="0"/>
        <v>-30.376507595760167</v>
      </c>
      <c r="H26" s="81">
        <f>('As Filed FAC Rates'!T33-D4)+H25</f>
        <v>-78724703.742374972</v>
      </c>
    </row>
    <row r="27" spans="2:8" x14ac:dyDescent="0.2">
      <c r="B27" s="73">
        <v>45444</v>
      </c>
      <c r="C27" s="74">
        <f>'As Filed FAC Rates'!AE34</f>
        <v>7.1050966287420879E-3</v>
      </c>
      <c r="D27" s="75">
        <f>C27*'Residential Average Usage'!G12</f>
        <v>6.8803351638897592</v>
      </c>
      <c r="E27" s="80">
        <f>C4</f>
        <v>-1.726048207862001E-2</v>
      </c>
      <c r="F27" s="77">
        <f>E27*'Residential Average Usage'!G12</f>
        <v>-16.714466811163351</v>
      </c>
      <c r="G27" s="78">
        <f t="shared" si="0"/>
        <v>-23.594801975053109</v>
      </c>
      <c r="H27" s="81">
        <f>('As Filed FAC Rates'!T34-D4)+H26</f>
        <v>-69377921.485346988</v>
      </c>
    </row>
    <row r="28" spans="2:8" x14ac:dyDescent="0.2">
      <c r="B28" s="73">
        <v>45474</v>
      </c>
      <c r="C28" s="74">
        <f>'As Filed FAC Rates'!AE35</f>
        <v>2.1182767640450725E-3</v>
      </c>
      <c r="D28" s="75">
        <f>C28*'Residential Average Usage'!H12</f>
        <v>2.8549769155426006</v>
      </c>
      <c r="E28" s="80">
        <f>C4</f>
        <v>-1.726048207862001E-2</v>
      </c>
      <c r="F28" s="77">
        <f>E28*'Residential Average Usage'!H12</f>
        <v>-23.263380273073867</v>
      </c>
      <c r="G28" s="78">
        <f t="shared" si="0"/>
        <v>-26.118357188616468</v>
      </c>
      <c r="H28" s="81">
        <f>('As Filed FAC Rates'!T35-D4)+H27</f>
        <v>-61606814.791904002</v>
      </c>
    </row>
    <row r="29" spans="2:8" x14ac:dyDescent="0.2">
      <c r="B29" s="73">
        <v>45505</v>
      </c>
      <c r="C29" s="74">
        <f>'As Filed FAC Rates'!AE36</f>
        <v>1.2021200475964635E-2</v>
      </c>
      <c r="D29" s="75">
        <f>C29*'Residential Average Usage'!I12</f>
        <v>15.134250207879155</v>
      </c>
      <c r="E29" s="80">
        <f>C4</f>
        <v>-1.726048207862001E-2</v>
      </c>
      <c r="F29" s="77">
        <f>E29*'Residential Average Usage'!I12</f>
        <v>-21.730313458189581</v>
      </c>
      <c r="G29" s="78">
        <f t="shared" si="0"/>
        <v>-36.864563666068733</v>
      </c>
      <c r="H29" s="81">
        <f>('As Filed FAC Rates'!T36-D4)+H28</f>
        <v>-48006734.098461017</v>
      </c>
    </row>
    <row r="30" spans="2:8" x14ac:dyDescent="0.2">
      <c r="B30" s="73">
        <v>45536</v>
      </c>
      <c r="C30" s="74">
        <f>'As Filed FAC Rates'!AE37</f>
        <v>1.3755154240120384E-2</v>
      </c>
      <c r="D30" s="75">
        <f>C30*'Residential Average Usage'!J12</f>
        <v>11.898044692156564</v>
      </c>
      <c r="E30" s="80">
        <f>C4</f>
        <v>-1.726048207862001E-2</v>
      </c>
      <c r="F30" s="77">
        <f>E30*'Residential Average Usage'!J12</f>
        <v>-14.930111549064749</v>
      </c>
      <c r="G30" s="78">
        <f t="shared" si="0"/>
        <v>-26.828156241221315</v>
      </c>
      <c r="H30" s="81">
        <f>('As Filed FAC Rates'!T37-D4)+H29</f>
        <v>-32813091.451140534</v>
      </c>
    </row>
    <row r="31" spans="2:8" x14ac:dyDescent="0.2">
      <c r="B31" s="73">
        <v>45566</v>
      </c>
      <c r="C31" s="74">
        <f>'As Filed FAC Rates'!AE38</f>
        <v>1.0161669841443035E-2</v>
      </c>
      <c r="D31" s="75">
        <f>C31*'Residential Average Usage'!K12</f>
        <v>8.7218629293454484</v>
      </c>
      <c r="E31" s="80">
        <f>E28</f>
        <v>-1.726048207862001E-2</v>
      </c>
      <c r="F31" s="77">
        <f>E31*'Residential Average Usage'!K12</f>
        <v>-14.814844521928396</v>
      </c>
      <c r="G31" s="78">
        <f t="shared" si="0"/>
        <v>-23.536707451273845</v>
      </c>
      <c r="H31" s="81">
        <f>('As Filed FAC Rates'!T38-D4)+H30</f>
        <v>-19872400.997697543</v>
      </c>
    </row>
    <row r="32" spans="2:8" x14ac:dyDescent="0.2">
      <c r="B32" s="73">
        <v>45597</v>
      </c>
      <c r="C32" s="74">
        <f>'As Filed FAC Rates'!AE39</f>
        <v>1.249977395716147E-2</v>
      </c>
      <c r="D32" s="75">
        <f>C32*'Residential Average Usage'!L12</f>
        <v>12.662315261363856</v>
      </c>
      <c r="E32" s="80">
        <f>C4</f>
        <v>-1.726048207862001E-2</v>
      </c>
      <c r="F32" s="77">
        <f>E32*'Residential Average Usage'!L12</f>
        <v>-17.484929438855147</v>
      </c>
      <c r="G32" s="78">
        <f t="shared" si="0"/>
        <v>-30.147244700219005</v>
      </c>
      <c r="H32" s="81">
        <f>('As Filed FAC Rates'!T39-D4)+H31</f>
        <v>-8315282.3470225539</v>
      </c>
    </row>
    <row r="33" spans="2:16" x14ac:dyDescent="0.2">
      <c r="B33" s="73">
        <v>45627</v>
      </c>
      <c r="C33" s="74">
        <f>'As Filed FAC Rates'!AE40</f>
        <v>1.0261489566574373E-2</v>
      </c>
      <c r="D33" s="75">
        <f>C33*'Residential Average Usage'!M12</f>
        <v>16.080486756098423</v>
      </c>
      <c r="E33" s="80">
        <f>C4</f>
        <v>-1.726048207862001E-2</v>
      </c>
      <c r="F33" s="77">
        <f>E33*'Residential Average Usage'!M12</f>
        <v>-27.04840770615148</v>
      </c>
      <c r="G33" s="78">
        <f t="shared" si="0"/>
        <v>-43.128894462249903</v>
      </c>
      <c r="H33" s="81">
        <f>('As Filed FAC Rates'!T40-D4)+H32</f>
        <v>2375147.7877014372</v>
      </c>
    </row>
    <row r="34" spans="2:16" x14ac:dyDescent="0.2">
      <c r="B34" s="73">
        <v>45658</v>
      </c>
      <c r="C34" s="74">
        <f>'As Filed FAC Rates'!AE41</f>
        <v>1.2060374523678554E-2</v>
      </c>
      <c r="D34" s="75">
        <f>C34*'Residential Average Usage'!B13</f>
        <v>26.285309800449948</v>
      </c>
      <c r="E34" s="80">
        <f>C4</f>
        <v>-1.726048207862001E-2</v>
      </c>
      <c r="F34" s="77">
        <f>E34*'Residential Average Usage'!B13</f>
        <v>-37.61882500836785</v>
      </c>
      <c r="G34" s="78">
        <f t="shared" si="0"/>
        <v>-63.904134808817801</v>
      </c>
      <c r="H34" s="81">
        <f>('As Filed FAC Rates'!T41-D4)+H33</f>
        <v>14028048.538728092</v>
      </c>
    </row>
    <row r="35" spans="2:16" x14ac:dyDescent="0.2">
      <c r="B35" s="73">
        <v>45689</v>
      </c>
      <c r="C35" s="74">
        <f>'As Filed FAC Rates'!AE42</f>
        <v>1.2688082141222894E-2</v>
      </c>
      <c r="D35" s="75">
        <f>C35*'Residential Average Usage'!C13</f>
        <v>18.373570138434502</v>
      </c>
      <c r="E35" s="80">
        <f>C4</f>
        <v>-1.726048207862001E-2</v>
      </c>
      <c r="F35" s="77">
        <f>E35*'Residential Average Usage'!C13</f>
        <v>-24.994847492699982</v>
      </c>
      <c r="G35" s="78">
        <f t="shared" si="0"/>
        <v>-43.368417631134484</v>
      </c>
      <c r="H35" s="81">
        <f>('As Filed FAC Rates'!T42-D4)+H34</f>
        <v>29361091.633400358</v>
      </c>
      <c r="P35" s="82"/>
    </row>
    <row r="36" spans="2:16" x14ac:dyDescent="0.2">
      <c r="B36" s="73">
        <v>45717</v>
      </c>
      <c r="C36" s="74">
        <f>'As Filed FAC Rates'!AE43</f>
        <v>1.6767258172044289E-2</v>
      </c>
      <c r="D36" s="75">
        <f>C36*'Residential Average Usage'!D13</f>
        <v>23.684657019207396</v>
      </c>
      <c r="E36" s="80">
        <f>C5</f>
        <v>8.6555965801645846E-3</v>
      </c>
      <c r="F36" s="77">
        <f>E36*'Residential Average Usage'!D13</f>
        <v>12.226497271904782</v>
      </c>
      <c r="G36" s="78">
        <f t="shared" si="0"/>
        <v>-11.458159747302615</v>
      </c>
      <c r="H36" s="81">
        <f>('As Filed FAC Rates'!T43-D5)+H35</f>
        <v>42074106.52886796</v>
      </c>
      <c r="P36" s="82"/>
    </row>
    <row r="37" spans="2:16" x14ac:dyDescent="0.2">
      <c r="B37" s="73">
        <v>45748</v>
      </c>
      <c r="C37" s="74">
        <f>'As Filed FAC Rates'!AE44</f>
        <v>5.8663133189359243E-3</v>
      </c>
      <c r="D37" s="75">
        <f>C37*'Residential Average Usage'!E13</f>
        <v>4.756806391970736</v>
      </c>
      <c r="E37" s="80">
        <f>C5</f>
        <v>8.6555965801645846E-3</v>
      </c>
      <c r="F37" s="77">
        <f>E37*'Residential Average Usage'!E13</f>
        <v>7.0185472374863203</v>
      </c>
      <c r="G37" s="78">
        <f t="shared" si="0"/>
        <v>2.2617408455155843</v>
      </c>
      <c r="H37" s="81">
        <f>('As Filed FAC Rates'!T44-D5)+H36</f>
        <v>42320518.753335558</v>
      </c>
      <c r="P37" s="82"/>
    </row>
    <row r="38" spans="2:16" x14ac:dyDescent="0.2">
      <c r="B38" s="73">
        <v>45778</v>
      </c>
      <c r="C38" s="74">
        <f>'As Filed FAC Rates'!AE45</f>
        <v>1.6255969761202589E-2</v>
      </c>
      <c r="D38" s="75">
        <f>C38*'Residential Average Usage'!F13</f>
        <v>10.87390068015756</v>
      </c>
      <c r="E38" s="80">
        <f>C5</f>
        <v>8.6555965801645846E-3</v>
      </c>
      <c r="F38" s="77">
        <f>E38*'Residential Average Usage'!F13</f>
        <v>5.7898789750983326</v>
      </c>
      <c r="G38" s="78">
        <f t="shared" si="0"/>
        <v>-5.0840217050592269</v>
      </c>
      <c r="H38" s="81">
        <f>('As Filed FAC Rates'!T45-D5)+H37</f>
        <v>45398438.543015912</v>
      </c>
    </row>
    <row r="39" spans="2:16" x14ac:dyDescent="0.2">
      <c r="B39" s="73">
        <v>45809</v>
      </c>
      <c r="C39" s="74">
        <f>'As Filed FAC Rates'!AE46</f>
        <v>6.8925010530696551E-3</v>
      </c>
      <c r="D39" s="75">
        <f>C39*'Residential Average Usage'!G13</f>
        <v>8.8726227058409251</v>
      </c>
      <c r="E39" s="80">
        <f>C5</f>
        <v>8.6555965801645846E-3</v>
      </c>
      <c r="F39" s="77">
        <f>E39*'Residential Average Usage'!G13</f>
        <v>11.142231558392661</v>
      </c>
      <c r="G39" s="78">
        <f t="shared" si="0"/>
        <v>2.2696088525517357</v>
      </c>
      <c r="H39" s="81">
        <f>('As Filed FAC Rates'!T46-D5)+H38</f>
        <v>42377480.657968514</v>
      </c>
    </row>
    <row r="40" spans="2:16" x14ac:dyDescent="0.2">
      <c r="B40" s="73">
        <v>45839</v>
      </c>
      <c r="C40" s="74">
        <f>'As Filed FAC Rates'!AE47</f>
        <v>9.0876895181538839E-3</v>
      </c>
      <c r="D40" s="75">
        <f>C40*'Residential Average Usage'!H13</f>
        <v>12.585785264791268</v>
      </c>
      <c r="E40" s="80">
        <f>C5</f>
        <v>8.6555965801645846E-3</v>
      </c>
      <c r="F40" s="77">
        <f>E40*'Residential Average Usage'!H13</f>
        <v>11.987368151057078</v>
      </c>
      <c r="G40" s="78">
        <f t="shared" si="0"/>
        <v>-0.5984171137341896</v>
      </c>
      <c r="H40" s="81">
        <f>('As Filed FAC Rates'!T47-D5)+H39</f>
        <v>39279882.202436112</v>
      </c>
      <c r="P40" s="82"/>
    </row>
    <row r="41" spans="2:16" x14ac:dyDescent="0.2">
      <c r="B41" s="73">
        <v>45870</v>
      </c>
      <c r="C41" s="74">
        <f>'As Filed FAC Rates'!AE48</f>
        <v>1.2204749218425195E-2</v>
      </c>
      <c r="D41" s="75">
        <f>C41*'Residential Average Usage'!I13</f>
        <v>14.6661697529852</v>
      </c>
      <c r="E41" s="80">
        <f>C5</f>
        <v>8.6555965801645846E-3</v>
      </c>
      <c r="F41" s="77">
        <f>E41*'Residential Average Usage'!I13</f>
        <v>10.401233690767459</v>
      </c>
      <c r="G41" s="78">
        <f t="shared" si="0"/>
        <v>-4.2649360622177408</v>
      </c>
      <c r="H41" s="81">
        <f>('As Filed FAC Rates'!T48-D5)+H40</f>
        <v>40523743.846903712</v>
      </c>
    </row>
    <row r="42" spans="2:16" x14ac:dyDescent="0.2">
      <c r="B42" s="73">
        <v>45901</v>
      </c>
      <c r="C42" s="74">
        <f>'As Filed FAC Rates'!AE49</f>
        <v>1.0088968007362746E-2</v>
      </c>
      <c r="D42" s="75">
        <f>C42*'Residential Average Usage'!J13</f>
        <v>8.3560873931142545</v>
      </c>
      <c r="E42" s="80">
        <f>C5</f>
        <v>8.6555965801645846E-3</v>
      </c>
      <c r="F42" s="77">
        <f>E42*'Residential Average Usage'!J13</f>
        <v>7.1689117668539799</v>
      </c>
      <c r="G42" s="78">
        <f t="shared" si="0"/>
        <v>-1.1871756262602746</v>
      </c>
      <c r="H42" s="81">
        <f>('As Filed FAC Rates'!T49-D5)+H41</f>
        <v>43617834.643371314</v>
      </c>
    </row>
    <row r="43" spans="2:16" x14ac:dyDescent="0.2">
      <c r="B43" s="73">
        <v>45931</v>
      </c>
      <c r="C43" s="74">
        <f>'As Filed FAC Rates'!AE50</f>
        <v>-4.3068870398075033E-3</v>
      </c>
      <c r="D43" s="75">
        <f>C43*'Residential Average Usage'!K13</f>
        <v>-3.8446603911730226</v>
      </c>
      <c r="E43" s="80">
        <f>C5</f>
        <v>8.6555965801645846E-3</v>
      </c>
      <c r="F43" s="77">
        <f>E43*'Residential Average Usage'!K13</f>
        <v>7.7266547801585252</v>
      </c>
      <c r="G43" s="78">
        <f t="shared" si="0"/>
        <v>11.571315171331548</v>
      </c>
      <c r="H43" s="81">
        <f>('As Filed FAC Rates'!T50-D5)+H42</f>
        <v>37449160.972848915</v>
      </c>
    </row>
    <row r="44" spans="2:16" x14ac:dyDescent="0.2">
      <c r="B44" s="73">
        <v>45962</v>
      </c>
      <c r="C44" s="74">
        <f>'As Filed FAC Rates'!AE51</f>
        <v>1.1185648451653797E-2</v>
      </c>
      <c r="D44" s="75">
        <f>C44*'Residential Average Usage'!L13</f>
        <v>11.757627801294415</v>
      </c>
      <c r="E44" s="80">
        <f>C5</f>
        <v>8.6555965801645846E-3</v>
      </c>
      <c r="F44" s="77">
        <f>E44*'Residential Average Usage'!L13</f>
        <v>9.0982014522980474</v>
      </c>
      <c r="G44" s="78">
        <f t="shared" si="0"/>
        <v>-2.6594263489963677</v>
      </c>
      <c r="H44" s="81">
        <f>('As Filed FAC Rates'!T51-D5)+H43</f>
        <v>34695211.127316512</v>
      </c>
    </row>
    <row r="45" spans="2:16" x14ac:dyDescent="0.2">
      <c r="B45" s="73">
        <v>45992</v>
      </c>
      <c r="C45" s="74">
        <f>'As Filed FAC Rates'!AE52</f>
        <v>5.8608615610117459E-3</v>
      </c>
      <c r="D45" s="75">
        <f>C45*'Residential Average Usage'!M13</f>
        <v>8.3797500194572194</v>
      </c>
      <c r="E45" s="80">
        <f>C5</f>
        <v>8.6555965801645846E-3</v>
      </c>
      <c r="F45" s="77">
        <f>E45*'Residential Average Usage'!M13</f>
        <v>12.37560977272547</v>
      </c>
      <c r="G45" s="78">
        <f t="shared" si="0"/>
        <v>3.9958597532682507</v>
      </c>
      <c r="H45" s="81">
        <f>('As Filed FAC Rates'!T52-D5)+H44</f>
        <v>30966315.014105611</v>
      </c>
    </row>
    <row r="46" spans="2:16" x14ac:dyDescent="0.2">
      <c r="B46" s="73">
        <v>46023</v>
      </c>
      <c r="C46" s="74">
        <f>'As Filed FAC Rates'!AE53</f>
        <v>3.4610382987792579E-3</v>
      </c>
      <c r="D46" s="75">
        <f>C46*'Residential Average Usage'!B14</f>
        <v>7.3062769285181677</v>
      </c>
      <c r="E46" s="80">
        <f>C5</f>
        <v>8.6555965801645846E-3</v>
      </c>
      <c r="F46" s="77">
        <f>E46*'Residential Average Usage'!B14</f>
        <v>18.272027101960326</v>
      </c>
      <c r="G46" s="78">
        <f t="shared" si="0"/>
        <v>10.965750173442158</v>
      </c>
      <c r="H46" s="81">
        <f>('As Filed FAC Rates'!T53-D5)+H45</f>
        <v>27160730.286568277</v>
      </c>
    </row>
    <row r="47" spans="2:16" x14ac:dyDescent="0.2">
      <c r="B47" s="73">
        <v>46054</v>
      </c>
      <c r="C47" s="74">
        <f>'As Filed FAC Rates'!AE54</f>
        <v>7.6328285626339268E-3</v>
      </c>
      <c r="D47" s="75">
        <f>C47*'Residential Average Usage'!C14</f>
        <v>13.040819601798917</v>
      </c>
      <c r="E47" s="80">
        <f>C5</f>
        <v>8.6555965801645846E-3</v>
      </c>
      <c r="F47" s="77">
        <f>E47*'Residential Average Usage'!C14</f>
        <v>14.788236447553967</v>
      </c>
      <c r="G47" s="78">
        <f t="shared" si="0"/>
        <v>1.7474168457550494</v>
      </c>
      <c r="H47" s="81">
        <f>('As Filed FAC Rates'!T54-D5)+H46</f>
        <v>29107626.545762036</v>
      </c>
    </row>
    <row r="48" spans="2:16" x14ac:dyDescent="0.2">
      <c r="B48" s="73">
        <v>46082</v>
      </c>
      <c r="C48" s="74">
        <f>'As Filed FAC Rates'!AE55</f>
        <v>2.2001899122872454E-2</v>
      </c>
      <c r="D48" s="75">
        <f>C48*'Residential Average Usage'!D14</f>
        <v>25.219069090739737</v>
      </c>
      <c r="E48" s="80">
        <f t="shared" ref="E48" si="1">C6</f>
        <v>1.4145050175515032E-2</v>
      </c>
      <c r="F48" s="77">
        <f>E48*'Residential Average Usage'!D14</f>
        <v>16.213373021852199</v>
      </c>
      <c r="G48" s="78">
        <f t="shared" si="0"/>
        <v>-9.0056960688875378</v>
      </c>
      <c r="H48" s="81">
        <f>('As Filed FAC Rates'!T55-D6)+H47</f>
        <v>43372632.830356687</v>
      </c>
    </row>
    <row r="49" spans="2:8" x14ac:dyDescent="0.2">
      <c r="B49" s="73">
        <v>46113</v>
      </c>
      <c r="C49" s="74">
        <f>'As Filed FAC Rates'!AE56</f>
        <v>1.4135227095722069E-2</v>
      </c>
      <c r="D49" s="75">
        <f>C49*'Residential Average Usage'!E14</f>
        <v>10.543724808128161</v>
      </c>
      <c r="E49" s="80">
        <f>C6</f>
        <v>1.4145050175515032E-2</v>
      </c>
      <c r="F49" s="77">
        <f>E49*'Residential Average Usage'!E14</f>
        <v>10.551052023276805</v>
      </c>
      <c r="G49" s="78">
        <f t="shared" si="0"/>
        <v>7.327215148643873E-3</v>
      </c>
      <c r="H49" s="81">
        <f>('As Filed FAC Rates'!T56-D6)+H48</f>
        <v>42787818.039980642</v>
      </c>
    </row>
    <row r="50" spans="2:8" x14ac:dyDescent="0.2">
      <c r="B50" s="73">
        <v>46143</v>
      </c>
      <c r="C50" s="74">
        <f>'As Filed FAC Rates'!AE57</f>
        <v>1.7742951153821143E-2</v>
      </c>
      <c r="D50" s="75">
        <f>C50*'Residential Average Usage'!F14</f>
        <v>15.97957437671697</v>
      </c>
      <c r="E50" s="80">
        <f>C6</f>
        <v>1.4145050175515032E-2</v>
      </c>
      <c r="F50" s="77">
        <f>E50*'Residential Average Usage'!F14</f>
        <v>12.739249484624626</v>
      </c>
      <c r="G50" s="78">
        <f t="shared" si="0"/>
        <v>-3.2403248920923442</v>
      </c>
      <c r="H50" s="81">
        <f>('As Filed FAC Rates'!T57-D6)+H49</f>
        <v>41242734.249604598</v>
      </c>
    </row>
    <row r="51" spans="2:8" x14ac:dyDescent="0.2">
      <c r="B51" s="73">
        <v>46174</v>
      </c>
      <c r="C51" s="74">
        <f>'As Filed FAC Rates'!AE58</f>
        <v>1.3476881749976244E-2</v>
      </c>
      <c r="D51" s="75">
        <f>C51*'Residential Average Usage'!G14</f>
        <v>13.219859068893967</v>
      </c>
      <c r="E51" s="80">
        <f>C6</f>
        <v>1.4145050175515032E-2</v>
      </c>
      <c r="F51" s="77">
        <f>E51*'Residential Average Usage'!G14</f>
        <v>13.87528460306274</v>
      </c>
      <c r="G51" s="78">
        <f t="shared" si="0"/>
        <v>0.65542553416877247</v>
      </c>
      <c r="H51" s="81">
        <f>('As Filed FAC Rates'!T58-D6)+H50</f>
        <v>37130555.459228553</v>
      </c>
    </row>
    <row r="52" spans="2:8" x14ac:dyDescent="0.2">
      <c r="B52" s="73">
        <v>46204</v>
      </c>
      <c r="C52" s="74">
        <f>'As Filed FAC Rates'!AE59</f>
        <v>-1.6689261364603858E-4</v>
      </c>
      <c r="D52" s="75">
        <f>C52*'Residential Average Usage'!H14</f>
        <v>-0.22344362047705993</v>
      </c>
      <c r="E52" s="80">
        <f>C6</f>
        <v>1.4145050175515032E-2</v>
      </c>
      <c r="F52" s="77">
        <f>E52*'Residential Average Usage'!H14</f>
        <v>18.938053362565771</v>
      </c>
      <c r="G52" s="78">
        <f t="shared" si="0"/>
        <v>19.161496983042831</v>
      </c>
      <c r="H52" s="81">
        <f>('As Filed FAC Rates'!T59-D6)+H51</f>
        <v>28703947.668852508</v>
      </c>
    </row>
  </sheetData>
  <mergeCells count="5">
    <mergeCell ref="H10:H11"/>
    <mergeCell ref="G10:G11"/>
    <mergeCell ref="B10:B11"/>
    <mergeCell ref="C10:D10"/>
    <mergeCell ref="E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8316-7F9A-4E1A-9E96-564CE2DB1A9A}">
  <sheetPr>
    <tabColor theme="6" tint="0.79998168889431442"/>
  </sheetPr>
  <dimension ref="A1"/>
  <sheetViews>
    <sheetView tabSelected="1" zoomScale="72" workbookViewId="0">
      <selection activeCell="I69" sqref="I6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94FA-1122-4183-9BA9-11FC91D7EE27}">
  <dimension ref="A2:AI59"/>
  <sheetViews>
    <sheetView zoomScale="85" zoomScaleNormal="85" workbookViewId="0">
      <selection activeCell="T19" sqref="T19:T30"/>
    </sheetView>
  </sheetViews>
  <sheetFormatPr defaultRowHeight="12.75" x14ac:dyDescent="0.2"/>
  <cols>
    <col min="1" max="1" width="14" style="1" customWidth="1"/>
    <col min="2" max="2" width="18" style="1" bestFit="1" customWidth="1"/>
    <col min="3" max="3" width="13.140625" style="1" customWidth="1"/>
    <col min="4" max="4" width="12.28515625" style="1" bestFit="1" customWidth="1"/>
    <col min="5" max="5" width="13.140625" style="1" bestFit="1" customWidth="1"/>
    <col min="6" max="6" width="9.42578125" style="1" customWidth="1"/>
    <col min="7" max="7" width="10.7109375" style="1" customWidth="1"/>
    <col min="8" max="8" width="9.42578125" style="1" customWidth="1"/>
    <col min="9" max="9" width="13.42578125" style="1" bestFit="1" customWidth="1"/>
    <col min="10" max="12" width="14.140625" style="1" customWidth="1"/>
    <col min="13" max="13" width="13.42578125" style="1" bestFit="1" customWidth="1"/>
    <col min="14" max="14" width="16.28515625" style="1" customWidth="1"/>
    <col min="15" max="15" width="13.42578125" style="1" customWidth="1"/>
    <col min="16" max="16" width="14.140625" style="1" customWidth="1"/>
    <col min="17" max="17" width="12.85546875" style="1" customWidth="1"/>
    <col min="18" max="18" width="13.42578125" style="1" bestFit="1" customWidth="1"/>
    <col min="19" max="19" width="12.85546875" style="1" customWidth="1"/>
    <col min="20" max="20" width="13.7109375" style="1" customWidth="1"/>
    <col min="21" max="23" width="13.42578125" style="1" bestFit="1" customWidth="1"/>
    <col min="24" max="24" width="7.85546875" style="1" bestFit="1" customWidth="1"/>
    <col min="25" max="25" width="13.42578125" style="1" bestFit="1" customWidth="1"/>
    <col min="26" max="26" width="12.28515625" style="1" bestFit="1" customWidth="1"/>
    <col min="27" max="27" width="13.42578125" style="1" bestFit="1" customWidth="1"/>
    <col min="28" max="28" width="15.85546875" style="1" customWidth="1"/>
    <col min="29" max="31" width="11.28515625" style="1" customWidth="1"/>
    <col min="32" max="32" width="13.7109375" style="1" bestFit="1" customWidth="1"/>
    <col min="33" max="33" width="14.28515625" style="1" bestFit="1" customWidth="1"/>
    <col min="34" max="34" width="13.5703125" style="1" customWidth="1"/>
    <col min="35" max="16384" width="9.140625" style="1"/>
  </cols>
  <sheetData>
    <row r="2" spans="1:35" ht="13.5" thickBot="1" x14ac:dyDescent="0.25"/>
    <row r="3" spans="1:35" s="2" customFormat="1" ht="30.75" customHeight="1" thickBot="1" x14ac:dyDescent="0.3">
      <c r="C3" s="106" t="s">
        <v>0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8"/>
      <c r="U3" s="109" t="s">
        <v>1</v>
      </c>
      <c r="V3" s="110"/>
      <c r="W3" s="110"/>
      <c r="X3" s="110"/>
      <c r="Y3" s="110"/>
      <c r="Z3" s="110"/>
      <c r="AA3" s="110"/>
      <c r="AB3" s="111"/>
      <c r="AC3" s="112" t="s">
        <v>2</v>
      </c>
      <c r="AD3" s="113"/>
      <c r="AE3" s="114"/>
    </row>
    <row r="4" spans="1:35" s="3" customFormat="1" ht="51.75" customHeight="1" x14ac:dyDescent="0.25">
      <c r="C4" s="115" t="s">
        <v>3</v>
      </c>
      <c r="D4" s="116"/>
      <c r="E4" s="116"/>
      <c r="F4" s="116"/>
      <c r="G4" s="116"/>
      <c r="H4" s="116"/>
      <c r="I4" s="117"/>
      <c r="J4" s="115" t="s">
        <v>4</v>
      </c>
      <c r="K4" s="116"/>
      <c r="L4" s="116"/>
      <c r="M4" s="117"/>
      <c r="N4" s="4" t="s">
        <v>5</v>
      </c>
      <c r="O4" s="4" t="s">
        <v>6</v>
      </c>
      <c r="P4" s="4" t="s">
        <v>7</v>
      </c>
      <c r="Q4" s="53" t="s">
        <v>8</v>
      </c>
      <c r="R4" s="4" t="s">
        <v>9</v>
      </c>
      <c r="S4" s="4" t="s">
        <v>10</v>
      </c>
      <c r="T4" s="4" t="s">
        <v>11</v>
      </c>
      <c r="U4" s="115" t="s">
        <v>12</v>
      </c>
      <c r="V4" s="116"/>
      <c r="W4" s="117"/>
      <c r="X4" s="115" t="s">
        <v>13</v>
      </c>
      <c r="Y4" s="116"/>
      <c r="Z4" s="116"/>
      <c r="AA4" s="117"/>
      <c r="AB4" s="4" t="s">
        <v>14</v>
      </c>
      <c r="AC4" s="115" t="s">
        <v>15</v>
      </c>
      <c r="AD4" s="116"/>
      <c r="AE4" s="117"/>
    </row>
    <row r="5" spans="1:35" s="3" customFormat="1" ht="39" customHeight="1" x14ac:dyDescent="0.25">
      <c r="A5" s="5" t="s">
        <v>16</v>
      </c>
      <c r="B5" s="5" t="s">
        <v>17</v>
      </c>
      <c r="C5" s="6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7" t="s">
        <v>24</v>
      </c>
      <c r="J5" s="6" t="s">
        <v>25</v>
      </c>
      <c r="K5" s="3" t="s">
        <v>26</v>
      </c>
      <c r="L5" s="3" t="s">
        <v>27</v>
      </c>
      <c r="M5" s="7" t="s">
        <v>24</v>
      </c>
      <c r="N5" s="8" t="s">
        <v>28</v>
      </c>
      <c r="O5" s="8" t="s">
        <v>29</v>
      </c>
      <c r="P5" s="8" t="s">
        <v>30</v>
      </c>
      <c r="Q5" s="7" t="s">
        <v>31</v>
      </c>
      <c r="R5" s="8" t="s">
        <v>32</v>
      </c>
      <c r="S5" s="8" t="s">
        <v>28</v>
      </c>
      <c r="T5" s="8" t="s">
        <v>33</v>
      </c>
      <c r="U5" s="6" t="s">
        <v>34</v>
      </c>
      <c r="V5" s="3" t="s">
        <v>35</v>
      </c>
      <c r="W5" s="7" t="s">
        <v>24</v>
      </c>
      <c r="X5" s="6" t="s">
        <v>36</v>
      </c>
      <c r="Y5" s="3" t="s">
        <v>37</v>
      </c>
      <c r="Z5" s="3" t="s">
        <v>38</v>
      </c>
      <c r="AA5" s="7" t="s">
        <v>24</v>
      </c>
      <c r="AB5" s="8" t="s">
        <v>39</v>
      </c>
      <c r="AC5" s="6" t="s">
        <v>28</v>
      </c>
      <c r="AD5" s="3" t="s">
        <v>40</v>
      </c>
      <c r="AE5" s="7" t="s">
        <v>41</v>
      </c>
    </row>
    <row r="6" spans="1:35" s="5" customFormat="1" x14ac:dyDescent="0.2">
      <c r="A6" s="15"/>
      <c r="C6" s="9" t="s">
        <v>42</v>
      </c>
      <c r="D6" s="56" t="s">
        <v>42</v>
      </c>
      <c r="E6" s="56" t="s">
        <v>42</v>
      </c>
      <c r="F6" s="56" t="s">
        <v>42</v>
      </c>
      <c r="G6" s="56" t="s">
        <v>42</v>
      </c>
      <c r="H6" s="56" t="s">
        <v>43</v>
      </c>
      <c r="I6" s="10"/>
      <c r="J6" s="9" t="s">
        <v>42</v>
      </c>
      <c r="K6" s="56" t="s">
        <v>42</v>
      </c>
      <c r="L6" s="56" t="s">
        <v>43</v>
      </c>
      <c r="M6" s="10"/>
      <c r="N6" s="11" t="s">
        <v>43</v>
      </c>
      <c r="O6" s="12"/>
      <c r="P6" s="11" t="s">
        <v>42</v>
      </c>
      <c r="Q6" s="64" t="s">
        <v>43</v>
      </c>
      <c r="R6" s="12"/>
      <c r="S6" s="11" t="s">
        <v>42</v>
      </c>
      <c r="T6" s="12"/>
      <c r="U6" s="9" t="s">
        <v>42</v>
      </c>
      <c r="V6" s="56" t="s">
        <v>42</v>
      </c>
      <c r="W6" s="10"/>
      <c r="X6" s="9" t="s">
        <v>42</v>
      </c>
      <c r="Y6" s="56" t="s">
        <v>42</v>
      </c>
      <c r="Z6" s="56" t="s">
        <v>42</v>
      </c>
      <c r="AA6" s="10"/>
      <c r="AB6" s="12"/>
      <c r="AC6" s="13"/>
      <c r="AD6" s="14"/>
      <c r="AE6" s="7"/>
    </row>
    <row r="7" spans="1:35" s="5" customFormat="1" x14ac:dyDescent="0.2">
      <c r="A7" s="15">
        <v>44562</v>
      </c>
      <c r="B7" s="15">
        <v>44621</v>
      </c>
      <c r="C7" s="68">
        <v>5947314.9900000002</v>
      </c>
      <c r="D7" s="62">
        <v>231661.13</v>
      </c>
      <c r="E7" s="62">
        <v>6920528.1399999997</v>
      </c>
      <c r="F7" s="69">
        <v>0</v>
      </c>
      <c r="G7" s="69">
        <v>0</v>
      </c>
      <c r="H7" s="69">
        <v>0</v>
      </c>
      <c r="I7" s="18">
        <f t="shared" ref="I7:I14" si="0">C7+D7+E7+F7+G7-H7</f>
        <v>13099504.26</v>
      </c>
      <c r="J7" s="63">
        <v>0</v>
      </c>
      <c r="K7" s="61">
        <v>13275976</v>
      </c>
      <c r="L7" s="63">
        <v>0</v>
      </c>
      <c r="M7" s="18">
        <f t="shared" ref="M7:M14" si="1">+J7+K7-L7</f>
        <v>13275976</v>
      </c>
      <c r="N7" s="61">
        <v>5680345</v>
      </c>
      <c r="O7" s="20">
        <f t="shared" ref="O7:O14" si="2">I7+M7-N7</f>
        <v>20695135.259999998</v>
      </c>
      <c r="P7" s="27">
        <v>-676976.57390000112</v>
      </c>
      <c r="Q7" s="61">
        <v>3167907</v>
      </c>
      <c r="R7" s="20">
        <f t="shared" ref="R7:R14" si="3">+O7+P7-Q7</f>
        <v>16850251.686099999</v>
      </c>
      <c r="S7" s="61">
        <v>-525968.74999999953</v>
      </c>
      <c r="T7" s="20">
        <f t="shared" ref="T7:T14" si="4">R7+S7</f>
        <v>16324282.936099999</v>
      </c>
      <c r="U7" s="70">
        <v>439237000</v>
      </c>
      <c r="V7" s="70">
        <v>255014000</v>
      </c>
      <c r="W7" s="21">
        <f t="shared" ref="W7:W14" si="5">U7+V7</f>
        <v>694251000</v>
      </c>
      <c r="X7" s="13">
        <v>0</v>
      </c>
      <c r="Y7" s="70">
        <v>82158000</v>
      </c>
      <c r="Z7" s="70">
        <v>34316487</v>
      </c>
      <c r="AA7" s="21">
        <f t="shared" ref="AA7:AA14" si="6">X7+Y7+Z7</f>
        <v>116474487</v>
      </c>
      <c r="AB7" s="22">
        <f t="shared" ref="AB7:AB14" si="7">W7-AA7</f>
        <v>577776513</v>
      </c>
      <c r="AC7" s="23">
        <f t="shared" ref="AC7:AC14" si="8">T7/AB7</f>
        <v>2.8253628468452471E-2</v>
      </c>
      <c r="AD7" s="24">
        <v>2.6120000000000001E-2</v>
      </c>
      <c r="AE7" s="25">
        <f t="shared" ref="AE7:AE14" si="9">+AC7-AD7</f>
        <v>2.1336284684524698E-3</v>
      </c>
    </row>
    <row r="8" spans="1:35" s="5" customFormat="1" x14ac:dyDescent="0.2">
      <c r="A8" s="15">
        <v>44593</v>
      </c>
      <c r="B8" s="15">
        <v>44652</v>
      </c>
      <c r="C8" s="68">
        <v>2309153.75</v>
      </c>
      <c r="D8" s="62">
        <v>198957.85</v>
      </c>
      <c r="E8" s="62">
        <v>2304585.5299999998</v>
      </c>
      <c r="F8" s="69">
        <v>0</v>
      </c>
      <c r="G8" s="69">
        <v>0</v>
      </c>
      <c r="H8" s="69">
        <v>0</v>
      </c>
      <c r="I8" s="18">
        <f t="shared" si="0"/>
        <v>4812697.13</v>
      </c>
      <c r="J8" s="63">
        <v>0</v>
      </c>
      <c r="K8" s="62">
        <v>17199456</v>
      </c>
      <c r="L8" s="63">
        <v>0</v>
      </c>
      <c r="M8" s="18">
        <f t="shared" si="1"/>
        <v>17199456</v>
      </c>
      <c r="N8" s="62">
        <v>1149375</v>
      </c>
      <c r="O8" s="20">
        <f t="shared" si="2"/>
        <v>20862778.129999999</v>
      </c>
      <c r="P8" s="27">
        <v>-639981.5</v>
      </c>
      <c r="Q8" s="62">
        <v>60899</v>
      </c>
      <c r="R8" s="20">
        <f t="shared" si="3"/>
        <v>20161897.629999999</v>
      </c>
      <c r="S8" s="62">
        <v>-116223.45999999967</v>
      </c>
      <c r="T8" s="20">
        <f>R8+S8-3000000</f>
        <v>17045674.169999998</v>
      </c>
      <c r="U8" s="54">
        <v>137546000</v>
      </c>
      <c r="V8" s="54">
        <v>385354000</v>
      </c>
      <c r="W8" s="21">
        <f t="shared" si="5"/>
        <v>522900000</v>
      </c>
      <c r="X8" s="13">
        <v>0</v>
      </c>
      <c r="Y8" s="54">
        <v>25937000</v>
      </c>
      <c r="Z8" s="54">
        <v>28180164</v>
      </c>
      <c r="AA8" s="21">
        <f t="shared" si="6"/>
        <v>54117164</v>
      </c>
      <c r="AB8" s="22">
        <f t="shared" si="7"/>
        <v>468782836</v>
      </c>
      <c r="AC8" s="23">
        <f t="shared" si="8"/>
        <v>3.6361557764030418E-2</v>
      </c>
      <c r="AD8" s="24">
        <v>2.6120000000000001E-2</v>
      </c>
      <c r="AE8" s="25">
        <f t="shared" si="9"/>
        <v>1.0241557764030417E-2</v>
      </c>
    </row>
    <row r="9" spans="1:35" s="5" customFormat="1" x14ac:dyDescent="0.2">
      <c r="A9" s="15">
        <v>44621</v>
      </c>
      <c r="B9" s="15">
        <v>44682</v>
      </c>
      <c r="C9" s="68">
        <v>13308.17</v>
      </c>
      <c r="D9" s="62">
        <v>237737.60000000001</v>
      </c>
      <c r="E9" s="62">
        <v>1845480.04</v>
      </c>
      <c r="F9" s="69">
        <v>0</v>
      </c>
      <c r="G9" s="69">
        <v>0</v>
      </c>
      <c r="H9" s="69">
        <v>0</v>
      </c>
      <c r="I9" s="18">
        <f t="shared" si="0"/>
        <v>2096525.81</v>
      </c>
      <c r="J9" s="63">
        <v>0</v>
      </c>
      <c r="K9" s="62">
        <v>20259506</v>
      </c>
      <c r="L9" s="63">
        <v>0</v>
      </c>
      <c r="M9" s="18">
        <f t="shared" si="1"/>
        <v>20259506</v>
      </c>
      <c r="N9" s="62">
        <v>530573</v>
      </c>
      <c r="O9" s="20">
        <f t="shared" si="2"/>
        <v>21825458.809999999</v>
      </c>
      <c r="P9" s="27">
        <v>-1479017.2280200012</v>
      </c>
      <c r="Q9" s="62">
        <v>-235930</v>
      </c>
      <c r="R9" s="20">
        <f t="shared" si="3"/>
        <v>20582371.581979997</v>
      </c>
      <c r="S9" s="62">
        <v>622594.60000000079</v>
      </c>
      <c r="T9" s="20">
        <f>R9+S9-2000000</f>
        <v>19204966.181979999</v>
      </c>
      <c r="U9" s="54">
        <v>28120000</v>
      </c>
      <c r="V9" s="54">
        <v>454029000</v>
      </c>
      <c r="W9" s="21">
        <f t="shared" si="5"/>
        <v>482149000</v>
      </c>
      <c r="X9" s="13">
        <v>0</v>
      </c>
      <c r="Y9" s="54">
        <v>13333000</v>
      </c>
      <c r="Z9" s="54">
        <v>26415757</v>
      </c>
      <c r="AA9" s="21">
        <f t="shared" si="6"/>
        <v>39748757</v>
      </c>
      <c r="AB9" s="22">
        <f t="shared" si="7"/>
        <v>442400243</v>
      </c>
      <c r="AC9" s="23">
        <f t="shared" si="8"/>
        <v>4.3410840038756483E-2</v>
      </c>
      <c r="AD9" s="24">
        <v>2.6120000000000001E-2</v>
      </c>
      <c r="AE9" s="25">
        <f t="shared" si="9"/>
        <v>1.7290840038756482E-2</v>
      </c>
    </row>
    <row r="10" spans="1:35" s="5" customFormat="1" x14ac:dyDescent="0.2">
      <c r="A10" s="15">
        <v>44652</v>
      </c>
      <c r="B10" s="15">
        <v>44713</v>
      </c>
      <c r="C10" s="68">
        <v>2323275.35</v>
      </c>
      <c r="D10" s="62">
        <v>803993.41</v>
      </c>
      <c r="E10" s="62">
        <v>3496190.08</v>
      </c>
      <c r="F10" s="69">
        <v>0</v>
      </c>
      <c r="G10" s="69">
        <v>0</v>
      </c>
      <c r="H10" s="69">
        <v>0</v>
      </c>
      <c r="I10" s="18">
        <f t="shared" si="0"/>
        <v>6623458.8399999999</v>
      </c>
      <c r="J10" s="63">
        <v>0</v>
      </c>
      <c r="K10" s="62">
        <v>15309284</v>
      </c>
      <c r="L10" s="63">
        <v>0</v>
      </c>
      <c r="M10" s="18">
        <f t="shared" si="1"/>
        <v>15309284</v>
      </c>
      <c r="N10" s="62">
        <v>3916230</v>
      </c>
      <c r="O10" s="20">
        <f t="shared" si="2"/>
        <v>18016512.84</v>
      </c>
      <c r="P10" s="27">
        <v>-7691</v>
      </c>
      <c r="Q10" s="62">
        <v>-589415</v>
      </c>
      <c r="R10" s="20">
        <f t="shared" si="3"/>
        <v>18598236.84</v>
      </c>
      <c r="S10" s="62">
        <v>1178457.5200000005</v>
      </c>
      <c r="T10" s="20">
        <f>R10+S10+2000000</f>
        <v>21776694.359999999</v>
      </c>
      <c r="U10" s="54">
        <v>191364000</v>
      </c>
      <c r="V10" s="54">
        <v>290548000</v>
      </c>
      <c r="W10" s="21">
        <f t="shared" si="5"/>
        <v>481912000</v>
      </c>
      <c r="X10" s="13">
        <v>0</v>
      </c>
      <c r="Y10" s="54">
        <v>69442000</v>
      </c>
      <c r="Z10" s="54">
        <v>23722209</v>
      </c>
      <c r="AA10" s="21">
        <f t="shared" si="6"/>
        <v>93164209</v>
      </c>
      <c r="AB10" s="22">
        <f t="shared" si="7"/>
        <v>388747791</v>
      </c>
      <c r="AC10" s="23">
        <f t="shared" si="8"/>
        <v>5.6017538527955262E-2</v>
      </c>
      <c r="AD10" s="24">
        <v>2.6120000000000001E-2</v>
      </c>
      <c r="AE10" s="25">
        <f t="shared" si="9"/>
        <v>2.9897538527955261E-2</v>
      </c>
    </row>
    <row r="11" spans="1:35" s="5" customFormat="1" x14ac:dyDescent="0.2">
      <c r="A11" s="15">
        <v>44682</v>
      </c>
      <c r="B11" s="15">
        <v>44743</v>
      </c>
      <c r="C11" s="68">
        <v>3760754.82</v>
      </c>
      <c r="D11" s="62">
        <v>286342.75</v>
      </c>
      <c r="E11" s="62">
        <v>5871527.8700000001</v>
      </c>
      <c r="F11" s="69">
        <v>0</v>
      </c>
      <c r="G11" s="69">
        <v>0</v>
      </c>
      <c r="H11" s="69">
        <v>0</v>
      </c>
      <c r="I11" s="18">
        <f t="shared" si="0"/>
        <v>9918625.4399999995</v>
      </c>
      <c r="J11" s="63">
        <v>0</v>
      </c>
      <c r="K11" s="62">
        <v>15779103</v>
      </c>
      <c r="L11" s="63">
        <v>0</v>
      </c>
      <c r="M11" s="18">
        <f t="shared" si="1"/>
        <v>15779103</v>
      </c>
      <c r="N11" s="62">
        <v>3567602</v>
      </c>
      <c r="O11" s="20">
        <f t="shared" si="2"/>
        <v>22130126.439999998</v>
      </c>
      <c r="P11" s="27">
        <v>-133946.57300000265</v>
      </c>
      <c r="Q11" s="62">
        <v>-61946</v>
      </c>
      <c r="R11" s="20">
        <f t="shared" si="3"/>
        <v>22058125.866999995</v>
      </c>
      <c r="S11" s="62">
        <v>219970.86000000034</v>
      </c>
      <c r="T11" s="20">
        <f>R11+S11+2000000</f>
        <v>24278096.726999994</v>
      </c>
      <c r="U11" s="54">
        <v>238181000</v>
      </c>
      <c r="V11" s="54">
        <v>243299000</v>
      </c>
      <c r="W11" s="21">
        <f t="shared" si="5"/>
        <v>481480000</v>
      </c>
      <c r="X11" s="13">
        <v>0</v>
      </c>
      <c r="Y11" s="54">
        <v>43333000</v>
      </c>
      <c r="Z11" s="54">
        <v>22262690</v>
      </c>
      <c r="AA11" s="21">
        <f t="shared" si="6"/>
        <v>65595690</v>
      </c>
      <c r="AB11" s="22">
        <f t="shared" si="7"/>
        <v>415884310</v>
      </c>
      <c r="AC11" s="23">
        <f t="shared" si="8"/>
        <v>5.8377044152014279E-2</v>
      </c>
      <c r="AD11" s="24">
        <v>2.6120000000000001E-2</v>
      </c>
      <c r="AE11" s="25">
        <f t="shared" si="9"/>
        <v>3.2257044152014275E-2</v>
      </c>
    </row>
    <row r="12" spans="1:35" s="5" customFormat="1" x14ac:dyDescent="0.2">
      <c r="A12" s="15">
        <v>44713</v>
      </c>
      <c r="B12" s="15">
        <v>44774</v>
      </c>
      <c r="C12" s="68">
        <v>4813015.57</v>
      </c>
      <c r="D12" s="62">
        <v>282674.34999999998</v>
      </c>
      <c r="E12" s="62">
        <v>5142690.41</v>
      </c>
      <c r="F12" s="69">
        <v>0</v>
      </c>
      <c r="G12" s="69">
        <v>0</v>
      </c>
      <c r="H12" s="69">
        <v>0</v>
      </c>
      <c r="I12" s="18">
        <f t="shared" si="0"/>
        <v>10238380.33</v>
      </c>
      <c r="J12" s="63">
        <v>0</v>
      </c>
      <c r="K12" s="62">
        <v>16978615</v>
      </c>
      <c r="L12" s="63">
        <v>0</v>
      </c>
      <c r="M12" s="18">
        <f t="shared" si="1"/>
        <v>16978615</v>
      </c>
      <c r="N12" s="62">
        <v>3792965</v>
      </c>
      <c r="O12" s="20">
        <f t="shared" si="2"/>
        <v>23424030.329999998</v>
      </c>
      <c r="P12" s="27">
        <v>-250193</v>
      </c>
      <c r="Q12" s="62">
        <v>-138539</v>
      </c>
      <c r="R12" s="20">
        <f t="shared" si="3"/>
        <v>23312376.329999998</v>
      </c>
      <c r="S12" s="62">
        <v>1785631.9400000004</v>
      </c>
      <c r="T12" s="20">
        <f>R12+S12+1000000</f>
        <v>26098008.27</v>
      </c>
      <c r="U12" s="54">
        <v>273602000</v>
      </c>
      <c r="V12" s="54">
        <v>257480000</v>
      </c>
      <c r="W12" s="21">
        <f t="shared" si="5"/>
        <v>531082000</v>
      </c>
      <c r="X12" s="13">
        <v>0</v>
      </c>
      <c r="Y12" s="54">
        <v>53932000</v>
      </c>
      <c r="Z12" s="54">
        <v>27551730</v>
      </c>
      <c r="AA12" s="21">
        <f t="shared" si="6"/>
        <v>81483730</v>
      </c>
      <c r="AB12" s="22">
        <f t="shared" si="7"/>
        <v>449598270</v>
      </c>
      <c r="AC12" s="23">
        <f t="shared" si="8"/>
        <v>5.8047394777564425E-2</v>
      </c>
      <c r="AD12" s="24">
        <v>2.6120000000000001E-2</v>
      </c>
      <c r="AE12" s="25">
        <f t="shared" si="9"/>
        <v>3.1927394777564427E-2</v>
      </c>
    </row>
    <row r="13" spans="1:35" s="5" customFormat="1" x14ac:dyDescent="0.2">
      <c r="A13" s="15">
        <v>44743</v>
      </c>
      <c r="B13" s="15">
        <v>44805</v>
      </c>
      <c r="C13" s="68">
        <v>5542777.21</v>
      </c>
      <c r="D13" s="62">
        <v>761314.6</v>
      </c>
      <c r="E13" s="62">
        <v>4148223.02</v>
      </c>
      <c r="F13" s="69">
        <v>0</v>
      </c>
      <c r="G13" s="69">
        <v>0</v>
      </c>
      <c r="H13" s="69">
        <v>0</v>
      </c>
      <c r="I13" s="18">
        <f t="shared" si="0"/>
        <v>10452314.83</v>
      </c>
      <c r="J13" s="63">
        <v>0</v>
      </c>
      <c r="K13" s="62">
        <v>18765508</v>
      </c>
      <c r="L13" s="63">
        <v>0</v>
      </c>
      <c r="M13" s="18">
        <f t="shared" si="1"/>
        <v>18765508</v>
      </c>
      <c r="N13" s="62">
        <v>8039806</v>
      </c>
      <c r="O13" s="20">
        <f t="shared" si="2"/>
        <v>21178016.829999998</v>
      </c>
      <c r="P13" s="27">
        <v>-985257.07838799804</v>
      </c>
      <c r="Q13" s="62">
        <v>1678064</v>
      </c>
      <c r="R13" s="20">
        <f t="shared" si="3"/>
        <v>18514695.751612</v>
      </c>
      <c r="S13" s="62">
        <v>1294706.4400000004</v>
      </c>
      <c r="T13" s="20">
        <f t="shared" si="4"/>
        <v>19809402.191612002</v>
      </c>
      <c r="U13" s="54">
        <v>324732000</v>
      </c>
      <c r="V13" s="54">
        <v>285659000</v>
      </c>
      <c r="W13" s="21">
        <f t="shared" si="5"/>
        <v>610391000</v>
      </c>
      <c r="X13" s="13">
        <v>0</v>
      </c>
      <c r="Y13" s="54">
        <v>102164000</v>
      </c>
      <c r="Z13" s="54">
        <v>29701347</v>
      </c>
      <c r="AA13" s="21">
        <f t="shared" si="6"/>
        <v>131865347</v>
      </c>
      <c r="AB13" s="22">
        <f t="shared" si="7"/>
        <v>478525653</v>
      </c>
      <c r="AC13" s="23">
        <f t="shared" si="8"/>
        <v>4.1396740315637795E-2</v>
      </c>
      <c r="AD13" s="24">
        <v>2.6120000000000001E-2</v>
      </c>
      <c r="AE13" s="25">
        <f t="shared" si="9"/>
        <v>1.5276740315637794E-2</v>
      </c>
    </row>
    <row r="14" spans="1:35" s="5" customFormat="1" x14ac:dyDescent="0.2">
      <c r="A14" s="15">
        <v>44774</v>
      </c>
      <c r="B14" s="15">
        <v>44835</v>
      </c>
      <c r="C14" s="68">
        <v>6447737.29</v>
      </c>
      <c r="D14" s="62">
        <v>180639.48</v>
      </c>
      <c r="E14" s="62">
        <v>3685543.56</v>
      </c>
      <c r="F14" s="69">
        <v>0</v>
      </c>
      <c r="G14" s="69">
        <v>0</v>
      </c>
      <c r="H14" s="69">
        <v>0</v>
      </c>
      <c r="I14" s="18">
        <f t="shared" si="0"/>
        <v>10313920.33</v>
      </c>
      <c r="J14" s="63">
        <v>0</v>
      </c>
      <c r="K14" s="62">
        <v>23032256</v>
      </c>
      <c r="L14" s="63">
        <v>0</v>
      </c>
      <c r="M14" s="18">
        <f t="shared" si="1"/>
        <v>23032256</v>
      </c>
      <c r="N14" s="62">
        <v>6933982</v>
      </c>
      <c r="O14" s="20">
        <f t="shared" si="2"/>
        <v>26412194.329999998</v>
      </c>
      <c r="P14" s="27">
        <v>-1322916.5562000014</v>
      </c>
      <c r="Q14" s="62">
        <v>680479</v>
      </c>
      <c r="R14" s="20">
        <f t="shared" si="3"/>
        <v>24408798.773799997</v>
      </c>
      <c r="S14" s="62">
        <v>702720.05999999947</v>
      </c>
      <c r="T14" s="20">
        <f t="shared" si="4"/>
        <v>25111518.833799995</v>
      </c>
      <c r="U14" s="54">
        <v>306295000</v>
      </c>
      <c r="V14" s="54">
        <v>271533000</v>
      </c>
      <c r="W14" s="21">
        <f t="shared" si="5"/>
        <v>577828000</v>
      </c>
      <c r="X14" s="13">
        <v>0</v>
      </c>
      <c r="Y14" s="54">
        <v>80408000</v>
      </c>
      <c r="Z14" s="54">
        <v>28060869</v>
      </c>
      <c r="AA14" s="21">
        <f t="shared" si="6"/>
        <v>108468869</v>
      </c>
      <c r="AB14" s="22">
        <f t="shared" si="7"/>
        <v>469359131</v>
      </c>
      <c r="AC14" s="23">
        <f t="shared" si="8"/>
        <v>5.3501715797662823E-2</v>
      </c>
      <c r="AD14" s="24">
        <v>2.6120000000000001E-2</v>
      </c>
      <c r="AE14" s="25">
        <f t="shared" si="9"/>
        <v>2.7381715797662822E-2</v>
      </c>
    </row>
    <row r="15" spans="1:35" x14ac:dyDescent="0.2">
      <c r="A15" s="15">
        <v>44805</v>
      </c>
      <c r="B15" s="15">
        <v>44866</v>
      </c>
      <c r="C15" s="16">
        <v>2857098.77</v>
      </c>
      <c r="D15" s="17">
        <v>21793.8</v>
      </c>
      <c r="E15" s="17">
        <v>214750.49</v>
      </c>
      <c r="F15" s="17">
        <v>0</v>
      </c>
      <c r="G15" s="17">
        <v>0</v>
      </c>
      <c r="H15" s="17">
        <v>0</v>
      </c>
      <c r="I15" s="18">
        <f>C15+D15+E15+F15+G15-H15</f>
        <v>3093643.0599999996</v>
      </c>
      <c r="J15" s="16">
        <v>0</v>
      </c>
      <c r="K15" s="17">
        <v>23989817</v>
      </c>
      <c r="L15" s="17">
        <v>0</v>
      </c>
      <c r="M15" s="18">
        <f>+J15+K15-L15</f>
        <v>23989817</v>
      </c>
      <c r="N15" s="19">
        <v>561120</v>
      </c>
      <c r="O15" s="20">
        <f>I15+M15-N15</f>
        <v>26522340.059999999</v>
      </c>
      <c r="P15" s="19">
        <v>-753922.16999999806</v>
      </c>
      <c r="Q15" s="65">
        <v>-546153</v>
      </c>
      <c r="R15" s="20">
        <f>+O15+P15-Q15</f>
        <v>26314570.890000001</v>
      </c>
      <c r="S15" s="19">
        <v>942328.33000000007</v>
      </c>
      <c r="T15" s="20">
        <f>R15+S15</f>
        <v>27256899.219999999</v>
      </c>
      <c r="U15" s="13">
        <v>128018000</v>
      </c>
      <c r="V15" s="14">
        <v>307650000</v>
      </c>
      <c r="W15" s="21">
        <f>U15+V15</f>
        <v>435668000</v>
      </c>
      <c r="X15" s="13">
        <v>0</v>
      </c>
      <c r="Y15" s="14">
        <v>7069000</v>
      </c>
      <c r="Z15" s="14">
        <v>24331856</v>
      </c>
      <c r="AA15" s="21">
        <f>X15+Y15+Z15</f>
        <v>31400856</v>
      </c>
      <c r="AB15" s="22">
        <f>W15-AA15</f>
        <v>404267144</v>
      </c>
      <c r="AC15" s="23">
        <f>T15/AB15</f>
        <v>6.742298904211716E-2</v>
      </c>
      <c r="AD15" s="24">
        <v>2.6120000000000001E-2</v>
      </c>
      <c r="AE15" s="25">
        <f>+AC15-AD15</f>
        <v>4.1302989042117155E-2</v>
      </c>
      <c r="AF15" s="85"/>
      <c r="AG15" s="86"/>
      <c r="AH15" s="87"/>
      <c r="AI15" s="87"/>
    </row>
    <row r="16" spans="1:35" x14ac:dyDescent="0.2">
      <c r="A16" s="15">
        <v>44835</v>
      </c>
      <c r="B16" s="15">
        <v>44896</v>
      </c>
      <c r="C16" s="16">
        <v>0</v>
      </c>
      <c r="D16" s="17">
        <v>0</v>
      </c>
      <c r="E16" s="17">
        <v>504601.2</v>
      </c>
      <c r="F16" s="17">
        <v>0</v>
      </c>
      <c r="G16" s="17">
        <v>0</v>
      </c>
      <c r="H16" s="17">
        <v>0</v>
      </c>
      <c r="I16" s="18">
        <f>C16+D16+E16+F16+G16-H16</f>
        <v>504601.2</v>
      </c>
      <c r="J16" s="16">
        <v>0</v>
      </c>
      <c r="K16" s="17">
        <v>25535944</v>
      </c>
      <c r="L16" s="17">
        <v>0</v>
      </c>
      <c r="M16" s="18">
        <f>+J16+K16-L16</f>
        <v>25535944</v>
      </c>
      <c r="N16" s="19">
        <v>486786</v>
      </c>
      <c r="O16" s="20">
        <f>I16+M16-N16</f>
        <v>25553759.199999999</v>
      </c>
      <c r="P16" s="19">
        <v>-901832.16999999806</v>
      </c>
      <c r="Q16" s="65">
        <v>-1682915</v>
      </c>
      <c r="R16" s="20">
        <f>+O16+P16-Q16</f>
        <v>26334842.030000001</v>
      </c>
      <c r="S16" s="19">
        <v>1231254.0400000003</v>
      </c>
      <c r="T16" s="20">
        <f>R16+S16</f>
        <v>27566096.07</v>
      </c>
      <c r="U16" s="13">
        <v>0</v>
      </c>
      <c r="V16" s="14">
        <v>437101000</v>
      </c>
      <c r="W16" s="21">
        <f>U16+V16</f>
        <v>437101000</v>
      </c>
      <c r="X16" s="13">
        <v>0</v>
      </c>
      <c r="Y16" s="14">
        <v>8431000</v>
      </c>
      <c r="Z16" s="14">
        <v>23617701</v>
      </c>
      <c r="AA16" s="21">
        <f>X16+Y16+Z16</f>
        <v>32048701</v>
      </c>
      <c r="AB16" s="22">
        <f>W16-AA16</f>
        <v>405052299</v>
      </c>
      <c r="AC16" s="23">
        <f>T16/AB16</f>
        <v>6.8055646488257557E-2</v>
      </c>
      <c r="AD16" s="24">
        <v>2.6120000000000001E-2</v>
      </c>
      <c r="AE16" s="25">
        <f>+AC16-AD16</f>
        <v>4.1935646488257552E-2</v>
      </c>
    </row>
    <row r="17" spans="1:31" x14ac:dyDescent="0.2">
      <c r="A17" s="15">
        <v>44866</v>
      </c>
      <c r="B17" s="15">
        <v>44927</v>
      </c>
      <c r="C17" s="16">
        <v>1122582.51</v>
      </c>
      <c r="D17" s="17">
        <v>343157.88</v>
      </c>
      <c r="E17" s="17">
        <v>490104.03</v>
      </c>
      <c r="F17" s="17">
        <v>0</v>
      </c>
      <c r="G17" s="17">
        <v>0</v>
      </c>
      <c r="H17" s="17">
        <v>0</v>
      </c>
      <c r="I17" s="18">
        <f>C17+D17+E17+F17+G17-H17</f>
        <v>1955844.4200000002</v>
      </c>
      <c r="J17" s="16">
        <v>0</v>
      </c>
      <c r="K17" s="17">
        <v>26299506</v>
      </c>
      <c r="L17" s="17">
        <v>0</v>
      </c>
      <c r="M17" s="18">
        <f>+J17+K17-L17</f>
        <v>26299506</v>
      </c>
      <c r="N17" s="19">
        <v>847309</v>
      </c>
      <c r="O17" s="20">
        <f>I17+M17-N17</f>
        <v>27408041.420000002</v>
      </c>
      <c r="P17" s="19">
        <v>-259372.94999999925</v>
      </c>
      <c r="Q17" s="65">
        <v>-383931</v>
      </c>
      <c r="R17" s="20">
        <f>+O17+P17-Q17</f>
        <v>27532599.470000003</v>
      </c>
      <c r="S17" s="19">
        <v>650679.95000000019</v>
      </c>
      <c r="T17" s="20">
        <f>R17+S17</f>
        <v>28183279.420000002</v>
      </c>
      <c r="U17" s="13">
        <v>4982000</v>
      </c>
      <c r="V17" s="14">
        <v>479292000</v>
      </c>
      <c r="W17" s="21">
        <f>U17+V17</f>
        <v>484274000</v>
      </c>
      <c r="X17" s="13">
        <v>0</v>
      </c>
      <c r="Y17" s="26">
        <v>17615000</v>
      </c>
      <c r="Z17" s="14">
        <v>25952870</v>
      </c>
      <c r="AA17" s="21">
        <f>X17+Y17+Z17</f>
        <v>43567870</v>
      </c>
      <c r="AB17" s="22">
        <f>W17-AA17</f>
        <v>440706130</v>
      </c>
      <c r="AC17" s="23">
        <f>T17/AB17</f>
        <v>6.3950277750844997E-2</v>
      </c>
      <c r="AD17" s="24">
        <v>2.6120000000000001E-2</v>
      </c>
      <c r="AE17" s="25">
        <f>+AC17-AD17</f>
        <v>3.7830277750844993E-2</v>
      </c>
    </row>
    <row r="18" spans="1:31" x14ac:dyDescent="0.2">
      <c r="A18" s="15">
        <v>44896</v>
      </c>
      <c r="B18" s="15">
        <v>44958</v>
      </c>
      <c r="C18" s="16">
        <v>7046750.1299999999</v>
      </c>
      <c r="D18" s="17">
        <v>1077343.8</v>
      </c>
      <c r="E18" s="17">
        <v>503491.9</v>
      </c>
      <c r="F18" s="17">
        <v>0</v>
      </c>
      <c r="G18" s="17">
        <v>0</v>
      </c>
      <c r="H18" s="17">
        <v>0</v>
      </c>
      <c r="I18" s="18">
        <f>C18+D18+E18+F18+G18-H18</f>
        <v>8627585.8300000001</v>
      </c>
      <c r="J18" s="16">
        <v>0</v>
      </c>
      <c r="K18" s="17">
        <v>37013497</v>
      </c>
      <c r="L18" s="17">
        <v>0</v>
      </c>
      <c r="M18" s="18">
        <f>+J18+K18-L18</f>
        <v>37013497</v>
      </c>
      <c r="N18" s="19">
        <v>1859181</v>
      </c>
      <c r="O18" s="20">
        <f>I18+M18-N18</f>
        <v>43781901.829999998</v>
      </c>
      <c r="P18" s="19">
        <v>3525.0200000032783</v>
      </c>
      <c r="Q18" s="65">
        <v>4078665</v>
      </c>
      <c r="R18" s="20">
        <f>+O18+P18-Q18</f>
        <v>39706761.850000001</v>
      </c>
      <c r="S18" s="19">
        <v>1302348.2099999995</v>
      </c>
      <c r="T18" s="20">
        <f>R18+S18</f>
        <v>41009110.060000002</v>
      </c>
      <c r="U18" s="13">
        <v>189231000</v>
      </c>
      <c r="V18" s="14">
        <v>400310000</v>
      </c>
      <c r="W18" s="21">
        <f>U18+V18</f>
        <v>589541000</v>
      </c>
      <c r="X18" s="13">
        <v>0</v>
      </c>
      <c r="Y18" s="14">
        <v>28200000</v>
      </c>
      <c r="Z18" s="14">
        <v>30469788</v>
      </c>
      <c r="AA18" s="21">
        <f>X18+Y18+Z18</f>
        <v>58669788</v>
      </c>
      <c r="AB18" s="22">
        <f>W18-AA18</f>
        <v>530871212</v>
      </c>
      <c r="AC18" s="23">
        <f>T18/AB18</f>
        <v>7.7248698239828467E-2</v>
      </c>
      <c r="AD18" s="24">
        <v>2.6120000000000001E-2</v>
      </c>
      <c r="AE18" s="25">
        <f>+AC18-AD18</f>
        <v>5.1128698239828463E-2</v>
      </c>
    </row>
    <row r="19" spans="1:31" x14ac:dyDescent="0.2">
      <c r="A19" s="15">
        <v>44927</v>
      </c>
      <c r="B19" s="15">
        <v>44986</v>
      </c>
      <c r="C19" s="16">
        <v>518411.2</v>
      </c>
      <c r="D19" s="17">
        <v>828922.64</v>
      </c>
      <c r="E19" s="17">
        <v>2371054.9300000002</v>
      </c>
      <c r="F19" s="17">
        <v>0</v>
      </c>
      <c r="G19" s="17">
        <v>0</v>
      </c>
      <c r="H19" s="17">
        <v>0</v>
      </c>
      <c r="I19" s="18">
        <f>C19+D19+E19+F19+G19-H19</f>
        <v>3718388.7700000005</v>
      </c>
      <c r="J19" s="16">
        <v>0</v>
      </c>
      <c r="K19" s="17">
        <v>18050357</v>
      </c>
      <c r="L19" s="17">
        <v>0</v>
      </c>
      <c r="M19" s="18">
        <f>+J19+K19-L19</f>
        <v>18050357</v>
      </c>
      <c r="N19" s="19">
        <v>1428737</v>
      </c>
      <c r="O19" s="20">
        <f>I19+M19-N19</f>
        <v>20340008.77</v>
      </c>
      <c r="P19" s="19">
        <v>-12787708.145126998</v>
      </c>
      <c r="Q19" s="65">
        <v>4443701</v>
      </c>
      <c r="R19" s="20">
        <f>+O19+P19-Q19</f>
        <v>3108599.6248730011</v>
      </c>
      <c r="S19" s="19">
        <v>509277.74000000057</v>
      </c>
      <c r="T19" s="20">
        <f t="shared" ref="T19:T56" si="10">R19+S19</f>
        <v>3617877.3648730018</v>
      </c>
      <c r="U19" s="13">
        <v>77204000</v>
      </c>
      <c r="V19" s="14">
        <v>487037000</v>
      </c>
      <c r="W19" s="21">
        <f>U19+V19</f>
        <v>564241000</v>
      </c>
      <c r="X19" s="13">
        <v>0</v>
      </c>
      <c r="Y19" s="14">
        <v>36825000</v>
      </c>
      <c r="Z19" s="14">
        <v>27569150</v>
      </c>
      <c r="AA19" s="21">
        <f>X19+Y19+Z19</f>
        <v>64394150</v>
      </c>
      <c r="AB19" s="22">
        <f>W19-AA19</f>
        <v>499846850</v>
      </c>
      <c r="AC19" s="23">
        <f>T19/AB19</f>
        <v>7.2379717204839877E-3</v>
      </c>
      <c r="AD19" s="24">
        <v>2.6120000000000001E-2</v>
      </c>
      <c r="AE19" s="25">
        <f>+AC19-AD19</f>
        <v>-1.8882028279516013E-2</v>
      </c>
    </row>
    <row r="20" spans="1:31" x14ac:dyDescent="0.2">
      <c r="A20" s="15">
        <v>44958</v>
      </c>
      <c r="B20" s="15">
        <v>45017</v>
      </c>
      <c r="C20" s="16">
        <v>6587292.4900000002</v>
      </c>
      <c r="D20" s="17">
        <v>-36639.75</v>
      </c>
      <c r="E20" s="17">
        <v>4383285.93</v>
      </c>
      <c r="F20" s="17">
        <v>0</v>
      </c>
      <c r="G20" s="17">
        <v>0</v>
      </c>
      <c r="H20" s="17">
        <v>0</v>
      </c>
      <c r="I20" s="18">
        <f t="shared" ref="I20:I59" si="11">C20+D20+E20+F20+G20-H20</f>
        <v>10933938.67</v>
      </c>
      <c r="J20" s="16">
        <v>0</v>
      </c>
      <c r="K20" s="17">
        <v>4599403</v>
      </c>
      <c r="L20" s="17">
        <v>0</v>
      </c>
      <c r="M20" s="18">
        <f t="shared" ref="M20:M59" si="12">SUM(J20:L20)</f>
        <v>4599403</v>
      </c>
      <c r="N20" s="19">
        <v>552709</v>
      </c>
      <c r="O20" s="20">
        <f t="shared" ref="O20:O59" si="13">I20+M20-N20</f>
        <v>14980632.67</v>
      </c>
      <c r="P20" s="19">
        <v>13765.860000003129</v>
      </c>
      <c r="Q20" s="66">
        <v>-3196384</v>
      </c>
      <c r="R20" s="20">
        <f t="shared" ref="R20:R59" si="14">+O20+P20-Q20</f>
        <v>18190782.530000001</v>
      </c>
      <c r="S20" s="19">
        <v>-105272.40000000037</v>
      </c>
      <c r="T20" s="20">
        <f t="shared" si="10"/>
        <v>18085510.130000003</v>
      </c>
      <c r="U20" s="13">
        <v>317934000</v>
      </c>
      <c r="V20" s="14">
        <v>140551000</v>
      </c>
      <c r="W20" s="21">
        <f t="shared" ref="W20:W59" si="15">U20+V20</f>
        <v>458485000</v>
      </c>
      <c r="X20" s="13">
        <v>0</v>
      </c>
      <c r="Y20" s="14">
        <v>14970000</v>
      </c>
      <c r="Z20" s="14">
        <v>22393947</v>
      </c>
      <c r="AA20" s="21">
        <f t="shared" ref="AA20:AA59" si="16">X20+Y20+Z20</f>
        <v>37363947</v>
      </c>
      <c r="AB20" s="22">
        <f t="shared" ref="AB20:AB59" si="17">W20-AA20</f>
        <v>421121053</v>
      </c>
      <c r="AC20" s="23">
        <f t="shared" ref="AC20:AC59" si="18">T20/AB20</f>
        <v>4.2946107778658128E-2</v>
      </c>
      <c r="AD20" s="24">
        <v>2.6120000000000001E-2</v>
      </c>
      <c r="AE20" s="25">
        <f t="shared" ref="AE20:AE59" si="19">+AC20-AD20</f>
        <v>1.6826107778658127E-2</v>
      </c>
    </row>
    <row r="21" spans="1:31" x14ac:dyDescent="0.2">
      <c r="A21" s="15">
        <v>44986</v>
      </c>
      <c r="B21" s="15">
        <v>45047</v>
      </c>
      <c r="C21" s="16">
        <v>6740326.6299999999</v>
      </c>
      <c r="D21" s="17">
        <v>160547.45000000001</v>
      </c>
      <c r="E21" s="17">
        <v>3391902.43</v>
      </c>
      <c r="F21" s="17">
        <v>0</v>
      </c>
      <c r="G21" s="17">
        <v>0</v>
      </c>
      <c r="H21" s="17">
        <v>0</v>
      </c>
      <c r="I21" s="18">
        <f t="shared" si="11"/>
        <v>10292776.51</v>
      </c>
      <c r="J21" s="16">
        <v>0</v>
      </c>
      <c r="K21" s="17">
        <v>4073187.29</v>
      </c>
      <c r="L21" s="17">
        <v>0</v>
      </c>
      <c r="M21" s="18">
        <f t="shared" si="12"/>
        <v>4073187.29</v>
      </c>
      <c r="N21" s="19">
        <v>855780.98400000005</v>
      </c>
      <c r="O21" s="20">
        <f t="shared" si="13"/>
        <v>13510182.816000002</v>
      </c>
      <c r="P21" s="19">
        <v>-286579.11926597543</v>
      </c>
      <c r="Q21" s="66">
        <v>1176376</v>
      </c>
      <c r="R21" s="20">
        <f t="shared" si="14"/>
        <v>12047227.696734026</v>
      </c>
      <c r="S21" s="19">
        <v>784504.06999999948</v>
      </c>
      <c r="T21" s="20">
        <f t="shared" si="10"/>
        <v>12831731.766734026</v>
      </c>
      <c r="U21" s="13">
        <v>362421000</v>
      </c>
      <c r="V21" s="14">
        <v>144299000</v>
      </c>
      <c r="W21" s="21">
        <f t="shared" si="15"/>
        <v>506720000</v>
      </c>
      <c r="X21" s="13">
        <v>0</v>
      </c>
      <c r="Y21" s="14">
        <v>31841000</v>
      </c>
      <c r="Z21" s="14">
        <v>23145973</v>
      </c>
      <c r="AA21" s="21">
        <f t="shared" si="16"/>
        <v>54986973</v>
      </c>
      <c r="AB21" s="22">
        <f t="shared" si="17"/>
        <v>451733027</v>
      </c>
      <c r="AC21" s="23">
        <f t="shared" si="18"/>
        <v>2.840556479111284E-2</v>
      </c>
      <c r="AD21" s="24">
        <v>2.6120000000000001E-2</v>
      </c>
      <c r="AE21" s="25">
        <f t="shared" si="19"/>
        <v>2.2855647911128388E-3</v>
      </c>
    </row>
    <row r="22" spans="1:31" x14ac:dyDescent="0.2">
      <c r="A22" s="15">
        <v>45017</v>
      </c>
      <c r="B22" s="15">
        <v>45078</v>
      </c>
      <c r="C22" s="16">
        <v>2008819.49</v>
      </c>
      <c r="D22" s="17">
        <v>288388.32</v>
      </c>
      <c r="E22" s="17">
        <v>1257326.02</v>
      </c>
      <c r="F22" s="17">
        <v>0</v>
      </c>
      <c r="G22" s="17">
        <v>0</v>
      </c>
      <c r="H22" s="17">
        <v>0</v>
      </c>
      <c r="I22" s="18">
        <f t="shared" si="11"/>
        <v>3554533.83</v>
      </c>
      <c r="J22" s="16">
        <v>0</v>
      </c>
      <c r="K22" s="17">
        <v>9498651</v>
      </c>
      <c r="L22" s="17">
        <v>0</v>
      </c>
      <c r="M22" s="18">
        <f t="shared" si="12"/>
        <v>9498651</v>
      </c>
      <c r="N22" s="19">
        <v>272262</v>
      </c>
      <c r="O22" s="20">
        <f t="shared" si="13"/>
        <v>12780922.83</v>
      </c>
      <c r="P22" s="19">
        <v>-33425.769120000303</v>
      </c>
      <c r="Q22" s="66">
        <v>50207</v>
      </c>
      <c r="R22" s="20">
        <f t="shared" si="14"/>
        <v>12697290.06088</v>
      </c>
      <c r="S22" s="19">
        <v>804948.04999999946</v>
      </c>
      <c r="T22" s="20">
        <f t="shared" si="10"/>
        <v>13502238.110879999</v>
      </c>
      <c r="U22" s="13">
        <v>102677000</v>
      </c>
      <c r="V22" s="14">
        <v>314286000</v>
      </c>
      <c r="W22" s="21">
        <f t="shared" si="15"/>
        <v>416963000</v>
      </c>
      <c r="X22" s="13">
        <v>0</v>
      </c>
      <c r="Y22" s="14">
        <v>8411000</v>
      </c>
      <c r="Z22" s="14">
        <v>19607728</v>
      </c>
      <c r="AA22" s="21">
        <f t="shared" si="16"/>
        <v>28018728</v>
      </c>
      <c r="AB22" s="22">
        <f t="shared" si="17"/>
        <v>388944272</v>
      </c>
      <c r="AC22" s="23">
        <f t="shared" si="18"/>
        <v>3.4715096950650039E-2</v>
      </c>
      <c r="AD22" s="24">
        <v>2.6120000000000001E-2</v>
      </c>
      <c r="AE22" s="25">
        <f t="shared" si="19"/>
        <v>8.5950969506500378E-3</v>
      </c>
    </row>
    <row r="23" spans="1:31" x14ac:dyDescent="0.2">
      <c r="A23" s="15">
        <v>45047</v>
      </c>
      <c r="B23" s="15">
        <v>45108</v>
      </c>
      <c r="C23" s="16">
        <v>3677601.31</v>
      </c>
      <c r="D23" s="17">
        <v>423217.89</v>
      </c>
      <c r="E23" s="17">
        <v>1656522.68</v>
      </c>
      <c r="F23" s="17">
        <v>0</v>
      </c>
      <c r="G23" s="17">
        <v>0</v>
      </c>
      <c r="H23" s="17">
        <v>0</v>
      </c>
      <c r="I23" s="18">
        <f t="shared" si="11"/>
        <v>5757341.8799999999</v>
      </c>
      <c r="J23" s="16">
        <v>0</v>
      </c>
      <c r="K23" s="17">
        <v>7798248</v>
      </c>
      <c r="L23" s="17">
        <v>0</v>
      </c>
      <c r="M23" s="18">
        <f t="shared" si="12"/>
        <v>7798248</v>
      </c>
      <c r="N23" s="19">
        <v>559930</v>
      </c>
      <c r="O23" s="20">
        <f t="shared" si="13"/>
        <v>12995659.879999999</v>
      </c>
      <c r="P23" s="19">
        <v>12127.689999999478</v>
      </c>
      <c r="Q23" s="66">
        <v>-123902</v>
      </c>
      <c r="R23" s="20">
        <f t="shared" si="14"/>
        <v>13131689.569999998</v>
      </c>
      <c r="S23" s="19">
        <v>-772208.30000000051</v>
      </c>
      <c r="T23" s="20">
        <f t="shared" si="10"/>
        <v>12359481.269999998</v>
      </c>
      <c r="U23" s="13">
        <v>162915000</v>
      </c>
      <c r="V23" s="14">
        <v>281388000</v>
      </c>
      <c r="W23" s="21">
        <f t="shared" si="15"/>
        <v>444303000</v>
      </c>
      <c r="X23" s="13">
        <v>0</v>
      </c>
      <c r="Y23" s="14">
        <v>22433000</v>
      </c>
      <c r="Z23" s="14">
        <v>23355636</v>
      </c>
      <c r="AA23" s="21">
        <f t="shared" si="16"/>
        <v>45788636</v>
      </c>
      <c r="AB23" s="22">
        <f t="shared" si="17"/>
        <v>398514364</v>
      </c>
      <c r="AC23" s="23">
        <f t="shared" si="18"/>
        <v>3.1013891559502228E-2</v>
      </c>
      <c r="AD23" s="24">
        <v>2.6120000000000001E-2</v>
      </c>
      <c r="AE23" s="25">
        <f t="shared" si="19"/>
        <v>4.8938915595022267E-3</v>
      </c>
    </row>
    <row r="24" spans="1:31" x14ac:dyDescent="0.2">
      <c r="A24" s="15">
        <v>45078</v>
      </c>
      <c r="B24" s="15">
        <v>45139</v>
      </c>
      <c r="C24" s="16">
        <v>7832659.96</v>
      </c>
      <c r="D24" s="17">
        <v>371915.22</v>
      </c>
      <c r="E24" s="17">
        <v>2183171.44</v>
      </c>
      <c r="F24" s="17">
        <v>0</v>
      </c>
      <c r="G24" s="17">
        <v>0</v>
      </c>
      <c r="H24" s="17">
        <v>0</v>
      </c>
      <c r="I24" s="18">
        <f t="shared" si="11"/>
        <v>10387746.619999999</v>
      </c>
      <c r="J24" s="16">
        <v>0</v>
      </c>
      <c r="K24" s="17">
        <v>4265257</v>
      </c>
      <c r="L24" s="17">
        <v>0</v>
      </c>
      <c r="M24" s="18">
        <f t="shared" si="12"/>
        <v>4265257</v>
      </c>
      <c r="N24" s="19">
        <v>1745540</v>
      </c>
      <c r="O24" s="20">
        <f t="shared" si="13"/>
        <v>12907463.619999999</v>
      </c>
      <c r="P24" s="19">
        <v>112701.44070900045</v>
      </c>
      <c r="Q24" s="66">
        <v>136617</v>
      </c>
      <c r="R24" s="20">
        <f t="shared" si="14"/>
        <v>12883548.060709</v>
      </c>
      <c r="S24" s="19">
        <v>637479.33000000007</v>
      </c>
      <c r="T24" s="20">
        <f t="shared" si="10"/>
        <v>13521027.390709</v>
      </c>
      <c r="U24" s="13">
        <v>322868000</v>
      </c>
      <c r="V24" s="14">
        <v>170792000</v>
      </c>
      <c r="W24" s="21">
        <f t="shared" si="15"/>
        <v>493660000</v>
      </c>
      <c r="X24" s="13">
        <v>0</v>
      </c>
      <c r="Y24" s="14">
        <v>53798000</v>
      </c>
      <c r="Z24" s="14">
        <v>22177029</v>
      </c>
      <c r="AA24" s="21">
        <f t="shared" si="16"/>
        <v>75975029</v>
      </c>
      <c r="AB24" s="22">
        <f t="shared" si="17"/>
        <v>417684971</v>
      </c>
      <c r="AC24" s="23">
        <f t="shared" si="18"/>
        <v>3.2371352405468762E-2</v>
      </c>
      <c r="AD24" s="24">
        <v>2.6120000000000001E-2</v>
      </c>
      <c r="AE24" s="25">
        <f t="shared" si="19"/>
        <v>6.2513524054687609E-3</v>
      </c>
    </row>
    <row r="25" spans="1:31" x14ac:dyDescent="0.2">
      <c r="A25" s="15">
        <v>45108</v>
      </c>
      <c r="B25" s="15">
        <v>45170</v>
      </c>
      <c r="C25" s="16">
        <v>12253057.66</v>
      </c>
      <c r="D25" s="17">
        <v>269148.78000000003</v>
      </c>
      <c r="E25" s="17">
        <v>3195400.7</v>
      </c>
      <c r="F25" s="17">
        <v>0</v>
      </c>
      <c r="G25" s="17">
        <v>0</v>
      </c>
      <c r="H25" s="17">
        <v>0</v>
      </c>
      <c r="I25" s="18">
        <f t="shared" si="11"/>
        <v>15717607.140000001</v>
      </c>
      <c r="J25" s="16">
        <v>0</v>
      </c>
      <c r="K25" s="17">
        <v>5072967</v>
      </c>
      <c r="L25" s="17">
        <v>0</v>
      </c>
      <c r="M25" s="18">
        <f t="shared" si="12"/>
        <v>5072967</v>
      </c>
      <c r="N25" s="19">
        <v>4986720</v>
      </c>
      <c r="O25" s="20">
        <f t="shared" si="13"/>
        <v>15803854.140000001</v>
      </c>
      <c r="P25" s="19">
        <v>-87098.171222999692</v>
      </c>
      <c r="Q25" s="66">
        <v>189157</v>
      </c>
      <c r="R25" s="20">
        <f t="shared" si="14"/>
        <v>15527598.968777001</v>
      </c>
      <c r="S25" s="19">
        <v>1188567.4799999997</v>
      </c>
      <c r="T25" s="20">
        <f t="shared" si="10"/>
        <v>16716166.448777001</v>
      </c>
      <c r="U25" s="13">
        <v>511463000</v>
      </c>
      <c r="V25" s="14">
        <v>128348000</v>
      </c>
      <c r="W25" s="21">
        <f t="shared" si="15"/>
        <v>639811000</v>
      </c>
      <c r="X25" s="13">
        <v>0</v>
      </c>
      <c r="Y25" s="14">
        <v>136516000</v>
      </c>
      <c r="Z25" s="14">
        <v>24361135</v>
      </c>
      <c r="AA25" s="21">
        <f t="shared" si="16"/>
        <v>160877135</v>
      </c>
      <c r="AB25" s="22">
        <f t="shared" si="17"/>
        <v>478933865</v>
      </c>
      <c r="AC25" s="23">
        <f t="shared" si="18"/>
        <v>3.4902870041935749E-2</v>
      </c>
      <c r="AD25" s="24">
        <v>2.6120000000000001E-2</v>
      </c>
      <c r="AE25" s="25">
        <f t="shared" si="19"/>
        <v>8.7828700419357482E-3</v>
      </c>
    </row>
    <row r="26" spans="1:31" x14ac:dyDescent="0.2">
      <c r="A26" s="15">
        <v>45139</v>
      </c>
      <c r="B26" s="15">
        <v>45200</v>
      </c>
      <c r="C26" s="16">
        <v>9555066.0399999991</v>
      </c>
      <c r="D26" s="17">
        <v>227693.73</v>
      </c>
      <c r="E26" s="17">
        <v>2829870.17</v>
      </c>
      <c r="F26" s="17">
        <v>0</v>
      </c>
      <c r="G26" s="17">
        <v>0</v>
      </c>
      <c r="H26" s="17">
        <v>0</v>
      </c>
      <c r="I26" s="18">
        <f t="shared" si="11"/>
        <v>12612629.939999999</v>
      </c>
      <c r="J26" s="16">
        <v>0</v>
      </c>
      <c r="K26" s="17">
        <v>5362326</v>
      </c>
      <c r="L26" s="17">
        <v>0</v>
      </c>
      <c r="M26" s="18">
        <f t="shared" si="12"/>
        <v>5362326</v>
      </c>
      <c r="N26" s="19">
        <v>1317062</v>
      </c>
      <c r="O26" s="20">
        <f t="shared" si="13"/>
        <v>16657893.939999998</v>
      </c>
      <c r="P26" s="27">
        <v>-648422.7833849974</v>
      </c>
      <c r="Q26" s="65">
        <v>285660</v>
      </c>
      <c r="R26" s="20">
        <f t="shared" si="14"/>
        <v>15723811.156615</v>
      </c>
      <c r="S26" s="19">
        <v>1027359.7500000005</v>
      </c>
      <c r="T26" s="20">
        <f t="shared" si="10"/>
        <v>16751170.906615</v>
      </c>
      <c r="U26" s="13">
        <v>381388000</v>
      </c>
      <c r="V26" s="14">
        <v>154089000</v>
      </c>
      <c r="W26" s="21">
        <f t="shared" si="15"/>
        <v>535477000</v>
      </c>
      <c r="X26" s="13">
        <v>0</v>
      </c>
      <c r="Y26" s="55">
        <v>44066000</v>
      </c>
      <c r="Z26" s="14">
        <v>24282269</v>
      </c>
      <c r="AA26" s="21">
        <f t="shared" si="16"/>
        <v>68348269</v>
      </c>
      <c r="AB26" s="22">
        <f t="shared" si="17"/>
        <v>467128731</v>
      </c>
      <c r="AC26" s="23">
        <f t="shared" si="18"/>
        <v>3.5859860023499605E-2</v>
      </c>
      <c r="AD26" s="24">
        <v>2.6120000000000001E-2</v>
      </c>
      <c r="AE26" s="25">
        <f t="shared" si="19"/>
        <v>9.7398600234996045E-3</v>
      </c>
    </row>
    <row r="27" spans="1:31" x14ac:dyDescent="0.2">
      <c r="A27" s="15">
        <v>45170</v>
      </c>
      <c r="B27" s="15">
        <v>45231</v>
      </c>
      <c r="C27" s="16">
        <v>3047271.52</v>
      </c>
      <c r="D27" s="17">
        <v>52501.77</v>
      </c>
      <c r="E27" s="17">
        <v>1494555.02</v>
      </c>
      <c r="F27" s="17">
        <v>0</v>
      </c>
      <c r="G27" s="17">
        <v>0</v>
      </c>
      <c r="H27" s="17">
        <v>0</v>
      </c>
      <c r="I27" s="18">
        <f t="shared" si="11"/>
        <v>4594328.3100000005</v>
      </c>
      <c r="J27" s="16">
        <v>0</v>
      </c>
      <c r="K27" s="17">
        <v>10000868</v>
      </c>
      <c r="L27" s="17">
        <v>0</v>
      </c>
      <c r="M27" s="18">
        <f t="shared" si="12"/>
        <v>10000868</v>
      </c>
      <c r="N27" s="19">
        <v>992568</v>
      </c>
      <c r="O27" s="20">
        <f t="shared" si="13"/>
        <v>13602628.310000001</v>
      </c>
      <c r="P27" s="19">
        <v>-977113.27900000103</v>
      </c>
      <c r="Q27" s="65">
        <v>-252813</v>
      </c>
      <c r="R27" s="20">
        <f t="shared" si="14"/>
        <v>12878328.030999999</v>
      </c>
      <c r="S27" s="19">
        <v>919975.7799999998</v>
      </c>
      <c r="T27" s="20">
        <f t="shared" si="10"/>
        <v>13798303.810999999</v>
      </c>
      <c r="U27" s="13">
        <v>142262000</v>
      </c>
      <c r="V27" s="14">
        <v>305021000</v>
      </c>
      <c r="W27" s="21">
        <f t="shared" si="15"/>
        <v>447283000</v>
      </c>
      <c r="X27" s="13">
        <v>0</v>
      </c>
      <c r="Y27" s="14">
        <v>13956000</v>
      </c>
      <c r="Z27" s="14">
        <v>22292386</v>
      </c>
      <c r="AA27" s="21">
        <f t="shared" si="16"/>
        <v>36248386</v>
      </c>
      <c r="AB27" s="22">
        <f t="shared" si="17"/>
        <v>411034614</v>
      </c>
      <c r="AC27" s="23">
        <f t="shared" si="18"/>
        <v>3.3569688150399908E-2</v>
      </c>
      <c r="AD27" s="24">
        <v>2.6120000000000001E-2</v>
      </c>
      <c r="AE27" s="25">
        <f t="shared" si="19"/>
        <v>7.4496881503999073E-3</v>
      </c>
    </row>
    <row r="28" spans="1:31" x14ac:dyDescent="0.2">
      <c r="A28" s="15">
        <v>45200</v>
      </c>
      <c r="B28" s="15">
        <v>45261</v>
      </c>
      <c r="C28" s="16">
        <v>0</v>
      </c>
      <c r="D28" s="17">
        <v>0</v>
      </c>
      <c r="E28" s="17">
        <v>2026821.48</v>
      </c>
      <c r="F28" s="17">
        <v>0</v>
      </c>
      <c r="G28" s="17">
        <v>0</v>
      </c>
      <c r="H28" s="17">
        <v>0</v>
      </c>
      <c r="I28" s="18">
        <f t="shared" si="11"/>
        <v>2026821.48</v>
      </c>
      <c r="J28" s="16">
        <v>0</v>
      </c>
      <c r="K28" s="17">
        <v>9857847</v>
      </c>
      <c r="L28" s="17">
        <v>0</v>
      </c>
      <c r="M28" s="18">
        <f t="shared" si="12"/>
        <v>9857847</v>
      </c>
      <c r="N28" s="19">
        <v>600889</v>
      </c>
      <c r="O28" s="20">
        <f t="shared" si="13"/>
        <v>11283779.48</v>
      </c>
      <c r="P28" s="19">
        <v>-861016.22000000067</v>
      </c>
      <c r="Q28" s="65">
        <v>-771365</v>
      </c>
      <c r="R28" s="20">
        <f t="shared" si="14"/>
        <v>11194128.26</v>
      </c>
      <c r="S28" s="19">
        <v>1584958.66</v>
      </c>
      <c r="T28" s="20">
        <f t="shared" si="10"/>
        <v>12779086.92</v>
      </c>
      <c r="U28" s="13">
        <v>101407000</v>
      </c>
      <c r="V28" s="14">
        <v>321651000</v>
      </c>
      <c r="W28" s="21">
        <f t="shared" si="15"/>
        <v>423058000</v>
      </c>
      <c r="X28" s="13">
        <v>0</v>
      </c>
      <c r="Y28" s="14">
        <v>17792000</v>
      </c>
      <c r="Z28" s="14">
        <v>19606708</v>
      </c>
      <c r="AA28" s="21">
        <f t="shared" si="16"/>
        <v>37398708</v>
      </c>
      <c r="AB28" s="22">
        <f t="shared" si="17"/>
        <v>385659292</v>
      </c>
      <c r="AC28" s="23">
        <f t="shared" si="18"/>
        <v>3.3135690452908886E-2</v>
      </c>
      <c r="AD28" s="24">
        <v>2.6120000000000001E-2</v>
      </c>
      <c r="AE28" s="25">
        <f t="shared" si="19"/>
        <v>7.0156904529088855E-3</v>
      </c>
    </row>
    <row r="29" spans="1:31" x14ac:dyDescent="0.2">
      <c r="A29" s="15">
        <v>45231</v>
      </c>
      <c r="B29" s="15">
        <v>45292</v>
      </c>
      <c r="C29" s="16">
        <v>2029176.94</v>
      </c>
      <c r="D29" s="17">
        <v>325357.28000000003</v>
      </c>
      <c r="E29" s="17">
        <v>2404692.9300000002</v>
      </c>
      <c r="F29" s="17">
        <v>0</v>
      </c>
      <c r="G29" s="17">
        <v>0</v>
      </c>
      <c r="H29" s="17">
        <v>0</v>
      </c>
      <c r="I29" s="18">
        <f t="shared" si="11"/>
        <v>4759227.1500000004</v>
      </c>
      <c r="J29" s="16">
        <v>0</v>
      </c>
      <c r="K29" s="17">
        <v>9831389</v>
      </c>
      <c r="L29" s="17">
        <v>0</v>
      </c>
      <c r="M29" s="18">
        <f t="shared" si="12"/>
        <v>9831389</v>
      </c>
      <c r="N29" s="19">
        <v>394932</v>
      </c>
      <c r="O29" s="20">
        <f t="shared" si="13"/>
        <v>14195684.15</v>
      </c>
      <c r="P29" s="19">
        <v>583114.22000000067</v>
      </c>
      <c r="Q29" s="65">
        <v>-114752</v>
      </c>
      <c r="R29" s="20">
        <f t="shared" si="14"/>
        <v>14893550.370000001</v>
      </c>
      <c r="S29" s="19">
        <v>854431.58999999985</v>
      </c>
      <c r="T29" s="20">
        <f t="shared" si="10"/>
        <v>15747981.960000001</v>
      </c>
      <c r="U29" s="13">
        <v>130632000</v>
      </c>
      <c r="V29" s="14">
        <v>349965000</v>
      </c>
      <c r="W29" s="21">
        <f t="shared" si="15"/>
        <v>480597000</v>
      </c>
      <c r="X29" s="13">
        <v>0</v>
      </c>
      <c r="Y29" s="14">
        <v>13786000</v>
      </c>
      <c r="Z29" s="14">
        <v>22813414</v>
      </c>
      <c r="AA29" s="21">
        <f t="shared" si="16"/>
        <v>36599414</v>
      </c>
      <c r="AB29" s="22">
        <f t="shared" si="17"/>
        <v>443997586</v>
      </c>
      <c r="AC29" s="23">
        <f t="shared" si="18"/>
        <v>3.5468620678491707E-2</v>
      </c>
      <c r="AD29" s="24">
        <v>2.6120000000000001E-2</v>
      </c>
      <c r="AE29" s="25">
        <f t="shared" si="19"/>
        <v>9.3486206784917057E-3</v>
      </c>
    </row>
    <row r="30" spans="1:31" x14ac:dyDescent="0.2">
      <c r="A30" s="15">
        <v>45261</v>
      </c>
      <c r="B30" s="15">
        <v>45323</v>
      </c>
      <c r="C30" s="16">
        <v>5926775.2199999997</v>
      </c>
      <c r="D30" s="17">
        <v>445710.76</v>
      </c>
      <c r="E30" s="17">
        <v>2781792.96</v>
      </c>
      <c r="F30" s="17">
        <v>0</v>
      </c>
      <c r="G30" s="17">
        <v>0</v>
      </c>
      <c r="H30" s="17">
        <v>0</v>
      </c>
      <c r="I30" s="18">
        <f t="shared" si="11"/>
        <v>9154278.9399999995</v>
      </c>
      <c r="J30" s="16">
        <v>0</v>
      </c>
      <c r="K30" s="17">
        <v>11363822</v>
      </c>
      <c r="L30" s="17">
        <v>0</v>
      </c>
      <c r="M30" s="18">
        <f t="shared" si="12"/>
        <v>11363822</v>
      </c>
      <c r="N30" s="19">
        <v>1302545</v>
      </c>
      <c r="O30" s="20">
        <f t="shared" si="13"/>
        <v>19215555.939999998</v>
      </c>
      <c r="P30" s="19">
        <v>1215496.5500000007</v>
      </c>
      <c r="Q30" s="65">
        <v>754152</v>
      </c>
      <c r="R30" s="20">
        <f t="shared" si="14"/>
        <v>19676900.489999998</v>
      </c>
      <c r="S30" s="19">
        <v>602316.19000000018</v>
      </c>
      <c r="T30" s="20">
        <f t="shared" si="10"/>
        <v>20279216.68</v>
      </c>
      <c r="U30" s="13">
        <v>223088000</v>
      </c>
      <c r="V30" s="14">
        <v>314318000</v>
      </c>
      <c r="W30" s="21">
        <f t="shared" si="15"/>
        <v>537406000</v>
      </c>
      <c r="X30" s="13">
        <v>0</v>
      </c>
      <c r="Y30" s="26">
        <v>52216000</v>
      </c>
      <c r="Z30" s="14">
        <v>22014666</v>
      </c>
      <c r="AA30" s="21">
        <f t="shared" si="16"/>
        <v>74230666</v>
      </c>
      <c r="AB30" s="22">
        <f t="shared" si="17"/>
        <v>463175334</v>
      </c>
      <c r="AC30" s="23">
        <f t="shared" si="18"/>
        <v>4.3783023817067078E-2</v>
      </c>
      <c r="AD30" s="24">
        <v>2.6120000000000001E-2</v>
      </c>
      <c r="AE30" s="25">
        <f t="shared" si="19"/>
        <v>1.7663023817067077E-2</v>
      </c>
    </row>
    <row r="31" spans="1:31" x14ac:dyDescent="0.2">
      <c r="A31" s="15">
        <v>45292</v>
      </c>
      <c r="B31" s="15">
        <v>45352</v>
      </c>
      <c r="C31" s="16">
        <v>6815301.1100000003</v>
      </c>
      <c r="D31" s="17">
        <v>209165.03</v>
      </c>
      <c r="E31" s="17">
        <v>3597123.5</v>
      </c>
      <c r="F31" s="17">
        <v>0</v>
      </c>
      <c r="G31" s="17">
        <v>0</v>
      </c>
      <c r="H31" s="17">
        <v>0</v>
      </c>
      <c r="I31" s="18">
        <f t="shared" si="11"/>
        <v>10621589.640000001</v>
      </c>
      <c r="J31" s="16">
        <v>0</v>
      </c>
      <c r="K31" s="17">
        <v>17226102</v>
      </c>
      <c r="L31" s="17">
        <v>0</v>
      </c>
      <c r="M31" s="18">
        <f t="shared" si="12"/>
        <v>17226102</v>
      </c>
      <c r="N31" s="19">
        <v>451514</v>
      </c>
      <c r="O31" s="20">
        <f t="shared" si="13"/>
        <v>27396177.640000001</v>
      </c>
      <c r="P31" s="19">
        <v>-2022209.6829999983</v>
      </c>
      <c r="Q31" s="65">
        <v>1032580</v>
      </c>
      <c r="R31" s="20">
        <f t="shared" si="14"/>
        <v>24341387.957000002</v>
      </c>
      <c r="S31" s="19">
        <v>409541.7100000002</v>
      </c>
      <c r="T31" s="20">
        <f t="shared" si="10"/>
        <v>24750929.667000003</v>
      </c>
      <c r="U31" s="13">
        <v>279510000</v>
      </c>
      <c r="V31" s="14">
        <v>344816000</v>
      </c>
      <c r="W31" s="21">
        <f t="shared" si="15"/>
        <v>624326000</v>
      </c>
      <c r="X31" s="13">
        <v>0</v>
      </c>
      <c r="Y31" s="14">
        <v>-29247000</v>
      </c>
      <c r="Z31" s="14">
        <v>36104147</v>
      </c>
      <c r="AA31" s="21">
        <f t="shared" si="16"/>
        <v>6857147</v>
      </c>
      <c r="AB31" s="22">
        <f t="shared" si="17"/>
        <v>617468853</v>
      </c>
      <c r="AC31" s="23">
        <f t="shared" si="18"/>
        <v>4.008449907512987E-2</v>
      </c>
      <c r="AD31" s="24">
        <v>2.6120000000000001E-2</v>
      </c>
      <c r="AE31" s="25">
        <f t="shared" si="19"/>
        <v>1.3964499075129869E-2</v>
      </c>
    </row>
    <row r="32" spans="1:31" x14ac:dyDescent="0.2">
      <c r="A32" s="15">
        <v>45323</v>
      </c>
      <c r="B32" s="15">
        <v>45383</v>
      </c>
      <c r="C32" s="16">
        <v>8255204.3300000001</v>
      </c>
      <c r="D32" s="17">
        <v>532032.34</v>
      </c>
      <c r="E32" s="17">
        <v>4473680.71</v>
      </c>
      <c r="F32" s="17">
        <v>0</v>
      </c>
      <c r="G32" s="17">
        <v>0</v>
      </c>
      <c r="H32" s="17">
        <v>0</v>
      </c>
      <c r="I32" s="18">
        <f t="shared" si="11"/>
        <v>13260917.379999999</v>
      </c>
      <c r="J32" s="16">
        <v>0</v>
      </c>
      <c r="K32" s="17">
        <v>6519881</v>
      </c>
      <c r="L32" s="17">
        <v>0</v>
      </c>
      <c r="M32" s="18">
        <f t="shared" si="12"/>
        <v>6519881</v>
      </c>
      <c r="N32" s="19">
        <v>842803</v>
      </c>
      <c r="O32" s="20">
        <f t="shared" si="13"/>
        <v>18937995.379999999</v>
      </c>
      <c r="P32" s="19">
        <v>-3620640.9087999985</v>
      </c>
      <c r="Q32" s="65">
        <v>569304</v>
      </c>
      <c r="R32" s="20">
        <f t="shared" si="14"/>
        <v>14748050.4712</v>
      </c>
      <c r="S32" s="19">
        <v>434306.02999999968</v>
      </c>
      <c r="T32" s="20">
        <f t="shared" si="10"/>
        <v>15182356.5012</v>
      </c>
      <c r="U32" s="13">
        <v>265685000</v>
      </c>
      <c r="V32" s="14">
        <v>233686000</v>
      </c>
      <c r="W32" s="21">
        <f t="shared" si="15"/>
        <v>499371000</v>
      </c>
      <c r="X32" s="13">
        <v>0</v>
      </c>
      <c r="Y32" s="14">
        <v>38386000</v>
      </c>
      <c r="Z32" s="14">
        <v>24653927</v>
      </c>
      <c r="AA32" s="21">
        <f t="shared" si="16"/>
        <v>63039927</v>
      </c>
      <c r="AB32" s="22">
        <f t="shared" si="17"/>
        <v>436331073</v>
      </c>
      <c r="AC32" s="23">
        <f t="shared" si="18"/>
        <v>3.4795496907459533E-2</v>
      </c>
      <c r="AD32" s="24">
        <v>2.6120000000000001E-2</v>
      </c>
      <c r="AE32" s="25">
        <f t="shared" si="19"/>
        <v>8.6754969074595324E-3</v>
      </c>
    </row>
    <row r="33" spans="1:31" x14ac:dyDescent="0.2">
      <c r="A33" s="15">
        <v>45352</v>
      </c>
      <c r="B33" s="15">
        <v>45413</v>
      </c>
      <c r="C33" s="16">
        <v>8366721.7599999998</v>
      </c>
      <c r="D33" s="17">
        <v>328573.78999999998</v>
      </c>
      <c r="E33" s="17">
        <v>3403959.6</v>
      </c>
      <c r="F33" s="17">
        <v>0</v>
      </c>
      <c r="G33" s="17">
        <v>0</v>
      </c>
      <c r="H33" s="17">
        <v>0</v>
      </c>
      <c r="I33" s="18">
        <f t="shared" si="11"/>
        <v>12099255.149999999</v>
      </c>
      <c r="J33" s="16">
        <v>0</v>
      </c>
      <c r="K33" s="17">
        <v>3985476</v>
      </c>
      <c r="L33" s="17">
        <v>0</v>
      </c>
      <c r="M33" s="18">
        <f t="shared" si="12"/>
        <v>3985476</v>
      </c>
      <c r="N33" s="19">
        <v>1023450</v>
      </c>
      <c r="O33" s="20">
        <f t="shared" si="13"/>
        <v>15061281.149999999</v>
      </c>
      <c r="P33" s="19">
        <v>-869352.8900000006</v>
      </c>
      <c r="Q33" s="65">
        <v>-2328878</v>
      </c>
      <c r="R33" s="20">
        <f t="shared" si="14"/>
        <v>16520806.259999998</v>
      </c>
      <c r="S33" s="19">
        <v>74328.780000000261</v>
      </c>
      <c r="T33" s="20">
        <f t="shared" si="10"/>
        <v>16595135.039999999</v>
      </c>
      <c r="U33" s="13">
        <v>313806000</v>
      </c>
      <c r="V33" s="14">
        <v>180524000</v>
      </c>
      <c r="W33" s="21">
        <f t="shared" si="15"/>
        <v>494330000</v>
      </c>
      <c r="X33" s="13">
        <v>0</v>
      </c>
      <c r="Y33" s="14">
        <v>45936000</v>
      </c>
      <c r="Z33" s="14">
        <v>23082423</v>
      </c>
      <c r="AA33" s="21">
        <f t="shared" si="16"/>
        <v>69018423</v>
      </c>
      <c r="AB33" s="22">
        <f t="shared" si="17"/>
        <v>425311577</v>
      </c>
      <c r="AC33" s="23">
        <f t="shared" si="18"/>
        <v>3.9018771031478411E-2</v>
      </c>
      <c r="AD33" s="24">
        <v>2.6120000000000001E-2</v>
      </c>
      <c r="AE33" s="25">
        <f t="shared" si="19"/>
        <v>1.289877103147841E-2</v>
      </c>
    </row>
    <row r="34" spans="1:31" x14ac:dyDescent="0.2">
      <c r="A34" s="15">
        <v>45383</v>
      </c>
      <c r="B34" s="15">
        <v>45444</v>
      </c>
      <c r="C34" s="16">
        <v>2942490.88</v>
      </c>
      <c r="D34" s="17">
        <v>52688.09</v>
      </c>
      <c r="E34" s="17">
        <v>3071456.95</v>
      </c>
      <c r="F34" s="17">
        <v>0</v>
      </c>
      <c r="G34" s="17">
        <v>0</v>
      </c>
      <c r="H34" s="17">
        <v>0</v>
      </c>
      <c r="I34" s="18">
        <f t="shared" si="11"/>
        <v>6066635.9199999999</v>
      </c>
      <c r="J34" s="16">
        <v>0</v>
      </c>
      <c r="K34" s="17">
        <v>7341757</v>
      </c>
      <c r="L34" s="17">
        <v>0</v>
      </c>
      <c r="M34" s="18">
        <f t="shared" si="12"/>
        <v>7341757</v>
      </c>
      <c r="N34" s="19">
        <v>618931</v>
      </c>
      <c r="O34" s="20">
        <f t="shared" si="13"/>
        <v>12789461.92</v>
      </c>
      <c r="P34" s="19">
        <v>-11541.726415002719</v>
      </c>
      <c r="Q34" s="65">
        <v>-66331</v>
      </c>
      <c r="R34" s="20">
        <f t="shared" si="14"/>
        <v>12844251.193584997</v>
      </c>
      <c r="S34" s="19">
        <v>362160.82000000007</v>
      </c>
      <c r="T34" s="20">
        <f t="shared" si="10"/>
        <v>13206412.013584998</v>
      </c>
      <c r="U34" s="13">
        <v>163927000</v>
      </c>
      <c r="V34" s="14">
        <v>249081000</v>
      </c>
      <c r="W34" s="21">
        <f t="shared" si="15"/>
        <v>413008000</v>
      </c>
      <c r="X34" s="13">
        <v>0</v>
      </c>
      <c r="Y34" s="14">
        <v>-7042000</v>
      </c>
      <c r="Z34" s="14">
        <v>22566972</v>
      </c>
      <c r="AA34" s="21">
        <f t="shared" si="16"/>
        <v>15524972</v>
      </c>
      <c r="AB34" s="22">
        <f t="shared" si="17"/>
        <v>397483028</v>
      </c>
      <c r="AC34" s="23">
        <f t="shared" si="18"/>
        <v>3.3225096628742089E-2</v>
      </c>
      <c r="AD34" s="24">
        <v>2.6120000000000001E-2</v>
      </c>
      <c r="AE34" s="25">
        <f t="shared" si="19"/>
        <v>7.1050966287420879E-3</v>
      </c>
    </row>
    <row r="35" spans="1:31" x14ac:dyDescent="0.2">
      <c r="A35" s="15">
        <v>45413</v>
      </c>
      <c r="B35" s="15">
        <v>45474</v>
      </c>
      <c r="C35" s="16">
        <v>1353750.64</v>
      </c>
      <c r="D35" s="17">
        <v>347955.04</v>
      </c>
      <c r="E35" s="17">
        <v>3085398</v>
      </c>
      <c r="F35" s="17">
        <v>0</v>
      </c>
      <c r="G35" s="17">
        <v>0</v>
      </c>
      <c r="H35" s="17">
        <v>0</v>
      </c>
      <c r="I35" s="18">
        <f t="shared" si="11"/>
        <v>4787103.68</v>
      </c>
      <c r="J35" s="16">
        <v>0</v>
      </c>
      <c r="K35" s="17">
        <v>8636530</v>
      </c>
      <c r="L35" s="17">
        <v>0</v>
      </c>
      <c r="M35" s="18">
        <f t="shared" si="12"/>
        <v>8636530</v>
      </c>
      <c r="N35" s="19">
        <v>686391</v>
      </c>
      <c r="O35" s="20">
        <f t="shared" si="13"/>
        <v>12737242.68</v>
      </c>
      <c r="P35" s="27">
        <v>-1358851.5700000003</v>
      </c>
      <c r="Q35" s="65">
        <v>-602460</v>
      </c>
      <c r="R35" s="20">
        <f t="shared" si="14"/>
        <v>11980851.109999999</v>
      </c>
      <c r="S35" s="19">
        <v>-350114.66000000009</v>
      </c>
      <c r="T35" s="20">
        <f t="shared" si="10"/>
        <v>11630736.449999999</v>
      </c>
      <c r="U35" s="13">
        <v>161071000</v>
      </c>
      <c r="V35" s="14">
        <v>292269000</v>
      </c>
      <c r="W35" s="21">
        <f t="shared" si="15"/>
        <v>453340000</v>
      </c>
      <c r="X35" s="13">
        <v>0</v>
      </c>
      <c r="Y35" s="14">
        <v>20799000</v>
      </c>
      <c r="Z35" s="14">
        <v>20662593</v>
      </c>
      <c r="AA35" s="21">
        <f t="shared" si="16"/>
        <v>41461593</v>
      </c>
      <c r="AB35" s="22">
        <f t="shared" si="17"/>
        <v>411878407</v>
      </c>
      <c r="AC35" s="23">
        <f t="shared" si="18"/>
        <v>2.8238276764045073E-2</v>
      </c>
      <c r="AD35" s="24">
        <v>2.6120000000000001E-2</v>
      </c>
      <c r="AE35" s="25">
        <f t="shared" si="19"/>
        <v>2.1182767640450725E-3</v>
      </c>
    </row>
    <row r="36" spans="1:31" x14ac:dyDescent="0.2">
      <c r="A36" s="15">
        <v>45444</v>
      </c>
      <c r="B36" s="15">
        <v>45505</v>
      </c>
      <c r="C36" s="16">
        <v>10602993.08</v>
      </c>
      <c r="D36" s="17">
        <v>342138.33</v>
      </c>
      <c r="E36" s="17">
        <v>3166493.66</v>
      </c>
      <c r="F36" s="17">
        <v>0</v>
      </c>
      <c r="G36" s="17">
        <v>0</v>
      </c>
      <c r="H36" s="17">
        <v>0</v>
      </c>
      <c r="I36" s="18">
        <f t="shared" si="11"/>
        <v>14111625.07</v>
      </c>
      <c r="J36" s="16">
        <v>0</v>
      </c>
      <c r="K36" s="17">
        <v>5152879.82</v>
      </c>
      <c r="L36" s="17">
        <v>0</v>
      </c>
      <c r="M36" s="18">
        <f t="shared" si="12"/>
        <v>5152879.82</v>
      </c>
      <c r="N36" s="19">
        <v>2812137.43</v>
      </c>
      <c r="O36" s="20">
        <f t="shared" si="13"/>
        <v>16452367.460000001</v>
      </c>
      <c r="P36" s="19">
        <v>179358.58000000007</v>
      </c>
      <c r="Q36" s="65">
        <v>212703</v>
      </c>
      <c r="R36" s="20">
        <f t="shared" si="14"/>
        <v>16419023.040000001</v>
      </c>
      <c r="S36" s="19">
        <v>1040687.4099999993</v>
      </c>
      <c r="T36" s="20">
        <f t="shared" si="10"/>
        <v>17459710.449999999</v>
      </c>
      <c r="U36" s="13">
        <v>393618000</v>
      </c>
      <c r="V36" s="14">
        <v>181007000</v>
      </c>
      <c r="W36" s="21">
        <f t="shared" si="15"/>
        <v>574625000</v>
      </c>
      <c r="X36" s="13">
        <v>0</v>
      </c>
      <c r="Y36" s="14">
        <v>92654000</v>
      </c>
      <c r="Z36" s="14">
        <v>24205900</v>
      </c>
      <c r="AA36" s="21">
        <f t="shared" si="16"/>
        <v>116859900</v>
      </c>
      <c r="AB36" s="22">
        <f t="shared" si="17"/>
        <v>457765100</v>
      </c>
      <c r="AC36" s="23">
        <f t="shared" si="18"/>
        <v>3.8141200475964636E-2</v>
      </c>
      <c r="AD36" s="24">
        <v>2.6120000000000001E-2</v>
      </c>
      <c r="AE36" s="25">
        <f t="shared" si="19"/>
        <v>1.2021200475964635E-2</v>
      </c>
    </row>
    <row r="37" spans="1:31" x14ac:dyDescent="0.2">
      <c r="A37" s="15">
        <v>45474</v>
      </c>
      <c r="B37" s="15">
        <v>45536</v>
      </c>
      <c r="C37" s="16">
        <v>10399040</v>
      </c>
      <c r="D37" s="17">
        <v>348835.01</v>
      </c>
      <c r="E37" s="17">
        <v>3737506.03</v>
      </c>
      <c r="F37" s="17">
        <v>0</v>
      </c>
      <c r="G37" s="17">
        <v>0</v>
      </c>
      <c r="H37" s="17">
        <v>0</v>
      </c>
      <c r="I37" s="18">
        <f t="shared" si="11"/>
        <v>14485381.039999999</v>
      </c>
      <c r="J37" s="16">
        <v>0</v>
      </c>
      <c r="K37" s="17">
        <v>6090275.1200000001</v>
      </c>
      <c r="L37" s="17">
        <v>0</v>
      </c>
      <c r="M37" s="18">
        <f t="shared" si="12"/>
        <v>6090275.1200000001</v>
      </c>
      <c r="N37" s="19">
        <v>3136941.8289999999</v>
      </c>
      <c r="O37" s="20">
        <f t="shared" si="13"/>
        <v>17438714.331</v>
      </c>
      <c r="P37" s="19">
        <v>-668773.56712250784</v>
      </c>
      <c r="Q37" s="65">
        <v>-779465.75</v>
      </c>
      <c r="R37" s="20">
        <f t="shared" si="14"/>
        <v>17549406.513877492</v>
      </c>
      <c r="S37" s="19">
        <v>1503865.8900000006</v>
      </c>
      <c r="T37" s="20">
        <f t="shared" si="10"/>
        <v>19053272.403877493</v>
      </c>
      <c r="U37" s="13">
        <v>429775000</v>
      </c>
      <c r="V37" s="14">
        <v>128951000</v>
      </c>
      <c r="W37" s="21">
        <f t="shared" si="15"/>
        <v>558726000</v>
      </c>
      <c r="X37" s="13">
        <v>0</v>
      </c>
      <c r="Y37" s="14">
        <v>55537000</v>
      </c>
      <c r="Z37" s="14">
        <v>25365835</v>
      </c>
      <c r="AA37" s="21">
        <f t="shared" si="16"/>
        <v>80902835</v>
      </c>
      <c r="AB37" s="22">
        <f t="shared" si="17"/>
        <v>477823165</v>
      </c>
      <c r="AC37" s="23">
        <f t="shared" si="18"/>
        <v>3.9875154240120385E-2</v>
      </c>
      <c r="AD37" s="24">
        <v>2.6120000000000001E-2</v>
      </c>
      <c r="AE37" s="25">
        <f t="shared" si="19"/>
        <v>1.3755154240120384E-2</v>
      </c>
    </row>
    <row r="38" spans="1:31" x14ac:dyDescent="0.2">
      <c r="A38" s="15">
        <v>45505</v>
      </c>
      <c r="B38" s="15">
        <v>45566</v>
      </c>
      <c r="C38" s="16">
        <v>8665987.1099999994</v>
      </c>
      <c r="D38" s="17">
        <v>213404.01</v>
      </c>
      <c r="E38" s="17">
        <v>4114423.72</v>
      </c>
      <c r="F38" s="17">
        <v>0</v>
      </c>
      <c r="G38" s="17">
        <v>0</v>
      </c>
      <c r="H38" s="17">
        <v>0</v>
      </c>
      <c r="I38" s="18">
        <f t="shared" si="11"/>
        <v>12993814.84</v>
      </c>
      <c r="J38" s="16">
        <v>0</v>
      </c>
      <c r="K38" s="17">
        <v>6342733</v>
      </c>
      <c r="L38" s="17">
        <v>0</v>
      </c>
      <c r="M38" s="18">
        <f t="shared" si="12"/>
        <v>6342733</v>
      </c>
      <c r="N38" s="19">
        <v>2122386</v>
      </c>
      <c r="O38" s="20">
        <f t="shared" si="13"/>
        <v>17214161.84</v>
      </c>
      <c r="P38" s="19">
        <v>-365940.1099999994</v>
      </c>
      <c r="Q38" s="65">
        <v>74919</v>
      </c>
      <c r="R38" s="20">
        <f t="shared" si="14"/>
        <v>16773302.73</v>
      </c>
      <c r="S38" s="19">
        <v>27017.479999999981</v>
      </c>
      <c r="T38" s="20">
        <f t="shared" si="10"/>
        <v>16800320.210000001</v>
      </c>
      <c r="U38" s="13">
        <v>361535000</v>
      </c>
      <c r="V38" s="14">
        <v>174651000</v>
      </c>
      <c r="W38" s="21">
        <f t="shared" si="15"/>
        <v>536186000</v>
      </c>
      <c r="X38" s="13">
        <v>0</v>
      </c>
      <c r="Y38" s="14">
        <v>49751000</v>
      </c>
      <c r="Z38" s="14">
        <v>23382437</v>
      </c>
      <c r="AA38" s="21">
        <f t="shared" si="16"/>
        <v>73133437</v>
      </c>
      <c r="AB38" s="22">
        <f t="shared" si="17"/>
        <v>463052563</v>
      </c>
      <c r="AC38" s="23">
        <f t="shared" si="18"/>
        <v>3.6281669841443036E-2</v>
      </c>
      <c r="AD38" s="24">
        <v>2.6120000000000001E-2</v>
      </c>
      <c r="AE38" s="25">
        <f t="shared" si="19"/>
        <v>1.0161669841443035E-2</v>
      </c>
    </row>
    <row r="39" spans="1:31" x14ac:dyDescent="0.2">
      <c r="A39" s="15">
        <v>45536</v>
      </c>
      <c r="B39" s="15">
        <v>45597</v>
      </c>
      <c r="C39" s="16">
        <v>1065990.32</v>
      </c>
      <c r="D39" s="17">
        <v>339748.07</v>
      </c>
      <c r="E39" s="17">
        <v>1321540.5899999994</v>
      </c>
      <c r="F39" s="17">
        <v>0</v>
      </c>
      <c r="G39" s="17">
        <v>0</v>
      </c>
      <c r="H39" s="17">
        <v>0</v>
      </c>
      <c r="I39" s="18">
        <f t="shared" si="11"/>
        <v>2727278.9799999995</v>
      </c>
      <c r="J39" s="16">
        <v>0</v>
      </c>
      <c r="K39" s="17">
        <v>13218989</v>
      </c>
      <c r="L39" s="17">
        <v>0</v>
      </c>
      <c r="M39" s="18">
        <f t="shared" si="12"/>
        <v>13218989</v>
      </c>
      <c r="N39" s="19">
        <v>604551</v>
      </c>
      <c r="O39" s="20">
        <f t="shared" si="13"/>
        <v>15341716.98</v>
      </c>
      <c r="P39" s="19">
        <v>-656352.84276800044</v>
      </c>
      <c r="Q39" s="65">
        <v>-639116</v>
      </c>
      <c r="R39" s="20">
        <f t="shared" si="14"/>
        <v>15324480.137232</v>
      </c>
      <c r="S39" s="19">
        <v>92268.269999999669</v>
      </c>
      <c r="T39" s="20">
        <f t="shared" si="10"/>
        <v>15416748.407232</v>
      </c>
      <c r="U39" s="13">
        <v>73064000</v>
      </c>
      <c r="V39" s="14">
        <v>356825000</v>
      </c>
      <c r="W39" s="21">
        <f t="shared" si="15"/>
        <v>429889000</v>
      </c>
      <c r="X39" s="13">
        <v>0</v>
      </c>
      <c r="Y39" s="14">
        <v>10901000</v>
      </c>
      <c r="Z39" s="14">
        <v>19794871</v>
      </c>
      <c r="AA39" s="21">
        <f t="shared" si="16"/>
        <v>30695871</v>
      </c>
      <c r="AB39" s="22">
        <f t="shared" si="17"/>
        <v>399193129</v>
      </c>
      <c r="AC39" s="23">
        <f t="shared" si="18"/>
        <v>3.8619773957161471E-2</v>
      </c>
      <c r="AD39" s="24">
        <v>2.6120000000000001E-2</v>
      </c>
      <c r="AE39" s="25">
        <f t="shared" si="19"/>
        <v>1.249977395716147E-2</v>
      </c>
    </row>
    <row r="40" spans="1:31" x14ac:dyDescent="0.2">
      <c r="A40" s="15">
        <v>45566</v>
      </c>
      <c r="B40" s="15">
        <v>45627</v>
      </c>
      <c r="C40" s="16">
        <v>5748106</v>
      </c>
      <c r="D40" s="17">
        <v>712071</v>
      </c>
      <c r="E40" s="17">
        <v>615648</v>
      </c>
      <c r="F40" s="17">
        <v>0</v>
      </c>
      <c r="G40" s="17">
        <v>0</v>
      </c>
      <c r="H40" s="17">
        <v>0</v>
      </c>
      <c r="I40" s="18">
        <f t="shared" si="11"/>
        <v>7075825</v>
      </c>
      <c r="J40" s="16">
        <v>0</v>
      </c>
      <c r="K40" s="17">
        <v>9837745</v>
      </c>
      <c r="L40" s="17">
        <v>0</v>
      </c>
      <c r="M40" s="18">
        <f t="shared" si="12"/>
        <v>9837745</v>
      </c>
      <c r="N40" s="19">
        <v>1026754</v>
      </c>
      <c r="O40" s="20">
        <f t="shared" si="13"/>
        <v>15886816</v>
      </c>
      <c r="P40" s="19">
        <v>-2035385.928718999</v>
      </c>
      <c r="Q40" s="65">
        <v>-545400</v>
      </c>
      <c r="R40" s="20">
        <f t="shared" si="14"/>
        <v>14396830.071281001</v>
      </c>
      <c r="S40" s="19">
        <v>153229.8200000003</v>
      </c>
      <c r="T40" s="20">
        <f t="shared" si="10"/>
        <v>14550059.891281001</v>
      </c>
      <c r="U40" s="13">
        <v>152494000</v>
      </c>
      <c r="V40" s="14">
        <v>297185000</v>
      </c>
      <c r="W40" s="21">
        <f t="shared" si="15"/>
        <v>449679000</v>
      </c>
      <c r="X40" s="13">
        <v>0</v>
      </c>
      <c r="Y40" s="14">
        <v>28730000</v>
      </c>
      <c r="Z40" s="14">
        <v>21018704</v>
      </c>
      <c r="AA40" s="21">
        <f t="shared" si="16"/>
        <v>49748704</v>
      </c>
      <c r="AB40" s="22">
        <f t="shared" si="17"/>
        <v>399930296</v>
      </c>
      <c r="AC40" s="23">
        <f t="shared" si="18"/>
        <v>3.6381489566574374E-2</v>
      </c>
      <c r="AD40" s="24">
        <v>2.6120000000000001E-2</v>
      </c>
      <c r="AE40" s="25">
        <f t="shared" si="19"/>
        <v>1.0261489566574373E-2</v>
      </c>
    </row>
    <row r="41" spans="1:31" x14ac:dyDescent="0.2">
      <c r="A41" s="15">
        <v>45597</v>
      </c>
      <c r="B41" s="15">
        <v>45658</v>
      </c>
      <c r="C41" s="16">
        <v>8015514.6299999999</v>
      </c>
      <c r="D41" s="17">
        <v>142901.43999999994</v>
      </c>
      <c r="E41" s="17">
        <v>442578.1</v>
      </c>
      <c r="F41" s="17">
        <v>0</v>
      </c>
      <c r="G41" s="17">
        <v>0</v>
      </c>
      <c r="H41" s="17">
        <v>0</v>
      </c>
      <c r="I41" s="18">
        <f t="shared" si="11"/>
        <v>8600994.1699999999</v>
      </c>
      <c r="J41" s="16">
        <v>0</v>
      </c>
      <c r="K41" s="17">
        <v>8381013.4598200005</v>
      </c>
      <c r="L41" s="17">
        <v>0</v>
      </c>
      <c r="M41" s="18">
        <f t="shared" si="12"/>
        <v>8381013.4598200005</v>
      </c>
      <c r="N41" s="19">
        <v>1593671.5960000001</v>
      </c>
      <c r="O41" s="20">
        <f t="shared" si="13"/>
        <v>15388336.03382</v>
      </c>
      <c r="P41" s="19">
        <v>-603897.49623633362</v>
      </c>
      <c r="Q41" s="65">
        <v>-431642.7</v>
      </c>
      <c r="R41" s="20">
        <f t="shared" si="14"/>
        <v>15216081.237583665</v>
      </c>
      <c r="S41" s="19">
        <v>296449.27</v>
      </c>
      <c r="T41" s="20">
        <f t="shared" si="10"/>
        <v>15512530.507583665</v>
      </c>
      <c r="U41" s="13">
        <v>207643000</v>
      </c>
      <c r="V41" s="14">
        <v>262120000</v>
      </c>
      <c r="W41" s="21">
        <f t="shared" si="15"/>
        <v>469763000</v>
      </c>
      <c r="X41" s="13">
        <v>0</v>
      </c>
      <c r="Y41" s="14">
        <v>44723000</v>
      </c>
      <c r="Z41" s="14">
        <v>18744077</v>
      </c>
      <c r="AA41" s="21">
        <f t="shared" si="16"/>
        <v>63467077</v>
      </c>
      <c r="AB41" s="22">
        <f t="shared" si="17"/>
        <v>406295923</v>
      </c>
      <c r="AC41" s="23">
        <f t="shared" si="18"/>
        <v>3.8180374523678555E-2</v>
      </c>
      <c r="AD41" s="24">
        <v>2.6120000000000001E-2</v>
      </c>
      <c r="AE41" s="25">
        <f t="shared" si="19"/>
        <v>1.2060374523678554E-2</v>
      </c>
    </row>
    <row r="42" spans="1:31" x14ac:dyDescent="0.2">
      <c r="A42" s="15">
        <v>45627</v>
      </c>
      <c r="B42" s="15">
        <v>45689</v>
      </c>
      <c r="C42" s="16">
        <v>10015105.620000001</v>
      </c>
      <c r="D42" s="17">
        <v>159819.37000000002</v>
      </c>
      <c r="E42" s="17">
        <v>3597973.61</v>
      </c>
      <c r="F42" s="17">
        <v>0</v>
      </c>
      <c r="G42" s="17">
        <v>0</v>
      </c>
      <c r="H42" s="17">
        <v>0</v>
      </c>
      <c r="I42" s="18">
        <f t="shared" si="11"/>
        <v>13772898.6</v>
      </c>
      <c r="J42" s="16">
        <v>0</v>
      </c>
      <c r="K42" s="17">
        <v>8658526.8800000008</v>
      </c>
      <c r="L42" s="17">
        <v>0</v>
      </c>
      <c r="M42" s="18">
        <f t="shared" si="12"/>
        <v>8658526.8800000008</v>
      </c>
      <c r="N42" s="19">
        <v>2258286.3640000001</v>
      </c>
      <c r="O42" s="20">
        <f t="shared" si="13"/>
        <v>20173139.116</v>
      </c>
      <c r="P42" s="19">
        <v>-570659.91477072239</v>
      </c>
      <c r="Q42" s="65">
        <v>937839</v>
      </c>
      <c r="R42" s="20">
        <f t="shared" si="14"/>
        <v>18664640.201229278</v>
      </c>
      <c r="S42" s="19">
        <v>528032.65000000026</v>
      </c>
      <c r="T42" s="20">
        <f t="shared" si="10"/>
        <v>19192672.851229277</v>
      </c>
      <c r="U42" s="13">
        <v>338297000</v>
      </c>
      <c r="V42" s="14">
        <v>220054000</v>
      </c>
      <c r="W42" s="21">
        <f t="shared" si="15"/>
        <v>558351000</v>
      </c>
      <c r="X42" s="13">
        <v>0</v>
      </c>
      <c r="Y42" s="14">
        <v>39662000</v>
      </c>
      <c r="Z42" s="14">
        <v>24135500</v>
      </c>
      <c r="AA42" s="21">
        <f t="shared" si="16"/>
        <v>63797500</v>
      </c>
      <c r="AB42" s="22">
        <f t="shared" si="17"/>
        <v>494553500</v>
      </c>
      <c r="AC42" s="23">
        <f t="shared" si="18"/>
        <v>3.8808082141222895E-2</v>
      </c>
      <c r="AD42" s="24">
        <v>2.6120000000000001E-2</v>
      </c>
      <c r="AE42" s="25">
        <f t="shared" si="19"/>
        <v>1.2688082141222894E-2</v>
      </c>
    </row>
    <row r="43" spans="1:31" x14ac:dyDescent="0.2">
      <c r="A43" s="15">
        <v>45658</v>
      </c>
      <c r="B43" s="15">
        <v>45717</v>
      </c>
      <c r="C43" s="16">
        <v>12290393.289999999</v>
      </c>
      <c r="D43" s="17">
        <v>170057.37</v>
      </c>
      <c r="E43" s="17">
        <v>5396975.4099999983</v>
      </c>
      <c r="F43" s="17">
        <v>0</v>
      </c>
      <c r="G43" s="17">
        <v>0</v>
      </c>
      <c r="H43" s="17">
        <v>0</v>
      </c>
      <c r="I43" s="18">
        <f t="shared" si="11"/>
        <v>17857426.069999997</v>
      </c>
      <c r="J43" s="16">
        <v>0</v>
      </c>
      <c r="K43" s="17">
        <v>15955926.759999998</v>
      </c>
      <c r="L43" s="17">
        <v>0</v>
      </c>
      <c r="M43" s="18">
        <f t="shared" si="12"/>
        <v>15955926.759999998</v>
      </c>
      <c r="N43" s="19">
        <v>1347987.8419999999</v>
      </c>
      <c r="O43" s="20">
        <f t="shared" si="13"/>
        <v>32465364.987999998</v>
      </c>
      <c r="P43" s="19">
        <v>137183.28299999982</v>
      </c>
      <c r="Q43" s="65">
        <v>1943032</v>
      </c>
      <c r="R43" s="20">
        <f t="shared" si="14"/>
        <v>30659516.270999998</v>
      </c>
      <c r="S43" s="19">
        <v>1112829.96</v>
      </c>
      <c r="T43" s="20">
        <f t="shared" si="10"/>
        <v>31772346.230999999</v>
      </c>
      <c r="U43" s="13">
        <v>406089000</v>
      </c>
      <c r="V43" s="14">
        <v>275391000</v>
      </c>
      <c r="W43" s="21">
        <f t="shared" si="15"/>
        <v>681480000</v>
      </c>
      <c r="X43" s="13">
        <v>0</v>
      </c>
      <c r="Y43" s="14">
        <v>26900000</v>
      </c>
      <c r="Z43" s="14">
        <v>26261452</v>
      </c>
      <c r="AA43" s="21">
        <f t="shared" si="16"/>
        <v>53161452</v>
      </c>
      <c r="AB43" s="22">
        <f t="shared" si="17"/>
        <v>628318548</v>
      </c>
      <c r="AC43" s="23">
        <f t="shared" si="18"/>
        <v>5.0567258172044285E-2</v>
      </c>
      <c r="AD43" s="24">
        <v>3.3799999999999997E-2</v>
      </c>
      <c r="AE43" s="25">
        <f t="shared" si="19"/>
        <v>1.6767258172044289E-2</v>
      </c>
    </row>
    <row r="44" spans="1:31" x14ac:dyDescent="0.2">
      <c r="A44" s="15">
        <v>45689</v>
      </c>
      <c r="B44" s="15">
        <v>45748</v>
      </c>
      <c r="C44" s="16">
        <v>3464421.5</v>
      </c>
      <c r="D44" s="17">
        <v>269009.71999999997</v>
      </c>
      <c r="E44" s="17">
        <v>5554232.0300000003</v>
      </c>
      <c r="F44" s="17">
        <v>0</v>
      </c>
      <c r="G44" s="17">
        <v>0</v>
      </c>
      <c r="H44" s="17">
        <v>0</v>
      </c>
      <c r="I44" s="18">
        <f t="shared" si="11"/>
        <v>9287663.25</v>
      </c>
      <c r="J44" s="16">
        <v>0</v>
      </c>
      <c r="K44" s="17">
        <v>14684475</v>
      </c>
      <c r="L44" s="17">
        <v>0</v>
      </c>
      <c r="M44" s="18">
        <f t="shared" si="12"/>
        <v>14684475</v>
      </c>
      <c r="N44" s="19">
        <v>1062602</v>
      </c>
      <c r="O44" s="20">
        <f t="shared" si="13"/>
        <v>22909536.25</v>
      </c>
      <c r="P44" s="19">
        <v>-3547089.8900000006</v>
      </c>
      <c r="Q44" s="65">
        <v>720851</v>
      </c>
      <c r="R44" s="20">
        <f t="shared" si="14"/>
        <v>18641595.359999999</v>
      </c>
      <c r="S44" s="19">
        <v>664148.19999999984</v>
      </c>
      <c r="T44" s="20">
        <f t="shared" si="10"/>
        <v>19305743.559999999</v>
      </c>
      <c r="U44" s="13">
        <v>197875000</v>
      </c>
      <c r="V44" s="14">
        <v>330819000</v>
      </c>
      <c r="W44" s="21">
        <f t="shared" si="15"/>
        <v>528694000</v>
      </c>
      <c r="X44" s="13">
        <v>0</v>
      </c>
      <c r="Y44" s="14">
        <v>18116000</v>
      </c>
      <c r="Z44" s="14">
        <v>23874247</v>
      </c>
      <c r="AA44" s="21">
        <f t="shared" si="16"/>
        <v>41990247</v>
      </c>
      <c r="AB44" s="22">
        <f t="shared" si="17"/>
        <v>486703753</v>
      </c>
      <c r="AC44" s="23">
        <f t="shared" si="18"/>
        <v>3.9666313318935921E-2</v>
      </c>
      <c r="AD44" s="24">
        <v>3.3799999999999997E-2</v>
      </c>
      <c r="AE44" s="25">
        <f t="shared" si="19"/>
        <v>5.8663133189359243E-3</v>
      </c>
    </row>
    <row r="45" spans="1:31" x14ac:dyDescent="0.2">
      <c r="A45" s="15">
        <v>45717</v>
      </c>
      <c r="B45" s="15">
        <v>45778</v>
      </c>
      <c r="C45" s="16">
        <v>1240119.1299999999</v>
      </c>
      <c r="D45" s="17">
        <v>666930.93000000005</v>
      </c>
      <c r="E45" s="17">
        <v>3686406.49</v>
      </c>
      <c r="F45" s="17">
        <v>0</v>
      </c>
      <c r="G45" s="17">
        <v>0</v>
      </c>
      <c r="H45" s="17">
        <v>0</v>
      </c>
      <c r="I45" s="18">
        <f t="shared" si="11"/>
        <v>5593456.5500000007</v>
      </c>
      <c r="J45" s="16">
        <v>0</v>
      </c>
      <c r="K45" s="17">
        <v>14708709</v>
      </c>
      <c r="L45" s="17">
        <v>0</v>
      </c>
      <c r="M45" s="18">
        <f t="shared" si="12"/>
        <v>14708709</v>
      </c>
      <c r="N45" s="19">
        <v>781349</v>
      </c>
      <c r="O45" s="20">
        <f t="shared" si="13"/>
        <v>19520816.550000001</v>
      </c>
      <c r="P45" s="19">
        <v>-1054863.3747872487</v>
      </c>
      <c r="Q45" s="65">
        <v>-2815733</v>
      </c>
      <c r="R45" s="20">
        <f t="shared" si="14"/>
        <v>21281686.175212752</v>
      </c>
      <c r="S45" s="19">
        <v>855564.9499999996</v>
      </c>
      <c r="T45" s="20">
        <f t="shared" si="10"/>
        <v>22137251.125212751</v>
      </c>
      <c r="U45" s="13">
        <v>108933000</v>
      </c>
      <c r="V45" s="14">
        <v>377638000</v>
      </c>
      <c r="W45" s="21">
        <f t="shared" si="15"/>
        <v>486571000</v>
      </c>
      <c r="X45" s="13">
        <v>0</v>
      </c>
      <c r="Y45" s="14">
        <v>22926000</v>
      </c>
      <c r="Z45" s="14">
        <v>21395030</v>
      </c>
      <c r="AA45" s="21">
        <f t="shared" si="16"/>
        <v>44321030</v>
      </c>
      <c r="AB45" s="22">
        <f t="shared" si="17"/>
        <v>442249970</v>
      </c>
      <c r="AC45" s="23">
        <f t="shared" si="18"/>
        <v>5.0055969761202586E-2</v>
      </c>
      <c r="AD45" s="24">
        <v>3.3799999999999997E-2</v>
      </c>
      <c r="AE45" s="25">
        <f t="shared" si="19"/>
        <v>1.6255969761202589E-2</v>
      </c>
    </row>
    <row r="46" spans="1:31" x14ac:dyDescent="0.2">
      <c r="A46" s="15">
        <v>45748</v>
      </c>
      <c r="B46" s="15">
        <v>45809</v>
      </c>
      <c r="C46" s="16">
        <v>5166295.41</v>
      </c>
      <c r="D46" s="17">
        <v>96647.53</v>
      </c>
      <c r="E46" s="17">
        <v>2538611.89</v>
      </c>
      <c r="F46" s="17">
        <v>0</v>
      </c>
      <c r="G46" s="17">
        <v>0</v>
      </c>
      <c r="H46" s="17">
        <v>0</v>
      </c>
      <c r="I46" s="18">
        <f t="shared" si="11"/>
        <v>7801554.8300000001</v>
      </c>
      <c r="J46" s="16">
        <v>0</v>
      </c>
      <c r="K46" s="17">
        <v>8191897</v>
      </c>
      <c r="L46" s="17">
        <v>0</v>
      </c>
      <c r="M46" s="18">
        <f t="shared" si="12"/>
        <v>8191897</v>
      </c>
      <c r="N46" s="19">
        <v>1000169</v>
      </c>
      <c r="O46" s="20">
        <f t="shared" si="13"/>
        <v>14993282.83</v>
      </c>
      <c r="P46" s="19">
        <v>-15281.219514999539</v>
      </c>
      <c r="Q46" s="65">
        <v>-476255</v>
      </c>
      <c r="R46" s="20">
        <f t="shared" si="14"/>
        <v>15454256.610485001</v>
      </c>
      <c r="S46" s="19">
        <v>584116.8399999995</v>
      </c>
      <c r="T46" s="20">
        <f t="shared" si="10"/>
        <v>16038373.450485</v>
      </c>
      <c r="U46" s="13">
        <v>222436000</v>
      </c>
      <c r="V46" s="14">
        <v>215967000</v>
      </c>
      <c r="W46" s="21">
        <f t="shared" si="15"/>
        <v>438403000</v>
      </c>
      <c r="X46" s="13">
        <v>0</v>
      </c>
      <c r="Y46" s="14">
        <v>25077000</v>
      </c>
      <c r="Z46" s="14">
        <v>19190151</v>
      </c>
      <c r="AA46" s="21">
        <f t="shared" si="16"/>
        <v>44267151</v>
      </c>
      <c r="AB46" s="22">
        <f t="shared" si="17"/>
        <v>394135849</v>
      </c>
      <c r="AC46" s="23">
        <f t="shared" si="18"/>
        <v>4.0692501053069652E-2</v>
      </c>
      <c r="AD46" s="24">
        <v>3.3799999999999997E-2</v>
      </c>
      <c r="AE46" s="25">
        <f t="shared" si="19"/>
        <v>6.8925010530696551E-3</v>
      </c>
    </row>
    <row r="47" spans="1:31" x14ac:dyDescent="0.2">
      <c r="A47" s="15">
        <v>45778</v>
      </c>
      <c r="B47" s="15">
        <v>45839</v>
      </c>
      <c r="C47" s="16">
        <v>1362557.52</v>
      </c>
      <c r="D47" s="17">
        <v>160652.59</v>
      </c>
      <c r="E47" s="17">
        <v>2950457.55</v>
      </c>
      <c r="F47" s="17">
        <v>0</v>
      </c>
      <c r="G47" s="17">
        <v>0</v>
      </c>
      <c r="H47" s="17">
        <v>0</v>
      </c>
      <c r="I47" s="18">
        <f t="shared" si="11"/>
        <v>4473667.66</v>
      </c>
      <c r="J47" s="16">
        <v>0</v>
      </c>
      <c r="K47" s="17">
        <v>11327156</v>
      </c>
      <c r="L47" s="17">
        <v>0</v>
      </c>
      <c r="M47" s="18">
        <f t="shared" si="12"/>
        <v>11327156</v>
      </c>
      <c r="N47" s="19">
        <v>931449</v>
      </c>
      <c r="O47" s="20">
        <f t="shared" si="13"/>
        <v>14869374.66</v>
      </c>
      <c r="P47" s="19">
        <v>-258432.84999999963</v>
      </c>
      <c r="Q47" s="65">
        <v>-2121452.870000001</v>
      </c>
      <c r="R47" s="20">
        <f t="shared" si="14"/>
        <v>16732394.680000002</v>
      </c>
      <c r="S47" s="19">
        <v>-770661.8</v>
      </c>
      <c r="T47" s="20">
        <f t="shared" si="10"/>
        <v>15961732.880000001</v>
      </c>
      <c r="U47" s="13">
        <v>121032000</v>
      </c>
      <c r="V47" s="14">
        <v>299205000</v>
      </c>
      <c r="W47" s="21">
        <f t="shared" si="15"/>
        <v>420237000</v>
      </c>
      <c r="X47" s="13">
        <v>0</v>
      </c>
      <c r="Y47" s="14">
        <v>26745000</v>
      </c>
      <c r="Z47" s="14">
        <v>21316836</v>
      </c>
      <c r="AA47" s="21">
        <f t="shared" si="16"/>
        <v>48061836</v>
      </c>
      <c r="AB47" s="22">
        <f t="shared" si="17"/>
        <v>372175164</v>
      </c>
      <c r="AC47" s="23">
        <f t="shared" si="18"/>
        <v>4.2887689518153881E-2</v>
      </c>
      <c r="AD47" s="24">
        <v>3.3799999999999997E-2</v>
      </c>
      <c r="AE47" s="25">
        <f t="shared" si="19"/>
        <v>9.0876895181538839E-3</v>
      </c>
    </row>
    <row r="48" spans="1:31" x14ac:dyDescent="0.2">
      <c r="A48" s="15">
        <v>45809</v>
      </c>
      <c r="B48" s="15">
        <v>45870</v>
      </c>
      <c r="C48" s="16">
        <v>9601209.5500000007</v>
      </c>
      <c r="D48" s="17">
        <v>1026257.44</v>
      </c>
      <c r="E48" s="17">
        <v>4199683.7</v>
      </c>
      <c r="F48" s="17">
        <v>0</v>
      </c>
      <c r="G48" s="17">
        <v>0</v>
      </c>
      <c r="H48" s="17">
        <v>0</v>
      </c>
      <c r="I48" s="18">
        <f t="shared" si="11"/>
        <v>14827150.690000001</v>
      </c>
      <c r="J48" s="16">
        <v>0</v>
      </c>
      <c r="K48" s="17">
        <v>10322046</v>
      </c>
      <c r="L48" s="17">
        <v>0</v>
      </c>
      <c r="M48" s="18">
        <f t="shared" si="12"/>
        <v>10322046</v>
      </c>
      <c r="N48" s="19">
        <v>4577542</v>
      </c>
      <c r="O48" s="20">
        <f t="shared" si="13"/>
        <v>20571654.690000001</v>
      </c>
      <c r="P48" s="19">
        <v>-2104483.2800000012</v>
      </c>
      <c r="Q48" s="65">
        <v>-63451</v>
      </c>
      <c r="R48" s="20">
        <f t="shared" si="14"/>
        <v>18530622.41</v>
      </c>
      <c r="S48" s="19">
        <v>1772570.5700000005</v>
      </c>
      <c r="T48" s="20">
        <f t="shared" si="10"/>
        <v>20303192.98</v>
      </c>
      <c r="U48" s="13">
        <v>293362000</v>
      </c>
      <c r="V48" s="14">
        <v>255678000</v>
      </c>
      <c r="W48" s="21">
        <f t="shared" si="15"/>
        <v>549040000</v>
      </c>
      <c r="X48" s="13">
        <v>0</v>
      </c>
      <c r="Y48" s="14">
        <v>90341000</v>
      </c>
      <c r="Z48" s="14">
        <v>17370804</v>
      </c>
      <c r="AA48" s="21">
        <f t="shared" si="16"/>
        <v>107711804</v>
      </c>
      <c r="AB48" s="22">
        <f t="shared" si="17"/>
        <v>441328196</v>
      </c>
      <c r="AC48" s="23">
        <f t="shared" si="18"/>
        <v>4.6004749218425192E-2</v>
      </c>
      <c r="AD48" s="24">
        <v>3.3799999999999997E-2</v>
      </c>
      <c r="AE48" s="25">
        <f t="shared" si="19"/>
        <v>1.2204749218425195E-2</v>
      </c>
    </row>
    <row r="49" spans="1:31" x14ac:dyDescent="0.2">
      <c r="A49" s="15">
        <v>45839</v>
      </c>
      <c r="B49" s="15">
        <v>45901</v>
      </c>
      <c r="C49" s="16">
        <v>9639698.9399999995</v>
      </c>
      <c r="D49" s="17">
        <v>310596.71999999997</v>
      </c>
      <c r="E49" s="17">
        <v>5005996.97</v>
      </c>
      <c r="F49" s="17">
        <v>0</v>
      </c>
      <c r="G49" s="17">
        <v>0</v>
      </c>
      <c r="H49" s="17">
        <v>0</v>
      </c>
      <c r="I49" s="18">
        <f t="shared" si="11"/>
        <v>14956292.629999999</v>
      </c>
      <c r="J49" s="16">
        <v>0</v>
      </c>
      <c r="K49" s="17">
        <v>10472232.41</v>
      </c>
      <c r="L49" s="17">
        <v>0</v>
      </c>
      <c r="M49" s="18">
        <f t="shared" si="12"/>
        <v>10472232.41</v>
      </c>
      <c r="N49" s="19">
        <v>3555853.0819999999</v>
      </c>
      <c r="O49" s="20">
        <f t="shared" si="13"/>
        <v>21872671.958000001</v>
      </c>
      <c r="P49" s="19">
        <v>-164316.07600000128</v>
      </c>
      <c r="Q49" s="65">
        <v>1012775</v>
      </c>
      <c r="R49" s="20">
        <f t="shared" si="14"/>
        <v>20695580.881999999</v>
      </c>
      <c r="S49" s="19">
        <v>1457841.25</v>
      </c>
      <c r="T49" s="20">
        <f t="shared" si="10"/>
        <v>22153422.131999999</v>
      </c>
      <c r="U49" s="13">
        <v>410518000</v>
      </c>
      <c r="V49" s="14">
        <v>162349000</v>
      </c>
      <c r="W49" s="21">
        <f t="shared" si="15"/>
        <v>572867000</v>
      </c>
      <c r="X49" s="13">
        <v>0</v>
      </c>
      <c r="Y49" s="14">
        <v>45144000</v>
      </c>
      <c r="Z49" s="14">
        <v>22962393</v>
      </c>
      <c r="AA49" s="21">
        <f t="shared" si="16"/>
        <v>68106393</v>
      </c>
      <c r="AB49" s="22">
        <f t="shared" si="17"/>
        <v>504760607</v>
      </c>
      <c r="AC49" s="23">
        <f t="shared" si="18"/>
        <v>4.3888968007362743E-2</v>
      </c>
      <c r="AD49" s="24">
        <v>3.3799999999999997E-2</v>
      </c>
      <c r="AE49" s="25">
        <f t="shared" si="19"/>
        <v>1.0088968007362746E-2</v>
      </c>
    </row>
    <row r="50" spans="1:31" x14ac:dyDescent="0.2">
      <c r="A50" s="15">
        <v>45870</v>
      </c>
      <c r="B50" s="15">
        <v>45931</v>
      </c>
      <c r="C50" s="16">
        <v>7211243.7999999998</v>
      </c>
      <c r="D50" s="17">
        <v>229206.49</v>
      </c>
      <c r="E50" s="17">
        <v>4478586.49</v>
      </c>
      <c r="F50" s="17">
        <v>0</v>
      </c>
      <c r="G50" s="17">
        <v>0</v>
      </c>
      <c r="H50" s="17">
        <v>0</v>
      </c>
      <c r="I50" s="18">
        <f t="shared" si="11"/>
        <v>11919036.780000001</v>
      </c>
      <c r="J50" s="16">
        <v>0</v>
      </c>
      <c r="K50" s="17">
        <v>5494884</v>
      </c>
      <c r="L50" s="17">
        <v>0</v>
      </c>
      <c r="M50" s="18">
        <f t="shared" si="12"/>
        <v>5494884</v>
      </c>
      <c r="N50" s="19">
        <v>2117358</v>
      </c>
      <c r="O50" s="20">
        <f t="shared" si="13"/>
        <v>15296562.780000001</v>
      </c>
      <c r="P50" s="19">
        <v>-2691105.2349900007</v>
      </c>
      <c r="Q50" s="65">
        <v>181896</v>
      </c>
      <c r="R50" s="20">
        <f t="shared" si="14"/>
        <v>12423561.54501</v>
      </c>
      <c r="S50" s="19">
        <v>467096.12</v>
      </c>
      <c r="T50" s="20">
        <f t="shared" si="10"/>
        <v>12890657.66501</v>
      </c>
      <c r="U50" s="13">
        <v>350400000</v>
      </c>
      <c r="V50" s="14">
        <v>169471000</v>
      </c>
      <c r="W50" s="21">
        <f t="shared" si="15"/>
        <v>519871000</v>
      </c>
      <c r="X50" s="13">
        <v>0</v>
      </c>
      <c r="Y50" s="14">
        <v>61334000</v>
      </c>
      <c r="Z50" s="14">
        <v>21463515</v>
      </c>
      <c r="AA50" s="21">
        <f t="shared" si="16"/>
        <v>82797515</v>
      </c>
      <c r="AB50" s="22">
        <f t="shared" si="17"/>
        <v>437073485</v>
      </c>
      <c r="AC50" s="23">
        <f t="shared" si="18"/>
        <v>2.9493112960192493E-2</v>
      </c>
      <c r="AD50" s="24">
        <v>3.3799999999999997E-2</v>
      </c>
      <c r="AE50" s="25">
        <f t="shared" si="19"/>
        <v>-4.3068870398075033E-3</v>
      </c>
    </row>
    <row r="51" spans="1:31" x14ac:dyDescent="0.2">
      <c r="A51" s="15">
        <v>45901</v>
      </c>
      <c r="B51" s="15">
        <v>45962</v>
      </c>
      <c r="C51" s="16">
        <v>2473641.0099999998</v>
      </c>
      <c r="D51" s="17">
        <v>191928.15</v>
      </c>
      <c r="E51" s="17">
        <v>2137023.79</v>
      </c>
      <c r="F51" s="17">
        <v>0</v>
      </c>
      <c r="G51" s="17">
        <v>0</v>
      </c>
      <c r="H51" s="17">
        <v>0</v>
      </c>
      <c r="I51" s="18">
        <f t="shared" si="11"/>
        <v>4802592.9499999993</v>
      </c>
      <c r="J51" s="16">
        <v>0</v>
      </c>
      <c r="K51" s="17">
        <v>11149256</v>
      </c>
      <c r="L51" s="17">
        <v>0</v>
      </c>
      <c r="M51" s="18">
        <f t="shared" si="12"/>
        <v>11149256</v>
      </c>
      <c r="N51" s="19">
        <v>1018688</v>
      </c>
      <c r="O51" s="20">
        <f t="shared" si="13"/>
        <v>14933160.949999999</v>
      </c>
      <c r="P51" s="19">
        <v>-366791.87999999896</v>
      </c>
      <c r="Q51" s="65">
        <v>-1004594</v>
      </c>
      <c r="R51" s="20">
        <f t="shared" si="14"/>
        <v>15570963.07</v>
      </c>
      <c r="S51" s="19">
        <v>734418.41999999993</v>
      </c>
      <c r="T51" s="20">
        <f t="shared" si="10"/>
        <v>16305381.49</v>
      </c>
      <c r="U51" s="13">
        <v>135750000</v>
      </c>
      <c r="V51" s="14">
        <v>276022000</v>
      </c>
      <c r="W51" s="21">
        <f t="shared" si="15"/>
        <v>411772000</v>
      </c>
      <c r="X51" s="13">
        <v>0</v>
      </c>
      <c r="Y51" s="14">
        <v>32495000</v>
      </c>
      <c r="Z51" s="14">
        <v>16819593</v>
      </c>
      <c r="AA51" s="21">
        <f t="shared" si="16"/>
        <v>49314593</v>
      </c>
      <c r="AB51" s="22">
        <f t="shared" si="17"/>
        <v>362457407</v>
      </c>
      <c r="AC51" s="23">
        <f t="shared" si="18"/>
        <v>4.4985648451653794E-2</v>
      </c>
      <c r="AD51" s="24">
        <v>3.3799999999999997E-2</v>
      </c>
      <c r="AE51" s="25">
        <f t="shared" si="19"/>
        <v>1.1185648451653797E-2</v>
      </c>
    </row>
    <row r="52" spans="1:31" x14ac:dyDescent="0.2">
      <c r="A52" s="15">
        <v>45931</v>
      </c>
      <c r="B52" s="15">
        <v>45992</v>
      </c>
      <c r="C52" s="16">
        <v>9776000.9299999997</v>
      </c>
      <c r="D52" s="17">
        <v>299158.57000000007</v>
      </c>
      <c r="E52" s="17">
        <v>618586.98</v>
      </c>
      <c r="F52" s="17">
        <v>0</v>
      </c>
      <c r="G52" s="17">
        <v>0</v>
      </c>
      <c r="H52" s="17">
        <v>0</v>
      </c>
      <c r="I52" s="18">
        <f t="shared" si="11"/>
        <v>10693746.48</v>
      </c>
      <c r="J52" s="16">
        <v>0</v>
      </c>
      <c r="K52" s="17">
        <v>10013201.297</v>
      </c>
      <c r="L52" s="17">
        <v>0</v>
      </c>
      <c r="M52" s="18">
        <f t="shared" si="12"/>
        <v>10013201.297</v>
      </c>
      <c r="N52" s="19">
        <v>2824145.1169999996</v>
      </c>
      <c r="O52" s="20">
        <f t="shared" si="13"/>
        <v>17882802.660000004</v>
      </c>
      <c r="P52" s="19">
        <v>-1697616.4776785076</v>
      </c>
      <c r="Q52" s="65">
        <v>366714</v>
      </c>
      <c r="R52" s="20">
        <f t="shared" si="14"/>
        <v>15818472.182321496</v>
      </c>
      <c r="S52" s="19">
        <v>-488036.95999999979</v>
      </c>
      <c r="T52" s="20">
        <f t="shared" si="10"/>
        <v>15330435.222321497</v>
      </c>
      <c r="U52" s="13">
        <v>253108000</v>
      </c>
      <c r="V52" s="14">
        <v>207166000</v>
      </c>
      <c r="W52" s="21">
        <f t="shared" si="15"/>
        <v>460274000</v>
      </c>
      <c r="X52" s="13">
        <v>0</v>
      </c>
      <c r="Y52" s="14">
        <v>53883000</v>
      </c>
      <c r="Z52" s="14">
        <v>19852871</v>
      </c>
      <c r="AA52" s="21">
        <f t="shared" si="16"/>
        <v>73735871</v>
      </c>
      <c r="AB52" s="22">
        <f t="shared" si="17"/>
        <v>386538129</v>
      </c>
      <c r="AC52" s="23">
        <f t="shared" si="18"/>
        <v>3.9660861561011743E-2</v>
      </c>
      <c r="AD52" s="24">
        <v>3.3799999999999997E-2</v>
      </c>
      <c r="AE52" s="25">
        <f t="shared" si="19"/>
        <v>5.8608615610117459E-3</v>
      </c>
    </row>
    <row r="53" spans="1:31" x14ac:dyDescent="0.2">
      <c r="A53" s="15">
        <v>45962</v>
      </c>
      <c r="B53" s="15">
        <v>46023</v>
      </c>
      <c r="C53" s="16">
        <v>8506193.7199999988</v>
      </c>
      <c r="D53" s="17">
        <v>295059.15999999992</v>
      </c>
      <c r="E53" s="17">
        <v>3778212.0999999996</v>
      </c>
      <c r="F53" s="17">
        <v>0</v>
      </c>
      <c r="G53" s="17">
        <v>0</v>
      </c>
      <c r="H53" s="17">
        <v>0</v>
      </c>
      <c r="I53" s="18">
        <f t="shared" si="11"/>
        <v>12579464.979999999</v>
      </c>
      <c r="J53" s="16">
        <v>0</v>
      </c>
      <c r="K53" s="17">
        <v>10549355</v>
      </c>
      <c r="L53" s="17">
        <v>0</v>
      </c>
      <c r="M53" s="18">
        <f t="shared" si="12"/>
        <v>10549355</v>
      </c>
      <c r="N53" s="19">
        <v>5875246.2100000009</v>
      </c>
      <c r="O53" s="20">
        <f t="shared" si="13"/>
        <v>17253573.769999996</v>
      </c>
      <c r="P53" s="19">
        <v>-2550539.322004931</v>
      </c>
      <c r="Q53" s="65">
        <v>139344</v>
      </c>
      <c r="R53" s="20">
        <f t="shared" si="14"/>
        <v>14563690.447995065</v>
      </c>
      <c r="S53" s="19">
        <v>690056.16000000038</v>
      </c>
      <c r="T53" s="20">
        <f t="shared" si="10"/>
        <v>15253746.607995065</v>
      </c>
      <c r="U53" s="13">
        <v>338098000</v>
      </c>
      <c r="V53" s="14">
        <v>221814000</v>
      </c>
      <c r="W53" s="21">
        <f t="shared" si="15"/>
        <v>559912000</v>
      </c>
      <c r="X53" s="13">
        <v>0</v>
      </c>
      <c r="Y53" s="14">
        <v>127655000</v>
      </c>
      <c r="Z53" s="14">
        <v>22881757</v>
      </c>
      <c r="AA53" s="21">
        <f t="shared" si="16"/>
        <v>150536757</v>
      </c>
      <c r="AB53" s="22">
        <f t="shared" si="17"/>
        <v>409375243</v>
      </c>
      <c r="AC53" s="23">
        <f t="shared" si="18"/>
        <v>3.7261038298779255E-2</v>
      </c>
      <c r="AD53" s="24">
        <v>3.3799999999999997E-2</v>
      </c>
      <c r="AE53" s="25">
        <f t="shared" si="19"/>
        <v>3.4610382987792579E-3</v>
      </c>
    </row>
    <row r="54" spans="1:31" x14ac:dyDescent="0.2">
      <c r="A54" s="15">
        <v>45992</v>
      </c>
      <c r="B54" s="15">
        <v>46054</v>
      </c>
      <c r="C54" s="16">
        <v>7484498.2699999986</v>
      </c>
      <c r="D54" s="17">
        <v>422823.41</v>
      </c>
      <c r="E54" s="17">
        <v>5135400.88</v>
      </c>
      <c r="F54" s="17">
        <v>0</v>
      </c>
      <c r="G54" s="17">
        <v>0</v>
      </c>
      <c r="H54" s="17">
        <v>0</v>
      </c>
      <c r="I54" s="18">
        <f t="shared" si="11"/>
        <v>13042722.559999999</v>
      </c>
      <c r="J54" s="16">
        <v>0</v>
      </c>
      <c r="K54" s="17">
        <v>11195248.76</v>
      </c>
      <c r="L54" s="17">
        <v>0</v>
      </c>
      <c r="M54" s="18">
        <f t="shared" si="12"/>
        <v>11195248.76</v>
      </c>
      <c r="N54" s="19">
        <v>2073214.496</v>
      </c>
      <c r="O54" s="20">
        <f t="shared" si="13"/>
        <v>22164756.824000001</v>
      </c>
      <c r="P54" s="19">
        <v>-874632.74927384034</v>
      </c>
      <c r="Q54" s="65">
        <v>347823</v>
      </c>
      <c r="R54" s="20">
        <f t="shared" si="14"/>
        <v>20942301.074726161</v>
      </c>
      <c r="S54" s="19">
        <v>63926.51999999932</v>
      </c>
      <c r="T54" s="20">
        <f t="shared" si="10"/>
        <v>21006227.59472616</v>
      </c>
      <c r="U54" s="13">
        <v>344193000</v>
      </c>
      <c r="V54" s="14">
        <v>239435000</v>
      </c>
      <c r="W54" s="21">
        <f t="shared" si="15"/>
        <v>583628000</v>
      </c>
      <c r="X54" s="13">
        <v>0</v>
      </c>
      <c r="Y54" s="14">
        <v>46709000</v>
      </c>
      <c r="Z54" s="14">
        <v>29924225</v>
      </c>
      <c r="AA54" s="21">
        <f t="shared" si="16"/>
        <v>76633225</v>
      </c>
      <c r="AB54" s="22">
        <f t="shared" si="17"/>
        <v>506994775</v>
      </c>
      <c r="AC54" s="23">
        <f t="shared" si="18"/>
        <v>4.1432828562633923E-2</v>
      </c>
      <c r="AD54" s="24">
        <v>3.3799999999999997E-2</v>
      </c>
      <c r="AE54" s="25">
        <f t="shared" si="19"/>
        <v>7.6328285626339268E-3</v>
      </c>
    </row>
    <row r="55" spans="1:31" x14ac:dyDescent="0.2">
      <c r="A55" s="15">
        <v>46023</v>
      </c>
      <c r="B55" s="15">
        <v>46082</v>
      </c>
      <c r="C55" s="16">
        <v>9351907</v>
      </c>
      <c r="D55" s="17">
        <v>340799</v>
      </c>
      <c r="E55" s="17">
        <v>7836691</v>
      </c>
      <c r="F55" s="17">
        <v>0</v>
      </c>
      <c r="G55" s="17">
        <v>0</v>
      </c>
      <c r="H55" s="17">
        <v>0</v>
      </c>
      <c r="I55" s="18">
        <f t="shared" si="11"/>
        <v>17529397</v>
      </c>
      <c r="J55" s="16">
        <v>0</v>
      </c>
      <c r="K55" s="17">
        <v>25262649</v>
      </c>
      <c r="L55" s="17">
        <v>0</v>
      </c>
      <c r="M55" s="18">
        <f t="shared" si="12"/>
        <v>25262649</v>
      </c>
      <c r="N55" s="27">
        <v>5110906.7319999998</v>
      </c>
      <c r="O55" s="20">
        <f t="shared" si="13"/>
        <v>37681139.267999999</v>
      </c>
      <c r="P55" s="27">
        <v>-1063433.3930292986</v>
      </c>
      <c r="Q55" s="66">
        <v>274062</v>
      </c>
      <c r="R55" s="20">
        <f t="shared" si="14"/>
        <v>36343643.874970704</v>
      </c>
      <c r="S55" s="27">
        <v>4385207.1999999983</v>
      </c>
      <c r="T55" s="20">
        <f>R55+S55-5000000</f>
        <v>35728851.0749707</v>
      </c>
      <c r="U55" s="57">
        <v>388289000</v>
      </c>
      <c r="V55" s="54">
        <v>353041000</v>
      </c>
      <c r="W55" s="21">
        <f t="shared" si="15"/>
        <v>741330000</v>
      </c>
      <c r="X55" s="13">
        <v>0</v>
      </c>
      <c r="Y55" s="54">
        <v>51238000</v>
      </c>
      <c r="Z55" s="54">
        <v>49811801</v>
      </c>
      <c r="AA55" s="21">
        <f t="shared" si="16"/>
        <v>101049801</v>
      </c>
      <c r="AB55" s="22">
        <f t="shared" si="17"/>
        <v>640280199</v>
      </c>
      <c r="AC55" s="23">
        <f t="shared" si="18"/>
        <v>5.580189912287245E-2</v>
      </c>
      <c r="AD55" s="24">
        <v>3.3799999999999997E-2</v>
      </c>
      <c r="AE55" s="25">
        <f t="shared" si="19"/>
        <v>2.2001899122872454E-2</v>
      </c>
    </row>
    <row r="56" spans="1:31" x14ac:dyDescent="0.2">
      <c r="A56" s="15">
        <v>46054</v>
      </c>
      <c r="B56" s="15">
        <v>46113</v>
      </c>
      <c r="C56" s="16">
        <v>7322477</v>
      </c>
      <c r="D56" s="17">
        <v>199795</v>
      </c>
      <c r="E56" s="17">
        <v>9349601</v>
      </c>
      <c r="F56" s="17">
        <v>0</v>
      </c>
      <c r="G56" s="17">
        <v>0</v>
      </c>
      <c r="H56" s="17">
        <v>0</v>
      </c>
      <c r="I56" s="18">
        <f t="shared" si="11"/>
        <v>16871873</v>
      </c>
      <c r="J56" s="16">
        <v>0</v>
      </c>
      <c r="K56" s="17">
        <v>15916294</v>
      </c>
      <c r="L56" s="17">
        <v>0</v>
      </c>
      <c r="M56" s="18">
        <f t="shared" si="12"/>
        <v>15916294</v>
      </c>
      <c r="N56" s="27">
        <v>2420204</v>
      </c>
      <c r="O56" s="20">
        <f t="shared" si="13"/>
        <v>30367963</v>
      </c>
      <c r="P56" s="27">
        <v>-10200292</v>
      </c>
      <c r="Q56" s="66">
        <v>149975</v>
      </c>
      <c r="R56" s="20">
        <f t="shared" si="14"/>
        <v>20017696</v>
      </c>
      <c r="S56" s="27">
        <v>861334</v>
      </c>
      <c r="T56" s="20">
        <f t="shared" si="10"/>
        <v>20879030</v>
      </c>
      <c r="U56" s="57">
        <v>365544000</v>
      </c>
      <c r="V56" s="54">
        <v>149930000</v>
      </c>
      <c r="W56" s="21">
        <f t="shared" si="15"/>
        <v>515474000</v>
      </c>
      <c r="X56" s="13">
        <v>0</v>
      </c>
      <c r="Y56" s="54">
        <v>49154000</v>
      </c>
      <c r="Z56" s="54">
        <v>30752438</v>
      </c>
      <c r="AA56" s="21">
        <f t="shared" si="16"/>
        <v>79906438</v>
      </c>
      <c r="AB56" s="22">
        <f t="shared" si="17"/>
        <v>435567562</v>
      </c>
      <c r="AC56" s="23">
        <f t="shared" si="18"/>
        <v>4.7935227095722066E-2</v>
      </c>
      <c r="AD56" s="24">
        <v>3.3799999999999997E-2</v>
      </c>
      <c r="AE56" s="25">
        <f t="shared" si="19"/>
        <v>1.4135227095722069E-2</v>
      </c>
    </row>
    <row r="57" spans="1:31" x14ac:dyDescent="0.2">
      <c r="A57" s="15">
        <v>46082</v>
      </c>
      <c r="B57" s="15">
        <v>46143</v>
      </c>
      <c r="C57" s="16">
        <v>3048418</v>
      </c>
      <c r="D57" s="17">
        <v>299075</v>
      </c>
      <c r="E57" s="17">
        <v>4890140</v>
      </c>
      <c r="F57" s="17">
        <v>0</v>
      </c>
      <c r="G57" s="17">
        <v>0</v>
      </c>
      <c r="H57" s="17">
        <v>0</v>
      </c>
      <c r="I57" s="18">
        <f t="shared" si="11"/>
        <v>8237633</v>
      </c>
      <c r="J57" s="16">
        <v>0</v>
      </c>
      <c r="K57" s="17">
        <v>9481393</v>
      </c>
      <c r="L57" s="17">
        <v>0</v>
      </c>
      <c r="M57" s="18">
        <f t="shared" si="12"/>
        <v>9481393</v>
      </c>
      <c r="N57" s="27">
        <v>737661</v>
      </c>
      <c r="O57" s="20">
        <f t="shared" si="13"/>
        <v>16981365</v>
      </c>
      <c r="P57" s="27">
        <v>-3803263</v>
      </c>
      <c r="Q57" s="66">
        <v>-4021047</v>
      </c>
      <c r="R57" s="20">
        <f t="shared" si="14"/>
        <v>17199149</v>
      </c>
      <c r="S57" s="27">
        <v>1052945</v>
      </c>
      <c r="T57" s="20">
        <f>R57+S57+1666667</f>
        <v>19918761</v>
      </c>
      <c r="U57" s="57">
        <v>205709000</v>
      </c>
      <c r="V57" s="54">
        <v>232977000</v>
      </c>
      <c r="W57" s="21">
        <f t="shared" si="15"/>
        <v>438686000</v>
      </c>
      <c r="X57" s="13">
        <v>0</v>
      </c>
      <c r="Y57" s="54">
        <v>23906000</v>
      </c>
      <c r="Z57" s="54">
        <v>28330242</v>
      </c>
      <c r="AA57" s="21">
        <f t="shared" si="16"/>
        <v>52236242</v>
      </c>
      <c r="AB57" s="22">
        <f t="shared" si="17"/>
        <v>386449758</v>
      </c>
      <c r="AC57" s="23">
        <f t="shared" si="18"/>
        <v>5.154295115382114E-2</v>
      </c>
      <c r="AD57" s="24">
        <v>3.3799999999999997E-2</v>
      </c>
      <c r="AE57" s="25">
        <f t="shared" si="19"/>
        <v>1.7742951153821143E-2</v>
      </c>
    </row>
    <row r="58" spans="1:31" x14ac:dyDescent="0.2">
      <c r="A58" s="15">
        <v>46113</v>
      </c>
      <c r="B58" s="15">
        <v>46174</v>
      </c>
      <c r="C58" s="16">
        <v>3673705</v>
      </c>
      <c r="D58" s="17">
        <v>289928</v>
      </c>
      <c r="E58" s="17">
        <v>1957193</v>
      </c>
      <c r="F58" s="17">
        <v>0</v>
      </c>
      <c r="G58" s="17">
        <v>0</v>
      </c>
      <c r="H58" s="17">
        <v>0</v>
      </c>
      <c r="I58" s="18">
        <f t="shared" si="11"/>
        <v>5920826</v>
      </c>
      <c r="J58" s="16">
        <v>0</v>
      </c>
      <c r="K58" s="17">
        <v>12136443</v>
      </c>
      <c r="L58" s="17">
        <v>0</v>
      </c>
      <c r="M58" s="18">
        <f t="shared" si="12"/>
        <v>12136443</v>
      </c>
      <c r="N58" s="27">
        <v>892295</v>
      </c>
      <c r="O58" s="20">
        <f t="shared" si="13"/>
        <v>17164974</v>
      </c>
      <c r="P58" s="27">
        <v>-1336905</v>
      </c>
      <c r="Q58" s="66">
        <v>-444299</v>
      </c>
      <c r="R58" s="20">
        <f t="shared" si="14"/>
        <v>16272368</v>
      </c>
      <c r="S58" s="27">
        <v>-587369</v>
      </c>
      <c r="T58" s="20">
        <f>R58+S58+1666667</f>
        <v>17351666</v>
      </c>
      <c r="U58" s="57">
        <v>136719000</v>
      </c>
      <c r="V58" s="54">
        <v>284688000</v>
      </c>
      <c r="W58" s="21">
        <f t="shared" si="15"/>
        <v>421407000</v>
      </c>
      <c r="X58" s="13">
        <v>0</v>
      </c>
      <c r="Y58" s="54">
        <v>26728000</v>
      </c>
      <c r="Z58" s="54">
        <v>27656782</v>
      </c>
      <c r="AA58" s="21">
        <f t="shared" si="16"/>
        <v>54384782</v>
      </c>
      <c r="AB58" s="22">
        <f t="shared" si="17"/>
        <v>367022218</v>
      </c>
      <c r="AC58" s="23">
        <f t="shared" si="18"/>
        <v>4.7276881749976241E-2</v>
      </c>
      <c r="AD58" s="24">
        <v>3.3799999999999997E-2</v>
      </c>
      <c r="AE58" s="25">
        <f t="shared" si="19"/>
        <v>1.3476881749976244E-2</v>
      </c>
    </row>
    <row r="59" spans="1:31" ht="13.5" thickBot="1" x14ac:dyDescent="0.25">
      <c r="A59" s="15">
        <v>46143</v>
      </c>
      <c r="B59" s="15">
        <v>46204</v>
      </c>
      <c r="C59" s="28">
        <v>2925840</v>
      </c>
      <c r="D59" s="29">
        <v>1049253</v>
      </c>
      <c r="E59" s="29">
        <v>2583148</v>
      </c>
      <c r="F59" s="29">
        <v>0</v>
      </c>
      <c r="G59" s="29">
        <v>0</v>
      </c>
      <c r="H59" s="29">
        <v>0</v>
      </c>
      <c r="I59" s="30">
        <f t="shared" si="11"/>
        <v>6558241</v>
      </c>
      <c r="J59" s="28">
        <v>0</v>
      </c>
      <c r="K59" s="29">
        <v>14777658</v>
      </c>
      <c r="L59" s="29">
        <v>0</v>
      </c>
      <c r="M59" s="30">
        <f t="shared" si="12"/>
        <v>14777658</v>
      </c>
      <c r="N59" s="60">
        <v>833354</v>
      </c>
      <c r="O59" s="31">
        <f t="shared" si="13"/>
        <v>20502545</v>
      </c>
      <c r="P59" s="60">
        <v>-2327432</v>
      </c>
      <c r="Q59" s="67">
        <v>-326402</v>
      </c>
      <c r="R59" s="31">
        <f t="shared" si="14"/>
        <v>18501515</v>
      </c>
      <c r="S59" s="60">
        <v>-7130945</v>
      </c>
      <c r="T59" s="31">
        <f>R59+S59+1666667</f>
        <v>13037237</v>
      </c>
      <c r="U59" s="58">
        <v>134702000</v>
      </c>
      <c r="V59" s="59">
        <v>300586000</v>
      </c>
      <c r="W59" s="33">
        <f t="shared" si="15"/>
        <v>435288000</v>
      </c>
      <c r="X59" s="32">
        <v>0</v>
      </c>
      <c r="Y59" s="59">
        <v>20059000</v>
      </c>
      <c r="Z59" s="59">
        <v>27597942</v>
      </c>
      <c r="AA59" s="33">
        <f t="shared" si="16"/>
        <v>47656942</v>
      </c>
      <c r="AB59" s="34">
        <f t="shared" si="17"/>
        <v>387631058</v>
      </c>
      <c r="AC59" s="35">
        <f t="shared" si="18"/>
        <v>3.3633107386353958E-2</v>
      </c>
      <c r="AD59" s="36">
        <v>3.3799999999999997E-2</v>
      </c>
      <c r="AE59" s="37">
        <f t="shared" si="19"/>
        <v>-1.6689261364603858E-4</v>
      </c>
    </row>
  </sheetData>
  <mergeCells count="8">
    <mergeCell ref="C3:T3"/>
    <mergeCell ref="U3:AB3"/>
    <mergeCell ref="AC3:AE3"/>
    <mergeCell ref="C4:I4"/>
    <mergeCell ref="J4:M4"/>
    <mergeCell ref="U4:W4"/>
    <mergeCell ref="X4:AA4"/>
    <mergeCell ref="AC4:A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36FD-B966-4320-B494-88B738AA0B25}">
  <dimension ref="A3:N14"/>
  <sheetViews>
    <sheetView workbookViewId="0">
      <selection activeCell="D20" sqref="D20"/>
    </sheetView>
  </sheetViews>
  <sheetFormatPr defaultRowHeight="15" x14ac:dyDescent="0.25"/>
  <cols>
    <col min="1" max="1" width="14.42578125" bestFit="1" customWidth="1"/>
  </cols>
  <sheetData>
    <row r="3" spans="1:14" ht="27.75" x14ac:dyDescent="0.25">
      <c r="A3" s="118" t="s">
        <v>58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4" ht="15.75" thickBot="1" x14ac:dyDescent="0.3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ht="15.75" thickBot="1" x14ac:dyDescent="0.3">
      <c r="A5" s="39"/>
      <c r="B5" s="40" t="s">
        <v>44</v>
      </c>
      <c r="C5" s="40" t="s">
        <v>45</v>
      </c>
      <c r="D5" s="40" t="s">
        <v>46</v>
      </c>
      <c r="E5" s="40" t="s">
        <v>47</v>
      </c>
      <c r="F5" s="40" t="s">
        <v>48</v>
      </c>
      <c r="G5" s="40" t="s">
        <v>49</v>
      </c>
      <c r="H5" s="40" t="s">
        <v>50</v>
      </c>
      <c r="I5" s="40" t="s">
        <v>51</v>
      </c>
      <c r="J5" s="40" t="s">
        <v>52</v>
      </c>
      <c r="K5" s="40" t="s">
        <v>53</v>
      </c>
      <c r="L5" s="40" t="s">
        <v>54</v>
      </c>
      <c r="M5" s="41" t="s">
        <v>55</v>
      </c>
      <c r="N5" s="41" t="s">
        <v>56</v>
      </c>
    </row>
    <row r="6" spans="1:14" ht="15.75" thickBot="1" x14ac:dyDescent="0.3">
      <c r="A6" s="44" t="s">
        <v>57</v>
      </c>
      <c r="B6" s="45">
        <f>AVERAGE(B12:B14)</f>
        <v>2075.5303209340213</v>
      </c>
      <c r="C6" s="45">
        <f t="shared" ref="C6:H6" si="0">AVERAGE(C12:C14)</f>
        <v>1527.0310330432094</v>
      </c>
      <c r="D6" s="45">
        <f t="shared" si="0"/>
        <v>1236.9883286993452</v>
      </c>
      <c r="E6" s="45">
        <f t="shared" si="0"/>
        <v>785.24751747627045</v>
      </c>
      <c r="F6" s="45">
        <f t="shared" si="0"/>
        <v>858.91210571089903</v>
      </c>
      <c r="G6" s="45">
        <f t="shared" si="0"/>
        <v>1078.8603879729901</v>
      </c>
      <c r="H6" s="45">
        <f t="shared" si="0"/>
        <v>1357.1854311718207</v>
      </c>
      <c r="I6" s="45">
        <f t="shared" ref="I6:N6" si="1">AVERAGE(I11:I13)</f>
        <v>1231.5271529031891</v>
      </c>
      <c r="J6" s="45">
        <f t="shared" si="1"/>
        <v>858.90930559295668</v>
      </c>
      <c r="K6" s="45">
        <f t="shared" si="1"/>
        <v>879.83849801716633</v>
      </c>
      <c r="L6" s="45">
        <f t="shared" si="1"/>
        <v>1051.8458696408993</v>
      </c>
      <c r="M6" s="45">
        <f t="shared" si="1"/>
        <v>1491.9515126242613</v>
      </c>
      <c r="N6" s="45">
        <f t="shared" si="1"/>
        <v>1171.7425683235081</v>
      </c>
    </row>
    <row r="7" spans="1:14" x14ac:dyDescent="0.25">
      <c r="A7" s="40"/>
      <c r="B7" s="40" t="s">
        <v>44</v>
      </c>
      <c r="C7" s="40" t="s">
        <v>45</v>
      </c>
      <c r="D7" s="40" t="s">
        <v>46</v>
      </c>
      <c r="E7" s="40" t="s">
        <v>47</v>
      </c>
      <c r="F7" s="40" t="s">
        <v>48</v>
      </c>
      <c r="G7" s="40" t="s">
        <v>49</v>
      </c>
      <c r="H7" s="40" t="s">
        <v>50</v>
      </c>
      <c r="I7" s="40" t="s">
        <v>51</v>
      </c>
      <c r="J7" s="40" t="s">
        <v>52</v>
      </c>
      <c r="K7" s="40" t="s">
        <v>53</v>
      </c>
      <c r="L7" s="40" t="s">
        <v>54</v>
      </c>
      <c r="M7" s="41" t="s">
        <v>55</v>
      </c>
      <c r="N7" s="41" t="s">
        <v>56</v>
      </c>
    </row>
    <row r="8" spans="1:14" x14ac:dyDescent="0.25">
      <c r="A8" s="42">
        <v>2020</v>
      </c>
      <c r="B8" s="46">
        <v>1610.5797389478716</v>
      </c>
      <c r="C8" s="46">
        <v>1499.8835309519357</v>
      </c>
      <c r="D8" s="46">
        <v>1208.8244340440804</v>
      </c>
      <c r="E8" s="46">
        <v>913.32290468579617</v>
      </c>
      <c r="F8" s="46">
        <v>1140.2080304216531</v>
      </c>
      <c r="G8" s="46">
        <v>1057.1019741006337</v>
      </c>
      <c r="H8" s="46">
        <v>1474.6011830797277</v>
      </c>
      <c r="I8" s="46">
        <v>1316.1274724784623</v>
      </c>
      <c r="J8" s="46">
        <v>971.63528791300212</v>
      </c>
      <c r="K8" s="46">
        <v>782.98990933998618</v>
      </c>
      <c r="L8" s="46">
        <v>1047.0220855071282</v>
      </c>
      <c r="M8" s="46">
        <v>1800.3211579243969</v>
      </c>
      <c r="N8" s="47">
        <f t="shared" ref="N8:N13" si="2">AVERAGE(B8:M8)</f>
        <v>1235.2181424495559</v>
      </c>
    </row>
    <row r="9" spans="1:14" x14ac:dyDescent="0.25">
      <c r="A9" s="42">
        <v>2021</v>
      </c>
      <c r="B9" s="46">
        <v>1868.574600111338</v>
      </c>
      <c r="C9" s="46">
        <v>1765.199796500101</v>
      </c>
      <c r="D9" s="46">
        <v>1215.3143145221079</v>
      </c>
      <c r="E9" s="46">
        <v>897.21892259008268</v>
      </c>
      <c r="F9" s="46">
        <v>890.98667584370116</v>
      </c>
      <c r="G9" s="46">
        <v>1031.9339774557166</v>
      </c>
      <c r="H9" s="46">
        <v>1289.4117466289904</v>
      </c>
      <c r="I9" s="46">
        <v>1297.14662822481</v>
      </c>
      <c r="J9" s="46">
        <v>1000.3718243420313</v>
      </c>
      <c r="K9" s="46">
        <v>811.86255235298086</v>
      </c>
      <c r="L9" s="46">
        <v>1211.1137812836787</v>
      </c>
      <c r="M9" s="46">
        <v>1506.6897263964556</v>
      </c>
      <c r="N9" s="47">
        <f t="shared" si="2"/>
        <v>1232.1520455209995</v>
      </c>
    </row>
    <row r="10" spans="1:14" x14ac:dyDescent="0.25">
      <c r="A10" s="42">
        <v>2022</v>
      </c>
      <c r="B10" s="46">
        <v>1911.4675184855666</v>
      </c>
      <c r="C10" s="46">
        <v>1657.287751633889</v>
      </c>
      <c r="D10" s="46">
        <v>1201.6518019030493</v>
      </c>
      <c r="E10" s="46">
        <v>955.90007727917293</v>
      </c>
      <c r="F10" s="46">
        <v>868.18867697581584</v>
      </c>
      <c r="G10" s="46">
        <v>1087.1351709594819</v>
      </c>
      <c r="H10" s="46">
        <v>1253.8617245797843</v>
      </c>
      <c r="I10" s="46">
        <v>1235.9636455726825</v>
      </c>
      <c r="J10" s="46">
        <v>929.75668351778472</v>
      </c>
      <c r="K10" s="46">
        <v>895.12687349892076</v>
      </c>
      <c r="L10" s="46">
        <v>1134.6019128360567</v>
      </c>
      <c r="M10" s="46">
        <v>1704.2824012883034</v>
      </c>
      <c r="N10" s="47">
        <f t="shared" si="2"/>
        <v>1236.268686544209</v>
      </c>
    </row>
    <row r="11" spans="1:14" x14ac:dyDescent="0.25">
      <c r="A11" s="42">
        <v>2023</v>
      </c>
      <c r="B11" s="46">
        <v>1646.7612702659562</v>
      </c>
      <c r="C11" s="46">
        <v>1239.5517220345703</v>
      </c>
      <c r="D11" s="46">
        <v>1174.6128743378413</v>
      </c>
      <c r="E11" s="46">
        <v>896.26793729662177</v>
      </c>
      <c r="F11" s="46">
        <v>777.44748764415158</v>
      </c>
      <c r="G11" s="46">
        <v>851.44934260816387</v>
      </c>
      <c r="H11" s="46">
        <v>1227.2153262913309</v>
      </c>
      <c r="I11" s="46">
        <v>1233.9408872636216</v>
      </c>
      <c r="J11" s="46">
        <v>883.49976702796425</v>
      </c>
      <c r="K11" s="46">
        <v>888.52816287849839</v>
      </c>
      <c r="L11" s="46">
        <v>1091.3989607213816</v>
      </c>
      <c r="M11" s="46">
        <v>1479.0018855681515</v>
      </c>
      <c r="N11" s="47">
        <f t="shared" si="2"/>
        <v>1115.8063019948543</v>
      </c>
    </row>
    <row r="12" spans="1:14" x14ac:dyDescent="0.25">
      <c r="A12" s="42">
        <v>2024</v>
      </c>
      <c r="B12" s="46">
        <v>1936.1066406369155</v>
      </c>
      <c r="C12" s="46">
        <v>1424.4790845537505</v>
      </c>
      <c r="D12" s="46">
        <v>1152.1886446606688</v>
      </c>
      <c r="E12" s="46">
        <v>798.9561255303696</v>
      </c>
      <c r="F12" s="46">
        <v>1007.203576456905</v>
      </c>
      <c r="G12" s="46">
        <v>968.36616353068212</v>
      </c>
      <c r="H12" s="46">
        <v>1347.7827656905047</v>
      </c>
      <c r="I12" s="46">
        <v>1258.963298893384</v>
      </c>
      <c r="J12" s="46">
        <v>864.9880971492787</v>
      </c>
      <c r="K12" s="46">
        <v>858.31000863406098</v>
      </c>
      <c r="L12" s="46">
        <v>1013.0035394847489</v>
      </c>
      <c r="M12" s="46">
        <v>1567.0713936579702</v>
      </c>
      <c r="N12" s="47">
        <f t="shared" si="2"/>
        <v>1183.1182782399367</v>
      </c>
    </row>
    <row r="13" spans="1:14" x14ac:dyDescent="0.25">
      <c r="A13" s="43">
        <v>2025</v>
      </c>
      <c r="B13" s="48">
        <v>2179.4770758439618</v>
      </c>
      <c r="C13" s="48">
        <v>1448.096720523251</v>
      </c>
      <c r="D13" s="48">
        <v>1412.5539653642566</v>
      </c>
      <c r="E13" s="48">
        <v>810.86810972339288</v>
      </c>
      <c r="F13" s="48">
        <v>668.91737865493712</v>
      </c>
      <c r="G13" s="48">
        <v>1287.2863765308241</v>
      </c>
      <c r="H13" s="48">
        <v>1384.9268551318205</v>
      </c>
      <c r="I13" s="48">
        <v>1201.6772725525618</v>
      </c>
      <c r="J13" s="48">
        <v>828.24005260162721</v>
      </c>
      <c r="K13" s="48">
        <v>892.67732253893985</v>
      </c>
      <c r="L13" s="48">
        <v>1051.1351087165672</v>
      </c>
      <c r="M13" s="48">
        <v>1429.7812586466628</v>
      </c>
      <c r="N13" s="47">
        <f t="shared" si="2"/>
        <v>1216.3031247357337</v>
      </c>
    </row>
    <row r="14" spans="1:14" x14ac:dyDescent="0.25">
      <c r="A14" s="43">
        <v>2026</v>
      </c>
      <c r="B14" s="48">
        <v>2111.0072463211873</v>
      </c>
      <c r="C14" s="48">
        <v>1708.5172940526268</v>
      </c>
      <c r="D14" s="48">
        <v>1146.2223760731099</v>
      </c>
      <c r="E14" s="48">
        <v>745.91831717504897</v>
      </c>
      <c r="F14" s="48">
        <v>900.61536202085472</v>
      </c>
      <c r="G14" s="48">
        <v>980.928623857464</v>
      </c>
      <c r="H14" s="48">
        <v>1338.8466726931367</v>
      </c>
      <c r="I14" s="48"/>
      <c r="J14" s="48"/>
      <c r="K14" s="48"/>
      <c r="L14" s="48"/>
      <c r="M14" s="48"/>
      <c r="N14" s="48"/>
    </row>
  </sheetData>
  <mergeCells count="1">
    <mergeCell ref="A3:N3"/>
  </mergeCells>
  <pageMargins left="0.7" right="0.7" top="0.75" bottom="0.75" header="0.3" footer="0.3"/>
  <ignoredErrors>
    <ignoredError sqref="N8 N9:N13 B6:M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zM5QUUxODc3LTg4MDktNDUyOS04N0ZFLTkxNjE5NkREOEVENH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zODM3ODE8L1VzZXJOYW1lPjxEYXRlVGltZT45LzEvMjAyNiAzOjMzOjQ1IFBNPC9EYXRlVGltZT48TGFiZWxTdHJpbmc+QUVQIEludGVybmFsPC9MYWJlbFN0cmluZz48L2l0ZW0+PC9sYWJlbEhpc3Rvcnk+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0tAcaM2Z1uytTA6XdFelSbXOAlMnMnmkb/P6OFvPmq0=</DigestValue>
      </Reference>
      <Reference URI="#CLASSIFICATIONHISTORY">
        <DigestMethod Algorithm="http://www.w3.org/2001/04/xmlenc#sha256"/>
        <DigestValue>WE+ya+9v6VckZyqQqpmRwY97YE7BAb6YWzQ9/v5m80k=</DigestValue>
      </Reference>
    </SignedInfo>
    <SignatureValue>jxJ4NkqcQrd89CCcSe68q6eBY0nj/tG6wgzmbDfn10rL2prkAyWA1LeJh4rxLtHLPEwE4rOrbAVsZWNWH1SWng==</SignatureValue>
    <Object Id="CLASSIFICATIONHISTORY">
      <ArrayOfString xmlns:xsd="http://www.w3.org/2001/XMLSchema" xmlns:xsi="http://www.w3.org/2001/XMLSchema-instance" xmlns="">
        <string>+qWzD04zMH7Q4/LSedpAoDLboZEn0YEq</string>
      </ArrayOfString>
    </Object>
  </Signature>
</WrappedLabelHistory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Props1.xml><?xml version="1.0" encoding="utf-8"?>
<ds:datastoreItem xmlns:ds="http://schemas.openxmlformats.org/officeDocument/2006/customXml" ds:itemID="{0D9A57BF-D1FD-4BCD-9AB5-06E52506F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C2A988-E9CF-4DF5-A7A0-92F1026A4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1BF474-7021-488C-8AF8-29E67F4C33EA}">
  <ds:schemaRefs>
    <ds:schemaRef ds:uri="http://purl.org/dc/elements/1.1/"/>
    <ds:schemaRef ds:uri="b6888f76-1100-40b0-929b-1efe9044426d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88ffb1c-9230-4705-a789-27bae69f5829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9AE1877-8809-4529-87FE-916196DD8ED4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5.xml><?xml version="1.0" encoding="utf-8"?>
<ds:datastoreItem xmlns:ds="http://schemas.openxmlformats.org/officeDocument/2006/customXml" ds:itemID="{E5B241C6-494C-4CFF-9FD7-44DD9B1E92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Chart</vt:lpstr>
      <vt:lpstr>As Filed FAC Rates</vt:lpstr>
      <vt:lpstr>Residential Average Usage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J.D. Cullop</dc:creator>
  <cp:lastModifiedBy>J.D. Cullop</cp:lastModifiedBy>
  <dcterms:created xsi:type="dcterms:W3CDTF">2026-09-01T14:38:31Z</dcterms:created>
  <dcterms:modified xsi:type="dcterms:W3CDTF">2026-09-11T17:37:56Z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fa5e9b11-e33f-4900-bb06-a2ce6cd09d51</vt:lpwstr>
  </property>
  <property fmtid="{D5CDD505-2E9C-101B-9397-08002B2CF9AE}" pid="3" name="bjClsUserRVM">
    <vt:lpwstr>[]</vt:lpwstr>
  </property>
  <property fmtid="{D5CDD505-2E9C-101B-9397-08002B2CF9AE}" pid="4" name="bjSaver">
    <vt:lpwstr>U7bCFXZ+jPoRXT7ibvnAQbE5NnsCQXB+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pmDocIH">
    <vt:lpwstr>UlCBV6MZkbRiHma6CQZ9UtsxQkWfju0H</vt:lpwstr>
  </property>
  <property fmtid="{D5CDD505-2E9C-101B-9397-08002B2CF9AE}" pid="12" name="bjLabelHistoryID">
    <vt:lpwstr>{39AE1877-8809-4529-87FE-916196DD8ED4}</vt:lpwstr>
  </property>
  <property fmtid="{D5CDD505-2E9C-101B-9397-08002B2CF9AE}" pid="13" name="ContentTypeId">
    <vt:lpwstr>0x0101004DF805D1E1DA4A49A223477D3B105720</vt:lpwstr>
  </property>
  <property fmtid="{D5CDD505-2E9C-101B-9397-08002B2CF9AE}" pid="14" name="MediaServiceImageTags">
    <vt:lpwstr/>
  </property>
</Properties>
</file>