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mc:AlternateContent xmlns:mc="http://schemas.openxmlformats.org/markup-compatibility/2006">
    <mc:Choice Requires="x15">
      <x15ac:absPath xmlns:x15ac="http://schemas.microsoft.com/office/spreadsheetml/2010/11/ac" url="Q:\CN2022\CN-00180 - Gas Supply Clause\1 - Efile 6.30.22\"/>
    </mc:Choice>
  </mc:AlternateContent>
  <xr:revisionPtr revIDLastSave="0" documentId="13_ncr:1_{B85D35E7-E0BA-4308-BA4A-2468D95ADF31}" xr6:coauthVersionLast="47" xr6:coauthVersionMax="47" xr10:uidLastSave="{00000000-0000-0000-0000-000000000000}"/>
  <bookViews>
    <workbookView xWindow="-110" yWindow="-110" windowWidth="19420" windowHeight="10420" tabRatio="867" firstSheet="11" activeTab="11" xr2:uid="{00000000-000D-0000-FFFF-FFFF00000000}"/>
  </bookViews>
  <sheets>
    <sheet name="Change Version Control Log" sheetId="60" state="hidden" r:id="rId1"/>
    <sheet name="A216810396964DCDB399904ED81BA8E" sheetId="61" state="veryHidden" r:id="rId2"/>
    <sheet name="Typical Bill" sheetId="44" state="hidden" r:id="rId3"/>
    <sheet name="Databases &gt;" sheetId="49" state="hidden" r:id="rId4"/>
    <sheet name="Input Data" sheetId="5" state="hidden" r:id="rId5"/>
    <sheet name="Case Database" sheetId="16" state="hidden" r:id="rId6"/>
    <sheet name="Forecast" sheetId="33" state="hidden" r:id="rId7"/>
    <sheet name="Sales Volumes" sheetId="41" state="hidden" r:id="rId8"/>
    <sheet name="FT Data" sheetId="48" state="hidden" r:id="rId9"/>
    <sheet name="TS-2 Data" sheetId="47" state="hidden" r:id="rId10"/>
    <sheet name="FILING &gt;" sheetId="50" state="hidden" r:id="rId11"/>
    <sheet name="Cover Sheet" sheetId="40" r:id="rId12"/>
    <sheet name="Summary Sheet" sheetId="1" r:id="rId13"/>
    <sheet name="Exhibit A-1 Write-Up" sheetId="54" state="hidden" r:id="rId14"/>
    <sheet name="Ex A 1 of 2" sheetId="2" r:id="rId15"/>
    <sheet name="Ex A 2 of 2" sheetId="3" r:id="rId16"/>
    <sheet name="Exhibit B Write-Up" sheetId="59" state="hidden" r:id="rId17"/>
    <sheet name="Ex B-1 1 of 7" sheetId="4" r:id="rId18"/>
    <sheet name="Ex B-1 2 of 7" sheetId="6" r:id="rId19"/>
    <sheet name="Ex B-1 3 of 7" sheetId="45" r:id="rId20"/>
    <sheet name="Ex B-1 4 of 7" sheetId="7" r:id="rId21"/>
    <sheet name="Ex B-1 5 of 7" sheetId="8" r:id="rId22"/>
    <sheet name="Ex B-1 6 of 7" sheetId="52" r:id="rId23"/>
    <sheet name="Ex B-1 7 of 7" sheetId="51" r:id="rId24"/>
    <sheet name="Exhibit C Write-Up" sheetId="58" state="hidden" r:id="rId25"/>
    <sheet name="Ex C-1 1 of 3" sheetId="9" r:id="rId26"/>
    <sheet name="Ex C-1 2 of 3" sheetId="10" r:id="rId27"/>
    <sheet name="Ex C-1 3 of 3" sheetId="37" r:id="rId28"/>
    <sheet name="Exhibit D Write-Up" sheetId="57" state="hidden" r:id="rId29"/>
    <sheet name="Ex D-1 1 of 2" sheetId="11" r:id="rId30"/>
    <sheet name="Ex D-1 2 of 2" sheetId="34" r:id="rId31"/>
    <sheet name="Exhibit E Write-Up" sheetId="56" state="hidden" r:id="rId32"/>
    <sheet name="Ex E-1 1 of 1" sheetId="12" r:id="rId33"/>
    <sheet name="Ex E-1 2 of 2" sheetId="36" r:id="rId34"/>
    <sheet name="Exhibit F Write-Up" sheetId="55" state="hidden" r:id="rId35"/>
    <sheet name="Ex F-1 1 of 1" sheetId="39" r:id="rId36"/>
    <sheet name="Effective Rates" sheetId="14" r:id="rId37"/>
    <sheet name="FT Rate Summary" sheetId="15" r:id="rId38"/>
    <sheet name="Rate LGDS" sheetId="53" r:id="rId39"/>
  </sheets>
  <definedNames>
    <definedName name="_xlnm._FilterDatabase" localSheetId="1" hidden="1">A216810396964DCDB399904ED81BA8E!$A$1:$C$1</definedName>
    <definedName name="_ftn1" localSheetId="13">'Exhibit A-1 Write-Up'!#REF!</definedName>
    <definedName name="_ftnref1" localSheetId="13">'Exhibit A-1 Write-Up'!#REF!</definedName>
    <definedName name="_xlnm.Print_Area" localSheetId="5">'Case Database'!$A$1:$F$71</definedName>
    <definedName name="_xlnm.Print_Area" localSheetId="0">'Change Version Control Log'!$A$1:$I$142</definedName>
    <definedName name="_xlnm.Print_Area" localSheetId="36">'Effective Rates'!$A$1:$U$134</definedName>
    <definedName name="_xlnm.Print_Area" localSheetId="14">'Ex A 1 of 2'!$A$1:$G$77</definedName>
    <definedName name="_xlnm.Print_Area" localSheetId="15">'Ex A 2 of 2'!$A$9:$F$58</definedName>
    <definedName name="_xlnm.Print_Area" localSheetId="17">'Ex B-1 1 of 7'!$A$1:$G$31</definedName>
    <definedName name="_xlnm.Print_Area" localSheetId="18">'Ex B-1 2 of 7'!$A$1:$N$29</definedName>
    <definedName name="_xlnm.Print_Area" localSheetId="19">'Ex B-1 3 of 7'!$A$1:$N$28</definedName>
    <definedName name="_xlnm.Print_Area" localSheetId="20">'Ex B-1 4 of 7'!$A$1:$N$29</definedName>
    <definedName name="_xlnm.Print_Area" localSheetId="21">'Ex B-1 5 of 7'!$A$1:$I$35</definedName>
    <definedName name="_xlnm.Print_Area" localSheetId="25">'Ex C-1 1 of 3'!$A$1:$D$29</definedName>
    <definedName name="_xlnm.Print_Area" localSheetId="26">'Ex C-1 2 of 3'!$A$1:$H$29</definedName>
    <definedName name="_xlnm.Print_Area" localSheetId="27">'Ex C-1 3 of 3'!$A$6:$H$27</definedName>
    <definedName name="_xlnm.Print_Area" localSheetId="29">'Ex D-1 1 of 2'!$A$1:$J$21</definedName>
    <definedName name="_xlnm.Print_Area" localSheetId="30">'Ex D-1 2 of 2'!$A$1:$H$35</definedName>
    <definedName name="_xlnm.Print_Area" localSheetId="32">'Ex E-1 1 of 1'!$A$1:$E$24</definedName>
    <definedName name="_xlnm.Print_Area" localSheetId="33">'Ex E-1 2 of 2'!$A$1:$K$33</definedName>
    <definedName name="_xlnm.Print_Area" localSheetId="35">'Ex F-1 1 of 1'!$A$1:$F$22</definedName>
    <definedName name="_xlnm.Print_Area" localSheetId="13">'Exhibit A-1 Write-Up'!$A$1:$K$132</definedName>
    <definedName name="_xlnm.Print_Area" localSheetId="16">'Exhibit B Write-Up'!$B$1:$I$33</definedName>
    <definedName name="_xlnm.Print_Area" localSheetId="8">'FT Data'!$A$1:$BJ$10</definedName>
    <definedName name="_xlnm.Print_Area" localSheetId="37">'FT Rate Summary'!$A$1:$I$58</definedName>
    <definedName name="_xlnm.Print_Area" localSheetId="4">'Input Data'!$B$1:$D$16</definedName>
    <definedName name="_xlnm.Print_Area" localSheetId="38">'Rate LGDS'!$A$1:$I$57</definedName>
    <definedName name="_xlnm.Print_Area" localSheetId="7">'Sales Volumes'!$A$1:$H$14</definedName>
    <definedName name="_xlnm.Print_Area" localSheetId="12">'Summary Sheet'!$A$1:$K$59</definedName>
    <definedName name="_xlnm.Print_Titles" localSheetId="5">'Case Database'!$3:$3</definedName>
    <definedName name="_xlnm.Print_Titles" localSheetId="0">'Change Version Control Log'!$1:$2</definedName>
    <definedName name="_xlnm.Print_Titles" localSheetId="7">'Sales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4" l="1"/>
  <c r="I11" i="4"/>
  <c r="J11" i="4" s="1"/>
  <c r="K11" i="4"/>
  <c r="Q11" i="4" s="1"/>
  <c r="N11" i="4"/>
  <c r="P11" i="4"/>
  <c r="I12" i="4"/>
  <c r="J12" i="4" s="1"/>
  <c r="I13" i="4"/>
  <c r="J13" i="4" s="1"/>
  <c r="I14" i="4"/>
  <c r="J14" i="4" s="1"/>
  <c r="F26" i="3"/>
  <c r="L11" i="4" l="1"/>
  <c r="O11" i="4"/>
  <c r="I15" i="4"/>
  <c r="P14" i="4"/>
  <c r="P12" i="4"/>
  <c r="N14" i="4"/>
  <c r="O14" i="4" s="1"/>
  <c r="N13" i="4"/>
  <c r="O13" i="4" s="1"/>
  <c r="N12" i="4"/>
  <c r="O12" i="4" s="1"/>
  <c r="P13" i="4"/>
  <c r="K14" i="4"/>
  <c r="K13" i="4"/>
  <c r="L13" i="4" s="1"/>
  <c r="K12" i="4"/>
  <c r="L12" i="4" s="1"/>
  <c r="J15" i="4" l="1"/>
  <c r="K15" i="4"/>
  <c r="I16" i="4"/>
  <c r="N15" i="4"/>
  <c r="P15" i="4"/>
  <c r="Q12" i="4"/>
  <c r="Q13" i="4"/>
  <c r="Q14" i="4"/>
  <c r="L14" i="4"/>
  <c r="L15" i="4" l="1"/>
  <c r="O15" i="4"/>
  <c r="Q15" i="4"/>
  <c r="I17" i="4"/>
  <c r="J16" i="4"/>
  <c r="K16" i="4"/>
  <c r="N16" i="4"/>
  <c r="P16" i="4"/>
  <c r="J17" i="4" l="1"/>
  <c r="K17" i="4"/>
  <c r="P17" i="4"/>
  <c r="N17" i="4"/>
  <c r="I18" i="4"/>
  <c r="L16" i="4"/>
  <c r="O16" i="4"/>
  <c r="Q16" i="4"/>
  <c r="Q17" i="4" l="1"/>
  <c r="L17" i="4"/>
  <c r="O17" i="4"/>
  <c r="J18" i="4"/>
  <c r="K18" i="4"/>
  <c r="N18" i="4"/>
  <c r="P18" i="4"/>
  <c r="I19" i="4"/>
  <c r="Q18" i="4" l="1"/>
  <c r="I20" i="4"/>
  <c r="J19" i="4"/>
  <c r="K19" i="4"/>
  <c r="P19" i="4"/>
  <c r="N19" i="4"/>
  <c r="L18" i="4"/>
  <c r="O18" i="4"/>
  <c r="Q19" i="4" l="1"/>
  <c r="L19" i="4"/>
  <c r="O19" i="4"/>
  <c r="J20" i="4"/>
  <c r="K20" i="4"/>
  <c r="N20" i="4"/>
  <c r="P20" i="4"/>
  <c r="I21" i="4"/>
  <c r="Q20" i="4" l="1"/>
  <c r="I22" i="4"/>
  <c r="J21" i="4"/>
  <c r="K21" i="4"/>
  <c r="P21" i="4"/>
  <c r="N21" i="4"/>
  <c r="L20" i="4"/>
  <c r="O20" i="4"/>
  <c r="Q21" i="4" l="1"/>
  <c r="L21" i="4"/>
  <c r="O21" i="4"/>
  <c r="J22" i="4"/>
  <c r="K22" i="4"/>
  <c r="N22" i="4"/>
  <c r="N23" i="4" s="1"/>
  <c r="N25" i="4" s="1"/>
  <c r="P22" i="4"/>
  <c r="P23" i="4" s="1"/>
  <c r="Q22" i="4" l="1"/>
  <c r="L22" i="4"/>
  <c r="L25" i="4" s="1"/>
  <c r="O25" i="4" s="1"/>
  <c r="O22" i="4"/>
  <c r="C205" i="5" l="1"/>
  <c r="U27" i="44" l="1"/>
  <c r="U21" i="44"/>
  <c r="U19" i="44"/>
  <c r="G16" i="36"/>
  <c r="D27" i="34" l="1"/>
  <c r="F13" i="10"/>
  <c r="E26" i="34" l="1"/>
  <c r="E25" i="34"/>
  <c r="E24" i="34"/>
  <c r="D26" i="34"/>
  <c r="D25" i="34"/>
  <c r="D24" i="34"/>
  <c r="E20" i="37"/>
  <c r="D22" i="37"/>
  <c r="D21" i="37"/>
  <c r="D20" i="37"/>
  <c r="D21" i="10"/>
  <c r="D20" i="10"/>
  <c r="D19" i="10"/>
  <c r="D18" i="10"/>
  <c r="D17" i="10"/>
  <c r="D16" i="10"/>
  <c r="D15" i="10"/>
  <c r="D14" i="10"/>
  <c r="D13" i="10"/>
  <c r="D24" i="10"/>
  <c r="D23" i="10"/>
  <c r="D22" i="10"/>
  <c r="F91" i="16" l="1"/>
  <c r="B6" i="36" l="1"/>
  <c r="D135" i="5" l="1"/>
  <c r="C5" i="5" l="1"/>
  <c r="F92" i="16"/>
  <c r="B92" i="16"/>
  <c r="B91" i="16" l="1"/>
  <c r="B17" i="59"/>
  <c r="F187" i="5" l="1"/>
  <c r="E187" i="5"/>
  <c r="F13" i="3"/>
  <c r="F90" i="16" l="1"/>
  <c r="Q203" i="5" l="1"/>
  <c r="T203" i="5" s="1"/>
  <c r="O203" i="5"/>
  <c r="R203" i="5" s="1"/>
  <c r="E176" i="5" l="1"/>
  <c r="E177" i="5"/>
  <c r="E178" i="5"/>
  <c r="E179" i="5"/>
  <c r="E180" i="5"/>
  <c r="E181" i="5"/>
  <c r="E182" i="5"/>
  <c r="E183" i="5"/>
  <c r="E184" i="5"/>
  <c r="E185" i="5"/>
  <c r="E186" i="5"/>
  <c r="E175" i="5"/>
  <c r="B90" i="16" l="1"/>
  <c r="S23" i="14" l="1"/>
  <c r="S35" i="14" s="1"/>
  <c r="G19" i="44"/>
  <c r="N19" i="44"/>
  <c r="S32" i="14" l="1"/>
  <c r="S41" i="14" s="1"/>
  <c r="S42" i="14" s="1"/>
  <c r="S24" i="14"/>
  <c r="S26" i="14"/>
  <c r="S33" i="14"/>
  <c r="S66" i="14"/>
  <c r="S73" i="14" s="1"/>
  <c r="C18" i="5"/>
  <c r="F89" i="16"/>
  <c r="B89" i="16"/>
  <c r="S85" i="14" l="1"/>
  <c r="S92" i="14" s="1"/>
  <c r="S51" i="14"/>
  <c r="S50" i="14"/>
  <c r="S59" i="14" s="1"/>
  <c r="S53" i="14"/>
  <c r="S44" i="14"/>
  <c r="J16" i="7"/>
  <c r="C103" i="5" l="1"/>
  <c r="F88" i="16" l="1"/>
  <c r="B88" i="16"/>
  <c r="F87" i="16" l="1"/>
  <c r="B87" i="16"/>
  <c r="E103" i="5" l="1"/>
  <c r="U7" i="44" l="1"/>
  <c r="G6" i="48" l="1"/>
  <c r="F6" i="48"/>
  <c r="K44" i="14" l="1"/>
  <c r="K24" i="14"/>
  <c r="K33" i="14" l="1"/>
  <c r="B176" i="5"/>
  <c r="B177" i="5" s="1"/>
  <c r="B178" i="5" s="1"/>
  <c r="B179" i="5" s="1"/>
  <c r="B180" i="5" s="1"/>
  <c r="B181" i="5" s="1"/>
  <c r="B182" i="5" s="1"/>
  <c r="B183" i="5" s="1"/>
  <c r="B184" i="5" s="1"/>
  <c r="B185" i="5" s="1"/>
  <c r="B186" i="5" s="1"/>
  <c r="B175" i="5"/>
  <c r="D103" i="5" l="1"/>
  <c r="D96" i="5"/>
  <c r="E96" i="5"/>
  <c r="C96" i="5"/>
  <c r="B84" i="41" l="1"/>
  <c r="B85" i="41"/>
  <c r="B86" i="41"/>
  <c r="F7" i="48"/>
  <c r="G7" i="48"/>
  <c r="O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6" i="3"/>
  <c r="D15" i="3"/>
  <c r="C15" i="3"/>
  <c r="F15" i="3" s="1"/>
  <c r="D14" i="3"/>
  <c r="C14" i="3"/>
  <c r="D13" i="3"/>
  <c r="C13" i="3"/>
  <c r="E69" i="2"/>
  <c r="D69" i="2"/>
  <c r="C69" i="2"/>
  <c r="E68" i="2"/>
  <c r="D68" i="2"/>
  <c r="C68" i="2"/>
  <c r="E67" i="2"/>
  <c r="D67" i="2"/>
  <c r="C67" i="2"/>
  <c r="E14" i="2"/>
  <c r="E13" i="2"/>
  <c r="D14" i="2"/>
  <c r="D13" i="2"/>
  <c r="C14" i="2"/>
  <c r="C13" i="2"/>
  <c r="E10" i="2"/>
  <c r="D10" i="2"/>
  <c r="C10" i="2"/>
  <c r="E9" i="2"/>
  <c r="D9" i="2"/>
  <c r="C9" i="2"/>
  <c r="E8" i="2"/>
  <c r="D8" i="2"/>
  <c r="C8" i="2"/>
  <c r="C91" i="5" l="1"/>
  <c r="D91" i="5" s="1"/>
  <c r="E91" i="5" s="1"/>
  <c r="L10" i="11" l="1"/>
  <c r="C2" i="16" l="1"/>
  <c r="D2" i="16" s="1"/>
  <c r="E2" i="16" s="1"/>
  <c r="F2" i="16" s="1"/>
  <c r="G2" i="16" s="1"/>
  <c r="H2" i="16" s="1"/>
  <c r="I2" i="16" s="1"/>
  <c r="J2" i="16" s="1"/>
  <c r="K2" i="16" s="1"/>
  <c r="L2" i="16" s="1"/>
  <c r="M2" i="16" s="1"/>
  <c r="N2" i="16" s="1"/>
  <c r="O2" i="16" s="1"/>
  <c r="P2" i="16" s="1"/>
  <c r="Q2" i="16" s="1"/>
  <c r="B2" i="16"/>
  <c r="C79" i="5"/>
  <c r="C108" i="5" l="1"/>
  <c r="C73" i="5"/>
  <c r="D79" i="5"/>
  <c r="D73" i="5" s="1"/>
  <c r="C23" i="5"/>
  <c r="D23" i="5" s="1"/>
  <c r="E23" i="5" s="1"/>
  <c r="B3" i="55"/>
  <c r="B17" i="55"/>
  <c r="B15" i="55"/>
  <c r="B3" i="58" l="1"/>
  <c r="B3" i="59"/>
  <c r="D108" i="5"/>
  <c r="E79" i="5"/>
  <c r="B3" i="57"/>
  <c r="B3" i="56"/>
  <c r="B5" i="54"/>
  <c r="B3" i="54"/>
  <c r="E108" i="5" l="1"/>
  <c r="E73"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66" i="14"/>
  <c r="D21" i="2" l="1"/>
  <c r="E21" i="2"/>
  <c r="C21" i="2"/>
  <c r="D20" i="2"/>
  <c r="E20" i="2"/>
  <c r="C20" i="2"/>
  <c r="B57" i="41" l="1"/>
  <c r="B58" i="41"/>
  <c r="B59" i="41"/>
  <c r="F77" i="16" l="1"/>
  <c r="B77" i="16"/>
  <c r="H23" i="6" l="1"/>
  <c r="C43" i="44" l="1"/>
  <c r="C33" i="44"/>
  <c r="Q85" i="14" l="1"/>
  <c r="G83" i="14"/>
  <c r="G71" i="14"/>
  <c r="G64"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91" i="14" l="1"/>
  <c r="Q73" i="14" l="1"/>
  <c r="G53" i="53" l="1"/>
  <c r="G52" i="53"/>
  <c r="G51" i="53"/>
  <c r="G50" i="53"/>
  <c r="G49" i="53"/>
  <c r="G46" i="53"/>
  <c r="G45" i="53"/>
  <c r="G44" i="53"/>
  <c r="G43" i="53"/>
  <c r="A6" i="53"/>
  <c r="K55" i="3" l="1"/>
  <c r="F53" i="3" s="1"/>
  <c r="Q92" i="14" l="1"/>
  <c r="Q53" i="14"/>
  <c r="Q51" i="14"/>
  <c r="Q50" i="14"/>
  <c r="Q59" i="14" s="1"/>
  <c r="Q44" i="14"/>
  <c r="Q42" i="14"/>
  <c r="Q35" i="14"/>
  <c r="Q33" i="14"/>
  <c r="Q32" i="14"/>
  <c r="Q26" i="14"/>
  <c r="Q24" i="14"/>
  <c r="G90" i="14" l="1"/>
  <c r="B42" i="41" l="1"/>
  <c r="B43" i="41"/>
  <c r="B44" i="41"/>
  <c r="F72" i="16" l="1"/>
  <c r="B72" i="16"/>
  <c r="B39" i="41" l="1"/>
  <c r="B40" i="41"/>
  <c r="B41" i="41"/>
  <c r="F71" i="16" l="1"/>
  <c r="B71" i="16"/>
  <c r="C46" i="2" l="1"/>
  <c r="F70" i="16" l="1"/>
  <c r="B70" i="16"/>
  <c r="B36" i="41" l="1"/>
  <c r="B37" i="41"/>
  <c r="B38" i="41"/>
  <c r="A9" i="2" l="1"/>
  <c r="A10" i="2" s="1"/>
  <c r="A11" i="2" s="1"/>
  <c r="I32" i="8" l="1"/>
  <c r="I18" i="8"/>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C50" i="2" l="1"/>
  <c r="C49" i="2"/>
  <c r="C45" i="2"/>
  <c r="A13" i="2"/>
  <c r="A14" i="2" s="1"/>
  <c r="A15" i="2" s="1"/>
  <c r="A19" i="2" s="1"/>
  <c r="A20" i="2" s="1"/>
  <c r="A21" i="2" s="1"/>
  <c r="A22" i="2" s="1"/>
  <c r="A25" i="2" s="1"/>
  <c r="A26" i="2" s="1"/>
  <c r="A28" i="2" s="1"/>
  <c r="A29" i="2" s="1"/>
  <c r="A30" i="2" s="1"/>
  <c r="A32" i="2" s="1"/>
  <c r="A33" i="2" s="1"/>
  <c r="A34" i="2" s="1"/>
  <c r="A35" i="2" s="1"/>
  <c r="A36" i="2" s="1"/>
  <c r="A37" i="2" s="1"/>
  <c r="A39" i="2" s="1"/>
  <c r="A42" i="2" s="1"/>
  <c r="A43" i="2" s="1"/>
  <c r="A44" i="2" s="1"/>
  <c r="A45" i="2" s="1"/>
  <c r="A46" i="2" l="1"/>
  <c r="A47" i="2" s="1"/>
  <c r="A48" i="2" s="1"/>
  <c r="A49" i="2" s="1"/>
  <c r="A50" i="2" s="1"/>
  <c r="A51" i="2" s="1"/>
  <c r="A52" i="2" s="1"/>
  <c r="A53" i="2" s="1"/>
  <c r="A54" i="2" s="1"/>
  <c r="A56" i="2" s="1"/>
  <c r="A57" i="2" s="1"/>
  <c r="A58" i="2" s="1"/>
  <c r="A59" i="2" s="1"/>
  <c r="A60" i="2" s="1"/>
  <c r="A61" i="2" s="1"/>
  <c r="A63" i="2" s="1"/>
  <c r="A66" i="2" s="1"/>
  <c r="A67" i="2" s="1"/>
  <c r="F67" i="16"/>
  <c r="B67" i="16"/>
  <c r="A68" i="2" l="1"/>
  <c r="A69" i="2" s="1"/>
  <c r="A70" i="2" s="1"/>
  <c r="A71" i="2" s="1"/>
  <c r="A74" i="2" s="1"/>
  <c r="A77"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3" i="44" s="1"/>
  <c r="B37" i="44" s="1"/>
  <c r="C45" i="44" l="1"/>
  <c r="G21" i="44"/>
  <c r="G27" i="44" s="1"/>
  <c r="Q5" i="44"/>
  <c r="B32" i="44"/>
  <c r="B38" i="44" s="1"/>
  <c r="C37" i="44" l="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2" i="2" l="1"/>
  <c r="C56" i="2" s="1"/>
  <c r="I33" i="8" l="1"/>
  <c r="C11" i="2" l="1"/>
  <c r="D11" i="2"/>
  <c r="D15" i="2" s="1"/>
  <c r="E11" i="2"/>
  <c r="E15" i="2" s="1"/>
  <c r="I35" i="8"/>
  <c r="E19" i="2" l="1"/>
  <c r="D19" i="2"/>
  <c r="C15" i="2"/>
  <c r="C19" i="2"/>
  <c r="I21" i="8"/>
  <c r="F11" i="2"/>
  <c r="F58" i="16" l="1"/>
  <c r="B58" i="16"/>
  <c r="F10" i="2" l="1"/>
  <c r="F8" i="2"/>
  <c r="E15" i="4" l="1"/>
  <c r="F57" i="16" l="1"/>
  <c r="B57" i="16"/>
  <c r="F56" i="16"/>
  <c r="B56" i="16"/>
  <c r="E46" i="2" l="1"/>
  <c r="E47" i="2"/>
  <c r="D46" i="2"/>
  <c r="D47" i="2"/>
  <c r="C47" i="2"/>
  <c r="B28" i="40"/>
  <c r="B3" i="39" l="1"/>
  <c r="B75"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I16" i="36" l="1"/>
  <c r="D16" i="36"/>
  <c r="B17" i="36"/>
  <c r="C6" i="5"/>
  <c r="C8" i="5" s="1"/>
  <c r="B15" i="34" s="1"/>
  <c r="G17" i="36" l="1"/>
  <c r="I17" i="36" s="1"/>
  <c r="D17" i="36"/>
  <c r="F17" i="36" s="1"/>
  <c r="E15" i="34"/>
  <c r="D15" i="34"/>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B7" i="16" l="1"/>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3" i="5"/>
  <c r="B7" i="34"/>
  <c r="B13" i="37"/>
  <c r="B13" i="11"/>
  <c r="F15" i="34" l="1"/>
  <c r="F25" i="34" s="1"/>
  <c r="D157" i="5"/>
  <c r="C13" i="11"/>
  <c r="D141" i="5"/>
  <c r="F20" i="37"/>
  <c r="B14" i="11"/>
  <c r="A4" i="2"/>
  <c r="C6" i="2"/>
  <c r="F13" i="2"/>
  <c r="F14" i="2"/>
  <c r="B97" i="54" l="1"/>
  <c r="B108" i="54" s="1"/>
  <c r="B119" i="54" s="1"/>
  <c r="G15" i="34"/>
  <c r="F23" i="34"/>
  <c r="F18" i="34"/>
  <c r="F27" i="34"/>
  <c r="F20" i="34"/>
  <c r="F26" i="34"/>
  <c r="F21" i="34"/>
  <c r="F16" i="34"/>
  <c r="F22" i="34"/>
  <c r="F17" i="34"/>
  <c r="F24" i="34"/>
  <c r="F19" i="34"/>
  <c r="G20" i="37"/>
  <c r="F21" i="37"/>
  <c r="F23" i="37"/>
  <c r="F22" i="37"/>
  <c r="C14" i="11"/>
  <c r="D13" i="11"/>
  <c r="E13" i="11"/>
  <c r="D22" i="2"/>
  <c r="D6" i="2"/>
  <c r="E22" i="2"/>
  <c r="F15" i="2"/>
  <c r="B15" i="11"/>
  <c r="C22" i="2"/>
  <c r="B98" i="54" l="1"/>
  <c r="B109" i="54" s="1"/>
  <c r="B120" i="54" s="1"/>
  <c r="C15" i="11"/>
  <c r="D14" i="11"/>
  <c r="E14" i="11"/>
  <c r="E6" i="2"/>
  <c r="B99" i="54" s="1"/>
  <c r="B110" i="54" s="1"/>
  <c r="B121" i="54" s="1"/>
  <c r="D15" i="11" l="1"/>
  <c r="E15" i="11"/>
  <c r="A3" i="3"/>
  <c r="B52" i="1"/>
  <c r="A6" i="1"/>
  <c r="B21" i="37" l="1"/>
  <c r="B22" i="37" l="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D12" i="9" s="1"/>
  <c r="B17" i="34"/>
  <c r="B13" i="10"/>
  <c r="B12" i="4"/>
  <c r="C12" i="4" s="1"/>
  <c r="B9" i="59" s="1"/>
  <c r="B17" i="8"/>
  <c r="C5" i="10" l="1"/>
  <c r="D17" i="34"/>
  <c r="E17" i="34"/>
  <c r="E13" i="10"/>
  <c r="G16" i="34"/>
  <c r="H16" i="34" s="1"/>
  <c r="B14" i="10"/>
  <c r="B13" i="4"/>
  <c r="B14" i="4" s="1"/>
  <c r="B15" i="4" s="1"/>
  <c r="C13" i="45"/>
  <c r="E13" i="45" s="1"/>
  <c r="F13" i="45" s="1"/>
  <c r="L11" i="11"/>
  <c r="B18" i="34"/>
  <c r="B18" i="8"/>
  <c r="B15" i="7"/>
  <c r="F16" i="10" l="1"/>
  <c r="F20" i="10"/>
  <c r="F24" i="10"/>
  <c r="F15" i="10"/>
  <c r="F23" i="10"/>
  <c r="F17" i="10"/>
  <c r="F21" i="10"/>
  <c r="F25" i="10"/>
  <c r="F18" i="10"/>
  <c r="F22" i="10"/>
  <c r="F14" i="10"/>
  <c r="F19" i="10"/>
  <c r="N13" i="45"/>
  <c r="E15" i="45"/>
  <c r="F15" i="45" s="1"/>
  <c r="N15" i="45" s="1"/>
  <c r="D21" i="6" s="1"/>
  <c r="E14" i="45"/>
  <c r="F14" i="45" s="1"/>
  <c r="N14" i="45" s="1"/>
  <c r="D20" i="6" s="1"/>
  <c r="E18" i="34"/>
  <c r="D18" i="34"/>
  <c r="G13" i="10"/>
  <c r="H13" i="10" s="1"/>
  <c r="C15" i="45"/>
  <c r="C14" i="45"/>
  <c r="G17" i="34"/>
  <c r="H17" i="34" s="1"/>
  <c r="B15" i="10"/>
  <c r="E14" i="10"/>
  <c r="F9" i="6"/>
  <c r="L9" i="6" s="1"/>
  <c r="D15" i="7"/>
  <c r="E15" i="7" s="1"/>
  <c r="L12" i="11"/>
  <c r="B19" i="34"/>
  <c r="B19" i="8"/>
  <c r="L11" i="6" l="1"/>
  <c r="L10" i="6"/>
  <c r="L12" i="6"/>
  <c r="K15" i="7"/>
  <c r="N15" i="7" s="1"/>
  <c r="E16" i="7"/>
  <c r="E17" i="7"/>
  <c r="K17" i="7" s="1"/>
  <c r="N17" i="7" s="1"/>
  <c r="N17" i="45"/>
  <c r="D19" i="6"/>
  <c r="D23" i="6" s="1"/>
  <c r="E19" i="34"/>
  <c r="D19" i="34"/>
  <c r="G14" i="10"/>
  <c r="H14" i="10" s="1"/>
  <c r="F10" i="6"/>
  <c r="G18" i="34"/>
  <c r="H18" i="34" s="1"/>
  <c r="B16" i="10"/>
  <c r="E15" i="10"/>
  <c r="F12" i="6"/>
  <c r="F11" i="6"/>
  <c r="D17" i="7"/>
  <c r="D16" i="7"/>
  <c r="L13" i="11"/>
  <c r="B20" i="34"/>
  <c r="K16" i="7" l="1"/>
  <c r="N16" i="7" s="1"/>
  <c r="N19" i="7" s="1"/>
  <c r="F19" i="6"/>
  <c r="D20" i="34"/>
  <c r="E20" i="34"/>
  <c r="G15" i="10"/>
  <c r="H15" i="10" s="1"/>
  <c r="G19" i="34"/>
  <c r="H19" i="34" s="1"/>
  <c r="B17" i="10"/>
  <c r="E16" i="10"/>
  <c r="L14" i="11"/>
  <c r="B21" i="34"/>
  <c r="E21" i="34" l="1"/>
  <c r="D21" i="34"/>
  <c r="G16" i="10"/>
  <c r="H16" i="10" s="1"/>
  <c r="G20" i="34"/>
  <c r="H20" i="34" s="1"/>
  <c r="B18" i="10"/>
  <c r="E17" i="10"/>
  <c r="L15" i="11"/>
  <c r="B22" i="34"/>
  <c r="E22" i="34" l="1"/>
  <c r="D22" i="34"/>
  <c r="G17" i="10"/>
  <c r="H17" i="10" s="1"/>
  <c r="G21" i="34"/>
  <c r="H21" i="34" s="1"/>
  <c r="B19" i="10"/>
  <c r="E18" i="10"/>
  <c r="L16" i="11"/>
  <c r="B23" i="34"/>
  <c r="B9" i="6"/>
  <c r="B19" i="6" l="1"/>
  <c r="H9" i="6"/>
  <c r="J9" i="6"/>
  <c r="N9" i="6" s="1"/>
  <c r="J19" i="6" s="1"/>
  <c r="E23" i="34"/>
  <c r="D23" i="34"/>
  <c r="G18" i="10"/>
  <c r="H18" i="10" s="1"/>
  <c r="G22" i="34"/>
  <c r="H22" i="34" s="1"/>
  <c r="B20" i="10"/>
  <c r="E19" i="10"/>
  <c r="L17" i="11"/>
  <c r="B24" i="34"/>
  <c r="B10" i="6"/>
  <c r="H10" i="6" s="1"/>
  <c r="J10" i="6" l="1"/>
  <c r="N10" i="6" s="1"/>
  <c r="B20" i="6"/>
  <c r="G19" i="10"/>
  <c r="H19" i="10" s="1"/>
  <c r="G23" i="34"/>
  <c r="H23" i="34" s="1"/>
  <c r="B21" i="10"/>
  <c r="E20" i="10"/>
  <c r="L18" i="11"/>
  <c r="B25" i="34"/>
  <c r="B11" i="6"/>
  <c r="H11" i="6" s="1"/>
  <c r="J11" i="6" l="1"/>
  <c r="N11" i="6" s="1"/>
  <c r="B21" i="6"/>
  <c r="G20" i="10"/>
  <c r="H20" i="10" s="1"/>
  <c r="G24" i="34"/>
  <c r="H24" i="34" s="1"/>
  <c r="B22" i="10"/>
  <c r="E21" i="10"/>
  <c r="H20" i="37"/>
  <c r="L19" i="11"/>
  <c r="B26" i="34"/>
  <c r="B12" i="6"/>
  <c r="B22" i="6" l="1"/>
  <c r="J12" i="6"/>
  <c r="J13" i="6" s="1"/>
  <c r="H12" i="6"/>
  <c r="G21" i="10"/>
  <c r="H21" i="10" s="1"/>
  <c r="B27" i="34"/>
  <c r="G25" i="34"/>
  <c r="H25" i="34" s="1"/>
  <c r="B23" i="10"/>
  <c r="E22" i="10"/>
  <c r="H21" i="37"/>
  <c r="L20" i="11"/>
  <c r="E27" i="34" l="1"/>
  <c r="G22" i="10"/>
  <c r="H22" i="10" s="1"/>
  <c r="N12" i="6"/>
  <c r="N13" i="6" s="1"/>
  <c r="G26" i="34"/>
  <c r="H26" i="34" s="1"/>
  <c r="B24" i="10"/>
  <c r="E23" i="10"/>
  <c r="G25" i="37"/>
  <c r="H22" i="37"/>
  <c r="L21" i="11"/>
  <c r="J22" i="6" l="1"/>
  <c r="D15" i="4" s="1"/>
  <c r="F15" i="4" s="1"/>
  <c r="G23" i="10"/>
  <c r="H23" i="10" s="1"/>
  <c r="G27" i="34"/>
  <c r="G29" i="34" s="1"/>
  <c r="B25" i="10"/>
  <c r="E24" i="10"/>
  <c r="H23" i="37"/>
  <c r="G27" i="37" s="1"/>
  <c r="D25" i="10" l="1"/>
  <c r="E25" i="10"/>
  <c r="D10" i="9"/>
  <c r="G24" i="10"/>
  <c r="H24" i="10" s="1"/>
  <c r="H27" i="34"/>
  <c r="G31" i="34" l="1"/>
  <c r="D11" i="9" s="1"/>
  <c r="G25" i="10"/>
  <c r="G27" i="10" s="1"/>
  <c r="H25" i="10" l="1"/>
  <c r="G29" i="10" s="1"/>
  <c r="D9" i="9" l="1"/>
  <c r="D13" i="9" l="1"/>
  <c r="E12" i="58" s="1"/>
  <c r="B147" i="5" s="1"/>
  <c r="B14" i="58" s="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E16" i="4" l="1"/>
  <c r="J25" i="1"/>
  <c r="K25" i="1"/>
  <c r="I31" i="59" s="1"/>
  <c r="A44" i="33"/>
  <c r="K92" i="14"/>
  <c r="K50" i="14"/>
  <c r="K42" i="14"/>
  <c r="K32" i="14"/>
  <c r="K35" i="14"/>
  <c r="C15" i="39" l="1"/>
  <c r="D15" i="55" s="1"/>
  <c r="K51" i="14"/>
  <c r="K53" i="14"/>
  <c r="A45" i="33"/>
  <c r="F17" i="3"/>
  <c r="F38" i="1"/>
  <c r="G45" i="15"/>
  <c r="G46" i="15"/>
  <c r="G47" i="15"/>
  <c r="G48" i="15"/>
  <c r="G51" i="15"/>
  <c r="G52" i="15"/>
  <c r="G53" i="15"/>
  <c r="G54" i="15"/>
  <c r="G55" i="15"/>
  <c r="O26" i="14"/>
  <c r="O32" i="14"/>
  <c r="O33" i="14"/>
  <c r="O35" i="14"/>
  <c r="O41" i="14" s="1"/>
  <c r="A98" i="14"/>
  <c r="A8" i="1"/>
  <c r="O44" i="14" l="1"/>
  <c r="O53" i="14" s="1"/>
  <c r="O50" i="14"/>
  <c r="O59" i="14" s="1"/>
  <c r="O42" i="14"/>
  <c r="O51" i="14" s="1"/>
  <c r="A46" i="33"/>
  <c r="F39" i="1"/>
  <c r="O73" i="14" l="1"/>
  <c r="O66" i="14"/>
  <c r="A47" i="33"/>
  <c r="A48" i="33" s="1"/>
  <c r="F25" i="3"/>
  <c r="F52" i="3"/>
  <c r="F40" i="1"/>
  <c r="A49" i="33" l="1"/>
  <c r="A50" i="33" s="1"/>
  <c r="F54" i="3"/>
  <c r="F41" i="1"/>
  <c r="A51" i="33" l="1"/>
  <c r="A52" i="33" s="1"/>
  <c r="A53" i="33" s="1"/>
  <c r="A54" i="33" s="1"/>
  <c r="A55" i="33" s="1"/>
  <c r="A56" i="33" s="1"/>
  <c r="A57" i="33" s="1"/>
  <c r="A58" i="33" s="1"/>
  <c r="A59" i="33" s="1"/>
  <c r="A60" i="33" s="1"/>
  <c r="A61" i="33" s="1"/>
  <c r="A62" i="33" s="1"/>
  <c r="A63" i="33" s="1"/>
  <c r="G32" i="15"/>
  <c r="G34" i="15" s="1"/>
  <c r="G30" i="53"/>
  <c r="G32" i="53" s="1"/>
  <c r="A64" i="33" l="1"/>
  <c r="A65" i="33" l="1"/>
  <c r="A66" i="33" s="1"/>
  <c r="A67" i="33" s="1"/>
  <c r="A68" i="33" s="1"/>
  <c r="A69" i="33" s="1"/>
  <c r="A70" i="33" s="1"/>
  <c r="A71" i="33" s="1"/>
  <c r="A72" i="33" s="1"/>
  <c r="A73" i="33" s="1"/>
  <c r="A74" i="33" s="1"/>
  <c r="A75" i="33" s="1"/>
  <c r="A76" i="33" l="1"/>
  <c r="A77" i="33" l="1"/>
  <c r="A78" i="33" l="1"/>
  <c r="A79" i="33" l="1"/>
  <c r="A80" i="33" l="1"/>
  <c r="C13" i="4"/>
  <c r="C14" i="4" s="1"/>
  <c r="A81" i="33" l="1"/>
  <c r="C25" i="10"/>
  <c r="A82" i="33" l="1"/>
  <c r="F21" i="6"/>
  <c r="J21" i="6" s="1"/>
  <c r="F20" i="6"/>
  <c r="F23" i="6" l="1"/>
  <c r="J20" i="6"/>
  <c r="J23" i="6" s="1"/>
  <c r="D14" i="4"/>
  <c r="A83" i="33"/>
  <c r="D13" i="4" l="1"/>
  <c r="F13" i="4" s="1"/>
  <c r="A84" i="33"/>
  <c r="D12" i="4"/>
  <c r="F14" i="4"/>
  <c r="D16" i="4" l="1"/>
  <c r="A85" i="33"/>
  <c r="F12" i="4"/>
  <c r="F16" i="4" s="1"/>
  <c r="D18" i="4" s="1"/>
  <c r="A86" i="33" l="1"/>
  <c r="A87" i="33" l="1"/>
  <c r="D11" i="59"/>
  <c r="B69" i="5" s="1"/>
  <c r="B13" i="59" s="1"/>
  <c r="A88" i="33" l="1"/>
  <c r="A89" i="33" l="1"/>
  <c r="A90" i="33" l="1"/>
  <c r="D49" i="2"/>
  <c r="D50" i="2"/>
  <c r="D45" i="2"/>
  <c r="A91" i="33" l="1"/>
  <c r="A92" i="33" l="1"/>
  <c r="A93" i="33" l="1"/>
  <c r="A94" i="33" l="1"/>
  <c r="A95" i="33" l="1"/>
  <c r="E28" i="2"/>
  <c r="E36" i="2"/>
  <c r="E35" i="2"/>
  <c r="E25" i="2"/>
  <c r="E29" i="2"/>
  <c r="E33" i="2" s="1"/>
  <c r="E30" i="2" l="1"/>
  <c r="E39" i="2" s="1"/>
  <c r="E26" i="2"/>
  <c r="A96" i="33"/>
  <c r="A97" i="33" l="1"/>
  <c r="N20" i="3"/>
  <c r="E50" i="2"/>
  <c r="F50" i="2" s="1"/>
  <c r="E49" i="2"/>
  <c r="F49" i="2" s="1"/>
  <c r="E45" i="2"/>
  <c r="A98" i="33" l="1"/>
  <c r="A99" i="33" l="1"/>
  <c r="A100" i="33" s="1"/>
  <c r="P22" i="3"/>
  <c r="P23" i="3"/>
  <c r="N21" i="3"/>
  <c r="N23" i="3"/>
  <c r="N22" i="3"/>
  <c r="A101" i="33" l="1"/>
  <c r="A102" i="33" s="1"/>
  <c r="A103" i="33" s="1"/>
  <c r="A104" i="33" s="1"/>
  <c r="A105" i="33" s="1"/>
  <c r="A106" i="33" s="1"/>
  <c r="A107" i="33" s="1"/>
  <c r="A108" i="33" s="1"/>
  <c r="A109" i="33" s="1"/>
  <c r="M14" i="11"/>
  <c r="O14" i="11"/>
  <c r="O11" i="11"/>
  <c r="O16" i="11"/>
  <c r="M11" i="11"/>
  <c r="O10" i="11"/>
  <c r="M12" i="11"/>
  <c r="O12" i="11"/>
  <c r="O13" i="11"/>
  <c r="M17" i="11"/>
  <c r="O18" i="11"/>
  <c r="O17" i="11"/>
  <c r="M15" i="11"/>
  <c r="M13" i="11"/>
  <c r="M16" i="11"/>
  <c r="M18" i="11"/>
  <c r="O15" i="11"/>
  <c r="M10" i="11"/>
  <c r="A110" i="33" l="1"/>
  <c r="A111" i="33" s="1"/>
  <c r="A112" i="33" s="1"/>
  <c r="A113" i="33" s="1"/>
  <c r="A114" i="33" s="1"/>
  <c r="A115" i="33" s="1"/>
  <c r="A116" i="33" s="1"/>
  <c r="A117" i="33" s="1"/>
  <c r="A118" i="33" s="1"/>
  <c r="A119" i="33" s="1"/>
  <c r="A120" i="33" s="1"/>
  <c r="A121" i="33" s="1"/>
  <c r="A122" i="33" s="1"/>
  <c r="A123" i="33" s="1"/>
  <c r="A124" i="33" s="1"/>
  <c r="N12" i="11"/>
  <c r="P12" i="11" s="1"/>
  <c r="N15" i="11"/>
  <c r="P15" i="11" s="1"/>
  <c r="N13" i="11"/>
  <c r="P13" i="11" s="1"/>
  <c r="N14" i="11"/>
  <c r="P14" i="11" s="1"/>
  <c r="N11" i="11"/>
  <c r="P11" i="11" s="1"/>
  <c r="N10" i="11"/>
  <c r="P10" i="11" s="1"/>
  <c r="N16" i="11"/>
  <c r="P16" i="11" s="1"/>
  <c r="N19" i="11"/>
  <c r="N18" i="11"/>
  <c r="P18" i="11" s="1"/>
  <c r="N17" i="11"/>
  <c r="P17" i="11" s="1"/>
  <c r="N20" i="11"/>
  <c r="N21" i="11"/>
  <c r="A125" i="33" l="1"/>
  <c r="P15" i="3"/>
  <c r="N15" i="3"/>
  <c r="P16" i="3"/>
  <c r="N18" i="3"/>
  <c r="N16" i="3"/>
  <c r="P17" i="3"/>
  <c r="N17" i="3"/>
  <c r="G15" i="11"/>
  <c r="H15" i="11" s="1"/>
  <c r="G14" i="11"/>
  <c r="H14" i="11" s="1"/>
  <c r="G13" i="11"/>
  <c r="H13" i="11" s="1"/>
  <c r="P20" i="3"/>
  <c r="P18" i="3"/>
  <c r="N19" i="3"/>
  <c r="P19" i="3"/>
  <c r="P21" i="3"/>
  <c r="P24" i="3"/>
  <c r="P26" i="3"/>
  <c r="N24" i="3"/>
  <c r="N26" i="3"/>
  <c r="N25" i="3"/>
  <c r="P25" i="3"/>
  <c r="I15" i="11" l="1"/>
  <c r="K41" i="1" s="1"/>
  <c r="J41" i="1"/>
  <c r="P28" i="3"/>
  <c r="I13" i="11"/>
  <c r="K39" i="1" s="1"/>
  <c r="J39" i="1"/>
  <c r="I14" i="11"/>
  <c r="K40" i="1" s="1"/>
  <c r="J40" i="1"/>
  <c r="A126" i="33"/>
  <c r="A127" i="33" s="1"/>
  <c r="O20" i="11"/>
  <c r="O19" i="11"/>
  <c r="M21" i="11"/>
  <c r="M19" i="11"/>
  <c r="O21" i="11"/>
  <c r="M20" i="11"/>
  <c r="P19" i="11" l="1"/>
  <c r="C29" i="2"/>
  <c r="D29" i="2"/>
  <c r="D33" i="2" s="1"/>
  <c r="D36" i="2"/>
  <c r="D35" i="2"/>
  <c r="C35" i="2"/>
  <c r="D25" i="2"/>
  <c r="C25" i="2"/>
  <c r="C36" i="2"/>
  <c r="D28" i="2"/>
  <c r="C28" i="2"/>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P21" i="11"/>
  <c r="P20" i="11"/>
  <c r="P23" i="11" l="1"/>
  <c r="G12" i="11" s="1"/>
  <c r="H12" i="11" s="1"/>
  <c r="J38" i="1" s="1"/>
  <c r="J42" i="1" s="1"/>
  <c r="J57" i="1" s="1"/>
  <c r="L24" i="3"/>
  <c r="O24" i="3"/>
  <c r="L15" i="3"/>
  <c r="O15" i="3"/>
  <c r="C30" i="2"/>
  <c r="D30" i="2"/>
  <c r="D39" i="2" s="1"/>
  <c r="C33" i="2"/>
  <c r="C34" i="2" s="1"/>
  <c r="C37" i="2" s="1"/>
  <c r="D32" i="2" s="1"/>
  <c r="D34" i="2" s="1"/>
  <c r="D37" i="2" s="1"/>
  <c r="E32" i="2" s="1"/>
  <c r="E34" i="2" s="1"/>
  <c r="E37" i="2" s="1"/>
  <c r="D24" i="4"/>
  <c r="L26" i="3"/>
  <c r="O26" i="3"/>
  <c r="L22" i="3"/>
  <c r="O22" i="3"/>
  <c r="O16" i="3"/>
  <c r="L16" i="3"/>
  <c r="F36" i="2"/>
  <c r="L25" i="3"/>
  <c r="O25" i="3"/>
  <c r="L21" i="3"/>
  <c r="O21" i="3"/>
  <c r="L18" i="3"/>
  <c r="O18" i="3"/>
  <c r="C26" i="2"/>
  <c r="L23" i="3"/>
  <c r="O23" i="3"/>
  <c r="L20" i="3"/>
  <c r="O20" i="3"/>
  <c r="O17" i="3"/>
  <c r="L17" i="3"/>
  <c r="D26" i="2"/>
  <c r="O19" i="3"/>
  <c r="L19" i="3"/>
  <c r="F35" i="2"/>
  <c r="L28" i="3" l="1"/>
  <c r="I12" i="11"/>
  <c r="K38" i="1" s="1"/>
  <c r="K42" i="1" s="1"/>
  <c r="K57" i="1" s="1"/>
  <c r="H17" i="11"/>
  <c r="F39" i="3" s="1"/>
  <c r="D17" i="12"/>
  <c r="D21" i="12" s="1"/>
  <c r="C17" i="12"/>
  <c r="C21" i="12" s="1"/>
  <c r="J22" i="1"/>
  <c r="J26" i="1" s="1"/>
  <c r="D25" i="4"/>
  <c r="C39" i="2"/>
  <c r="F39" i="2" s="1"/>
  <c r="F74" i="2" s="1"/>
  <c r="F30" i="2"/>
  <c r="O204" i="5" l="1"/>
  <c r="F27" i="3"/>
  <c r="Q28" i="3"/>
  <c r="J55" i="1"/>
  <c r="E15" i="59"/>
  <c r="K22" i="1"/>
  <c r="C23" i="12"/>
  <c r="J48" i="1"/>
  <c r="E21" i="12"/>
  <c r="I15" i="1"/>
  <c r="D15" i="9"/>
  <c r="D17" i="9" s="1"/>
  <c r="D23" i="12"/>
  <c r="F40" i="3"/>
  <c r="C17" i="39" l="1"/>
  <c r="D17" i="55" s="1"/>
  <c r="R204" i="5"/>
  <c r="Q204" i="5"/>
  <c r="E12" i="56"/>
  <c r="E23" i="12"/>
  <c r="K48" i="1"/>
  <c r="K58" i="1" s="1"/>
  <c r="I25" i="59"/>
  <c r="I33" i="59" s="1"/>
  <c r="K26" i="1"/>
  <c r="K55" i="1" s="1"/>
  <c r="J32" i="1"/>
  <c r="D19" i="9"/>
  <c r="E15" i="39"/>
  <c r="J15" i="55" s="1"/>
  <c r="E205" i="5"/>
  <c r="J58" i="1"/>
  <c r="H13" i="56"/>
  <c r="H14" i="56" s="1"/>
  <c r="E13" i="56"/>
  <c r="C66" i="2"/>
  <c r="F38" i="3"/>
  <c r="F41" i="3" s="1"/>
  <c r="M115" i="14" s="1"/>
  <c r="E17" i="39" l="1"/>
  <c r="J17" i="55" s="1"/>
  <c r="T204" i="5"/>
  <c r="P204" i="5"/>
  <c r="P203" i="5"/>
  <c r="E14" i="56"/>
  <c r="B8" i="56" s="1"/>
  <c r="E16" i="58"/>
  <c r="K32" i="1"/>
  <c r="K56" i="1" s="1"/>
  <c r="D205" i="5"/>
  <c r="J56" i="1"/>
  <c r="M123" i="14"/>
  <c r="M118" i="14"/>
  <c r="M132" i="14"/>
  <c r="M124" i="14"/>
  <c r="M116" i="14"/>
  <c r="M126" i="14"/>
  <c r="M129" i="14"/>
  <c r="E66" i="2"/>
  <c r="D66" i="2"/>
  <c r="C43" i="2"/>
  <c r="C42" i="2"/>
  <c r="C44" i="2" s="1"/>
  <c r="C48" i="2" s="1"/>
  <c r="D15" i="39" l="1"/>
  <c r="G15" i="55" s="1"/>
  <c r="S203" i="5"/>
  <c r="D17" i="39"/>
  <c r="G17" i="55" s="1"/>
  <c r="S204" i="5"/>
  <c r="C51" i="2"/>
  <c r="E43" i="2"/>
  <c r="E42" i="2"/>
  <c r="F15" i="39"/>
  <c r="M15" i="55" s="1"/>
  <c r="D43" i="2"/>
  <c r="D42" i="2"/>
  <c r="F17" i="39" l="1"/>
  <c r="M17" i="55" s="1"/>
  <c r="E44" i="2"/>
  <c r="E48" i="2" s="1"/>
  <c r="E51" i="2" s="1"/>
  <c r="E70" i="2" s="1"/>
  <c r="D44" i="2"/>
  <c r="D48" i="2" s="1"/>
  <c r="D51" i="2" s="1"/>
  <c r="D70" i="2" s="1"/>
  <c r="D53" i="2" s="1"/>
  <c r="D57" i="2" s="1"/>
  <c r="C70" i="2"/>
  <c r="F51" i="2" l="1"/>
  <c r="F48" i="2"/>
  <c r="D52" i="2"/>
  <c r="D54" i="2" s="1"/>
  <c r="C53" i="2"/>
  <c r="C52" i="2"/>
  <c r="E52" i="2"/>
  <c r="E53" i="2"/>
  <c r="E57" i="2" s="1"/>
  <c r="F52" i="2" l="1"/>
  <c r="C54" i="2"/>
  <c r="E54" i="2"/>
  <c r="C57" i="2"/>
  <c r="C58" i="2" s="1"/>
  <c r="F53" i="2"/>
  <c r="C71" i="2" l="1"/>
  <c r="F54" i="2"/>
  <c r="C60" i="2" l="1"/>
  <c r="C59" i="2"/>
  <c r="C61" i="2" l="1"/>
  <c r="D56" i="2" s="1"/>
  <c r="D58" i="2" s="1"/>
  <c r="C63" i="2"/>
  <c r="D71" i="2" l="1"/>
  <c r="D59" i="2" l="1"/>
  <c r="D60" i="2"/>
  <c r="D63" i="2" l="1"/>
  <c r="D61" i="2"/>
  <c r="E56" i="2" s="1"/>
  <c r="E58" i="2" s="1"/>
  <c r="E71" i="2" l="1"/>
  <c r="E59" i="2" l="1"/>
  <c r="E60" i="2"/>
  <c r="F60" i="2" s="1"/>
  <c r="E63" i="2" l="1"/>
  <c r="F59" i="2"/>
  <c r="F63" i="2" s="1"/>
  <c r="E61" i="2"/>
  <c r="I14" i="1" l="1"/>
  <c r="F77" i="2"/>
  <c r="K16" i="1" l="1"/>
  <c r="K54" i="1" s="1"/>
  <c r="K59" i="1" s="1"/>
  <c r="J16" i="1"/>
  <c r="J54" i="1" s="1"/>
  <c r="J59" i="1" s="1"/>
  <c r="M17" i="14" l="1"/>
  <c r="L11" i="44"/>
  <c r="N38" i="44" s="1"/>
  <c r="N39" i="44" s="1"/>
  <c r="C41" i="44" l="1"/>
  <c r="C42" i="44" s="1"/>
  <c r="U17" i="14"/>
  <c r="M59" i="14"/>
  <c r="C32" i="44"/>
  <c r="N11" i="44"/>
  <c r="M51" i="14"/>
  <c r="U51" i="14" s="1"/>
  <c r="M35" i="14"/>
  <c r="U35" i="14" s="1"/>
  <c r="M42" i="14"/>
  <c r="U42" i="14" s="1"/>
  <c r="M85" i="14"/>
  <c r="U85" i="14" s="1"/>
  <c r="M92" i="14"/>
  <c r="U92" i="14" s="1"/>
  <c r="M53" i="14"/>
  <c r="U53" i="14" s="1"/>
  <c r="M23" i="14"/>
  <c r="U23" i="14" s="1"/>
  <c r="M32" i="14"/>
  <c r="U32" i="14" s="1"/>
  <c r="M33" i="14"/>
  <c r="U33" i="14" s="1"/>
  <c r="M24" i="14"/>
  <c r="U24" i="14" s="1"/>
  <c r="M44" i="14"/>
  <c r="U44" i="14" s="1"/>
  <c r="M50" i="14"/>
  <c r="M41" i="14"/>
  <c r="U41" i="14" s="1"/>
  <c r="M26" i="14"/>
  <c r="U26" i="14" s="1"/>
  <c r="N21" i="44" l="1"/>
  <c r="N27" i="44" s="1"/>
  <c r="M66" i="14"/>
  <c r="M73" i="14"/>
  <c r="U50" i="14"/>
  <c r="U59" i="14"/>
  <c r="C35" i="44"/>
  <c r="C36" i="44"/>
  <c r="N29" i="44" l="1"/>
  <c r="N31" i="44"/>
  <c r="C38" i="44"/>
  <c r="C39" i="44" s="1"/>
  <c r="U29" i="44"/>
  <c r="C44" i="44"/>
  <c r="C46" i="44" s="1"/>
  <c r="U73" i="14"/>
  <c r="U66" i="14"/>
</calcChain>
</file>

<file path=xl/sharedStrings.xml><?xml version="1.0" encoding="utf-8"?>
<sst xmlns="http://schemas.openxmlformats.org/spreadsheetml/2006/main" count="2149" uniqueCount="1092">
  <si>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</si>
  <si>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</si>
  <si>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</si>
  <si>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</si>
  <si>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</si>
  <si>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</si>
  <si>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</si>
  <si>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</si>
  <si>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</si>
  <si>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</si>
  <si>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</si>
  <si>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</si>
  <si>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</si>
  <si>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</si>
  <si>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</si>
  <si>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</si>
  <si>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</si>
  <si>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</si>
  <si>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</si>
  <si>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</si>
  <si>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</si>
  <si>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</si>
  <si>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</si>
  <si>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</si>
  <si>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</si>
  <si>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</si>
  <si>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</si>
  <si>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</si>
  <si>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</si>
  <si>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</si>
  <si>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</si>
  <si>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</si>
  <si>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</si>
  <si>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</si>
  <si>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</si>
  <si>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</si>
  <si>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</si>
  <si>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</si>
  <si>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</si>
  <si>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</si>
  <si>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</si>
  <si>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</si>
  <si>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</si>
  <si>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</si>
  <si>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</si>
  <si>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</si>
  <si>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</si>
  <si>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</si>
  <si>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</si>
  <si>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</si>
  <si>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</si>
  <si>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</si>
  <si>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</si>
  <si>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</si>
  <si>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</si>
  <si>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</si>
  <si>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</si>
  <si>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</si>
  <si>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</si>
  <si>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</si>
  <si>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</si>
  <si>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</si>
  <si>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</si>
  <si>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</si>
  <si>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</si>
  <si>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</si>
  <si>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</si>
  <si>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</si>
  <si>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</si>
  <si>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</si>
  <si>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</si>
  <si>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</si>
  <si>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</si>
  <si>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</si>
  <si>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</si>
  <si>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</si>
  <si>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</si>
  <si>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</si>
  <si>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</si>
  <si>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</si>
  <si>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</si>
  <si>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</si>
  <si>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</si>
  <si>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</si>
  <si>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</si>
  <si>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</si>
  <si>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</si>
  <si>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</si>
  <si>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</si>
  <si>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</si>
  <si>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</si>
  <si>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</si>
  <si>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</si>
  <si>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</si>
  <si>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</si>
  <si>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</si>
  <si>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</si>
  <si>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</si>
  <si>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</si>
  <si>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</si>
  <si>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</si>
  <si>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</si>
  <si>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</si>
  <si>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</si>
  <si>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</si>
  <si>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</si>
  <si>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</si>
  <si>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</si>
  <si>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</si>
  <si>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</si>
  <si>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</si>
  <si>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</si>
  <si>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</si>
  <si>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</si>
  <si>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</si>
  <si>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</si>
  <si>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</si>
  <si>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</si>
  <si>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</si>
  <si>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</si>
  <si>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</si>
  <si>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</si>
  <si>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</si>
  <si>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</si>
  <si>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</si>
  <si>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</si>
  <si>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</si>
  <si>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</si>
  <si>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</si>
  <si>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</si>
  <si>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</si>
  <si>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</si>
  <si>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</si>
  <si>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</si>
  <si>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</si>
  <si>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</si>
  <si>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</si>
  <si>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</si>
  <si>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</si>
  <si>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</si>
  <si>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</si>
  <si>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</si>
  <si>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</si>
  <si>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</si>
  <si>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</si>
  <si>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</si>
  <si>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</si>
  <si>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</si>
  <si>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</si>
  <si>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</si>
  <si>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</si>
  <si>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</si>
  <si>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</si>
  <si>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</si>
  <si>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</si>
  <si>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</si>
  <si>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</si>
  <si>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</si>
  <si>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</si>
  <si>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</si>
  <si>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</si>
  <si>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</si>
  <si>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</si>
  <si>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</si>
  <si>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</si>
  <si>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</si>
  <si>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</si>
  <si>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</si>
  <si>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</si>
  <si>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</si>
  <si>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</si>
  <si>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</si>
  <si>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</si>
  <si>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</si>
  <si>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</si>
  <si>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</si>
  <si>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</si>
  <si>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</si>
  <si>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</si>
  <si>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</si>
  <si>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</si>
  <si>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</si>
  <si>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</si>
  <si>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</si>
  <si>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</si>
  <si>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</si>
  <si>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</si>
  <si>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</si>
  <si>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</si>
  <si>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</si>
  <si>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</si>
  <si>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</si>
  <si>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</si>
  <si>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</si>
  <si>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</si>
  <si>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</si>
  <si>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</si>
  <si>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</si>
  <si>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</si>
  <si>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</si>
  <si>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</si>
  <si>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</si>
  <si>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</si>
  <si>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</si>
  <si>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</si>
  <si>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</si>
  <si>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</si>
  <si>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</si>
  <si>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</si>
  <si>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</si>
  <si>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</si>
  <si>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</si>
  <si>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</si>
  <si>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</si>
  <si>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</si>
  <si>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</si>
  <si>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</si>
  <si>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</si>
  <si>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</si>
  <si>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</si>
  <si>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</si>
  <si>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</si>
  <si>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</si>
  <si>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</si>
  <si>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</si>
  <si>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</si>
  <si>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</si>
  <si>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</si>
  <si>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</si>
  <si>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</si>
  <si>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</si>
  <si>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</si>
  <si>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</si>
  <si>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</si>
  <si>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</si>
  <si>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</si>
  <si>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</si>
  <si>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</si>
  <si>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</si>
  <si>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</si>
  <si>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</si>
  <si>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</si>
  <si>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</si>
  <si>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</si>
  <si>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</si>
  <si>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</si>
  <si>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</si>
  <si>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</si>
  <si>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</si>
  <si>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</si>
  <si>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</si>
  <si>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</si>
  <si>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</si>
  <si>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</si>
  <si>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</si>
  <si>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</si>
  <si>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</si>
  <si>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</si>
  <si>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</si>
  <si>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</si>
  <si>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</si>
  <si>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</si>
  <si>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</si>
  <si>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</si>
  <si>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</si>
  <si>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</si>
  <si>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</si>
  <si>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</si>
  <si>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</si>
  <si>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</si>
  <si>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</si>
  <si>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</si>
  <si>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</si>
  <si>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</si>
  <si>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</si>
  <si>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</si>
  <si>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</si>
  <si>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</si>
  <si>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</si>
  <si>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</si>
  <si>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</si>
  <si>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</si>
  <si>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</si>
  <si>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</si>
  <si>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</si>
  <si>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</si>
  <si>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</si>
  <si>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</si>
  <si>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</si>
  <si>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</si>
  <si>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</si>
  <si>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</si>
  <si>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</si>
  <si>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</si>
  <si>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</si>
  <si>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</si>
  <si>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</si>
  <si>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</si>
  <si>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</si>
  <si>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</si>
  <si>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</si>
  <si>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</si>
  <si>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</si>
  <si>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</si>
  <si>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</si>
  <si>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</si>
  <si>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</si>
  <si>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</si>
  <si>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</si>
  <si>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</si>
  <si>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</si>
  <si>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</si>
  <si>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</si>
  <si>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</si>
  <si>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</si>
  <si>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</si>
  <si>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</si>
  <si>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</si>
  <si>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</si>
  <si>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</si>
  <si>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</si>
  <si>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</si>
  <si>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</si>
  <si>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</si>
  <si>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</si>
  <si>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</si>
  <si>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</si>
  <si>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</si>
  <si>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</si>
  <si>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</si>
  <si>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</si>
  <si>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</si>
  <si>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</si>
  <si>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</si>
  <si>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</si>
  <si>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</si>
  <si>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</si>
  <si>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</si>
  <si>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</si>
  <si>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</si>
  <si>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</si>
  <si>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</si>
  <si>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</si>
  <si>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</si>
  <si>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</si>
  <si>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</si>
  <si>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</si>
  <si>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</si>
  <si>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</si>
  <si>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</si>
  <si>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</si>
  <si>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</si>
  <si>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</si>
  <si>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</si>
  <si>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</si>
  <si>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</si>
  <si>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</si>
  <si>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</si>
  <si>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</si>
  <si>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</si>
  <si>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</si>
  <si>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</si>
  <si>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</si>
  <si>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</si>
  <si>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</si>
  <si>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</si>
  <si>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</si>
  <si>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</si>
  <si>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</si>
  <si>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</si>
  <si>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</si>
  <si>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</si>
  <si>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</si>
  <si>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</si>
  <si>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</si>
  <si>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</si>
  <si>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</si>
  <si>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</si>
  <si>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</si>
  <si>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</si>
  <si>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</si>
  <si>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</si>
  <si>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</si>
  <si>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</si>
  <si>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</si>
  <si>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</si>
  <si>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</si>
  <si>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</si>
  <si>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</si>
  <si>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</si>
  <si>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</si>
  <si>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</si>
  <si>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</si>
  <si>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</si>
  <si>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</si>
  <si>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</si>
  <si>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</si>
  <si>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</si>
  <si>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</si>
  <si>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</si>
  <si>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</si>
  <si>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</si>
  <si>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</si>
  <si>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</si>
  <si>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</si>
  <si>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</si>
  <si>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</si>
  <si>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</si>
  <si>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</si>
  <si>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</si>
  <si>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</si>
  <si>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</si>
  <si>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</si>
  <si>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</si>
  <si>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</si>
  <si>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</si>
  <si>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</si>
  <si>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</si>
  <si>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</si>
  <si>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</si>
  <si>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</si>
  <si>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</si>
  <si>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</si>
  <si>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</si>
  <si>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</si>
  <si>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</si>
  <si>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</si>
  <si>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</si>
  <si>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</si>
  <si>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</si>
  <si>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</si>
  <si>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</si>
  <si>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</si>
  <si>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</si>
  <si>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</si>
  <si>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Change in February Filing</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</si>
  <si>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</si>
  <si>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</si>
  <si>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</si>
  <si>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</si>
  <si>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</si>
  <si>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</si>
  <si>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</si>
  <si>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</si>
  <si>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</si>
  <si>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</si>
  <si>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Expected  Annual  Deliveries from Pipeline Transporters in Mcf (incl Rider TS-2)</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</si>
  <si>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</si>
  <si>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</si>
  <si>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</si>
  <si>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</si>
  <si>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</si>
  <si>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</si>
  <si>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</si>
  <si>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</si>
  <si>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</si>
  <si>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</si>
  <si>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</si>
  <si>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</si>
  <si>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</si>
  <si>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</si>
  <si>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</si>
  <si>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</si>
  <si>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</si>
  <si>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</si>
  <si>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</si>
  <si>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</si>
  <si>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</si>
  <si>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</si>
  <si>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</si>
  <si>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</si>
  <si>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</si>
  <si>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</si>
  <si>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</si>
  <si>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</si>
  <si>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</si>
  <si>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</si>
  <si>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</si>
  <si>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</si>
  <si>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</si>
  <si>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</si>
  <si>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</si>
  <si>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</si>
  <si>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</si>
  <si>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</si>
  <si>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</si>
  <si>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</si>
  <si>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</si>
  <si>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</si>
  <si>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</si>
  <si>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</si>
  <si>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</si>
  <si>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</si>
  <si>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</si>
  <si>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</si>
  <si>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</si>
  <si>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</si>
  <si>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</si>
  <si>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</si>
  <si>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</si>
  <si>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</si>
  <si>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</si>
  <si>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</si>
  <si>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</si>
  <si>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</si>
  <si>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</si>
  <si>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</si>
  <si>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</si>
  <si>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</si>
  <si>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</si>
  <si>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</si>
  <si>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</si>
  <si>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</si>
  <si>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</si>
  <si>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</si>
  <si>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</si>
  <si>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</si>
  <si>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</si>
  <si>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</si>
  <si>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</si>
  <si>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</si>
  <si>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</si>
  <si>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</si>
  <si>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</si>
  <si>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</si>
  <si>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</si>
  <si>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</si>
  <si>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</si>
  <si>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</si>
  <si>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</si>
  <si>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</si>
  <si>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</si>
  <si>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</si>
  <si>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</si>
  <si>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</si>
  <si>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</si>
  <si>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</si>
  <si>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</si>
  <si>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</si>
  <si>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</si>
  <si>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</si>
  <si>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</si>
  <si>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</si>
  <si>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</si>
  <si>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</si>
  <si>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</si>
  <si>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</si>
  <si>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</si>
  <si>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</si>
  <si>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</si>
  <si>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</si>
  <si>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</si>
  <si>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</si>
  <si>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</si>
  <si>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</si>
  <si>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</si>
  <si>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</si>
  <si>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</si>
  <si>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Mcf of Gas Supply Expensed during Month  (Line 16 + Line 20 + Line 21)</t>
  </si>
  <si>
    <t>Total Demand Cost - Including Transportation  (Line 13 x Line 44)</t>
  </si>
  <si>
    <t xml:space="preserve">    Less:  Demand Cost Recovered thru Rate TS-2  (Line 12 x Line 44)</t>
  </si>
  <si>
    <t>Commodity Costs - Gas Supply Under NNS (South-to-North) (Line 1 x Line 45)</t>
  </si>
  <si>
    <t xml:space="preserve">    Plus:  Withdrawals from NNS Storage  (Line 5 x Line 45)</t>
  </si>
  <si>
    <t xml:space="preserve">    Less:  Purchases Injected into NNS Storage  (Line 6 x Line 45)</t>
  </si>
  <si>
    <t xml:space="preserve">    Plus:  LG&amp;E Storage Injections  (Line 35 above)</t>
  </si>
  <si>
    <t>Gas Supply Expenses  (Line 36 + Line 40 + Line 41)</t>
  </si>
  <si>
    <t>Average Cost of Deliveries  (Line 33 / Line 11)</t>
  </si>
  <si>
    <t>Average Cost of Inventory - Including Injections (Line 39 / Line 19)</t>
  </si>
  <si>
    <t>Current Gas Supply Cost (Line 43 / Line 50)</t>
  </si>
  <si>
    <t>Texas Gas Firm Transportation (Rate FT)</t>
  </si>
  <si>
    <t>Cash-Out Price as Decribed in Rate FT</t>
  </si>
  <si>
    <t>2016-00353</t>
  </si>
  <si>
    <t>2016-00137</t>
  </si>
  <si>
    <t>2016-00428</t>
  </si>
  <si>
    <t>As Determined in LG&amp;E's Annual PBR Filing</t>
  </si>
  <si>
    <t>Total Expected Monthly Deliveries from TGT/TGPL to LG&amp;E  (Line 11 + Line 12)</t>
  </si>
  <si>
    <t>Mcf Purchases Expensed during Month  (Line 11 - Line 14 - Line 15)</t>
  </si>
  <si>
    <t xml:space="preserve">    Plus:  Storage Injections into LG&amp;E's Underground Storage  (Line 15)</t>
  </si>
  <si>
    <t>Commodity Costs - Gas Supply Under Rate FT (North-to-South) (Line 2 x Line 46)</t>
  </si>
  <si>
    <t xml:space="preserve">    Less:  Purchases for Depts. Other Than Gas Dept.(Line 14 x Line 48)</t>
  </si>
  <si>
    <t xml:space="preserve">    Less:  Purchases Injected into LG&amp;E's Storage  (Line 15 x Line 48)</t>
  </si>
  <si>
    <t xml:space="preserve">    Less:  LG&amp;E Storage Withdrawals  (Line 20 x Line 49)</t>
  </si>
  <si>
    <t xml:space="preserve">    Less:  LG&amp;E Storage Losses  (Line 21 x Line 49)</t>
  </si>
  <si>
    <t>Total Annual Demand Costs (Line 5)</t>
  </si>
  <si>
    <t>Average Demand Cost (Line 8)</t>
  </si>
  <si>
    <t>Commodity Cost (per MMBtu) under Tenn. Gas's Rate FT-A (Zone 0-2)</t>
  </si>
  <si>
    <t>Commodity Costs - Gas Supply Under Rate FT-A (Zone 0-2) (Line 3 x Line 47)</t>
  </si>
  <si>
    <t>Average Demand Cost per Mcf (Line 6 / Line 7)</t>
  </si>
  <si>
    <t>UCDI Charge (Line 13/Line 14/365 days)</t>
  </si>
  <si>
    <t>2017-00131</t>
  </si>
  <si>
    <t>CHANGES EVERY YEAR - USUALLY IN JULY OR AUGUST - ASK GAS SUPPLY FOR SEGMENT IN EXCEL</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</si>
  <si>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</si>
  <si>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</si>
  <si>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</si>
  <si>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</si>
  <si>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</si>
  <si>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</si>
  <si>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</si>
  <si>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</si>
  <si>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</si>
  <si>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</si>
  <si>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</si>
  <si>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</si>
  <si>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</si>
  <si>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</si>
  <si>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</si>
  <si>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</si>
  <si>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</si>
  <si>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</si>
  <si>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</si>
  <si>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</si>
  <si>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</si>
  <si>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</si>
  <si>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</si>
  <si>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</si>
  <si>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</si>
  <si>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</si>
  <si>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</si>
  <si>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</si>
  <si>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</si>
  <si>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</si>
  <si>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</si>
  <si>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</si>
  <si>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</si>
  <si>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Source: Natural Gas Forecast Forecast</t>
  </si>
  <si>
    <t>BTU Adjustment from forecast</t>
  </si>
  <si>
    <t>LAUFG Adjustment</t>
  </si>
  <si>
    <t>See Exhibit D.  LG&amp;E is not receiving any pipeline refunds at this time.</t>
  </si>
  <si>
    <t>Change in February effective filing</t>
  </si>
  <si>
    <t>Prepare Exhibit E in August effective filing</t>
  </si>
  <si>
    <t>2018-00403</t>
  </si>
  <si>
    <t>2019-00078</t>
  </si>
  <si>
    <t>(PER DAY)</t>
  </si>
  <si>
    <t>2019-00179</t>
  </si>
  <si>
    <t xml:space="preserve">Basic </t>
  </si>
  <si>
    <t>Service Charge</t>
  </si>
  <si>
    <t>GLT (per meter)</t>
  </si>
  <si>
    <t>GLT Transmission Projects (per CCF)</t>
  </si>
  <si>
    <t>2019-00327</t>
  </si>
  <si>
    <t>Updated in November filing (from annual LAUFG filing)</t>
  </si>
  <si>
    <t>Updated in November filing (effective for new forecast)</t>
  </si>
  <si>
    <t>2019-00436</t>
  </si>
  <si>
    <t>Customer Delivery Sales Mill Creek</t>
  </si>
  <si>
    <t>See Exhibit E-1, page 2.  Only applicable for August filing.</t>
  </si>
  <si>
    <t>2020-00070</t>
  </si>
  <si>
    <t>GCAA $/MCF</t>
  </si>
  <si>
    <t>GCAA $/CCF</t>
  </si>
  <si>
    <t>LG&amp;E is served by Texas Gas Transmission, LLC (“TGT”) pursuant to the terms of the transportation agreements under Rate Schedules NNS-4 and FT-4.  LG&amp;E is served by Tennessee Gas Pipeline Company, LLC (“TGPL”) pursuant to the terms of a transportation agreement under Rate Schedule FT-A-2.  Both TGT and TGPL are subject to regulation by the Federal Energy Regulatory Commission (“FERC”).</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</si>
  <si>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</si>
  <si>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</si>
  <si>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</si>
  <si>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</si>
  <si>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</si>
  <si>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Firm Transportation Service (FT-A-2: South-to-North)</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</si>
  <si>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</si>
  <si>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</si>
  <si>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</si>
  <si>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</si>
  <si>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</si>
  <si>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</si>
  <si>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</si>
  <si>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</si>
  <si>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</si>
  <si>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</si>
  <si>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</si>
  <si>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</si>
  <si>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</si>
  <si>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</si>
  <si>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</si>
  <si>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</si>
  <si>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</si>
  <si>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</si>
  <si>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</si>
  <si>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</si>
  <si>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</si>
  <si>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</si>
  <si>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</si>
  <si>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</si>
  <si>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Exhibit 13, Column 6</t>
  </si>
  <si>
    <t>Exhibit 10, Column 9</t>
  </si>
  <si>
    <t>Exhibit 10, Column 13</t>
  </si>
  <si>
    <t>Exhibit 10, Column 17</t>
  </si>
  <si>
    <t>Exhibit 10, Column 7</t>
  </si>
  <si>
    <t>Exhibit 10, Column 10</t>
  </si>
  <si>
    <t>Exhibit 10, Column 14</t>
  </si>
  <si>
    <t>Annualized total from 1st page of Exhibit 15</t>
  </si>
  <si>
    <t>ONLY UPDATE THE FOLLOWING WITH MOST RECENT APPROVED RATE CASE BILLING DETERMINANTS</t>
  </si>
  <si>
    <t>Total Revenue on Memo from Exhibit 17</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</si>
  <si>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</si>
  <si>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</si>
  <si>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</si>
  <si>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</si>
  <si>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</si>
  <si>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</si>
  <si>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</si>
  <si>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</si>
  <si>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</si>
  <si>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</si>
  <si>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</si>
  <si>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</si>
  <si>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</si>
  <si>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</si>
  <si>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</si>
  <si>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</si>
  <si>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</si>
  <si>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</si>
  <si>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</si>
  <si>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</si>
  <si>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</si>
  <si>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</si>
  <si>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</si>
  <si>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</si>
  <si>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</si>
  <si>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</si>
  <si>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</si>
  <si>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</si>
  <si>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</si>
  <si>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</si>
  <si>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</si>
  <si>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</si>
  <si>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</si>
  <si>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</si>
  <si>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</si>
  <si>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</si>
  <si>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</si>
  <si>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</si>
  <si>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</si>
  <si>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</si>
  <si>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</si>
  <si>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</si>
  <si>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</si>
  <si>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</si>
  <si>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</si>
  <si>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</si>
  <si>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FILE WITH SERVICE RENDERED AUGUST ONLY</t>
  </si>
  <si>
    <t>Comes from case for first month schedule E-1 1 of 2, Line 1 TOTAL</t>
  </si>
  <si>
    <t xml:space="preserve">Ex F-1 1 of 1 Tab - Gas Cost True-Up Charge Applicable to Customers </t>
  </si>
  <si>
    <t>Service Effective</t>
  </si>
  <si>
    <t>Component of GCAA</t>
  </si>
  <si>
    <t>Component of GCBA</t>
  </si>
  <si>
    <t>Component of PBRRC</t>
  </si>
  <si>
    <t>Applicable</t>
  </si>
  <si>
    <t>CHANGE DATE RANGE IN NOVEMBER ONLY</t>
  </si>
  <si>
    <t>Change every quarter once we receive Case No. from Commission</t>
  </si>
  <si>
    <t>Put Case No. that was in cell C12 in the last quarter filing.</t>
  </si>
  <si>
    <t>Change every Quarter; update text column with same date as column C</t>
  </si>
  <si>
    <t>Update text column with same date as column C</t>
  </si>
  <si>
    <t>Update every filing; Exhibit 16</t>
  </si>
  <si>
    <t>Exhibit 20</t>
  </si>
  <si>
    <t>Update in February only.  Source is Exhibit 22,Calculation of Company Share of Performance-Based Ratemaking Savings or Expenses</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</si>
  <si>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</si>
  <si>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</si>
  <si>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</si>
  <si>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</si>
  <si>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</si>
  <si>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</si>
  <si>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Service Rendered Date of the next GSC</t>
  </si>
  <si>
    <t>Gas True-Up Applicable Dates (begins every November)</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</si>
  <si>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</si>
  <si>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</si>
  <si>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</si>
  <si>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</si>
  <si>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</si>
  <si>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</si>
  <si>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</si>
  <si>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</si>
  <si>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</si>
  <si>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</si>
  <si>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</si>
  <si>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GSC Filing Case Start Month (two cases prior)</t>
  </si>
  <si>
    <t>GSC Filing Stop Month (two cases prior)</t>
  </si>
  <si>
    <t>GCAA case number being eliminated with this filing.</t>
  </si>
  <si>
    <t>Next GSC filing service rendered date</t>
  </si>
  <si>
    <t>•</t>
  </si>
  <si>
    <t xml:space="preserve">Set forth below are the commodity costs as delivered to LG&amp;E after giving effect to TGT’s and TGPL’s commodity charges for transporting the gas under Rates NNS, FT and FT-A and the applicable retention percentages. </t>
  </si>
  <si>
    <t>RATE NNS</t>
  </si>
  <si>
    <t>SYSTEM SUPPLY SOUTH-TO-NORTH PURCHASE PRICE PER MMBTU</t>
  </si>
  <si>
    <t>UNDER TEXAS GAS’S NO-NOTICE SERVICE RATE</t>
  </si>
  <si>
    <t>RATE FT</t>
  </si>
  <si>
    <t>SYSTEM SUPPLY NORTH-TO-SOUTH PURCHASE PRICE PER MMBTU</t>
  </si>
  <si>
    <t>UNDER TEXAS GAS’S FIRM TRANSPORTATION SERVICE RATE</t>
  </si>
  <si>
    <t>RATE FT-A-2</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</si>
  <si>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</si>
  <si>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</si>
  <si>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</si>
  <si>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</si>
  <si>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</si>
  <si>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</si>
  <si>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</si>
  <si>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</si>
  <si>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</si>
  <si>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</si>
  <si>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Suppl Fin Rpt pg. 46. Purchased Gas  Wholesale Sales</t>
  </si>
  <si>
    <t>Suppl Fin Rpt, pg 47. Gas to Storage.  Enter as negative</t>
  </si>
  <si>
    <t>Suppl Fin Rpt, pg. 46. Gas from Storage</t>
  </si>
  <si>
    <t>Suppl Fin Rpt, pg. 47. Underground Gas Storage Losses Charged to Storage Expenses</t>
  </si>
  <si>
    <t>Suppl Fin Rpts pg. 46. Purchased Gas</t>
  </si>
  <si>
    <t>Suppl Fin Rpt, pg. 46. Purchased Gas - Wholesale Sales</t>
  </si>
  <si>
    <t>Suppl Fin Rpt, pg. 46. Other Electric Credits</t>
  </si>
  <si>
    <t>Suppl Fin Rpt, pg. 46. Gas to Storage</t>
  </si>
  <si>
    <t>Suppl Fin Rpt, pg. 46. Underground Gas Storage Losses</t>
  </si>
  <si>
    <t>Suppl Fin Rpt, pg. 46. GSC Portion of Bad Debt Expense</t>
  </si>
  <si>
    <t>GAS SERVICE RATES EFFECTIVE WITH SERVICE</t>
  </si>
  <si>
    <t>February 1, 2021</t>
  </si>
  <si>
    <t>2020-00309</t>
  </si>
  <si>
    <t>ONLY UPDATE ANNUALLY FOR SERVICES RENDERED IN AUGUST -- Use Exhibit E, page 2 - Will be set at zero the remainder of the year</t>
  </si>
  <si>
    <t xml:space="preserve">   Plus, Purchased Gas: No Notice Storage Withdrawals</t>
  </si>
  <si>
    <t xml:space="preserve">   Purchased Gas: Retail Sales</t>
  </si>
  <si>
    <t xml:space="preserve">   Less, Purchased Gas: No Notice Storage Injections</t>
  </si>
  <si>
    <t xml:space="preserve">Suppl Financial Reports, pg. 46. Add together Purchased Gas: Retail Sales </t>
  </si>
  <si>
    <t xml:space="preserve">Suppl Financial Reports, Pg. 46 Purchased Gas: No Notice Storage Withdrawals </t>
  </si>
  <si>
    <t>Suppl Financial Reports, Pg. 47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</si>
  <si>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</si>
  <si>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</si>
  <si>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</si>
  <si>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</si>
  <si>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 xml:space="preserve">Suppl Fin Rpt, pg. 47. </t>
  </si>
  <si>
    <t>Total multiplied by -1</t>
  </si>
  <si>
    <t>TOTAL Purchases for Departments other than Gas Department</t>
  </si>
  <si>
    <t>TOTAL Mcf Purchases</t>
  </si>
  <si>
    <t>Forecast Delivery Sales - Mill Creek</t>
  </si>
  <si>
    <t>Forecast Delivery Sales</t>
  </si>
  <si>
    <t>TS Demand portion of Gas Purchases and End-User Transport Throughput</t>
  </si>
  <si>
    <t>Source: September Forecast</t>
  </si>
  <si>
    <t>Effective date of current PBR; change with filing with February effective date</t>
  </si>
  <si>
    <t>End date of current PBR; change with filing with February effective date</t>
  </si>
  <si>
    <t>Blue Cells = Formula Produced Cells</t>
  </si>
  <si>
    <t>Information will pull from the Forecast Tab</t>
  </si>
  <si>
    <t>2020-00401</t>
  </si>
  <si>
    <t xml:space="preserve">Description of Change </t>
  </si>
  <si>
    <t>Changed By</t>
  </si>
  <si>
    <t>Date</t>
  </si>
  <si>
    <t>Verified By</t>
  </si>
  <si>
    <t>As a result of Rate Case No. 2008-00252, the following changes</t>
  </si>
  <si>
    <t>were made to the GSC filing:</t>
  </si>
  <si>
    <t xml:space="preserve"> - Revised GSC Tariff Sheet to reflect change in P.S.C. Number</t>
  </si>
  <si>
    <t>Mary Gillepsie</t>
  </si>
  <si>
    <t xml:space="preserve">   (P.S.C. Gas No. 7, rather than P.S.C. of Ky. Gas No. 6) and in </t>
  </si>
  <si>
    <t xml:space="preserve">   the Sheet Number (Sheet No. 85 rather than Sheet No. 70.)</t>
  </si>
  <si>
    <t xml:space="preserve"> - Revised Exhibit A, page 2, to eliminate calculation of Reserved</t>
  </si>
  <si>
    <t xml:space="preserve">   Balancing Service Charge, due to the elimination of Rate RBS.</t>
  </si>
  <si>
    <t xml:space="preserve">   This required that the formula for calculating the Daily Utilization </t>
  </si>
  <si>
    <t xml:space="preserve">   Charge be revised.</t>
  </si>
  <si>
    <t xml:space="preserve"> - The Design Day Requirement was updated to reflect the revised</t>
  </si>
  <si>
    <t xml:space="preserve">    figure filed in Seelye Testimony and approved in the rate case.</t>
  </si>
  <si>
    <t xml:space="preserve"> - The Effective Rates spreadsheet was updated to reflect the </t>
  </si>
  <si>
    <t xml:space="preserve">    Customer Charges and Base Rates approved to become</t>
  </si>
  <si>
    <t xml:space="preserve">     effective February 6, 2009.</t>
  </si>
  <si>
    <t xml:space="preserve"> - The Rate FT Summary was revised to remove the Reserved</t>
  </si>
  <si>
    <t xml:space="preserve">    Balancing Charges.</t>
  </si>
  <si>
    <t>The DSM rates on the Effective Rates spreadsheet were updated</t>
  </si>
  <si>
    <t>to reflect new charges which became effective 3/30/09</t>
  </si>
  <si>
    <t>.</t>
  </si>
  <si>
    <t>On tab 'Exhibit D1', deleted lines 20-32 because we no longer will allocate a portion of refunds to the Gas Department, as the Gas Department is now treated as a regular GSC customer.  In addition, revised the formulas in cells below the deleted sections to remove the references to the now deleted lines.</t>
  </si>
  <si>
    <t>Brandi Sanders</t>
  </si>
  <si>
    <t>12/16/09</t>
  </si>
  <si>
    <t>On tab 'Exhibit D1,' updated the exhibit for multiple refund factors occuring at one time.  The exhibit now follows the format of Exhibits B and C.  On tab 'Tariff Sheet No. 85,' added lines 33 and 34 for multiple refund factors and updated the 'Total' formulas to reflect this change.</t>
  </si>
  <si>
    <t>6/29/10</t>
  </si>
  <si>
    <t>On tab 'Ex D1', made Total Refund Factor Check, cell V29, negative and linked cell V29 to Ex A, Page 2 of 2, cell L38.</t>
  </si>
  <si>
    <t>Dawn McGee</t>
  </si>
  <si>
    <t>On tab 'Ex A 1 of 2', updated multiple lines to add volumes, total costs and unit costs for Texas Gas NNS Backhaul, FT Backhaul, STF Backhaul.  Added words "Forward Haul" to existing NNS, FT and STF lines.  Deleted Zone 0 in TN lines.   Renumbered lines, edited line references and edited formulas to incorporate the additional Backhaul rows.</t>
  </si>
  <si>
    <t>Andrea Schroeder</t>
  </si>
  <si>
    <t>Added two additional columns to tab 'Change Version Control Log' to add 'Verified By' and 'Date' column.</t>
  </si>
  <si>
    <t xml:space="preserve">On tab 'Ex A 1 of 2', changed the description in parentheses from "Back Haul" to "Backward Haul".  On tab 'Effective Rates', updated the Basic Service Charges and Distribution Charges to reflect settlement in Rate Case 2012-00222.  On tab 'FT Rate Summary', updated Monthly Transportation Administrative Charge to reflect settlement in Rate Case 2012-00222.  On tab'Ex B 4 of 6' inserted into column AE a new column for the Gas Commodity Portion of Bad Debt Expense and updated sum formula to include the column. </t>
  </si>
  <si>
    <t>On tab 'Ex B 1 of 6', 'Ex B 2 of 6', 'Ex B 3 of 6', Ex B 4 of 6', 'Ex C 1 of 2', 'Ex C 2 of 2', and 'Ex D1', removed text box containing Exhibit letter and page number and inserted footer to include that information.</t>
  </si>
  <si>
    <t>Added tab 'Ex F' to incorporate a new charge for FT and TS-2 customers, the Gas Cost True-Up Charge.</t>
  </si>
  <si>
    <t>Changed formula in cell K99 on tab 'Effective Rates' to correct formula to properly show rate per MCF.  The change has no impact to customer bills as it is provided for informational purposes only.</t>
  </si>
  <si>
    <t>Added formula to cells to link Ex. F to the Summary Sheet.  Ex. F Cell C11 linked to Summary Sheet H35/10.  Ex. F Cell B13 linked to Summary Sheet H27/10.  Ex. F C13 linked to Summary Sheet H35/10.  Ex. F Cell D13 linked to Summary Sheet H53/10.</t>
  </si>
  <si>
    <t>Effective Rates tab: Added column (Column G) in sales rate section to include GLT information.  Used same added column to include Basic Service Charge in TS section. [Distribution charge was already included, this completed TS billing picture].  Added two rows under Rate TS section under headings Rate CGS - Commercial and Rate IGS - Industrial to add meter capacity.</t>
  </si>
  <si>
    <t>Ex B 2 of 6: At suggestion of Director, Gas Management, Planning and Supply, deleted Footnote 1, which stated that purchases for Natural Gas Vehicles were included in purchases.  This was inserted in the early days of the GSC and is no longer needed.</t>
  </si>
  <si>
    <r>
      <rPr>
        <b/>
        <sz val="12"/>
        <rFont val="Times New Roman"/>
        <family val="1"/>
      </rPr>
      <t>Input Tab.</t>
    </r>
    <r>
      <rPr>
        <sz val="12"/>
        <rFont val="Times New Roman"/>
        <family val="1"/>
      </rPr>
      <t xml:space="preserve"> </t>
    </r>
    <r>
      <rPr>
        <u/>
        <sz val="12"/>
        <rFont val="Times New Roman"/>
        <family val="1"/>
      </rPr>
      <t>Cell A3</t>
    </r>
    <r>
      <rPr>
        <sz val="12"/>
        <rFont val="Times New Roman"/>
        <family val="1"/>
      </rPr>
      <t xml:space="preserve">: Added the text "Factor", </t>
    </r>
    <r>
      <rPr>
        <u/>
        <sz val="12"/>
        <rFont val="Times New Roman"/>
        <family val="1"/>
      </rPr>
      <t>Cell B3</t>
    </r>
    <r>
      <rPr>
        <sz val="12"/>
        <rFont val="Times New Roman"/>
        <family val="1"/>
      </rPr>
      <t xml:space="preserve">: Added the text "Numerical Date", </t>
    </r>
    <r>
      <rPr>
        <u/>
        <sz val="12"/>
        <rFont val="Times New Roman"/>
        <family val="1"/>
      </rPr>
      <t>Cell C3</t>
    </r>
    <r>
      <rPr>
        <sz val="12"/>
        <rFont val="Times New Roman"/>
        <family val="1"/>
      </rPr>
      <t xml:space="preserve">: Added the text "Text Date".  </t>
    </r>
    <r>
      <rPr>
        <u/>
        <sz val="12"/>
        <rFont val="Times New Roman"/>
        <family val="1"/>
      </rPr>
      <t>Cell A4</t>
    </r>
    <r>
      <rPr>
        <sz val="12"/>
        <rFont val="Times New Roman"/>
        <family val="1"/>
      </rPr>
      <t xml:space="preserve">: Deleted the text "Beginning Month of Period" and added the text "GSC Effective Date".  </t>
    </r>
    <r>
      <rPr>
        <u/>
        <sz val="12"/>
        <rFont val="Times New Roman"/>
        <family val="1"/>
      </rPr>
      <t>Cell C4</t>
    </r>
    <r>
      <rPr>
        <sz val="12"/>
        <rFont val="Times New Roman"/>
        <family val="1"/>
      </rPr>
      <t xml:space="preserve">: Added date in text format.  </t>
    </r>
    <r>
      <rPr>
        <u/>
        <sz val="12"/>
        <rFont val="Times New Roman"/>
        <family val="1"/>
      </rPr>
      <t>Cell A5</t>
    </r>
    <r>
      <rPr>
        <sz val="12"/>
        <rFont val="Times New Roman"/>
        <family val="1"/>
      </rPr>
      <t xml:space="preserve">: Deleted the text "Ending Month of Period" and added the text "End of 3-Month Period".  </t>
    </r>
    <r>
      <rPr>
        <u/>
        <sz val="12"/>
        <rFont val="Times New Roman"/>
        <family val="1"/>
      </rPr>
      <t>Cell C5</t>
    </r>
    <r>
      <rPr>
        <sz val="12"/>
        <rFont val="Times New Roman"/>
        <family val="1"/>
      </rPr>
      <t xml:space="preserve">: Added date stated in text.  </t>
    </r>
    <r>
      <rPr>
        <u/>
        <sz val="12"/>
        <rFont val="Times New Roman"/>
        <family val="1"/>
      </rPr>
      <t>Cell A6</t>
    </r>
    <r>
      <rPr>
        <sz val="12"/>
        <rFont val="Times New Roman"/>
        <family val="1"/>
      </rPr>
      <t xml:space="preserve">: Deleted the text "For the Three-Month Period From August 2, 2013 through October 31, 2012" and added the text "GCAA Beginning Month". </t>
    </r>
    <r>
      <rPr>
        <u/>
        <sz val="12"/>
        <rFont val="Times New Roman"/>
        <family val="1"/>
      </rPr>
      <t>Cell B6</t>
    </r>
    <r>
      <rPr>
        <sz val="12"/>
        <rFont val="Times New Roman"/>
        <family val="1"/>
      </rPr>
      <t xml:space="preserve">: Added formula =EDATE(B4,-6). </t>
    </r>
    <r>
      <rPr>
        <u/>
        <sz val="12"/>
        <rFont val="Times New Roman"/>
        <family val="1"/>
      </rPr>
      <t>Cell A7</t>
    </r>
    <r>
      <rPr>
        <sz val="12"/>
        <rFont val="Times New Roman"/>
        <family val="1"/>
      </rPr>
      <t xml:space="preserve">: Deleted the text "August 1, 2013 through October 31, 2013" and added the text "GCBA Beginning Month". </t>
    </r>
    <r>
      <rPr>
        <u/>
        <sz val="12"/>
        <rFont val="Times New Roman"/>
        <family val="1"/>
      </rPr>
      <t>Cell B7</t>
    </r>
    <r>
      <rPr>
        <sz val="12"/>
        <rFont val="Times New Roman"/>
        <family val="1"/>
      </rPr>
      <t xml:space="preserve">: Added the formula = EDATE(B4,-15). </t>
    </r>
    <r>
      <rPr>
        <u/>
        <sz val="12"/>
        <rFont val="Times New Roman"/>
        <family val="1"/>
      </rPr>
      <t>Cell A8</t>
    </r>
    <r>
      <rPr>
        <sz val="12"/>
        <rFont val="Times New Roman"/>
        <family val="1"/>
      </rPr>
      <t xml:space="preserve">: Added the text "RA True Up Beginning Month". </t>
    </r>
    <r>
      <rPr>
        <u/>
        <sz val="12"/>
        <rFont val="Times New Roman"/>
        <family val="1"/>
      </rPr>
      <t>Cell B8</t>
    </r>
    <r>
      <rPr>
        <sz val="12"/>
        <rFont val="Times New Roman"/>
        <family val="1"/>
      </rPr>
      <t xml:space="preserve">: Added the formula =B7. </t>
    </r>
    <r>
      <rPr>
        <u/>
        <sz val="12"/>
        <rFont val="Times New Roman"/>
        <family val="1"/>
      </rPr>
      <t>Cell A9</t>
    </r>
    <r>
      <rPr>
        <sz val="12"/>
        <rFont val="Times New Roman"/>
        <family val="1"/>
      </rPr>
      <t xml:space="preserve">: Deleted the text "Case Reference" and added the text "PBR Year". </t>
    </r>
    <r>
      <rPr>
        <u/>
        <sz val="12"/>
        <rFont val="Times New Roman"/>
        <family val="1"/>
      </rPr>
      <t>Cell C9</t>
    </r>
    <r>
      <rPr>
        <sz val="12"/>
        <rFont val="Times New Roman"/>
        <family val="1"/>
      </rPr>
      <t xml:space="preserve">: Added the text "Only changes in February". </t>
    </r>
    <r>
      <rPr>
        <u/>
        <sz val="12"/>
        <rFont val="Times New Roman"/>
        <family val="1"/>
      </rPr>
      <t>Cell B9</t>
    </r>
    <r>
      <rPr>
        <sz val="12"/>
        <rFont val="Times New Roman"/>
        <family val="1"/>
      </rPr>
      <t xml:space="preserve">: Deleted the case reference number and added the year number. </t>
    </r>
    <r>
      <rPr>
        <u/>
        <sz val="12"/>
        <rFont val="Times New Roman"/>
        <family val="1"/>
      </rPr>
      <t>Cell A10</t>
    </r>
    <r>
      <rPr>
        <sz val="12"/>
        <rFont val="Times New Roman"/>
        <family val="1"/>
      </rPr>
      <t xml:space="preserve">: Added the text "PBR Effective Date". </t>
    </r>
    <r>
      <rPr>
        <u/>
        <sz val="12"/>
        <rFont val="Times New Roman"/>
        <family val="1"/>
      </rPr>
      <t>Cell B10</t>
    </r>
    <r>
      <rPr>
        <sz val="12"/>
        <rFont val="Times New Roman"/>
        <family val="1"/>
      </rPr>
      <t xml:space="preserve">: Added numerical date. </t>
    </r>
    <r>
      <rPr>
        <u/>
        <sz val="12"/>
        <rFont val="Times New Roman"/>
        <family val="1"/>
      </rPr>
      <t>Cell C10</t>
    </r>
    <r>
      <rPr>
        <sz val="12"/>
        <rFont val="Times New Roman"/>
        <family val="1"/>
      </rPr>
      <t xml:space="preserve">: Added the text "Only changes in February". </t>
    </r>
    <r>
      <rPr>
        <u/>
        <sz val="12"/>
        <rFont val="Times New Roman"/>
        <family val="1"/>
      </rPr>
      <t>Cell A11</t>
    </r>
    <r>
      <rPr>
        <sz val="12"/>
        <rFont val="Times New Roman"/>
        <family val="1"/>
      </rPr>
      <t xml:space="preserve">: Deleted the text "PBR Year" and added the text "PBR True Up Beginning Month". </t>
    </r>
    <r>
      <rPr>
        <u/>
        <sz val="12"/>
        <rFont val="Times New Roman"/>
        <family val="1"/>
      </rPr>
      <t>Cell B11</t>
    </r>
    <r>
      <rPr>
        <sz val="12"/>
        <rFont val="Times New Roman"/>
        <family val="1"/>
      </rPr>
      <t xml:space="preserve">: Deleted the text "16" and added the text "February 1, 2013". </t>
    </r>
    <r>
      <rPr>
        <u/>
        <sz val="12"/>
        <rFont val="Times New Roman"/>
        <family val="1"/>
      </rPr>
      <t>Cell C11</t>
    </r>
    <r>
      <rPr>
        <sz val="12"/>
        <rFont val="Times New Roman"/>
        <family val="1"/>
      </rPr>
      <t xml:space="preserve">: Added the text "Calculate for filing effective in August". </t>
    </r>
    <r>
      <rPr>
        <u/>
        <sz val="12"/>
        <rFont val="Times New Roman"/>
        <family val="1"/>
      </rPr>
      <t>Cell A12</t>
    </r>
    <r>
      <rPr>
        <sz val="12"/>
        <rFont val="Times New Roman"/>
        <family val="1"/>
      </rPr>
      <t xml:space="preserve">: Deleted the text "PBR Effective Date" and added the text "Case Reference". </t>
    </r>
    <r>
      <rPr>
        <u/>
        <sz val="12"/>
        <rFont val="Times New Roman"/>
        <family val="1"/>
      </rPr>
      <t>Cell B12</t>
    </r>
    <r>
      <rPr>
        <sz val="12"/>
        <rFont val="Times New Roman"/>
        <family val="1"/>
      </rPr>
      <t xml:space="preserve">: Deleted the text "February 1, 2013" and added the text "2013-00xxx".  </t>
    </r>
    <r>
      <rPr>
        <u/>
        <sz val="12"/>
        <rFont val="Times New Roman"/>
        <family val="1"/>
      </rPr>
      <t>Cell A13</t>
    </r>
    <r>
      <rPr>
        <sz val="12"/>
        <rFont val="Times New Roman"/>
        <family val="1"/>
      </rPr>
      <t xml:space="preserve">: Added the text "Storage Inventory WACOG". </t>
    </r>
    <r>
      <rPr>
        <u/>
        <sz val="12"/>
        <rFont val="Times New Roman"/>
        <family val="1"/>
      </rPr>
      <t>Cell B13</t>
    </r>
    <r>
      <rPr>
        <sz val="12"/>
        <rFont val="Times New Roman"/>
        <family val="1"/>
      </rPr>
      <t>: Input cell for storage price linked to Exhibit A Cell C64. Data in Cells A15, B15, C15 and A16 were deleted.</t>
    </r>
  </si>
  <si>
    <t>Added tab called "Forecast" which has the data from the Annual Forecast.  Will be linked to other tabs with vlookup formulas.</t>
  </si>
  <si>
    <t>Changed tab name from "Lookup" to "Case Database" and changed the text under "Case No." and "GCAA Case Reference" from from (Case No. 2013-00xxx) to 2013-00xxx.</t>
  </si>
  <si>
    <t>Added tab called "Cover Sheet" which contains the cover sheet that was originally in a separate file.  Tab has links to date inputs from Input Date tab.</t>
  </si>
  <si>
    <r>
      <t xml:space="preserve">Tab Summary Sheet. Changed row 6 formula from text and date input link to concatenate formula linked to dates in Input Data tab. </t>
    </r>
    <r>
      <rPr>
        <u/>
        <sz val="12"/>
        <rFont val="Times New Roman"/>
        <family val="1"/>
      </rPr>
      <t>Cell H14</t>
    </r>
    <r>
      <rPr>
        <sz val="12"/>
        <rFont val="Times New Roman"/>
        <family val="1"/>
      </rPr>
      <t xml:space="preserve">: Cell link change from Ex A 1 of 2 M73 to Ex A 1 of 2 F71. </t>
    </r>
    <r>
      <rPr>
        <u/>
        <sz val="12"/>
        <rFont val="Times New Roman"/>
        <family val="1"/>
      </rPr>
      <t>Cell A15</t>
    </r>
    <r>
      <rPr>
        <sz val="12"/>
        <rFont val="Times New Roman"/>
        <family val="1"/>
      </rPr>
      <t xml:space="preserve">: Changed concatenate formula from link to Input Data tab A7 to link to Input Data tab C4 and C5. </t>
    </r>
    <r>
      <rPr>
        <u/>
        <sz val="12"/>
        <rFont val="Times New Roman"/>
        <family val="1"/>
      </rPr>
      <t>Cell H15</t>
    </r>
    <r>
      <rPr>
        <sz val="12"/>
        <rFont val="Times New Roman"/>
        <family val="1"/>
      </rPr>
      <t xml:space="preserve">: Changed from link to Ex A 1 of 2 M88 to Ex A 1 of 2 F86. </t>
    </r>
    <r>
      <rPr>
        <u/>
        <sz val="12"/>
        <rFont val="Times New Roman"/>
        <family val="1"/>
      </rPr>
      <t>Cell E23</t>
    </r>
    <r>
      <rPr>
        <sz val="12"/>
        <rFont val="Times New Roman"/>
        <family val="1"/>
      </rPr>
      <t xml:space="preserve">: Link to Cell J23 deleted and replaced with link to Input Data tab Cell B4. </t>
    </r>
    <r>
      <rPr>
        <u/>
        <sz val="12"/>
        <rFont val="Times New Roman"/>
        <family val="1"/>
      </rPr>
      <t>Cell E24-E26</t>
    </r>
    <r>
      <rPr>
        <sz val="12"/>
        <rFont val="Times New Roman"/>
        <family val="1"/>
      </rPr>
      <t xml:space="preserve">: Link to Cells J24-J26 deleted and replaced with EDATE formula linking to previous cell above. Links in Cells J23-J26 deleted.  </t>
    </r>
    <r>
      <rPr>
        <u/>
        <sz val="12"/>
        <rFont val="Times New Roman"/>
        <family val="1"/>
      </rPr>
      <t>Cells F23-F26:</t>
    </r>
    <r>
      <rPr>
        <sz val="12"/>
        <rFont val="Times New Roman"/>
        <family val="1"/>
      </rPr>
      <t xml:space="preserve"> vlookup formula changed to reference Case Database instead of Lookup tab. </t>
    </r>
    <r>
      <rPr>
        <u/>
        <sz val="12"/>
        <rFont val="Times New Roman"/>
        <family val="1"/>
      </rPr>
      <t>Cell H23</t>
    </r>
    <r>
      <rPr>
        <sz val="12"/>
        <rFont val="Times New Roman"/>
        <family val="1"/>
      </rPr>
      <t xml:space="preserve">: vlookup formula replaced with formula =Ex B 1 of 6 D26.  </t>
    </r>
    <r>
      <rPr>
        <u/>
        <sz val="12"/>
        <rFont val="Times New Roman"/>
        <family val="1"/>
      </rPr>
      <t>Cells H24-H26</t>
    </r>
    <r>
      <rPr>
        <sz val="12"/>
        <rFont val="Times New Roman"/>
        <family val="1"/>
      </rPr>
      <t xml:space="preserve">: vlookup formula deleted and replaced with hard coded data. </t>
    </r>
    <r>
      <rPr>
        <u/>
        <sz val="12"/>
        <rFont val="Times New Roman"/>
        <family val="1"/>
      </rPr>
      <t>Cell J33</t>
    </r>
    <r>
      <rPr>
        <sz val="12"/>
        <rFont val="Times New Roman"/>
        <family val="1"/>
      </rPr>
      <t xml:space="preserve">: Deleted. </t>
    </r>
    <r>
      <rPr>
        <u/>
        <sz val="12"/>
        <rFont val="Times New Roman"/>
        <family val="1"/>
      </rPr>
      <t>Cell H33:</t>
    </r>
    <r>
      <rPr>
        <sz val="12"/>
        <rFont val="Times New Roman"/>
        <family val="1"/>
      </rPr>
      <t xml:space="preserve"> vlookup formula deleted and replaced with formula =Ex C 1 of 3 D14.  </t>
    </r>
    <r>
      <rPr>
        <u/>
        <sz val="12"/>
        <rFont val="Times New Roman"/>
        <family val="1"/>
      </rPr>
      <t>Cell H43-H46</t>
    </r>
    <r>
      <rPr>
        <sz val="12"/>
        <rFont val="Times New Roman"/>
        <family val="1"/>
      </rPr>
      <t xml:space="preserve">: Formula cell references were changed from Ex D1 S24-S22 to Ex D1 I12-I15.  </t>
    </r>
    <r>
      <rPr>
        <u/>
        <sz val="12"/>
        <rFont val="Times New Roman"/>
        <family val="1"/>
      </rPr>
      <t>Cell H52</t>
    </r>
    <r>
      <rPr>
        <sz val="12"/>
        <rFont val="Times New Roman"/>
        <family val="1"/>
      </rPr>
      <t xml:space="preserve">: Cell references from Ex E pg 1 were changed from E25 and H25 to C23 and D23. </t>
    </r>
  </si>
  <si>
    <t xml:space="preserve">Tab Ex A 1 of 2. Row 4, header formula changed from =Input Data A6 to concatenate formula linked to Input Data C4 and C5. Cells J8, K8, L8, M8 changed from links to Input Data cells A15,B15,C15, A16 to C6 = Input Data B4, Cells D6 andE6 now use =EDATE linked to previous cell. Cell F6 now has text "Total". Rows 6-7 and Columns D-I were deleted.  All references in new format moved up 2 rows and 7 columns to the left.  Line 16 Cells J31,K31,L31 changed from a hard coded number to vlookup formula linked to Forecast tab. Lines 18-19 Cells J34-L34; J35-L35 changed from hard coded numbers to vlookup formulas linked to Forecast tab. Lines 24 Cell J41-L41 and Line 25 Cells J42-L42 changed from hard coded numbers to vlookup formula linked to Forecast tab. Line 45 Cell J66 changed from =J38*4.1929 moved to Cell C64 =C36*Input Data B13. Line 52 Cell J76 changed from =Ex A 2 of 2 O27 to =Ex A 2 of 2 F30. </t>
  </si>
  <si>
    <t>Tab Ex A 2 of 2. Text in row 3 changed from link to Input Data A6 to concatenate formula linked to Input Data C4 and C5. Added line numbers in Column A. Empthy rows between lines with data were deleted.  Columns G,I,K, M and N were deleted. Data in Cells A21 - O 22 were deleted. Each section was titled to describe the calculation underneath it.  Cell B34 "Pipeline Supplier's Demand Component per Mcf" was changed to "Annual Demnad Cost (Line 10)". Cell B42 "Pipeline Supplier's Demand Component per Mcf - Applicable to Rider TS Transportation" was changed to PSDC Charge per Mcf. The box in Cells R18 - T34 which displays the Forecast data was redesigned.  The title in row 18 "Purchases plus TS Transport 2012 Revised Forecast" changed to "First date will pull from input tab, rest are date formulas".  Title in row 19 "Back-Up Calculations - Hide for Filings" changed to Source Information - Not Included in Filings". Row 20 now has the following column headings "Month" "Purchases" "Rate TS Transport" and "SubTotal".  Cell I15 under "Month" links to Input Data B4, all other cells below use the EOMONTH formula.  Cells J15-K26 use vlookup formulas linked to the Forecast tab. Cells L15-L26 use sum formula adding column J and K together.  Column L is summed in Cell L28.  Cell L28 is linked to F29.</t>
  </si>
  <si>
    <t>Tab Ex B 1 of 6. Deleted Cells A7-S78 which is historical data from prior filings.  Only data for filing months are now displayed in Exhibit.  Forecast info in box to right of Exhibit has been updated. Cell I11 is linked to Input Data B4.  Rest of date cells are edate formulas. Cells J11-K22 are vlookup formulas linked to the Forecast tab.  Cell L25 is linked to D25. Cells D13-D16 are linked to Ex 2 of 6 O20-O24. Cells E13-E16 are linked to Ex 4 of 6 R18-R20.</t>
  </si>
  <si>
    <t>Tab Ex B 2 of 6. Deleted historical information, Exhibit now only shows data for filing months. Cell B20 linked to Input Data B4, rest of dates are edate formulas. Case numbers are links to Ex 1 of 6 C13. Cells M20-M22 linked to Ex B 3 of 6 M19-M21.</t>
  </si>
  <si>
    <t xml:space="preserve">Tab Ex B 3 of 6. Historical data was deleted. Cell B19 is linked to Input Data B6. Rest of dates are edate formulas. Cell C19 is linked to Ex B 1 of 6 C13, rest of case numbers are linked to C19. </t>
  </si>
  <si>
    <t>Tab Ex B 1 of 6. Historical data was deleted. Cell B18 is linked to Input Data B18.  Rest of dates in column B are edate formulas.</t>
  </si>
  <si>
    <t xml:space="preserve">Tab Ex C 1 of 3. Historical data was deleted, Exhibit now only shows data for current filing months. Cell D9 links to Ex C 2 of 3 F27. Cell D10 links to Ex C 3 of 3 F24. Cell D11 links to Ex D 2 of 2 G29. Cell D12 links to Ex E 2 of 2 K26.  Cell D16 links to Ex a 1 of 2 F86. </t>
  </si>
  <si>
    <t xml:space="preserve">Tab Ex C 2 of 3. Historical data was deleted. Exhibit now only shows data for current filing months.  Data and calculation of factor is now set up in an amortization table.  Result in Cell G27 is linked to Ex C 1 of 3 Cell D9. </t>
  </si>
  <si>
    <t>Tab C 3 of 3. New tab.  Remaining balance for GCBA is now calculated on separate page in an amortization table.  Results in Cell G24 are linked to Ex C 1 of 3 Cell D10.</t>
  </si>
  <si>
    <t>Tab D 1 of 2. Historical data deleted. Only current months are in Exhibit. Cells I12-I15 are linked to Summary Sheet Cells H43-H46.  Forecast data on right of Exhibit has been updated. Cell L10 in linked to Input Data B4. Rest of dates in column L are edate formulas.  Next two columns use vlookup formulas linked to the Forecast tab.</t>
  </si>
  <si>
    <t>Tab D 2 of 2. This is a new Exhibit used to show the calculation of the true-up amount for the Refund Adjustmsent.  Results in Cell G29 are linked to Ex C 1 of 3 Cell D11.</t>
  </si>
  <si>
    <t>Tab Ex E 1of 2. Now includes data from Ex E 2 of 2.</t>
  </si>
  <si>
    <t>Ex 2 of 2 is a new format for the Exhibit. It now calculates the August filing true-up data.  Cell K26 is linked to Ex C 1 of 3 D12.</t>
  </si>
  <si>
    <t>Added rounding formulas throughout the exhibits within sum and calculation formulas.</t>
  </si>
  <si>
    <t>Added vlookup formulas to Exhibits B, C, and E to link to tab "Sales Volumes" and added Storage Inventory Volume to Input Data tab and established link to Cell C36 in Ex A 1 of 2.  Added line numbers to Summary Sheet and changed font to Times New Roman.  Added Typical Bill as a tab in this Workbook and established links with Input Data for dates and Summary Sheet for current GSC.</t>
  </si>
  <si>
    <t>Edited checklist to add column for "N/A" and minor text corrections.</t>
  </si>
  <si>
    <t>Added concatenate formula at the top of Exhibits B through F to show the applicable period for the factor calculated on the worksheet.  Added the word "Demand" to the description in line 13 in Ex. A, page 2. Reversed the parantheses in description on Line 6 Ex B, page 1.  Added relevant Case No. on Exhibit E pg. 1 in header (to be done after Feb. 1 annual change).</t>
  </si>
  <si>
    <t>Added footnote "3" to header for Column 12 in Ex B 2 of 6 and footnote at bottom of page under footnote 2.</t>
  </si>
  <si>
    <t>Verified change matched description of change.</t>
  </si>
  <si>
    <t>On Input Tab, changed note in cell D9 from "Only Changes in February" to "Change in February Filing", in cell D10 from "Only Changes in February" to "Change in February Filing" and in cell D11from "Calculate for Filing Effective in August" to "Prepare Exhibit E for August Filing."  Added note in cells D13 and D14 "Update every filing."</t>
  </si>
  <si>
    <t>Added "5-Year Contract" to description on line 3 on Ex. A Page 2 and "One Month Contract" to line 4 on Ex A Page 2.</t>
  </si>
  <si>
    <t>Exhibit B-1 p. 2 changed heading for column 10 from "Rate FT Gas True-Up Charge Revenue" to "Rate TS-2 Gas True Up Charge Revenue".  Made column 13 "Rate FT Gas True-Up Charge Revenue", column 14 became $ from OSS, and added column 15 which became "Total $ Recovered".  Formulas in column 15 now add columns 7, 11,12,13, and 14.  Page was reformated so that columns 8-15 are now under columns 2-7 and line numbers 6-10 were added under far left column called "Line No.).  Format change was made to improve readability of printed sheet.</t>
  </si>
  <si>
    <t>Exhibit B-1, p. 3 page was reformated to have columns 9 - 16 under columns 1-8, line numbers 5-8 were added in far left column under "Line No.".  Format change was made to improve readability of printed sheet.</t>
  </si>
  <si>
    <t>Ex B, p.3 FT True Up Charge revenue was removed from page 2 and put in Ex. B p. 3 as column 12.  Page 2 Column 14 and page 3 column 13 formulas were updated to include the newly deleted or created column.  Both Ex B pgs. 2 and 3 columns were renumbered to correct for removal or addition of column.</t>
  </si>
  <si>
    <t>Expanded the range settings in vlookup formulas in forecasted (out of print range) boxes Ex A p. 2 of 2, Ex B p.1 of 6, and Ex D p. 1 of 2.</t>
  </si>
  <si>
    <t>Ex B, p. 4 added columns added together in both header for column 8 and column 16.</t>
  </si>
  <si>
    <t xml:space="preserve">Ex. B, page 2. Added column after column 6 for AAGS Interruption Penalties.  Renumbered columns 7-15 to adjust for additional column.  Revised summation formulas in new column 8 to include the new column. </t>
  </si>
  <si>
    <t>Verified change matched description of change and tested the formulas.</t>
  </si>
  <si>
    <t>Ex. E-1, pg. 2, "Balance to be transferred to Exhibit C-1, Page 1 of 2" was changed to "Balance to be transferred to Exhibit C-1, Page 1 of 3."</t>
  </si>
  <si>
    <t>Ex A, removed all references to Rider TS from page, only references now are to Rider TS-2</t>
  </si>
  <si>
    <t xml:space="preserve">Ex C-1, page 1, added line under Line 5 for GSC Sales Volume Correction and adjusted summation formula.  Renumbered lines after line 5.  Added footnote 6.  New page 4 added for the spreadsheet showing the GSC Sales Volume Correction. Renumbered page numbers in headers and footers on pages 1-4.  On Ex C-1, formula in new line 5 references page 4 column 18 total.  </t>
  </si>
  <si>
    <t>Updated the Basic Service Charge, Distribution Cost Component, Administration Charge on the Effective Rates and FT Rate Summary tabs.  Added the column heading "Per Mcf" over the Rate AAGS row on the Effective Rates tab and changed the formula in cell M56 to $k$32*10 in order to display charge as per Mcf.  On Effective Rates tab added column next to BSC column to include the GLT charges for each class.</t>
  </si>
  <si>
    <t>Ex C-1, page 4 of 4 removed.  Exhibits C-1 pages 1 - 3 renamed 1 of 3, 2 of 3, and 3 of 3.</t>
  </si>
  <si>
    <t>Updated Forecast Data Do Not Print box to show Source: August 2015 Forecast on Ex. A p.2, Ex. B p.1, Ex. D p.1, and Ex. E p.1.</t>
  </si>
  <si>
    <t>Exhibit C-1, line 3. Changed the cell from direct entry to formula linked to Ex. D, p.2, Col. 6, line 15.</t>
  </si>
  <si>
    <t>Ex A, p. 2 added row below Line 2 to add a second FT contract, renumbered lines on rest of page.</t>
  </si>
  <si>
    <t>Added additional tab/page to Exhibit B-1 to expand the information provided on revenues collected under Rider TS-2.  New tab has 4 lines (numbered), with 11 columns.  The columns are titled from 1 -11 as:  "Recovery Period", "Case Number", "Mcf Transported Under Rider TS-2", "PSDC Per Mcf", PSDC Revenue Collected from TS-2 Customers", Rider TS-2 Gas True-Up Charge Revenue",  MMBtu Adjust. ($), AAGS TS-2 Interruption Penalty", "Action Alert $", "Monthly $'s Recovered Under Rider TS-2".  Pages/tabs were renumbered 1-7.</t>
  </si>
  <si>
    <t>Exhibit B-1, page 2. Columns 9, 10, 11, and 12 were removed. Column 9 is now titled "$ Recovered Under Rider TS-2".  The summation formula now in column 12 has been modified to sum columns 8-11. Footnotes now refer to page 3 for the TS-2 info in column 9 and to page 4 for the FT info in column 10.</t>
  </si>
  <si>
    <t>Exhibit B-1, page 3, now page 4, had column 11, Action Alert $ removed, columns were renumbered and the summation in the final column was modified to exclude the old column 11.</t>
  </si>
  <si>
    <t>Exhibit B-1, page 1.  The formulas in column 4 were modified to reference the correct cells in column 12.  Footnote 2 was changed to reference the old page 4 as page 5.</t>
  </si>
  <si>
    <t>Exhibit F-1 and Exhibit F column headings were edited to add Applicable Components of …</t>
  </si>
  <si>
    <t>On tab names for Ex B,C,D,E,F changed to B-1, C-1, etc. to properly identify exhibit in worksheet.</t>
  </si>
  <si>
    <t>Exhibit A, page 2 lines 12 and 13. Revised references to Exhibits D and E to read D-1 and E-1.</t>
  </si>
  <si>
    <t>Added title in Effective Rates, page 2 column after Admin Charge (Per Month) to read Gas Line Tracker Charge (per Month)</t>
  </si>
  <si>
    <t>On tab Ex E-1, page 1, in cells B4 and B6 replaced hard coded text with concatenate formula tied to input tab.  In cells E21 and E 23 added summation formula.</t>
  </si>
  <si>
    <t>Jason Knoy</t>
  </si>
  <si>
    <t xml:space="preserve">Tab for TS No. 85, "none" in RF section was increased in size.  Tab Ex. B-1, pg. 1 "(6)" was added in column 6 in front of "(5)-(4)", Tab Ex B-1, pg. 2 renumbered column #s in order to give the comment column its own column number "(3)", All column headers in all tabs with "*" for multiplication were changed to "x", tab for Ex. B-1, pg. 4 added footnotes, </t>
  </si>
  <si>
    <t>Effective Rates tab, added header "Gas Line Tracker Charge (per Month)" in DGGS section.  Changed header over AAGS section from four columns of Per Mcf to Rate per 1000 cubic feet.  Added two rows and added language "Basic Service Charge" and "All Mcf" under AAGS.  First two columns were positioned on same row as Basic Service Charge and rest of columns were positioned on row for All Mcf.  Header added over DGGS section "Rate per 100 cubic feet.  Under TS-2 section, changed "Rate TS-2" to "Rider TS-2" in all occurences. Eliminated Columns for Gas Line Tracker Charge, LG&amp;E Dist Charge, DSM Cost Recovery Component, and Total.  Moved column for Admin Charge over two columns to the right.  Over Rider TS-2 column added "Charges in addition to Customer's Retail Rate".</t>
  </si>
  <si>
    <t>Added tab for TS-2 Data and FT Data.  Inputs are copied and pasted totals for each column for each month for each type of transport customer.  Linked cells in Exhibit B-1, page 3 of 7 to the appropriate cells in TS-2 Data.  Linked cells in Exhibit B-1, page 4 of 7 to the appropriate cells in FT Data.  Created tab called "Databases &gt;" with blue tab color and moved Input Data, Forecast, Case Database, Sales Volumes, TS-2 Data, FT Data, and Tariff Inputs in line after the Databases tab and colored them blue.</t>
  </si>
  <si>
    <t>Created tab called "Filing &gt;" colored peach which was placed before the Cover Sheet tab.  Tabs for Cover Sheet, Summary, Exhibit A, Exhibit B-1, Exhibit C-1, Exhibit D-1, Exhibit E-1, Exhibit F-1, Effective Rates, FT Summary, and TS No. 85 were colored peach.  Typical Bill tab was moved behind the Change Version Control Log. TS 84 tab was moved in  front of Coversheet tab (now in order of filing).</t>
  </si>
  <si>
    <t>Added conditional formulas in tab TS No. 85, Excel column P, to input R or I.</t>
  </si>
  <si>
    <t>Added line on tab Ex B-1 pg 4 under Line 3 to provide the adjustment for April 2015.  Renumbered the lines and added note at the bottom of the page to explain the addition.</t>
  </si>
  <si>
    <t>Tab Ex B-1 4 of 7, included the April 2015 FT correction in column 11, line 9.  Added footnote 5 at bottom of page.</t>
  </si>
  <si>
    <t xml:space="preserve">Put Tariff updates on Input Data tab in cells C16 and C17. Updated the formulas in header of Tab TS No. 85 to pull tariff number updates from Input Data tab.  Deleted tab called "Tariff Inputs". </t>
  </si>
  <si>
    <t>Exhibit B-1, Page 4 of 7.  Deleted line 4 (data for an accounting correction) and renumbered lines.</t>
  </si>
  <si>
    <t>Exhibit A, lines 1-7, 32-38, 55-61 changed all references to "Forward Haul" to "South-to-North" and all references to "Back Haul" or "Backward Haul" to "North-to-South".</t>
  </si>
  <si>
    <t>Added PBR case number in input tab, changed formula in header on Exhibit E-1, page 1 of 2, to reference GSC case number when new PBR factor became effective.</t>
  </si>
  <si>
    <t>Douglas Leichty</t>
  </si>
  <si>
    <t>Verified change matched description of change and tested the formula.</t>
  </si>
  <si>
    <t>TS-2 Data tab, cell A5 changed from hardcoded date to cell reference C7 in Input Data tab.  FT Data tab, cell A7 changed from hardcoded date to cell reference C7 in Input Data tab.</t>
  </si>
  <si>
    <t>FT Data tab added 2 columns between column 42 and 43 to incorporate new DSM column in FT report.  Renumbered columns and added new column to the summation check total formula in column BB.</t>
  </si>
  <si>
    <t>In Exhibit B, page 4 of 7, added temporary line for July 2016 data in order to include a correction received from Revenue Accounting .  Lines were renumbered and summation formulas were changed to include new line.</t>
  </si>
  <si>
    <t>Joe Barnes</t>
  </si>
  <si>
    <t xml:space="preserve">Verified amount of change </t>
  </si>
  <si>
    <t>In Exhibit B, page 2 of 7, added temporary line for July 2016 data in order to include a correction received from Revenue Accounting that carries forward from page 4 of Exhibit B.  Lines were renumbered and summation formulas were changed to include new line.</t>
  </si>
  <si>
    <t>verified correction</t>
  </si>
  <si>
    <t>Review per the 950 - Spreadsheet Policy and Procedures complete</t>
  </si>
  <si>
    <t>Reviewed spreadsheet and found no issues.</t>
  </si>
  <si>
    <t>In Exhibit A, page 1, Lines 2,3,5-7/Line 33-34;36-38/Lines 56-57/Lines 59-61 were removed.  All lines were renumbered to reflect the removal of lines.</t>
  </si>
  <si>
    <t>Verified change matched description of change and tested the formulas.  Change was made 9/28/16 but added to control log 1/6/17 for review.</t>
  </si>
  <si>
    <t>In Exhibit A, page 2, Lines 2,4-5 were removed.  All lines were renumbered to reflect the removal of lines.</t>
  </si>
  <si>
    <t xml:space="preserve">In Exhibit A, page 1, all Excel column B descriptions referencing Zone 0 of Tenn Rate FT-A was changed from Zone 0 to Zone 0-2.  Highlighted description of line calculation in Excel column B corrected to match actual calculation for Lines 3,13,16,18,28,29,34,35,40,41,47. </t>
  </si>
  <si>
    <t xml:space="preserve">In Exhibit A, page 2, highlighted line references in Excel column B corrected to match actual formula for lines 6,8,9,13,15. </t>
  </si>
  <si>
    <t>Tab FT Data, removed "Adjustment to Ky State Reformatory" data in Excel rows 12-16.</t>
  </si>
  <si>
    <t>Tab Ex B-1 1 of 7, removed original line 1 for July 2016 correction data and Footnote 4.  Renumbered lines in column 1 and updated summation formulas in Columns 4, 5, and 6.  Updated calculation in Cell D26 to remove reference to July 2016 correction data.</t>
  </si>
  <si>
    <t xml:space="preserve">Tab Ex B-1 2 of 7, removed original line 6 for July 2016 correction data and Footnote 5.  Renumbered lines in column 1 and updated summation formulas in Columns 10, 11, 12, and 13.  </t>
  </si>
  <si>
    <t xml:space="preserve">Tab Ex B-1 4 of 7, removed original line 1 for July 2016 correction data and Footnote 1.  Renumbered lines in column 1 and updated summation formula in Column 12.  </t>
  </si>
  <si>
    <t>Tab for Ex B-1, pages 6 and 7, which are pdfs of redacted supplier data, were added after tab for Ex B-1 5 of 7.  Done as reminder that pages must be inserted in Master Pdf of filing, Pdf for electronic filing, and for paper copies.  "CREATE PDF OF REDACTED SUPPLIER DATA" in red was put into both page 6 and page 7 tabs for reference.</t>
  </si>
  <si>
    <t>Removed formulas in August 2016, Sept 2016, and October 2016 in Sales Volumes tab and replaced with hard coded data.</t>
  </si>
  <si>
    <t>Extended lookup range in cells C12, C13, C14, C15 on tab "Ex D-1 1 of 2" to pick up additional case numbers</t>
  </si>
  <si>
    <t>Modified the following tabs to incorporate volumentric costs for GLT "Transmission Projects" on tabs: "Typical Bill" (row 15), "Effective Rates" (column O), and "FT Rate Summary" (row 17).  Charge is applicable for August 2017 forward.</t>
  </si>
  <si>
    <t>Modified Exhibit C-1 3 of 3 Column G "Recovery/(Refund) per Month" spreadsheet rows 20-23 to round to 0 decimal places (was 2) to fix rounding issues.</t>
  </si>
  <si>
    <t>Linked rates on "Effective Rates" tab to avoid redundant entries.  Cells modified were G30, G48, G75.</t>
  </si>
  <si>
    <t>Updated rates on Typical Bill, Effective Rates, and FT Rate Summary tabs.  Added new column to Effective Rates tab to incorporate demand component.  Added sheet for Rate LGDS.</t>
  </si>
  <si>
    <t>Deleted sheet TS No. 85.  The sheet is not used or relevant.</t>
  </si>
  <si>
    <t>Andrea Fackler</t>
  </si>
  <si>
    <t xml:space="preserve">Verified tab not used </t>
  </si>
  <si>
    <t>Added column on "FT Data" tab to include GLT Transmission Charge as provided in support spreadsheet (column AV)</t>
  </si>
  <si>
    <t>Verified addition is appropriate</t>
  </si>
  <si>
    <t>Inserted two rows on tab "Exhibit B-1 Page 4 of 7" to accommodate adjustment from prior quarter's filing and modified formula for total to incorporate the additional rows.  Changes required renumeration of rows.</t>
  </si>
  <si>
    <t>Inserted two rows in both sections on tab "Exhibit B-1 Page 2 of 7" to accommodate adjustment from prior quarter's filing and modified formula for total to incorporate the additional rows.  Changes required renumeration of rows.</t>
  </si>
  <si>
    <t>Included data on "Exhibit B-1 Page 1 of 7" to accommodate adjustment from prior quarter's filing and modified formula for total to incorporate the additional rows.  Changes required renumeration of rows.</t>
  </si>
  <si>
    <t>Changed formula on Exhibit C-1 page 2 of 3 cell G29 to round to whole number to address foot issue on Exhibit C page 1 of 3.</t>
  </si>
  <si>
    <t>Verified change to formula is appropriate</t>
  </si>
  <si>
    <t>Changed formula on Exhibit C-1 page 3 of 3 cell G27 to round to whole number to address foot issue on Exhibit C page 1 of 3.</t>
  </si>
  <si>
    <t>Changed formula on Exhibit D-1 page 2 of 2 cell G31 to round to whole number to address foot issue on Exhibit C page 1 of 3.</t>
  </si>
  <si>
    <t>Fixed lookup range on "Ex B-1 1 of 7" in cell C14</t>
  </si>
  <si>
    <t>Modified formula in cells G23:G26 on "Summary Sheet" to have larger lookup range</t>
  </si>
  <si>
    <t>Removed two rows on tab "Exhibit B-1 Page 4 of 7" to accommodate adjustment from prior quarter's filing and modified formula for total to incorporate the additional rows.  Changes required renumeration of rows.</t>
  </si>
  <si>
    <t>Removed two rows in both sections on tab "Exhibit B-1 Page 2 of 7" to accommodate adjustment from prior quarter's filing and modified formula for total to incorporate the additional rows.  Changes required renumeration of rows.</t>
  </si>
  <si>
    <t>Removed data on "Exhibit B-1 Page 1 of 7" to accommodate adjustment from prior quarter's filing and modified formula for total to incorporate the additional rows.  Changes required renumeration of rows.</t>
  </si>
  <si>
    <t>Changed formula in cell B6 on tab "Exhibit E-1 of 2" to display proper PBR year per Clay's suggestion</t>
  </si>
  <si>
    <t>Verified change to formula. Historically, this year designation would be Year 21, however, Gas Supply wants the PBR Year to match the year of the data.  As is in current filing, this is a change from prior filings.</t>
  </si>
  <si>
    <t>Ex. B, pg. 3 round added to formulas in cells N19, N20, N21 to get total in cell N23 to foot.  Rev Acctg requested change.</t>
  </si>
  <si>
    <t>Derek Rahn</t>
  </si>
  <si>
    <t>Typical Bill tab:  formula change in cell L11 to reference new GSCC cell location</t>
  </si>
  <si>
    <t>Summary Sheet tab:  deleted rows from GCBA and PBRCC sections not necessary in calculations; added columns to provide costs in $/Mcf and $/Ccf (columns J and K); renumbered rows</t>
  </si>
  <si>
    <t>Verified changes made.</t>
  </si>
  <si>
    <t>Exhibit B-1 1 of 7 tab:  deleted cents/Ccf data</t>
  </si>
  <si>
    <t>Exhibit D-1 1 of 2:  changed column I from cents/Ccf to $/Ccf, changed formula in cell H17</t>
  </si>
  <si>
    <t>Exhibit F-1 1 of 1:  Changed formulas in cells C17, D17, E17 to new cell locations that changed due to moving away from cents/Ccf</t>
  </si>
  <si>
    <t>Effective Rates:  Changed formula in cell M17 to point to new GSCC cell location</t>
  </si>
  <si>
    <t>Added column to TS-2 Data tab to incorporate TCJA Surcredit.  Modifed formula in cells AC5-AC7 to pick up new column.</t>
  </si>
  <si>
    <t>Added column to FT Data tab to incorporate TCJA Surcredit.  Modifed formula in cells BF7-BF9 to pick up new column.</t>
  </si>
  <si>
    <t>Modified cell U19 on Typical Bill tab to pick up "GLT Transmission Projects" billing data</t>
  </si>
  <si>
    <t>Added rows and modified total cells to incorporate TCJA surcredit on Typical Bill tab</t>
  </si>
  <si>
    <t>Modified tabs Ex B-1 pages 1, 2, and 4 to incorporate prior period adjustments.  Rows were renumbered and summary formulas modified to include data.</t>
  </si>
  <si>
    <t>Modified tabs Ex B-1 pages 1, 2, and 4 to remove prior quarter's adjustments.  Rows were renumbered and summary formulas modified for change.</t>
  </si>
  <si>
    <t xml:space="preserve">Verified formulas on tabs to ensure they were still functioning properly </t>
  </si>
  <si>
    <t>Added columns to incorporate "TCJA Surcredit" on "FT Data" (currently column 52) and modified check formula in column BH</t>
  </si>
  <si>
    <t xml:space="preserve">Verified new column added and check formula to ensure functioning properly </t>
  </si>
  <si>
    <t>Added BTU adjustment and LAUFG adjustment on "Input Data" tab and modified formulas on "Ex A 1 of 2" rows 19-21 (BTU) and cell F74 (LAUFG) to reference new inputs</t>
  </si>
  <si>
    <t xml:space="preserve">Verified new inputs to support and checked formulas on Ex A 1 of 2 to ensure functioning properly </t>
  </si>
  <si>
    <t>Inserted column on "TS-2 Data" tab to account for DSM column in source file.  Columns were renumbered as a result.</t>
  </si>
  <si>
    <t>Verified column was inserted and other columns were re-numbered.</t>
  </si>
  <si>
    <t>Added "Basic Service Charge" and "Demand Charge" billing items to "FT Rate Summary" tab</t>
  </si>
  <si>
    <t>Verified new charges were added and updated correctly</t>
  </si>
  <si>
    <t>Added columns to incorporate "Basic Service Charge" and "Demand Charge" on "FT Data" and modified check formula in column BL</t>
  </si>
  <si>
    <t>Stephen Sharp</t>
  </si>
  <si>
    <t>Modified sheet "Ex B-1 2 of 7" formula in cells H10, H11, H12, and J12 to allow for an increased lookup range on the "Sales Volumes" tab so volumes could be picked up.</t>
  </si>
  <si>
    <t>Modified the Summary Sheet J22:K25 to where a formula would pull that rate information from the Case Database tab where the rates were added as a column to input.</t>
  </si>
  <si>
    <t>Steve Sharp</t>
  </si>
  <si>
    <t>Samuel Wright</t>
  </si>
  <si>
    <t>Modified the Input Data Tab and created input cells for all the Exhibit Tabs</t>
  </si>
  <si>
    <t>On the Case Database Tab, added Columns 4-5, and 7-17as inputs so they can be pulled into formulas from other Exhibit Tabs</t>
  </si>
  <si>
    <t>Added the Write-up Exhibit Tabs since most of those Exhibits pull from the information in this database</t>
  </si>
  <si>
    <t>Moved Forecast Table on Ex E-1 1 of 1 B30:G47 to the Input Data Tab.  This table is only updated annually for the February effective date filing.</t>
  </si>
  <si>
    <t>UPDATE WITH FILING WHERE SERVICE RENDERED IN FEBRUARY ONLY</t>
  </si>
  <si>
    <t>RATE RGS - RESIDENTIAL/RATE VFD - VOLUNTEER FIRE DEPARTMENT</t>
  </si>
  <si>
    <t>n/a</t>
  </si>
  <si>
    <t>2021-00130</t>
  </si>
  <si>
    <t>Modified tabs Ex B-1 pages 1, 2, and 4 to incorporate prior period adjustments.  Rows were renumbered and summary formulas modified to include data. Footnotes added at the bottom.</t>
  </si>
  <si>
    <t>Verified changes for prior period adjustment</t>
  </si>
  <si>
    <t>Deleted previous modifications on Ex B-1 pages 1, 2 and 4 since no prior period adjustment was being required this filing.  Rows were renumbered</t>
  </si>
  <si>
    <t>2021-00251</t>
  </si>
  <si>
    <t>Demand Factor Only from Case No. listed in cell D193</t>
  </si>
  <si>
    <t>Combined Demand and Commodity Factor from Case No. listed in cell D193</t>
  </si>
  <si>
    <t>Samuel</t>
  </si>
  <si>
    <t xml:space="preserve">  Gas Line Tracker Transmission Projects / Mcf Delivered</t>
  </si>
  <si>
    <t>Analysis of Low-, Medium-, and High-Pressure Distribution Mains for the</t>
  </si>
  <si>
    <t>Exhibit WSS-xx from most recent approved rate case</t>
  </si>
  <si>
    <t>Cost of Service Study (LG&amp;E) - Page 1 of 2</t>
  </si>
  <si>
    <t>Customer Deliveries Sales:  Mill Creek</t>
  </si>
  <si>
    <t>November 1, 2020 and November 1, 2021 is:</t>
  </si>
  <si>
    <t>February 1, 2022</t>
  </si>
  <si>
    <t>From Line 6 of Ex B-1 1 of 7 from the Case No. listed in Cell D135.</t>
  </si>
  <si>
    <t>From Line 5 of Ex C-1 1 of 3 from the Case No. listed in Cell D141.</t>
  </si>
  <si>
    <t>2021-00368</t>
  </si>
  <si>
    <t>2020 Rate Case</t>
  </si>
  <si>
    <t>Source: August 2021 Forecast</t>
  </si>
  <si>
    <t>Economic Relief Surcredit</t>
  </si>
  <si>
    <t>ECONOMIC</t>
  </si>
  <si>
    <t>RELIEF</t>
  </si>
  <si>
    <t>SURCREDIT</t>
  </si>
  <si>
    <t>Gas supply disruptions, such as those caused by hurricanes or well freeze-offs, can affect prices.</t>
  </si>
  <si>
    <t xml:space="preserve">  Demand-Side Management Cost Recovery Mechanism / Mcf Delivered</t>
  </si>
  <si>
    <t xml:space="preserve">  Economic Relief Surcredit / Mcf Delivered</t>
  </si>
  <si>
    <t>January 31, 2023</t>
  </si>
  <si>
    <t>Difference</t>
  </si>
  <si>
    <t>2021-00458</t>
  </si>
  <si>
    <t>On September 15, 2021, TGPL made its Compliance Filing to implement rates effective November 1, 2021,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These tariff sheets also incorporate the revised Pipeline Safety and Green House Gas ("PS&amp;GHG") Surcharges as provided for in its settlements approved by FERC in Docket Nos. RPl1-1566 and RP15-990 and filed by TGPL on September 28, 2021, in FERC Docket No. RP21-1157-000 effective November 1, 2021.</t>
  </si>
  <si>
    <t xml:space="preserve">REDACTED PAGE 7 OF 7 INCLUDED IN THE PDF </t>
  </si>
  <si>
    <t xml:space="preserve">REDACTED PAGE 6 OF 7 INCLUDED IN THE PDF </t>
  </si>
  <si>
    <t>RATE AAGS</t>
  </si>
  <si>
    <t>Multiplied by</t>
  </si>
  <si>
    <t>August 1, 2022</t>
  </si>
  <si>
    <t>Exhibit 21 from Pam's Memo</t>
  </si>
  <si>
    <t>2022-00083</t>
  </si>
  <si>
    <t>Exhibit 14, Column 5 (enter if a positive number)</t>
  </si>
  <si>
    <t>Exhibit 14, Column 5 (enter if a negative number)</t>
  </si>
  <si>
    <t>Exhibit 14, Column 4</t>
  </si>
  <si>
    <t>Exhibit 14, Column 7</t>
  </si>
  <si>
    <t>Exhibit 14, Column 8</t>
  </si>
  <si>
    <t>Increased economic activity has increased the demand for natural gas in the U.S.</t>
  </si>
  <si>
    <t>Address</t>
  </si>
  <si>
    <t>ValueType</t>
  </si>
  <si>
    <t>Value</t>
  </si>
  <si>
    <t>Coal-fired electric generation retirements, and warmer summer weather can increase gas-fired electric generation loads impacting the demand for natural gas.</t>
  </si>
  <si>
    <t>Production levels have remained steady at about 94 Bcf/day.  Many producers are spending more to produce gas due to cost inflation.  Some producers have reduced capital spending on production to improve their balance sheets.</t>
  </si>
  <si>
    <t>From Ex D-1 1 of 2 from Case No. listed in Cell D157</t>
  </si>
  <si>
    <t>October 31, 2022</t>
  </si>
  <si>
    <t>February 2022</t>
  </si>
  <si>
    <t>November 1, 2022</t>
  </si>
  <si>
    <t>2022-00180</t>
  </si>
  <si>
    <t>November 1, 2022.</t>
  </si>
  <si>
    <t>April 2022</t>
  </si>
  <si>
    <t>The average New York Mercantile Exchange (“NYMEX”) natural gas futures closes for June 17, 2022, June 21, 2022, and June 22, 2022, are $6.854/MMBtu for August 2022, $6.813/MMBtu for September 2022, and $6.804/MMBtu for October 2022.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</si>
  <si>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National gas storage inventories are 12.3% lower compared to the same period one year ago, and 13.2% lower than the 5-year average. ¹  This is expected to increase demand for natural gas to refill storage.</t>
  </si>
  <si>
    <t xml:space="preserve">New pipeline infrastructure required to deliver natural gas supplies to the marketplace is growing at a slow pace due to regulatory and environmental challenges.  </t>
  </si>
  <si>
    <t>¹ The weekly gas storage survey issued by the Energy Information Administration ("EIA") for the week ending June 17, 2022, indicated that storage inventory levels were 12.3% lower than last year's levels. Storage inventories across the nation are 305 Bcf (2,474 Bcf - 2,169 Bcf), or 12.3% lower this year than the same period one year ago.  Last year at this time, 2,474 Bcf was held in storage, while this year 2,169 Bcf is held in storage.  Storage inventories across the nation are 331 Bcf (2,500 Bcf - 2,169 Bcf), or 13.2%, lower this year than the five-year average. On average for the last five years at this time, 2,500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</si>
  <si>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The average commodity cost of gas purchased from gas suppliers by LG&amp;E and delivered to TGT under the south-to-north NNS service is expected to be $6.7719 per MMBtu for August 2022, $6.7303 per MMBtu for September 2022, and $6.7213 per MMBtu for October 2022.  The average commodity cost of gas purchased from gas suppliers by LG&amp;E and delivered to TGT under the north-to-south FT service is expected to be $6.6603 per MMBtu for August 2022, $6.6190 per MMBtu for September 2022, and $6.6102 per MMBtu for October 2022.  The average commodity cost of gas purchased from gas suppliers by LG&amp;E and delivered to TGPL under Rate FT-A from its Zone 0 is expected to be $6.7369 per MMBtu for August 2022, $6.6959 per MMBtu for September 2022, and $6.6870 per MMBtu for October 2022.</t>
  </si>
  <si>
    <t>The demand-related supply costs applicable to the Utilization Charge for Daily Imbalances under Rate FT and Rider PS-FT applicable during the three-month period of August 1, 2022 through October 31, 2022 are set forth on Exhibit A, Page 2.</t>
  </si>
  <si>
    <t>Effective October 1, 2021, the FERC ACA Unit Charge is $0.0012/MMBtu. Effective October 1, 2022, the FERC ACA Unit Charge will be $0.0014/MMBtu.</t>
  </si>
  <si>
    <t>Attached hereto as Exhibit A-1(a), Page 1, is the tariff sheet for No-Notice Service under Rate NNS-4 which will be applicable on and after August 1, 2022.  The tariffed rates are as follows: (a) a daily demand charge of $0.4190/MMBtu, and (b) a commodity charge of $0.0626/MMBtu irrespective of the zone of receipt, with a commensurate increase in the NNS commodity charge beginning October 1, 2022, to account for the new ACA Charges Unit Charges.</t>
  </si>
  <si>
    <t>The rates applicable to all three contracts for service under Rate Schedule NNS are a monthly demand charge of $12.7104/MMBtu and a volumetric throughput charge (“commodity charge”) of $0.0626/MMBtu irrespective of the zone of receipt, with a commensurate increase in the NNS commodity charge beginning October 1, 2022, to account for the new ACA Charges Unit Charges.</t>
  </si>
  <si>
    <t>As of October 1, 2021, the FERC ACA Unit Charge is $0.0012/MMBtu. Effective October 1, 2022, the FERC ACA Unit Charge will be $0.0014/MMBtu.</t>
  </si>
  <si>
    <t>Attached hereto as Exhibit A-1(a), Pages 2 and 3, are the tariff sheets for transportation service under Rate FT-4 which will be applicable on and after August 1, 2022.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$0.0372/MMBtu, with a commensurate increase in the FT commodity charge beginning October 1, 2022, to account for the new ACA Charges Unit Charge.</t>
  </si>
  <si>
    <t>The rates applicable to service under this negotiated rate agreement result in a monthly demand charge of $4.1793/MMBtu and a volumetric throughput charge (“commodity charge”) of $0.0372/MMBtu applicable to transportation from Zone 4 to 4, with a commensurate increase in the FT commodity charge beginning October 1, 2022, to account for the new ACA Charges Unit Charge.</t>
  </si>
  <si>
    <t>Attached hereto as Exhibit A-1 (a), Pages 4, and 5, are the tariff sheet for transportation service under Rate FT-A, which are applicable as of August 1, 2022.  Page 4 contains the tariff sheet which sets forth the monthly demand charges and Page 5 contains the tariff sheet which sets forth the commodity charges.  The tariffed rates are as follows for deliveries from Zone 0 to Zone 2: (a) a monthly demand charge of $13.3966/MMBtu including the Pipeline Safety/Greenhouse Gas (PS/GHG) charge, and (b) a commodity charge of $0.0412/MMBtu, with a commensurate increase in the FT-A commodity charge beginning October 1, 2022, to account for the new ACA Charges Unit Charge.</t>
  </si>
  <si>
    <t>The rates applicable to service under this discounted rate agreement result in a monthly demand charge of $5.0676/MMBtu including the PS/GHG charge and a volumetric throughput charge (“commodity charge”) of $0.0412/MMBtu for deliveries from Zone 0 to Zone 2, with a commensurate increase in the FT-A commodity charge beginning October 1, 2022, to account for the new ACA Charges Unit Charge.</t>
  </si>
  <si>
    <t>Exports of natural gas (by pipeline or as LNG) have grown year-over-year increasing the demand for natural gas.  A new U.S. LNG export facility started exporting March 1, 2022.  LNG feed gas volumes were expected to surpass 14 Bcf/day, however, the 2 Bcf/day Freeport, TX LNG facility is expected to be out of service until the end of the summer.  Exports via pipeline to Mexico are averaging about 6.0 Bcf/day.</t>
  </si>
  <si>
    <t>RETENTION 
(TO ZONE 2)</t>
  </si>
  <si>
    <t>RETENTION
(ZONE 4 TO 4)</t>
  </si>
  <si>
    <t>RATE NNS RETENTION 
(TO ZONE 4)</t>
  </si>
  <si>
    <t>The U.S. National Weather Service outlook favors above-normal summer seasonal mean temperatures across a majority of the US.</t>
  </si>
  <si>
    <t>During the three-month period under review, August 1, 2022, through October 31, 2022, LG&amp;E estimates that its total purchases will be 13,108,300 MMBtu.  LG&amp;E expects that 2,508,199 MMBtu will be met with deliveries from TGT’s pipeline service under Rate NNS (2,574,199 MMBtu in pipeline south-to-north deliveries plus zero in storage withdrawals less 66,000 in storage injections); 5,502,800 MMBtu from north-to-south deliveries under TGT’s pipeline service under Rate FT; 1,840,000 MMBtu will be met from deliveries under TGPL’s pipeline service under Rate FT-A from Zone 0.</t>
  </si>
  <si>
    <t>The annual demand billings covering the 12 months from August 1, 2022 through July 31, 2023, for firm contracts with natural gas suppliers are currently expected to be $7,971,454.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</si>
</sst>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3"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i/>
      <u/>
      <sz val="12"/>
      <color rgb="FFFF0000"/>
      <name val="Times New Roman"/>
      <family val="1"/>
    </font>
  </fonts>
  <fills count="29">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4"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5" fillId="18" borderId="0">
      <alignment horizontal="left"/>
    </xf>
    <xf numFmtId="0" fontId="46" fillId="18" borderId="0">
      <alignment horizontal="right"/>
    </xf>
    <xf numFmtId="0" fontId="47" fillId="19" borderId="0">
      <alignment horizontal="center"/>
    </xf>
    <xf numFmtId="0" fontId="46" fillId="18" borderId="0">
      <alignment horizontal="right"/>
    </xf>
    <xf numFmtId="0" fontId="48"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0" fillId="0" borderId="0" applyProtection="0"/>
    <xf numFmtId="0" fontId="4" fillId="0" borderId="0" applyProtection="0"/>
    <xf numFmtId="0" fontId="51"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0" fillId="0" borderId="0" applyProtection="0"/>
    <xf numFmtId="0" fontId="52" fillId="0" borderId="0" applyProtection="0"/>
    <xf numFmtId="2" fontId="2" fillId="0" borderId="0" applyFont="0" applyFill="0" applyBorder="0" applyAlignment="0" applyProtection="0"/>
    <xf numFmtId="2" fontId="2" fillId="0" borderId="0" applyFont="0" applyFill="0" applyBorder="0" applyAlignment="0" applyProtection="0"/>
    <xf numFmtId="0" fontId="53" fillId="0" borderId="35" applyNumberFormat="0" applyFill="0" applyAlignment="0" applyProtection="0"/>
    <xf numFmtId="0" fontId="45" fillId="18" borderId="0">
      <alignment horizontal="left"/>
    </xf>
    <xf numFmtId="0" fontId="54"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6" fillId="7" borderId="0">
      <alignment horizontal="right"/>
    </xf>
    <xf numFmtId="0" fontId="57" fillId="7" borderId="0">
      <alignment horizontal="center" vertical="center"/>
    </xf>
    <xf numFmtId="0" fontId="54" fillId="7" borderId="6"/>
    <xf numFmtId="0" fontId="54" fillId="7" borderId="6"/>
    <xf numFmtId="0" fontId="57" fillId="7" borderId="0" applyBorder="0">
      <alignment horizontal="centerContinuous"/>
    </xf>
    <xf numFmtId="0" fontId="58"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20" borderId="0">
      <alignment horizontal="center"/>
    </xf>
    <xf numFmtId="49" fontId="59" fillId="19" borderId="0">
      <alignment horizontal="center"/>
    </xf>
    <xf numFmtId="0" fontId="46" fillId="18" borderId="0">
      <alignment horizontal="center"/>
    </xf>
    <xf numFmtId="0" fontId="46" fillId="18" borderId="0">
      <alignment horizontal="centerContinuous"/>
    </xf>
    <xf numFmtId="0" fontId="60" fillId="19" borderId="0">
      <alignment horizontal="left"/>
    </xf>
    <xf numFmtId="49" fontId="60" fillId="19" borderId="0">
      <alignment horizontal="center"/>
    </xf>
    <xf numFmtId="0" fontId="45" fillId="18" borderId="0">
      <alignment horizontal="left"/>
    </xf>
    <xf numFmtId="49" fontId="60" fillId="19" borderId="0">
      <alignment horizontal="left"/>
    </xf>
    <xf numFmtId="0" fontId="45" fillId="18" borderId="0">
      <alignment horizontal="centerContinuous"/>
    </xf>
    <xf numFmtId="0" fontId="45" fillId="18" borderId="0">
      <alignment horizontal="right"/>
    </xf>
    <xf numFmtId="49" fontId="54" fillId="19" borderId="0">
      <alignment horizontal="left"/>
    </xf>
    <xf numFmtId="0" fontId="46" fillId="18" borderId="0">
      <alignment horizontal="right"/>
    </xf>
    <xf numFmtId="0" fontId="60" fillId="12" borderId="0">
      <alignment horizontal="center"/>
    </xf>
    <xf numFmtId="0" fontId="61"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19" borderId="0">
      <alignment horizontal="center"/>
    </xf>
    <xf numFmtId="0" fontId="63" fillId="0" borderId="0" applyNumberFormat="0" applyFill="0" applyBorder="0" applyAlignment="0" applyProtection="0"/>
  </cellStyleXfs>
  <cellXfs count="831">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7"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29"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8"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1"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7"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3" fillId="0" borderId="0" xfId="0" applyFont="1" applyFill="1"/>
    <xf numFmtId="167" fontId="17" fillId="0" borderId="0" xfId="0" applyFont="1" applyFill="1"/>
    <xf numFmtId="167" fontId="17" fillId="0" borderId="0" xfId="0" applyFont="1" applyFill="1" applyAlignment="1">
      <alignment horizontal="left"/>
    </xf>
    <xf numFmtId="167" fontId="33" fillId="0" borderId="0" xfId="0" applyFont="1" applyFill="1" applyAlignment="1">
      <alignment horizontal="left"/>
    </xf>
    <xf numFmtId="167" fontId="34" fillId="0" borderId="0" xfId="0" applyFont="1" applyFill="1"/>
    <xf numFmtId="9" fontId="6" fillId="0" borderId="0" xfId="0" applyNumberFormat="1" applyFont="1" applyFill="1" applyProtection="1"/>
    <xf numFmtId="167" fontId="6" fillId="0" borderId="7" xfId="0" quotePrefix="1" applyFont="1" applyFill="1" applyBorder="1"/>
    <xf numFmtId="167" fontId="32"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8"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6" fillId="0" borderId="0" xfId="0" applyFont="1"/>
    <xf numFmtId="8" fontId="11" fillId="0" borderId="0" xfId="0" applyNumberFormat="1" applyFont="1" applyFill="1"/>
    <xf numFmtId="169" fontId="37" fillId="0" borderId="0" xfId="0" applyNumberFormat="1" applyFont="1" applyFill="1"/>
    <xf numFmtId="2" fontId="11" fillId="0" borderId="0" xfId="0" applyNumberFormat="1" applyFont="1" applyFill="1"/>
    <xf numFmtId="167" fontId="37" fillId="0" borderId="0" xfId="0" applyFont="1" applyFill="1"/>
    <xf numFmtId="169" fontId="11" fillId="0" borderId="0" xfId="0" applyNumberFormat="1" applyFont="1"/>
    <xf numFmtId="10" fontId="11" fillId="0" borderId="0" xfId="7" applyNumberFormat="1" applyFont="1"/>
    <xf numFmtId="198" fontId="37"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2"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8"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2"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5" fillId="0" borderId="0" xfId="0" applyFont="1" applyFill="1" applyAlignment="1">
      <alignment horizontal="centerContinuous"/>
    </xf>
    <xf numFmtId="167" fontId="38" fillId="0" borderId="0" xfId="0" applyFont="1" applyFill="1" applyAlignment="1">
      <alignment horizontal="left"/>
    </xf>
    <xf numFmtId="167" fontId="6" fillId="0" borderId="0" xfId="0" applyFont="1" applyAlignment="1">
      <alignment horizontal="center"/>
    </xf>
    <xf numFmtId="167" fontId="30"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5"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6"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39"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8"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8"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8"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3" fillId="0" borderId="0" xfId="0" applyFont="1"/>
    <xf numFmtId="167" fontId="41" fillId="0" borderId="0" xfId="0" applyFont="1" applyFill="1"/>
    <xf numFmtId="167" fontId="42" fillId="0" borderId="0" xfId="0" applyFont="1" applyAlignment="1">
      <alignment horizontal="left"/>
    </xf>
    <xf numFmtId="181" fontId="42" fillId="0" borderId="0" xfId="0" applyNumberFormat="1" applyFont="1" applyAlignment="1">
      <alignment horizontal="left"/>
    </xf>
    <xf numFmtId="176" fontId="42"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2"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2" fillId="0" borderId="0" xfId="1" applyNumberFormat="1" applyFont="1"/>
    <xf numFmtId="176" fontId="42" fillId="0" borderId="0" xfId="1" applyNumberFormat="1" applyFont="1" applyFill="1"/>
    <xf numFmtId="176" fontId="42" fillId="0" borderId="0" xfId="0" applyNumberFormat="1" applyFont="1" applyFill="1"/>
    <xf numFmtId="195" fontId="42" fillId="0" borderId="0" xfId="0" applyNumberFormat="1" applyFont="1" applyFill="1"/>
    <xf numFmtId="167" fontId="6" fillId="0" borderId="16" xfId="0" applyFont="1" applyFill="1" applyBorder="1"/>
    <xf numFmtId="167" fontId="6" fillId="0" borderId="17" xfId="0" applyFont="1" applyFill="1" applyBorder="1"/>
    <xf numFmtId="43" fontId="42" fillId="0" borderId="0" xfId="0" applyNumberFormat="1" applyFont="1" applyFill="1" applyBorder="1" applyAlignment="1" applyProtection="1">
      <alignment horizontal="center"/>
    </xf>
    <xf numFmtId="176" fontId="42" fillId="0" borderId="0" xfId="0" applyNumberFormat="1" applyFont="1" applyFill="1" applyBorder="1" applyAlignment="1">
      <alignment horizontal="center"/>
    </xf>
    <xf numFmtId="43" fontId="42" fillId="0" borderId="0" xfId="0" applyNumberFormat="1" applyFont="1" applyFill="1" applyBorder="1" applyAlignment="1">
      <alignment horizontal="center"/>
    </xf>
    <xf numFmtId="0" fontId="42" fillId="0" borderId="0" xfId="0" applyNumberFormat="1" applyFont="1" applyFill="1" applyBorder="1" applyAlignment="1">
      <alignment horizontal="center"/>
    </xf>
    <xf numFmtId="167" fontId="42"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0"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2"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2" fillId="0" borderId="0" xfId="0" applyNumberFormat="1" applyFont="1" applyFill="1"/>
    <xf numFmtId="0" fontId="42" fillId="0" borderId="0" xfId="0" applyNumberFormat="1" applyFont="1" applyFill="1"/>
    <xf numFmtId="0" fontId="42" fillId="0" borderId="0" xfId="0" applyNumberFormat="1" applyFont="1" applyFill="1" applyAlignment="1">
      <alignment horizontal="center"/>
    </xf>
    <xf numFmtId="2" fontId="42"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2" fillId="0" borderId="0" xfId="1" applyNumberFormat="1" applyFont="1" applyFill="1" applyAlignment="1">
      <alignment horizontal="left"/>
    </xf>
    <xf numFmtId="191" fontId="42"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8"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8"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2" fillId="21" borderId="0" xfId="0" applyFont="1" applyFill="1"/>
    <xf numFmtId="167" fontId="65" fillId="0" borderId="0" xfId="0" applyFont="1"/>
    <xf numFmtId="167" fontId="25" fillId="0" borderId="0" xfId="0" applyFont="1" applyBorder="1"/>
    <xf numFmtId="167" fontId="25" fillId="0" borderId="0" xfId="0" applyFont="1"/>
    <xf numFmtId="167" fontId="25" fillId="0" borderId="0" xfId="0" applyFont="1" applyFill="1"/>
    <xf numFmtId="167" fontId="66"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2"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88" fontId="8" fillId="0" borderId="0" xfId="2" applyNumberFormat="1" applyFont="1"/>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7"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8"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7" fillId="0" borderId="0" xfId="1" applyNumberFormat="1" applyFont="1"/>
    <xf numFmtId="191" fontId="67" fillId="0" borderId="0" xfId="1" applyNumberFormat="1" applyFont="1"/>
    <xf numFmtId="177" fontId="42"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2"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2" fillId="26" borderId="25" xfId="1" applyNumberFormat="1" applyFont="1" applyFill="1" applyBorder="1"/>
    <xf numFmtId="187" fontId="42" fillId="26" borderId="0" xfId="0" quotePrefix="1" applyNumberFormat="1" applyFont="1" applyFill="1"/>
    <xf numFmtId="167" fontId="12" fillId="26" borderId="0" xfId="0" applyFont="1" applyFill="1"/>
    <xf numFmtId="181" fontId="69" fillId="26" borderId="0" xfId="0" applyNumberFormat="1" applyFont="1" applyFill="1" applyAlignment="1"/>
    <xf numFmtId="182" fontId="42" fillId="26" borderId="0" xfId="5" quotePrefix="1" applyNumberFormat="1" applyFont="1" applyFill="1"/>
    <xf numFmtId="192" fontId="42" fillId="26" borderId="0" xfId="0" applyNumberFormat="1" applyFont="1" applyFill="1"/>
    <xf numFmtId="167" fontId="69" fillId="26" borderId="0" xfId="0" applyFont="1" applyFill="1"/>
    <xf numFmtId="192" fontId="69" fillId="26" borderId="0" xfId="0" applyNumberFormat="1" applyFont="1" applyFill="1"/>
    <xf numFmtId="167" fontId="70" fillId="26" borderId="0" xfId="0" applyFont="1" applyFill="1" applyAlignment="1">
      <alignment horizontal="center"/>
    </xf>
    <xf numFmtId="177" fontId="42" fillId="0" borderId="0" xfId="1" applyNumberFormat="1" applyFont="1" applyFill="1"/>
    <xf numFmtId="167" fontId="6" fillId="0" borderId="0" xfId="0" applyFont="1" applyAlignment="1">
      <alignment horizontal="center"/>
    </xf>
    <xf numFmtId="167" fontId="6" fillId="0" borderId="0" xfId="0" applyFont="1" applyAlignment="1">
      <alignment horizontal="left" vertical="center" wrapText="1"/>
    </xf>
    <xf numFmtId="167" fontId="6" fillId="0" borderId="0" xfId="0" applyFont="1" applyAlignment="1">
      <alignment horizontal="left"/>
    </xf>
    <xf numFmtId="167" fontId="18" fillId="0" borderId="0" xfId="0" applyFont="1" applyAlignment="1">
      <alignment horizontal="center"/>
    </xf>
    <xf numFmtId="186" fontId="6" fillId="0" borderId="0" xfId="0" applyNumberFormat="1" applyFont="1" applyAlignment="1">
      <alignment horizontal="center"/>
    </xf>
    <xf numFmtId="14" fontId="6" fillId="0" borderId="0" xfId="0" applyNumberFormat="1" applyFont="1"/>
    <xf numFmtId="167" fontId="6" fillId="0" borderId="0" xfId="0" quotePrefix="1" applyFont="1" applyAlignment="1">
      <alignment horizontal="left"/>
    </xf>
    <xf numFmtId="167" fontId="6" fillId="0" borderId="0" xfId="0" applyFont="1" applyAlignment="1">
      <alignment horizontal="left" vertical="top" wrapText="1"/>
    </xf>
    <xf numFmtId="167" fontId="6" fillId="0" borderId="0" xfId="0" applyFont="1" applyAlignment="1">
      <alignment wrapText="1"/>
    </xf>
    <xf numFmtId="167" fontId="6" fillId="0" borderId="0" xfId="0" applyFont="1" applyAlignment="1">
      <alignment horizontal="center" vertical="top"/>
    </xf>
    <xf numFmtId="186" fontId="6" fillId="0" borderId="0" xfId="0" applyNumberFormat="1" applyFont="1" applyAlignment="1">
      <alignment horizontal="center" vertical="top"/>
    </xf>
    <xf numFmtId="167" fontId="6" fillId="0" borderId="0" xfId="0" applyFont="1" applyAlignment="1">
      <alignment horizontal="left" wrapText="1"/>
    </xf>
    <xf numFmtId="167" fontId="6" fillId="0" borderId="0" xfId="0" applyFont="1" applyAlignment="1">
      <alignment vertical="top"/>
    </xf>
    <xf numFmtId="167" fontId="6" fillId="0" borderId="0" xfId="0" applyFont="1" applyAlignment="1">
      <alignment vertical="top" wrapText="1"/>
    </xf>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1" fillId="0" borderId="0" xfId="3" applyFont="1" applyFill="1" applyAlignment="1">
      <alignment horizontal="right" vertical="top"/>
    </xf>
    <xf numFmtId="167" fontId="6" fillId="0" borderId="0" xfId="0" applyFont="1" applyAlignment="1">
      <alignment horizontal="left"/>
    </xf>
    <xf numFmtId="43" fontId="42" fillId="3" borderId="0" xfId="0" applyNumberFormat="1" applyFont="1" applyFill="1" applyBorder="1" applyAlignment="1" applyProtection="1">
      <alignment horizontal="center"/>
    </xf>
    <xf numFmtId="176" fontId="42" fillId="0" borderId="0" xfId="0" applyNumberFormat="1" applyFont="1" applyFill="1" applyBorder="1" applyAlignment="1" applyProtection="1">
      <alignment horizontal="center"/>
    </xf>
    <xf numFmtId="176" fontId="42" fillId="0" borderId="0" xfId="0" applyNumberFormat="1" applyFont="1" applyFill="1" applyProtection="1"/>
    <xf numFmtId="43" fontId="42" fillId="0" borderId="0" xfId="0" applyNumberFormat="1" applyFont="1" applyFill="1" applyProtection="1"/>
    <xf numFmtId="0" fontId="42"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167" fontId="11" fillId="0" borderId="0" xfId="0"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44" fontId="65" fillId="0" borderId="0" xfId="2" applyFont="1"/>
    <xf numFmtId="167" fontId="72" fillId="0" borderId="0" xfId="0" applyFont="1"/>
    <xf numFmtId="167" fontId="65" fillId="0" borderId="33" xfId="0" applyFont="1" applyBorder="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Fill="1" applyAlignment="1">
      <alignment horizontal="center" vertical="center"/>
    </xf>
    <xf numFmtId="167" fontId="6" fillId="0" borderId="0" xfId="0" applyFont="1" applyAlignment="1">
      <alignment horizontal="left"/>
    </xf>
    <xf numFmtId="181" fontId="6" fillId="23" borderId="0" xfId="0" applyNumberFormat="1" applyFont="1" applyFill="1" applyAlignment="1"/>
    <xf numFmtId="167" fontId="6" fillId="23" borderId="0" xfId="0" quotePrefix="1" applyFont="1" applyFill="1" applyAlignment="1">
      <alignment horizontal="right"/>
    </xf>
    <xf numFmtId="44" fontId="6" fillId="23" borderId="0" xfId="2" applyFont="1" applyFill="1" applyAlignment="1">
      <alignment horizontal="right"/>
    </xf>
    <xf numFmtId="167" fontId="12" fillId="0" borderId="0" xfId="0" applyFont="1" applyFill="1"/>
    <xf numFmtId="182" fontId="6" fillId="0" borderId="0" xfId="5" quotePrefix="1" applyNumberFormat="1" applyFont="1" applyFill="1"/>
    <xf numFmtId="167" fontId="6" fillId="0" borderId="0" xfId="0" quotePrefix="1" applyFont="1" applyFill="1" applyAlignment="1">
      <alignment horizontal="right"/>
    </xf>
    <xf numFmtId="44" fontId="6" fillId="0" borderId="0" xfId="2" applyFont="1" applyFill="1" applyAlignment="1">
      <alignment horizontal="right"/>
    </xf>
    <xf numFmtId="167" fontId="6" fillId="23" borderId="0" xfId="0" quotePrefix="1" applyFont="1" applyFill="1"/>
    <xf numFmtId="167" fontId="6" fillId="23" borderId="0" xfId="0" applyFont="1" applyFill="1"/>
    <xf numFmtId="177" fontId="6" fillId="0" borderId="0" xfId="1" applyNumberFormat="1" applyFont="1" applyFill="1" applyAlignment="1"/>
    <xf numFmtId="177" fontId="69" fillId="0" borderId="0" xfId="1" applyNumberFormat="1" applyFont="1" applyFill="1"/>
    <xf numFmtId="179" fontId="6" fillId="23" borderId="0" xfId="2" applyNumberFormat="1" applyFont="1" applyFill="1"/>
    <xf numFmtId="177" fontId="6" fillId="23" borderId="0" xfId="1" applyNumberFormat="1" applyFont="1" applyFill="1"/>
    <xf numFmtId="8" fontId="41" fillId="23" borderId="0" xfId="0" applyNumberFormat="1" applyFont="1" applyFill="1"/>
    <xf numFmtId="169" fontId="37" fillId="23" borderId="0" xfId="0" applyNumberFormat="1" applyFont="1" applyFill="1"/>
    <xf numFmtId="2" fontId="41" fillId="23" borderId="0" xfId="0" applyNumberFormat="1" applyFont="1" applyFill="1"/>
    <xf numFmtId="167" fontId="37" fillId="23" borderId="0" xfId="0" applyFont="1" applyFill="1"/>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7" xfId="0" applyFont="1" applyFill="1" applyBorder="1" applyAlignment="1">
      <alignment horizontal="center"/>
    </xf>
    <xf numFmtId="167" fontId="5" fillId="0" borderId="0" xfId="0" applyFont="1" applyFill="1" applyBorder="1" applyAlignment="1">
      <alignment horizontal="center"/>
    </xf>
    <xf numFmtId="44" fontId="6" fillId="23" borderId="0" xfId="2" applyFont="1" applyFill="1"/>
    <xf numFmtId="167" fontId="6" fillId="0" borderId="0" xfId="0" applyFont="1" applyFill="1" applyAlignment="1">
      <alignment vertical="center" wrapText="1"/>
    </xf>
    <xf numFmtId="167" fontId="6" fillId="0" borderId="0" xfId="0" applyFont="1" applyFill="1" applyAlignment="1">
      <alignment horizontal="justify" vertical="center"/>
    </xf>
    <xf numFmtId="167" fontId="32" fillId="0" borderId="0" xfId="0" applyFont="1" applyFill="1" applyAlignment="1">
      <alignment horizontal="justify" vertical="justify"/>
    </xf>
    <xf numFmtId="167" fontId="8" fillId="0" borderId="0" xfId="0" applyFont="1" applyFill="1" applyAlignment="1">
      <alignment vertical="center"/>
    </xf>
    <xf numFmtId="0" fontId="11" fillId="0" borderId="0" xfId="0" applyNumberFormat="1" applyFont="1"/>
    <xf numFmtId="167" fontId="6" fillId="0" borderId="0" xfId="0" applyFont="1" applyAlignment="1">
      <alignment horizontal="left"/>
    </xf>
    <xf numFmtId="203" fontId="6" fillId="23" borderId="0" xfId="1" applyNumberFormat="1" applyFont="1" applyFill="1"/>
    <xf numFmtId="167" fontId="11" fillId="0" borderId="0" xfId="0" applyFont="1" applyFill="1" applyAlignment="1">
      <alignment horizontal="center"/>
    </xf>
    <xf numFmtId="177" fontId="6" fillId="28" borderId="0" xfId="1" applyNumberFormat="1" applyFont="1" applyFill="1"/>
    <xf numFmtId="179" fontId="6" fillId="28" borderId="0" xfId="2" applyNumberFormat="1" applyFont="1" applyFill="1"/>
    <xf numFmtId="167" fontId="6"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left" wrapText="1"/>
    </xf>
    <xf numFmtId="167" fontId="6" fillId="0" borderId="0" xfId="0" applyFont="1" applyAlignment="1">
      <alignment horizontal="left" vertical="top" wrapText="1"/>
    </xf>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2"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67" fontId="6" fillId="0" borderId="0" xfId="0" applyFont="1" applyFill="1" applyAlignment="1">
      <alignment horizontal="justify" vertical="justify" wrapText="1"/>
    </xf>
    <xf numFmtId="167" fontId="8" fillId="0" borderId="0" xfId="0" applyFont="1" applyFill="1" applyAlignment="1">
      <alignment horizontal="left" vertical="center"/>
    </xf>
    <xf numFmtId="167" fontId="17" fillId="0" borderId="0" xfId="0" applyFont="1" applyFill="1" applyAlignment="1">
      <alignment horizontal="left" vertical="center"/>
    </xf>
    <xf numFmtId="167" fontId="8" fillId="0" borderId="0" xfId="0" applyFont="1" applyFill="1" applyAlignment="1">
      <alignment horizontal="left"/>
    </xf>
    <xf numFmtId="167" fontId="18" fillId="0" borderId="0" xfId="0" applyFont="1" applyAlignment="1">
      <alignment horizontal="left" vertical="center"/>
    </xf>
    <xf numFmtId="167" fontId="6"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Fill="1" applyAlignment="1">
      <alignment horizontal="center" vertical="center"/>
    </xf>
    <xf numFmtId="167" fontId="17"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wrapText="1"/>
    </xf>
    <xf numFmtId="167" fontId="6" fillId="0" borderId="0" xfId="0" applyFont="1" applyAlignment="1">
      <alignment horizontal="justify" vertical="justify"/>
    </xf>
    <xf numFmtId="167" fontId="6" fillId="0" borderId="0" xfId="0" applyFont="1" applyAlignment="1">
      <alignment horizontal="left" vertical="justify"/>
    </xf>
    <xf numFmtId="10" fontId="6" fillId="0" borderId="0" xfId="7" applyNumberFormat="1" applyFont="1" applyFill="1" applyAlignment="1">
      <alignment horizontal="center" vertical="center" wrapText="1"/>
    </xf>
    <xf numFmtId="178" fontId="6" fillId="0" borderId="0" xfId="2" applyNumberFormat="1" applyFont="1" applyFill="1" applyAlignment="1">
      <alignment horizontal="center" vertical="center" wrapText="1"/>
    </xf>
    <xf numFmtId="167" fontId="18" fillId="0" borderId="0" xfId="0" applyFont="1" applyFill="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4" fillId="0" borderId="0" xfId="0" applyFont="1" applyFill="1" applyAlignment="1">
      <alignment horizontal="justify" vertical="justify" wrapText="1"/>
    </xf>
    <xf numFmtId="167" fontId="26" fillId="0" borderId="0" xfId="0" applyFont="1" applyFill="1" applyAlignment="1">
      <alignment horizont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5" fillId="0" borderId="18" xfId="5" applyFont="1" applyFill="1" applyBorder="1" applyAlignment="1">
      <alignment horizontal="center"/>
    </xf>
    <xf numFmtId="0" fontId="35" fillId="0" borderId="15" xfId="5" applyFont="1" applyFill="1" applyBorder="1" applyAlignment="1">
      <alignment horizontal="center"/>
    </xf>
    <xf numFmtId="0" fontId="35"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6" fillId="0" borderId="0" xfId="0" applyFont="1" applyAlignment="1">
      <alignment horizontal="justify" vertical="center"/>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5" fillId="0" borderId="2" xfId="5" applyFont="1" applyFill="1" applyBorder="1" applyAlignment="1">
      <alignment horizontal="center"/>
    </xf>
    <xf numFmtId="0" fontId="35" fillId="0" borderId="3" xfId="5" applyFont="1" applyFill="1" applyBorder="1" applyAlignment="1">
      <alignment horizontal="center"/>
    </xf>
    <xf numFmtId="0" fontId="35"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5" fillId="0" borderId="0" xfId="5" applyFont="1" applyFill="1" applyBorder="1" applyAlignment="1">
      <alignment horizontal="center"/>
    </xf>
    <xf numFmtId="167" fontId="17" fillId="0" borderId="0" xfId="0" applyNumberFormat="1" applyFont="1" applyFill="1" applyBorder="1" applyAlignment="1">
      <alignment horizontal="center"/>
    </xf>
    <xf numFmtId="167" fontId="38" fillId="0" borderId="33" xfId="0" applyFont="1" applyFill="1" applyBorder="1" applyAlignment="1">
      <alignment horizontal="center" wrapText="1"/>
    </xf>
    <xf numFmtId="167" fontId="6" fillId="0" borderId="33" xfId="0" applyFont="1" applyFill="1" applyBorder="1" applyAlignment="1">
      <alignment horizontal="center"/>
    </xf>
    <xf numFmtId="167" fontId="25" fillId="0" borderId="0" xfId="0" applyFont="1" applyFill="1" applyAlignment="1">
      <alignment horizontal="center"/>
    </xf>
    <xf numFmtId="167" fontId="8" fillId="0" borderId="0" xfId="0" applyFont="1" applyFill="1" applyAlignment="1">
      <alignment horizontal="center"/>
    </xf>
    <xf numFmtId="167" fontId="5" fillId="0" borderId="0" xfId="0" applyFont="1" applyFill="1" applyBorder="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66FF"/>
      <color rgb="FF0000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949E-A86E-4E60-AF78-F9C99ED0786E}">
  <sheetPr>
    <pageSetUpPr fitToPage="1"/>
  </sheetPr>
  <dimension ref="A1:F302"/>
  <sheetViews>
    <sheetView workbookViewId="0">
      <pane ySplit="1" topLeftCell="A285" activePane="bottomLeft" state="frozen"/>
      <selection pane="bottomLeft" activeCell="G291" sqref="G291"/>
    </sheetView>
  </sheetViews>
  <sheetFormatPr defaultColWidth="8.84375" defaultRowHeight="16.5" customHeight="1" x14ac:dyDescent="0.35"/>
  <cols>
    <col min="1" max="1" width="52.07421875" style="6" customWidth="1"/>
    <col min="2" max="3" width="17.69140625" style="6" customWidth="1"/>
    <col min="4" max="4" width="17.765625" style="6" customWidth="1"/>
    <col min="5" max="5" width="8.84375" style="6"/>
    <col min="6" max="6" width="17.53515625" style="6" customWidth="1"/>
    <col min="7" max="16384" width="8.84375" style="6"/>
  </cols>
  <sheetData>
    <row r="1" spans="1:5" ht="15.5" x14ac:dyDescent="0.35">
      <c r="A1" s="661" t="s">
        <v>829</v>
      </c>
      <c r="B1" s="661" t="s">
        <v>830</v>
      </c>
      <c r="C1" s="661" t="s">
        <v>831</v>
      </c>
      <c r="D1" s="661" t="s">
        <v>832</v>
      </c>
      <c r="E1" s="661" t="s">
        <v>831</v>
      </c>
    </row>
    <row r="2" spans="1:5" ht="15.5" x14ac:dyDescent="0.35">
      <c r="A2" s="6" t="s">
        <v>833</v>
      </c>
      <c r="C2" s="662">
        <v>39902</v>
      </c>
      <c r="E2" s="663"/>
    </row>
    <row r="3" spans="1:5" ht="15.5" x14ac:dyDescent="0.35">
      <c r="A3" s="6" t="s">
        <v>834</v>
      </c>
    </row>
    <row r="4" spans="1:5" ht="15.5" x14ac:dyDescent="0.35"/>
    <row r="5" spans="1:5" ht="15.5" x14ac:dyDescent="0.35">
      <c r="A5" s="660" t="s">
        <v>835</v>
      </c>
      <c r="B5" s="658" t="s">
        <v>836</v>
      </c>
      <c r="C5" s="662">
        <v>39904</v>
      </c>
    </row>
    <row r="6" spans="1:5" ht="15.5" x14ac:dyDescent="0.35">
      <c r="A6" s="660" t="s">
        <v>837</v>
      </c>
      <c r="C6" s="662"/>
    </row>
    <row r="7" spans="1:5" ht="15.5" x14ac:dyDescent="0.35">
      <c r="A7" s="660" t="s">
        <v>838</v>
      </c>
      <c r="C7" s="662"/>
    </row>
    <row r="8" spans="1:5" ht="15.5" x14ac:dyDescent="0.35">
      <c r="A8" s="660"/>
      <c r="C8" s="662"/>
    </row>
    <row r="9" spans="1:5" ht="15.5" x14ac:dyDescent="0.35">
      <c r="A9" s="660" t="s">
        <v>839</v>
      </c>
      <c r="B9" s="658" t="s">
        <v>836</v>
      </c>
      <c r="C9" s="662">
        <v>39904</v>
      </c>
    </row>
    <row r="10" spans="1:5" ht="15.5" x14ac:dyDescent="0.35">
      <c r="A10" s="660" t="s">
        <v>840</v>
      </c>
      <c r="C10" s="662"/>
    </row>
    <row r="11" spans="1:5" ht="15.5" x14ac:dyDescent="0.35">
      <c r="A11" s="660" t="s">
        <v>841</v>
      </c>
      <c r="C11" s="662"/>
    </row>
    <row r="12" spans="1:5" ht="15.5" x14ac:dyDescent="0.35">
      <c r="A12" s="660" t="s">
        <v>842</v>
      </c>
      <c r="C12" s="662"/>
    </row>
    <row r="13" spans="1:5" ht="15.5" x14ac:dyDescent="0.35">
      <c r="C13" s="662"/>
    </row>
    <row r="14" spans="1:5" ht="15.5" x14ac:dyDescent="0.35">
      <c r="A14" s="660" t="s">
        <v>843</v>
      </c>
      <c r="B14" s="658" t="s">
        <v>836</v>
      </c>
      <c r="C14" s="662">
        <v>39904</v>
      </c>
    </row>
    <row r="15" spans="1:5" ht="15.5" x14ac:dyDescent="0.35">
      <c r="A15" s="660" t="s">
        <v>844</v>
      </c>
      <c r="C15" s="662"/>
    </row>
    <row r="16" spans="1:5" ht="15.5" x14ac:dyDescent="0.35">
      <c r="A16" s="664"/>
      <c r="C16" s="662"/>
    </row>
    <row r="17" spans="1:3" ht="15.5" x14ac:dyDescent="0.35">
      <c r="A17" s="660" t="s">
        <v>845</v>
      </c>
      <c r="B17" s="658" t="s">
        <v>836</v>
      </c>
      <c r="C17" s="662">
        <v>39904</v>
      </c>
    </row>
    <row r="18" spans="1:3" ht="15.5" x14ac:dyDescent="0.35">
      <c r="A18" s="660" t="s">
        <v>846</v>
      </c>
      <c r="C18" s="662"/>
    </row>
    <row r="19" spans="1:3" ht="15.5" x14ac:dyDescent="0.35">
      <c r="A19" s="660" t="s">
        <v>847</v>
      </c>
      <c r="C19" s="662"/>
    </row>
    <row r="20" spans="1:3" ht="15.5" x14ac:dyDescent="0.35">
      <c r="C20" s="662"/>
    </row>
    <row r="21" spans="1:3" ht="15.5" x14ac:dyDescent="0.35">
      <c r="A21" s="660" t="s">
        <v>848</v>
      </c>
      <c r="B21" s="658" t="s">
        <v>836</v>
      </c>
      <c r="C21" s="662">
        <v>39904</v>
      </c>
    </row>
    <row r="22" spans="1:3" ht="15.5" x14ac:dyDescent="0.35">
      <c r="A22" s="660" t="s">
        <v>849</v>
      </c>
      <c r="C22" s="662"/>
    </row>
    <row r="23" spans="1:3" ht="15.5" x14ac:dyDescent="0.35">
      <c r="C23" s="662"/>
    </row>
    <row r="24" spans="1:3" ht="15.5" x14ac:dyDescent="0.35">
      <c r="A24" s="660" t="s">
        <v>850</v>
      </c>
      <c r="B24" s="658" t="s">
        <v>836</v>
      </c>
      <c r="C24" s="662">
        <v>39904</v>
      </c>
    </row>
    <row r="25" spans="1:3" ht="15.5" x14ac:dyDescent="0.35">
      <c r="A25" s="660" t="s">
        <v>851</v>
      </c>
      <c r="C25" s="662"/>
    </row>
    <row r="26" spans="1:3" ht="15.5" x14ac:dyDescent="0.35">
      <c r="A26" s="660" t="s">
        <v>852</v>
      </c>
      <c r="C26" s="662"/>
    </row>
    <row r="27" spans="1:3" ht="15.5" x14ac:dyDescent="0.35">
      <c r="C27" s="662"/>
    </row>
    <row r="28" spans="1:3" ht="15.5" x14ac:dyDescent="0.35">
      <c r="A28" s="755" t="s">
        <v>853</v>
      </c>
      <c r="B28" s="658" t="s">
        <v>854</v>
      </c>
      <c r="C28" s="662" t="s">
        <v>855</v>
      </c>
    </row>
    <row r="29" spans="1:3" ht="15.5" x14ac:dyDescent="0.35">
      <c r="A29" s="755"/>
      <c r="C29" s="658"/>
    </row>
    <row r="30" spans="1:3" ht="15.5" x14ac:dyDescent="0.35">
      <c r="A30" s="755"/>
      <c r="C30" s="658"/>
    </row>
    <row r="31" spans="1:3" ht="15.5" x14ac:dyDescent="0.35">
      <c r="A31" s="755"/>
    </row>
    <row r="32" spans="1:3" ht="15.5" x14ac:dyDescent="0.35"/>
    <row r="33" spans="1:5" ht="15.5" x14ac:dyDescent="0.35">
      <c r="A33" s="755" t="s">
        <v>856</v>
      </c>
      <c r="B33" s="658" t="s">
        <v>854</v>
      </c>
      <c r="C33" s="662" t="s">
        <v>857</v>
      </c>
    </row>
    <row r="34" spans="1:5" ht="15.5" x14ac:dyDescent="0.35">
      <c r="A34" s="755"/>
      <c r="B34" s="665"/>
      <c r="C34" s="665"/>
    </row>
    <row r="35" spans="1:5" ht="15.5" x14ac:dyDescent="0.35">
      <c r="A35" s="755"/>
      <c r="B35" s="665"/>
      <c r="C35" s="665"/>
    </row>
    <row r="36" spans="1:5" ht="15.5" x14ac:dyDescent="0.35">
      <c r="A36" s="755"/>
      <c r="B36" s="665"/>
      <c r="C36" s="665"/>
    </row>
    <row r="37" spans="1:5" ht="15.5" x14ac:dyDescent="0.35"/>
    <row r="38" spans="1:5" ht="15.5" x14ac:dyDescent="0.35">
      <c r="A38" s="755" t="s">
        <v>858</v>
      </c>
      <c r="B38" s="658" t="s">
        <v>859</v>
      </c>
      <c r="C38" s="662">
        <v>40983</v>
      </c>
    </row>
    <row r="39" spans="1:5" ht="15.5" x14ac:dyDescent="0.35">
      <c r="A39" s="755"/>
    </row>
    <row r="40" spans="1:5" ht="15.5" x14ac:dyDescent="0.35">
      <c r="A40" s="755"/>
    </row>
    <row r="41" spans="1:5" ht="15.5" x14ac:dyDescent="0.35">
      <c r="A41" s="755"/>
    </row>
    <row r="42" spans="1:5" ht="15.5" x14ac:dyDescent="0.35"/>
    <row r="43" spans="1:5" ht="15.5" x14ac:dyDescent="0.35">
      <c r="A43" s="755" t="s">
        <v>860</v>
      </c>
      <c r="B43" s="658" t="s">
        <v>859</v>
      </c>
      <c r="C43" s="662">
        <v>41157</v>
      </c>
      <c r="D43" s="6" t="s">
        <v>861</v>
      </c>
      <c r="E43" s="662">
        <v>41179</v>
      </c>
    </row>
    <row r="44" spans="1:5" ht="15.5" x14ac:dyDescent="0.35">
      <c r="A44" s="755"/>
      <c r="B44" s="665"/>
      <c r="C44" s="665"/>
    </row>
    <row r="45" spans="1:5" ht="15.5" x14ac:dyDescent="0.35">
      <c r="A45" s="755"/>
      <c r="B45" s="665"/>
      <c r="C45" s="665"/>
    </row>
    <row r="46" spans="1:5" ht="33" customHeight="1" x14ac:dyDescent="0.35">
      <c r="A46" s="755"/>
      <c r="B46" s="665"/>
      <c r="C46" s="665"/>
    </row>
    <row r="47" spans="1:5" ht="19.5" customHeight="1" x14ac:dyDescent="0.35">
      <c r="A47" s="665"/>
      <c r="B47" s="665"/>
      <c r="C47" s="665"/>
    </row>
    <row r="48" spans="1:5" ht="24.75" customHeight="1" x14ac:dyDescent="0.35">
      <c r="A48" s="665" t="s">
        <v>862</v>
      </c>
      <c r="B48" s="658" t="s">
        <v>859</v>
      </c>
      <c r="C48" s="662">
        <v>41157</v>
      </c>
      <c r="D48" s="6" t="s">
        <v>861</v>
      </c>
      <c r="E48" s="662">
        <v>41179</v>
      </c>
    </row>
    <row r="49" spans="1:5" ht="19.5" customHeight="1" x14ac:dyDescent="0.35">
      <c r="A49" s="665"/>
      <c r="B49" s="665"/>
      <c r="C49" s="665"/>
    </row>
    <row r="50" spans="1:5" ht="15.5" x14ac:dyDescent="0.35"/>
    <row r="51" spans="1:5" ht="15.75" customHeight="1" x14ac:dyDescent="0.35">
      <c r="A51" s="755" t="s">
        <v>863</v>
      </c>
      <c r="B51" s="658" t="s">
        <v>859</v>
      </c>
      <c r="C51" s="662">
        <v>41248</v>
      </c>
      <c r="D51" s="6" t="s">
        <v>861</v>
      </c>
      <c r="E51" s="662">
        <v>41271</v>
      </c>
    </row>
    <row r="52" spans="1:5" ht="33" customHeight="1" x14ac:dyDescent="0.35">
      <c r="A52" s="755"/>
    </row>
    <row r="53" spans="1:5" ht="33.75" customHeight="1" x14ac:dyDescent="0.35">
      <c r="A53" s="755"/>
    </row>
    <row r="54" spans="1:5" ht="35.25" customHeight="1" x14ac:dyDescent="0.35">
      <c r="A54" s="755"/>
    </row>
    <row r="55" spans="1:5" ht="15.5" x14ac:dyDescent="0.35"/>
    <row r="56" spans="1:5" ht="15.5" x14ac:dyDescent="0.35">
      <c r="A56" s="755" t="s">
        <v>864</v>
      </c>
      <c r="B56" s="658" t="s">
        <v>859</v>
      </c>
      <c r="C56" s="662">
        <v>41248</v>
      </c>
      <c r="D56" s="6" t="s">
        <v>861</v>
      </c>
      <c r="E56" s="662">
        <v>41271</v>
      </c>
    </row>
    <row r="57" spans="1:5" ht="15.5" x14ac:dyDescent="0.35">
      <c r="A57" s="755"/>
    </row>
    <row r="58" spans="1:5" ht="15.5" x14ac:dyDescent="0.35">
      <c r="A58" s="755"/>
    </row>
    <row r="59" spans="1:5" ht="15.5" x14ac:dyDescent="0.35">
      <c r="A59" s="755"/>
    </row>
    <row r="60" spans="1:5" ht="15.5" x14ac:dyDescent="0.35"/>
    <row r="61" spans="1:5" ht="15.5" x14ac:dyDescent="0.35">
      <c r="A61" s="755" t="s">
        <v>865</v>
      </c>
      <c r="B61" s="658" t="s">
        <v>859</v>
      </c>
      <c r="C61" s="662">
        <v>41263</v>
      </c>
      <c r="D61" s="6" t="s">
        <v>861</v>
      </c>
      <c r="E61" s="662">
        <v>41271</v>
      </c>
    </row>
    <row r="62" spans="1:5" ht="15.5" x14ac:dyDescent="0.35">
      <c r="A62" s="755"/>
    </row>
    <row r="63" spans="1:5" ht="15.5" x14ac:dyDescent="0.35">
      <c r="A63" s="755"/>
    </row>
    <row r="64" spans="1:5" ht="15.5" x14ac:dyDescent="0.35">
      <c r="A64" s="755"/>
    </row>
    <row r="65" spans="1:5" ht="15.5" x14ac:dyDescent="0.35"/>
    <row r="66" spans="1:5" ht="15.5" x14ac:dyDescent="0.35"/>
    <row r="67" spans="1:5" ht="15.5" x14ac:dyDescent="0.35">
      <c r="A67" s="755" t="s">
        <v>866</v>
      </c>
      <c r="B67" s="658" t="s">
        <v>859</v>
      </c>
      <c r="C67" s="662">
        <v>41271</v>
      </c>
      <c r="D67" s="6" t="s">
        <v>861</v>
      </c>
      <c r="E67" s="662">
        <v>41271</v>
      </c>
    </row>
    <row r="68" spans="1:5" ht="15.5" x14ac:dyDescent="0.35">
      <c r="A68" s="755"/>
    </row>
    <row r="69" spans="1:5" ht="15.5" x14ac:dyDescent="0.35">
      <c r="A69" s="755"/>
    </row>
    <row r="70" spans="1:5" ht="15.5" x14ac:dyDescent="0.35">
      <c r="A70" s="755"/>
    </row>
    <row r="71" spans="1:5" ht="15.5" x14ac:dyDescent="0.35"/>
    <row r="72" spans="1:5" ht="15.5" x14ac:dyDescent="0.35">
      <c r="A72" s="755" t="s">
        <v>867</v>
      </c>
      <c r="B72" s="658" t="s">
        <v>859</v>
      </c>
      <c r="C72" s="662">
        <v>41351</v>
      </c>
      <c r="D72" s="6" t="s">
        <v>861</v>
      </c>
      <c r="E72" s="662">
        <v>41361</v>
      </c>
    </row>
    <row r="73" spans="1:5" ht="15.5" x14ac:dyDescent="0.35">
      <c r="A73" s="755"/>
      <c r="E73" s="662"/>
    </row>
    <row r="74" spans="1:5" ht="15.5" x14ac:dyDescent="0.35">
      <c r="A74" s="755"/>
      <c r="E74" s="662"/>
    </row>
    <row r="75" spans="1:5" ht="15.5" x14ac:dyDescent="0.35">
      <c r="A75" s="755"/>
      <c r="E75" s="662"/>
    </row>
    <row r="76" spans="1:5" ht="15.5" x14ac:dyDescent="0.35">
      <c r="E76" s="662"/>
    </row>
    <row r="77" spans="1:5" ht="15.5" x14ac:dyDescent="0.35">
      <c r="A77" s="755" t="s">
        <v>868</v>
      </c>
      <c r="B77" s="658" t="s">
        <v>859</v>
      </c>
      <c r="C77" s="662">
        <v>41352</v>
      </c>
      <c r="D77" s="6" t="s">
        <v>861</v>
      </c>
      <c r="E77" s="662">
        <v>41361</v>
      </c>
    </row>
    <row r="78" spans="1:5" ht="15.5" x14ac:dyDescent="0.35">
      <c r="A78" s="755"/>
      <c r="E78" s="662"/>
    </row>
    <row r="79" spans="1:5" ht="15.5" x14ac:dyDescent="0.35">
      <c r="A79" s="755"/>
      <c r="E79" s="662"/>
    </row>
    <row r="80" spans="1:5" ht="15.5" x14ac:dyDescent="0.35">
      <c r="A80" s="755"/>
      <c r="E80" s="662"/>
    </row>
    <row r="81" spans="1:5" ht="15.5" x14ac:dyDescent="0.35">
      <c r="E81" s="662"/>
    </row>
    <row r="82" spans="1:5" ht="15.5" x14ac:dyDescent="0.35">
      <c r="A82" s="755" t="s">
        <v>869</v>
      </c>
      <c r="B82" s="658" t="s">
        <v>859</v>
      </c>
      <c r="C82" s="662">
        <v>41352</v>
      </c>
      <c r="D82" s="6" t="s">
        <v>861</v>
      </c>
      <c r="E82" s="662">
        <v>41361</v>
      </c>
    </row>
    <row r="83" spans="1:5" ht="15.5" x14ac:dyDescent="0.35">
      <c r="A83" s="755"/>
    </row>
    <row r="84" spans="1:5" ht="15.5" x14ac:dyDescent="0.35">
      <c r="A84" s="755"/>
    </row>
    <row r="85" spans="1:5" ht="15.5" x14ac:dyDescent="0.35">
      <c r="A85" s="755"/>
    </row>
    <row r="86" spans="1:5" ht="15.5" x14ac:dyDescent="0.35"/>
    <row r="87" spans="1:5" ht="18" customHeight="1" x14ac:dyDescent="0.35">
      <c r="A87" s="755" t="s">
        <v>870</v>
      </c>
      <c r="B87" s="658" t="s">
        <v>859</v>
      </c>
      <c r="C87" s="662">
        <v>41506</v>
      </c>
      <c r="D87" s="6" t="s">
        <v>861</v>
      </c>
      <c r="E87" s="662">
        <v>41536</v>
      </c>
    </row>
    <row r="88" spans="1:5" ht="81.75" customHeight="1" x14ac:dyDescent="0.35">
      <c r="A88" s="755"/>
    </row>
    <row r="89" spans="1:5" ht="107.25" customHeight="1" x14ac:dyDescent="0.35">
      <c r="A89" s="755"/>
    </row>
    <row r="90" spans="1:5" ht="92.25" customHeight="1" x14ac:dyDescent="0.35">
      <c r="A90" s="755"/>
    </row>
    <row r="91" spans="1:5" ht="15.5" x14ac:dyDescent="0.35"/>
    <row r="92" spans="1:5" ht="15.75" customHeight="1" x14ac:dyDescent="0.35">
      <c r="A92" s="754" t="s">
        <v>871</v>
      </c>
      <c r="B92" s="658" t="s">
        <v>859</v>
      </c>
      <c r="C92" s="662">
        <v>41509</v>
      </c>
      <c r="D92" s="6" t="s">
        <v>861</v>
      </c>
      <c r="E92" s="662">
        <v>41536</v>
      </c>
    </row>
    <row r="93" spans="1:5" ht="15.5" x14ac:dyDescent="0.35">
      <c r="A93" s="754"/>
    </row>
    <row r="94" spans="1:5" ht="15.5" x14ac:dyDescent="0.35"/>
    <row r="95" spans="1:5" ht="15.5" x14ac:dyDescent="0.35">
      <c r="A95" s="754" t="s">
        <v>872</v>
      </c>
      <c r="B95" s="658" t="s">
        <v>859</v>
      </c>
      <c r="C95" s="662">
        <v>41509</v>
      </c>
      <c r="D95" s="6" t="s">
        <v>861</v>
      </c>
      <c r="E95" s="662">
        <v>41536</v>
      </c>
    </row>
    <row r="96" spans="1:5" ht="24.75" customHeight="1" x14ac:dyDescent="0.35">
      <c r="A96" s="754"/>
    </row>
    <row r="97" spans="1:5" ht="15.5" x14ac:dyDescent="0.35"/>
    <row r="98" spans="1:5" ht="46.5" x14ac:dyDescent="0.35">
      <c r="A98" s="666" t="s">
        <v>873</v>
      </c>
      <c r="B98" s="658" t="s">
        <v>859</v>
      </c>
      <c r="C98" s="662">
        <v>41509</v>
      </c>
      <c r="D98" s="6" t="s">
        <v>861</v>
      </c>
      <c r="E98" s="662">
        <v>41536</v>
      </c>
    </row>
    <row r="99" spans="1:5" ht="15.5" x14ac:dyDescent="0.35"/>
    <row r="100" spans="1:5" ht="15.5" x14ac:dyDescent="0.35">
      <c r="A100" s="754" t="s">
        <v>874</v>
      </c>
      <c r="B100" s="658" t="s">
        <v>859</v>
      </c>
      <c r="C100" s="662">
        <v>41513</v>
      </c>
      <c r="D100" s="6" t="s">
        <v>861</v>
      </c>
      <c r="E100" s="662">
        <v>41536</v>
      </c>
    </row>
    <row r="101" spans="1:5" ht="186.75" customHeight="1" x14ac:dyDescent="0.35">
      <c r="A101" s="754"/>
    </row>
    <row r="102" spans="1:5" ht="15.5" x14ac:dyDescent="0.35"/>
    <row r="103" spans="1:5" ht="15.5" x14ac:dyDescent="0.35">
      <c r="A103" s="754" t="s">
        <v>875</v>
      </c>
      <c r="B103" s="658" t="s">
        <v>859</v>
      </c>
      <c r="C103" s="662">
        <v>41514</v>
      </c>
      <c r="D103" s="6" t="s">
        <v>861</v>
      </c>
      <c r="E103" s="662">
        <v>41536</v>
      </c>
    </row>
    <row r="104" spans="1:5" ht="138.75" customHeight="1" x14ac:dyDescent="0.35">
      <c r="A104" s="754"/>
      <c r="C104" s="662"/>
    </row>
    <row r="105" spans="1:5" ht="15.5" x14ac:dyDescent="0.35">
      <c r="C105" s="662"/>
    </row>
    <row r="106" spans="1:5" ht="15.75" customHeight="1" x14ac:dyDescent="0.35">
      <c r="A106" s="754" t="s">
        <v>876</v>
      </c>
      <c r="C106" s="662"/>
    </row>
    <row r="107" spans="1:5" ht="229.5" customHeight="1" x14ac:dyDescent="0.35">
      <c r="A107" s="754"/>
      <c r="B107" s="667" t="s">
        <v>859</v>
      </c>
      <c r="C107" s="668">
        <v>41516</v>
      </c>
      <c r="D107" s="6" t="s">
        <v>861</v>
      </c>
      <c r="E107" s="662">
        <v>41536</v>
      </c>
    </row>
    <row r="108" spans="1:5" ht="15.5" x14ac:dyDescent="0.35"/>
    <row r="109" spans="1:5" ht="78" customHeight="1" x14ac:dyDescent="0.35">
      <c r="A109" s="669" t="s">
        <v>877</v>
      </c>
      <c r="B109" s="667" t="s">
        <v>859</v>
      </c>
      <c r="C109" s="668">
        <v>41516</v>
      </c>
      <c r="D109" s="6" t="s">
        <v>861</v>
      </c>
      <c r="E109" s="662">
        <v>41536</v>
      </c>
    </row>
    <row r="110" spans="1:5" ht="15.5" x14ac:dyDescent="0.35"/>
    <row r="111" spans="1:5" ht="62" x14ac:dyDescent="0.35">
      <c r="A111" s="669" t="s">
        <v>878</v>
      </c>
      <c r="B111" s="667" t="s">
        <v>859</v>
      </c>
      <c r="C111" s="668">
        <v>41519</v>
      </c>
      <c r="D111" s="6" t="s">
        <v>861</v>
      </c>
      <c r="E111" s="662">
        <v>41536</v>
      </c>
    </row>
    <row r="112" spans="1:5" ht="15.5" x14ac:dyDescent="0.35"/>
    <row r="113" spans="1:5" ht="45" customHeight="1" x14ac:dyDescent="0.35">
      <c r="A113" s="669" t="s">
        <v>879</v>
      </c>
      <c r="B113" s="667" t="s">
        <v>859</v>
      </c>
      <c r="C113" s="668">
        <v>41519</v>
      </c>
      <c r="D113" s="6" t="s">
        <v>861</v>
      </c>
      <c r="E113" s="662">
        <v>41536</v>
      </c>
    </row>
    <row r="114" spans="1:5" ht="15.5" x14ac:dyDescent="0.35"/>
    <row r="115" spans="1:5" ht="31" x14ac:dyDescent="0.35">
      <c r="A115" s="669" t="s">
        <v>880</v>
      </c>
      <c r="B115" s="667" t="s">
        <v>859</v>
      </c>
      <c r="C115" s="668">
        <v>41520</v>
      </c>
      <c r="D115" s="6" t="s">
        <v>861</v>
      </c>
      <c r="E115" s="662">
        <v>41536</v>
      </c>
    </row>
    <row r="116" spans="1:5" ht="15.5" x14ac:dyDescent="0.35">
      <c r="C116" s="662"/>
    </row>
    <row r="117" spans="1:5" ht="60.75" customHeight="1" x14ac:dyDescent="0.35">
      <c r="A117" s="669" t="s">
        <v>881</v>
      </c>
      <c r="B117" s="667" t="s">
        <v>859</v>
      </c>
      <c r="C117" s="668">
        <v>41520</v>
      </c>
      <c r="D117" s="6" t="s">
        <v>861</v>
      </c>
      <c r="E117" s="662">
        <v>41536</v>
      </c>
    </row>
    <row r="118" spans="1:5" ht="15.5" x14ac:dyDescent="0.35">
      <c r="C118" s="662"/>
    </row>
    <row r="119" spans="1:5" ht="44.25" customHeight="1" x14ac:dyDescent="0.35">
      <c r="A119" s="669" t="s">
        <v>882</v>
      </c>
      <c r="B119" s="667" t="s">
        <v>859</v>
      </c>
      <c r="C119" s="668">
        <v>41520</v>
      </c>
      <c r="D119" s="6" t="s">
        <v>861</v>
      </c>
      <c r="E119" s="662">
        <v>41536</v>
      </c>
    </row>
    <row r="120" spans="1:5" ht="15.5" x14ac:dyDescent="0.35"/>
    <row r="121" spans="1:5" ht="46.5" x14ac:dyDescent="0.35">
      <c r="A121" s="669" t="s">
        <v>883</v>
      </c>
      <c r="B121" s="667" t="s">
        <v>859</v>
      </c>
      <c r="C121" s="668">
        <v>41520</v>
      </c>
      <c r="D121" s="6" t="s">
        <v>861</v>
      </c>
      <c r="E121" s="662">
        <v>41536</v>
      </c>
    </row>
    <row r="122" spans="1:5" ht="15.5" x14ac:dyDescent="0.35"/>
    <row r="123" spans="1:5" ht="93" x14ac:dyDescent="0.35">
      <c r="A123" s="669" t="s">
        <v>884</v>
      </c>
      <c r="B123" s="667" t="s">
        <v>859</v>
      </c>
      <c r="C123" s="668">
        <v>41521</v>
      </c>
      <c r="D123" s="6" t="s">
        <v>861</v>
      </c>
      <c r="E123" s="662">
        <v>41536</v>
      </c>
    </row>
    <row r="124" spans="1:5" ht="15.5" x14ac:dyDescent="0.35"/>
    <row r="125" spans="1:5" ht="46.5" x14ac:dyDescent="0.35">
      <c r="A125" s="669" t="s">
        <v>885</v>
      </c>
      <c r="B125" s="667" t="s">
        <v>859</v>
      </c>
      <c r="C125" s="668">
        <v>41521</v>
      </c>
      <c r="D125" s="6" t="s">
        <v>861</v>
      </c>
      <c r="E125" s="662">
        <v>41536</v>
      </c>
    </row>
    <row r="126" spans="1:5" ht="15.5" x14ac:dyDescent="0.35"/>
    <row r="127" spans="1:5" ht="15.5" x14ac:dyDescent="0.35">
      <c r="A127" s="6" t="s">
        <v>886</v>
      </c>
      <c r="B127" s="667" t="s">
        <v>859</v>
      </c>
      <c r="C127" s="668">
        <v>41521</v>
      </c>
      <c r="D127" s="6" t="s">
        <v>861</v>
      </c>
      <c r="E127" s="662">
        <v>41536</v>
      </c>
    </row>
    <row r="128" spans="1:5" ht="15.5" x14ac:dyDescent="0.35"/>
    <row r="129" spans="1:6" ht="31" x14ac:dyDescent="0.35">
      <c r="A129" s="669" t="s">
        <v>887</v>
      </c>
      <c r="B129" s="667" t="s">
        <v>859</v>
      </c>
      <c r="C129" s="668">
        <v>41521</v>
      </c>
      <c r="D129" s="6" t="s">
        <v>861</v>
      </c>
      <c r="E129" s="662">
        <v>41536</v>
      </c>
    </row>
    <row r="130" spans="1:6" ht="15.5" x14ac:dyDescent="0.35"/>
    <row r="131" spans="1:6" ht="31" x14ac:dyDescent="0.35">
      <c r="A131" s="669" t="s">
        <v>888</v>
      </c>
      <c r="B131" s="667" t="s">
        <v>859</v>
      </c>
      <c r="C131" s="668">
        <v>41544</v>
      </c>
      <c r="D131" s="6" t="s">
        <v>861</v>
      </c>
      <c r="E131" s="662">
        <v>41547</v>
      </c>
    </row>
    <row r="132" spans="1:6" ht="17.25" customHeight="1" x14ac:dyDescent="0.35"/>
    <row r="133" spans="1:6" ht="93" x14ac:dyDescent="0.35">
      <c r="A133" s="669" t="s">
        <v>889</v>
      </c>
      <c r="B133" s="667" t="s">
        <v>859</v>
      </c>
      <c r="C133" s="668">
        <v>41598</v>
      </c>
      <c r="D133" s="6" t="s">
        <v>861</v>
      </c>
      <c r="E133" s="662">
        <v>41638</v>
      </c>
    </row>
    <row r="134" spans="1:6" ht="15.5" x14ac:dyDescent="0.35">
      <c r="E134" s="662"/>
    </row>
    <row r="135" spans="1:6" ht="15.5" x14ac:dyDescent="0.35">
      <c r="A135" s="6" t="s">
        <v>890</v>
      </c>
      <c r="B135" s="667" t="s">
        <v>859</v>
      </c>
      <c r="C135" s="668">
        <v>41610</v>
      </c>
      <c r="D135" s="6" t="s">
        <v>861</v>
      </c>
      <c r="E135" s="662">
        <v>41638</v>
      </c>
    </row>
    <row r="136" spans="1:6" ht="15.5" x14ac:dyDescent="0.35">
      <c r="E136" s="662"/>
    </row>
    <row r="137" spans="1:6" ht="93" x14ac:dyDescent="0.35">
      <c r="A137" s="669" t="s">
        <v>891</v>
      </c>
      <c r="B137" s="667" t="s">
        <v>859</v>
      </c>
      <c r="C137" s="668">
        <v>41719</v>
      </c>
      <c r="D137" s="6" t="s">
        <v>861</v>
      </c>
      <c r="E137" s="662">
        <v>41726</v>
      </c>
    </row>
    <row r="138" spans="1:6" ht="15.5" x14ac:dyDescent="0.35">
      <c r="E138" s="662"/>
    </row>
    <row r="139" spans="1:6" ht="46.5" x14ac:dyDescent="0.35">
      <c r="A139" s="669" t="s">
        <v>892</v>
      </c>
      <c r="B139" s="667" t="s">
        <v>859</v>
      </c>
      <c r="C139" s="668">
        <v>41808</v>
      </c>
      <c r="D139" s="6" t="s">
        <v>861</v>
      </c>
      <c r="E139" s="662">
        <v>41820</v>
      </c>
      <c r="F139" s="666" t="s">
        <v>893</v>
      </c>
    </row>
    <row r="140" spans="1:6" ht="15.5" x14ac:dyDescent="0.35">
      <c r="E140" s="662"/>
    </row>
    <row r="141" spans="1:6" ht="93" x14ac:dyDescent="0.35">
      <c r="A141" s="669" t="s">
        <v>894</v>
      </c>
      <c r="B141" s="667" t="s">
        <v>859</v>
      </c>
      <c r="C141" s="668">
        <v>41899</v>
      </c>
      <c r="D141" s="6" t="s">
        <v>861</v>
      </c>
      <c r="E141" s="662">
        <v>41911</v>
      </c>
      <c r="F141" s="666" t="s">
        <v>893</v>
      </c>
    </row>
    <row r="142" spans="1:6" ht="15.5" x14ac:dyDescent="0.35">
      <c r="E142" s="662"/>
    </row>
    <row r="143" spans="1:6" ht="46.5" x14ac:dyDescent="0.35">
      <c r="A143" s="669" t="s">
        <v>895</v>
      </c>
      <c r="B143" s="667" t="s">
        <v>859</v>
      </c>
      <c r="C143" s="668">
        <v>42074</v>
      </c>
      <c r="D143" s="6" t="s">
        <v>861</v>
      </c>
      <c r="E143" s="662">
        <v>42093</v>
      </c>
      <c r="F143" s="666" t="s">
        <v>893</v>
      </c>
    </row>
    <row r="144" spans="1:6" ht="15.5" x14ac:dyDescent="0.35">
      <c r="E144" s="662"/>
    </row>
    <row r="145" spans="1:6" ht="139.5" x14ac:dyDescent="0.35">
      <c r="A145" s="669" t="s">
        <v>896</v>
      </c>
      <c r="B145" s="667" t="s">
        <v>859</v>
      </c>
      <c r="C145" s="668">
        <v>42083</v>
      </c>
      <c r="D145" s="6" t="s">
        <v>861</v>
      </c>
      <c r="E145" s="662">
        <v>42093</v>
      </c>
      <c r="F145" s="666" t="s">
        <v>893</v>
      </c>
    </row>
    <row r="146" spans="1:6" ht="15.5" x14ac:dyDescent="0.35">
      <c r="E146" s="662"/>
    </row>
    <row r="147" spans="1:6" ht="62" x14ac:dyDescent="0.35">
      <c r="A147" s="669" t="s">
        <v>897</v>
      </c>
      <c r="B147" s="667" t="s">
        <v>859</v>
      </c>
      <c r="C147" s="668">
        <v>42083</v>
      </c>
      <c r="D147" s="6" t="s">
        <v>861</v>
      </c>
      <c r="E147" s="662">
        <v>42093</v>
      </c>
      <c r="F147" s="666" t="s">
        <v>893</v>
      </c>
    </row>
    <row r="148" spans="1:6" ht="15.5" x14ac:dyDescent="0.35">
      <c r="E148" s="662"/>
    </row>
    <row r="149" spans="1:6" ht="77.5" x14ac:dyDescent="0.35">
      <c r="A149" s="659" t="s">
        <v>898</v>
      </c>
      <c r="B149" s="667" t="s">
        <v>859</v>
      </c>
      <c r="C149" s="668">
        <v>42086</v>
      </c>
      <c r="D149" s="6" t="s">
        <v>861</v>
      </c>
      <c r="E149" s="662">
        <v>42093</v>
      </c>
      <c r="F149" s="666" t="s">
        <v>893</v>
      </c>
    </row>
    <row r="150" spans="1:6" ht="16.5" customHeight="1" x14ac:dyDescent="0.35">
      <c r="E150" s="662"/>
    </row>
    <row r="151" spans="1:6" ht="46.5" x14ac:dyDescent="0.35">
      <c r="A151" s="659" t="s">
        <v>899</v>
      </c>
      <c r="B151" s="667" t="s">
        <v>859</v>
      </c>
      <c r="C151" s="668">
        <v>42086</v>
      </c>
      <c r="D151" s="6" t="s">
        <v>861</v>
      </c>
      <c r="E151" s="662">
        <v>42093</v>
      </c>
      <c r="F151" s="666" t="s">
        <v>893</v>
      </c>
    </row>
    <row r="152" spans="1:6" ht="16.5" customHeight="1" x14ac:dyDescent="0.35">
      <c r="E152" s="662"/>
    </row>
    <row r="153" spans="1:6" ht="46.5" x14ac:dyDescent="0.35">
      <c r="A153" s="659" t="s">
        <v>900</v>
      </c>
      <c r="B153" s="667" t="s">
        <v>859</v>
      </c>
      <c r="C153" s="668">
        <v>42086</v>
      </c>
      <c r="D153" s="6" t="s">
        <v>861</v>
      </c>
      <c r="E153" s="662">
        <v>42093</v>
      </c>
      <c r="F153" s="666" t="s">
        <v>893</v>
      </c>
    </row>
    <row r="154" spans="1:6" ht="16.5" customHeight="1" x14ac:dyDescent="0.35">
      <c r="E154" s="662"/>
    </row>
    <row r="155" spans="1:6" ht="48.75" customHeight="1" x14ac:dyDescent="0.35">
      <c r="A155" s="659" t="s">
        <v>901</v>
      </c>
      <c r="B155" s="667" t="s">
        <v>859</v>
      </c>
      <c r="C155" s="668">
        <v>42170</v>
      </c>
      <c r="D155" s="6" t="s">
        <v>861</v>
      </c>
      <c r="E155" s="662">
        <v>42184</v>
      </c>
      <c r="F155" s="666" t="s">
        <v>902</v>
      </c>
    </row>
    <row r="156" spans="1:6" ht="16.5" customHeight="1" x14ac:dyDescent="0.35">
      <c r="E156" s="662"/>
    </row>
    <row r="157" spans="1:6" ht="46.5" x14ac:dyDescent="0.35">
      <c r="A157" s="659" t="s">
        <v>903</v>
      </c>
      <c r="B157" s="667" t="s">
        <v>859</v>
      </c>
      <c r="C157" s="668">
        <v>42170</v>
      </c>
      <c r="D157" s="6" t="s">
        <v>861</v>
      </c>
      <c r="E157" s="662">
        <v>42184</v>
      </c>
      <c r="F157" s="666" t="s">
        <v>893</v>
      </c>
    </row>
    <row r="158" spans="1:6" ht="16.5" customHeight="1" x14ac:dyDescent="0.35">
      <c r="E158" s="662"/>
    </row>
    <row r="159" spans="1:6" ht="27" customHeight="1" x14ac:dyDescent="0.35">
      <c r="A159" s="659" t="s">
        <v>904</v>
      </c>
      <c r="B159" s="667" t="s">
        <v>859</v>
      </c>
      <c r="C159" s="668">
        <v>42177</v>
      </c>
      <c r="D159" s="6" t="s">
        <v>861</v>
      </c>
      <c r="E159" s="662">
        <v>42184</v>
      </c>
      <c r="F159" s="666" t="s">
        <v>893</v>
      </c>
    </row>
    <row r="160" spans="1:6" ht="16.5" customHeight="1" x14ac:dyDescent="0.35">
      <c r="E160" s="662"/>
    </row>
    <row r="161" spans="1:6" ht="93" x14ac:dyDescent="0.35">
      <c r="A161" s="659" t="s">
        <v>905</v>
      </c>
      <c r="B161" s="667" t="s">
        <v>859</v>
      </c>
      <c r="C161" s="668">
        <v>42179</v>
      </c>
      <c r="D161" s="6" t="s">
        <v>861</v>
      </c>
      <c r="E161" s="662">
        <v>42184</v>
      </c>
      <c r="F161" s="666" t="s">
        <v>902</v>
      </c>
    </row>
    <row r="162" spans="1:6" ht="16.5" customHeight="1" x14ac:dyDescent="0.35">
      <c r="E162" s="662"/>
    </row>
    <row r="163" spans="1:6" ht="108.5" x14ac:dyDescent="0.35">
      <c r="A163" s="659" t="s">
        <v>906</v>
      </c>
      <c r="B163" s="667" t="s">
        <v>859</v>
      </c>
      <c r="C163" s="668">
        <v>42220</v>
      </c>
      <c r="D163" s="6" t="s">
        <v>861</v>
      </c>
      <c r="E163" s="662">
        <v>42276</v>
      </c>
      <c r="F163" s="666" t="s">
        <v>902</v>
      </c>
    </row>
    <row r="164" spans="1:6" ht="16.5" customHeight="1" x14ac:dyDescent="0.35">
      <c r="E164" s="662"/>
    </row>
    <row r="165" spans="1:6" ht="62" x14ac:dyDescent="0.35">
      <c r="A165" s="659" t="s">
        <v>907</v>
      </c>
      <c r="B165" s="667" t="s">
        <v>859</v>
      </c>
      <c r="C165" s="668">
        <v>42257</v>
      </c>
      <c r="D165" s="6" t="s">
        <v>861</v>
      </c>
      <c r="E165" s="662">
        <v>42276</v>
      </c>
      <c r="F165" s="666" t="s">
        <v>902</v>
      </c>
    </row>
    <row r="166" spans="1:6" ht="16.5" customHeight="1" x14ac:dyDescent="0.35">
      <c r="E166" s="662"/>
    </row>
    <row r="167" spans="1:6" ht="62" x14ac:dyDescent="0.35">
      <c r="A167" s="659" t="s">
        <v>908</v>
      </c>
      <c r="B167" s="667" t="s">
        <v>859</v>
      </c>
      <c r="C167" s="668">
        <v>42257</v>
      </c>
      <c r="D167" s="6" t="s">
        <v>861</v>
      </c>
      <c r="E167" s="662">
        <v>42276</v>
      </c>
      <c r="F167" s="666" t="s">
        <v>902</v>
      </c>
    </row>
    <row r="168" spans="1:6" ht="16.5" customHeight="1" x14ac:dyDescent="0.35">
      <c r="E168" s="662"/>
    </row>
    <row r="169" spans="1:6" ht="62" x14ac:dyDescent="0.35">
      <c r="A169" s="659" t="s">
        <v>909</v>
      </c>
      <c r="B169" s="667" t="s">
        <v>859</v>
      </c>
      <c r="C169" s="668">
        <v>42257</v>
      </c>
      <c r="D169" s="6" t="s">
        <v>861</v>
      </c>
      <c r="E169" s="662">
        <v>42276</v>
      </c>
      <c r="F169" s="666" t="s">
        <v>902</v>
      </c>
    </row>
    <row r="170" spans="1:6" ht="16.5" customHeight="1" x14ac:dyDescent="0.35">
      <c r="E170" s="662"/>
    </row>
    <row r="171" spans="1:6" ht="62" x14ac:dyDescent="0.35">
      <c r="A171" s="659" t="s">
        <v>910</v>
      </c>
      <c r="B171" s="667" t="s">
        <v>859</v>
      </c>
      <c r="C171" s="668">
        <v>42261</v>
      </c>
      <c r="D171" s="6" t="s">
        <v>861</v>
      </c>
      <c r="E171" s="662">
        <v>42276</v>
      </c>
      <c r="F171" s="666" t="s">
        <v>902</v>
      </c>
    </row>
    <row r="172" spans="1:6" ht="16.5" customHeight="1" x14ac:dyDescent="0.35">
      <c r="E172" s="662"/>
    </row>
    <row r="173" spans="1:6" ht="139.5" x14ac:dyDescent="0.35">
      <c r="A173" s="659" t="s">
        <v>911</v>
      </c>
      <c r="B173" s="667" t="s">
        <v>859</v>
      </c>
      <c r="C173" s="668">
        <v>42262</v>
      </c>
      <c r="D173" s="6" t="s">
        <v>861</v>
      </c>
      <c r="E173" s="662">
        <v>42276</v>
      </c>
      <c r="F173" s="666" t="s">
        <v>902</v>
      </c>
    </row>
    <row r="174" spans="1:6" ht="16.5" customHeight="1" x14ac:dyDescent="0.35">
      <c r="E174" s="662"/>
    </row>
    <row r="175" spans="1:6" ht="77.5" x14ac:dyDescent="0.35">
      <c r="A175" s="659" t="s">
        <v>912</v>
      </c>
      <c r="B175" s="667" t="s">
        <v>859</v>
      </c>
      <c r="C175" s="668">
        <v>42262</v>
      </c>
      <c r="D175" s="6" t="s">
        <v>861</v>
      </c>
      <c r="E175" s="662">
        <v>42276</v>
      </c>
      <c r="F175" s="666" t="s">
        <v>902</v>
      </c>
    </row>
    <row r="176" spans="1:6" ht="16.5" customHeight="1" x14ac:dyDescent="0.35">
      <c r="E176" s="662"/>
    </row>
    <row r="177" spans="1:6" ht="62" x14ac:dyDescent="0.35">
      <c r="A177" s="659" t="s">
        <v>913</v>
      </c>
      <c r="B177" s="667" t="s">
        <v>859</v>
      </c>
      <c r="C177" s="668">
        <v>42262</v>
      </c>
      <c r="D177" s="6" t="s">
        <v>861</v>
      </c>
      <c r="E177" s="662">
        <v>42276</v>
      </c>
      <c r="F177" s="666" t="s">
        <v>902</v>
      </c>
    </row>
    <row r="178" spans="1:6" ht="16.5" customHeight="1" x14ac:dyDescent="0.35">
      <c r="E178" s="662"/>
    </row>
    <row r="179" spans="1:6" ht="62" x14ac:dyDescent="0.35">
      <c r="A179" s="659" t="s">
        <v>914</v>
      </c>
      <c r="B179" s="667" t="s">
        <v>859</v>
      </c>
      <c r="C179" s="668">
        <v>42262</v>
      </c>
      <c r="D179" s="6" t="s">
        <v>861</v>
      </c>
      <c r="E179" s="662">
        <v>42276</v>
      </c>
      <c r="F179" s="666" t="s">
        <v>902</v>
      </c>
    </row>
    <row r="180" spans="1:6" ht="16.5" customHeight="1" x14ac:dyDescent="0.35">
      <c r="E180" s="662"/>
    </row>
    <row r="181" spans="1:6" ht="56.25" customHeight="1" x14ac:dyDescent="0.35">
      <c r="A181" s="659" t="s">
        <v>915</v>
      </c>
      <c r="B181" s="667" t="s">
        <v>859</v>
      </c>
      <c r="C181" s="668">
        <v>42270</v>
      </c>
      <c r="D181" s="6" t="s">
        <v>861</v>
      </c>
      <c r="E181" s="662">
        <v>42276</v>
      </c>
      <c r="F181" s="666" t="s">
        <v>902</v>
      </c>
    </row>
    <row r="182" spans="1:6" ht="16.5" customHeight="1" x14ac:dyDescent="0.35">
      <c r="E182" s="662"/>
    </row>
    <row r="183" spans="1:6" ht="62" x14ac:dyDescent="0.35">
      <c r="A183" s="659" t="s">
        <v>916</v>
      </c>
      <c r="B183" s="667" t="s">
        <v>859</v>
      </c>
      <c r="C183" s="668">
        <v>42274</v>
      </c>
      <c r="D183" s="6" t="s">
        <v>861</v>
      </c>
      <c r="E183" s="662">
        <v>42276</v>
      </c>
      <c r="F183" s="666" t="s">
        <v>902</v>
      </c>
    </row>
    <row r="184" spans="1:6" ht="16.5" customHeight="1" x14ac:dyDescent="0.35">
      <c r="E184" s="662"/>
    </row>
    <row r="185" spans="1:6" ht="62" x14ac:dyDescent="0.35">
      <c r="A185" s="659" t="s">
        <v>917</v>
      </c>
      <c r="B185" s="667" t="s">
        <v>859</v>
      </c>
      <c r="C185" s="668">
        <v>42274</v>
      </c>
      <c r="D185" s="6" t="s">
        <v>861</v>
      </c>
      <c r="E185" s="662">
        <v>42276</v>
      </c>
      <c r="F185" s="666" t="s">
        <v>902</v>
      </c>
    </row>
    <row r="186" spans="1:6" ht="16.5" customHeight="1" x14ac:dyDescent="0.35">
      <c r="E186" s="662"/>
    </row>
    <row r="187" spans="1:6" ht="62" x14ac:dyDescent="0.35">
      <c r="A187" s="659" t="s">
        <v>918</v>
      </c>
      <c r="B187" s="667" t="s">
        <v>859</v>
      </c>
      <c r="C187" s="668">
        <v>42276</v>
      </c>
      <c r="D187" s="6" t="s">
        <v>861</v>
      </c>
      <c r="E187" s="662">
        <v>42276</v>
      </c>
      <c r="F187" s="666" t="s">
        <v>902</v>
      </c>
    </row>
    <row r="188" spans="1:6" ht="16.5" customHeight="1" x14ac:dyDescent="0.35">
      <c r="E188" s="662"/>
    </row>
    <row r="189" spans="1:6" ht="62" x14ac:dyDescent="0.35">
      <c r="A189" s="659" t="s">
        <v>919</v>
      </c>
      <c r="B189" s="667" t="s">
        <v>859</v>
      </c>
      <c r="C189" s="668">
        <v>42350</v>
      </c>
      <c r="D189" s="6" t="s">
        <v>920</v>
      </c>
      <c r="E189" s="662">
        <v>42368</v>
      </c>
      <c r="F189" s="666" t="s">
        <v>902</v>
      </c>
    </row>
    <row r="190" spans="1:6" ht="16.5" customHeight="1" x14ac:dyDescent="0.35">
      <c r="E190" s="662"/>
    </row>
    <row r="191" spans="1:6" ht="93" x14ac:dyDescent="0.35">
      <c r="A191" s="659" t="s">
        <v>921</v>
      </c>
      <c r="B191" s="667" t="s">
        <v>859</v>
      </c>
      <c r="C191" s="668">
        <v>42355</v>
      </c>
      <c r="D191" s="6" t="s">
        <v>920</v>
      </c>
      <c r="E191" s="662">
        <v>42368</v>
      </c>
      <c r="F191" s="666" t="s">
        <v>902</v>
      </c>
    </row>
    <row r="192" spans="1:6" ht="16.5" customHeight="1" x14ac:dyDescent="0.35">
      <c r="E192" s="662"/>
    </row>
    <row r="193" spans="1:6" ht="201.5" x14ac:dyDescent="0.35">
      <c r="A193" s="659" t="s">
        <v>922</v>
      </c>
      <c r="B193" s="667" t="s">
        <v>859</v>
      </c>
      <c r="C193" s="668">
        <v>42438</v>
      </c>
      <c r="D193" s="667" t="s">
        <v>920</v>
      </c>
      <c r="E193" s="668">
        <v>42459</v>
      </c>
      <c r="F193" s="666" t="s">
        <v>902</v>
      </c>
    </row>
    <row r="194" spans="1:6" ht="124" x14ac:dyDescent="0.35">
      <c r="A194" s="659" t="s">
        <v>923</v>
      </c>
      <c r="B194" s="667" t="s">
        <v>859</v>
      </c>
      <c r="C194" s="668">
        <v>42438</v>
      </c>
      <c r="D194" s="667" t="s">
        <v>920</v>
      </c>
      <c r="E194" s="668">
        <v>42459</v>
      </c>
      <c r="F194" s="666" t="s">
        <v>902</v>
      </c>
    </row>
    <row r="195" spans="1:6" ht="16.5" customHeight="1" x14ac:dyDescent="0.35">
      <c r="E195" s="662"/>
    </row>
    <row r="196" spans="1:6" ht="108.5" x14ac:dyDescent="0.35">
      <c r="A196" s="659" t="s">
        <v>924</v>
      </c>
      <c r="B196" s="667" t="s">
        <v>859</v>
      </c>
      <c r="C196" s="668">
        <v>42438</v>
      </c>
      <c r="D196" s="667" t="s">
        <v>920</v>
      </c>
      <c r="E196" s="668">
        <v>42459</v>
      </c>
      <c r="F196" s="666" t="s">
        <v>902</v>
      </c>
    </row>
    <row r="197" spans="1:6" ht="16.5" customHeight="1" x14ac:dyDescent="0.35">
      <c r="E197" s="662"/>
    </row>
    <row r="198" spans="1:6" ht="62" x14ac:dyDescent="0.35">
      <c r="A198" s="659" t="s">
        <v>925</v>
      </c>
      <c r="B198" s="667" t="s">
        <v>859</v>
      </c>
      <c r="C198" s="668">
        <v>42438</v>
      </c>
      <c r="D198" s="667" t="s">
        <v>920</v>
      </c>
      <c r="E198" s="668">
        <v>42459</v>
      </c>
      <c r="F198" s="666" t="s">
        <v>902</v>
      </c>
    </row>
    <row r="200" spans="1:6" ht="62" x14ac:dyDescent="0.35">
      <c r="A200" s="659" t="s">
        <v>926</v>
      </c>
      <c r="B200" s="667" t="s">
        <v>859</v>
      </c>
      <c r="C200" s="668">
        <v>42447</v>
      </c>
      <c r="D200" s="667" t="s">
        <v>920</v>
      </c>
      <c r="E200" s="668">
        <v>42459</v>
      </c>
      <c r="F200" s="666" t="s">
        <v>902</v>
      </c>
    </row>
    <row r="202" spans="1:6" ht="62" x14ac:dyDescent="0.35">
      <c r="A202" s="659" t="s">
        <v>927</v>
      </c>
      <c r="B202" s="667" t="s">
        <v>859</v>
      </c>
      <c r="C202" s="668">
        <v>42447</v>
      </c>
      <c r="D202" s="667" t="s">
        <v>920</v>
      </c>
      <c r="E202" s="668">
        <v>42459</v>
      </c>
      <c r="F202" s="666" t="s">
        <v>902</v>
      </c>
    </row>
    <row r="204" spans="1:6" ht="62" x14ac:dyDescent="0.35">
      <c r="A204" s="659" t="s">
        <v>928</v>
      </c>
      <c r="B204" s="667" t="s">
        <v>859</v>
      </c>
      <c r="C204" s="668">
        <v>42522</v>
      </c>
      <c r="D204" s="667" t="s">
        <v>920</v>
      </c>
      <c r="E204" s="668">
        <v>42551</v>
      </c>
      <c r="F204" s="666" t="s">
        <v>902</v>
      </c>
    </row>
    <row r="206" spans="1:6" ht="62" x14ac:dyDescent="0.35">
      <c r="A206" s="659" t="s">
        <v>929</v>
      </c>
      <c r="B206" s="667" t="s">
        <v>859</v>
      </c>
      <c r="C206" s="668">
        <v>42522</v>
      </c>
      <c r="D206" s="667" t="s">
        <v>920</v>
      </c>
      <c r="E206" s="668">
        <v>42551</v>
      </c>
      <c r="F206" s="666" t="s">
        <v>902</v>
      </c>
    </row>
    <row r="208" spans="1:6" ht="62" x14ac:dyDescent="0.35">
      <c r="A208" s="659" t="s">
        <v>930</v>
      </c>
      <c r="B208" s="667" t="s">
        <v>859</v>
      </c>
      <c r="C208" s="668">
        <v>42528</v>
      </c>
      <c r="D208" s="667" t="s">
        <v>920</v>
      </c>
      <c r="E208" s="668">
        <v>42551</v>
      </c>
      <c r="F208" s="666" t="s">
        <v>902</v>
      </c>
    </row>
    <row r="210" spans="1:6" ht="62" x14ac:dyDescent="0.35">
      <c r="A210" s="659" t="s">
        <v>931</v>
      </c>
      <c r="B210" s="667" t="s">
        <v>859</v>
      </c>
      <c r="C210" s="668">
        <v>42551</v>
      </c>
      <c r="D210" s="667" t="s">
        <v>932</v>
      </c>
      <c r="E210" s="668">
        <v>42551</v>
      </c>
      <c r="F210" s="666" t="s">
        <v>933</v>
      </c>
    </row>
    <row r="212" spans="1:6" ht="62" x14ac:dyDescent="0.35">
      <c r="A212" s="659" t="s">
        <v>934</v>
      </c>
      <c r="B212" s="667" t="s">
        <v>859</v>
      </c>
      <c r="C212" s="668">
        <v>42593</v>
      </c>
      <c r="D212" s="667" t="s">
        <v>920</v>
      </c>
      <c r="E212" s="668">
        <v>42643</v>
      </c>
      <c r="F212" s="666" t="s">
        <v>933</v>
      </c>
    </row>
    <row r="214" spans="1:6" ht="62" x14ac:dyDescent="0.35">
      <c r="A214" s="659" t="s">
        <v>935</v>
      </c>
      <c r="D214" s="667" t="s">
        <v>920</v>
      </c>
      <c r="E214" s="668">
        <v>42643</v>
      </c>
      <c r="F214" s="666" t="s">
        <v>933</v>
      </c>
    </row>
    <row r="216" spans="1:6" ht="62" x14ac:dyDescent="0.35">
      <c r="A216" s="659" t="s">
        <v>936</v>
      </c>
      <c r="B216" s="667" t="s">
        <v>859</v>
      </c>
      <c r="C216" s="668">
        <v>42712</v>
      </c>
      <c r="D216" s="667" t="s">
        <v>937</v>
      </c>
      <c r="E216" s="668">
        <v>42733</v>
      </c>
      <c r="F216" s="666" t="s">
        <v>938</v>
      </c>
    </row>
    <row r="218" spans="1:6" ht="77.5" x14ac:dyDescent="0.35">
      <c r="A218" s="659" t="s">
        <v>939</v>
      </c>
      <c r="B218" s="667" t="s">
        <v>859</v>
      </c>
      <c r="C218" s="668">
        <v>42712</v>
      </c>
      <c r="D218" s="667" t="s">
        <v>937</v>
      </c>
      <c r="E218" s="668">
        <v>42733</v>
      </c>
      <c r="F218" s="6" t="s">
        <v>940</v>
      </c>
    </row>
    <row r="220" spans="1:6" ht="16.5" customHeight="1" x14ac:dyDescent="0.35">
      <c r="A220" s="659" t="s">
        <v>941</v>
      </c>
      <c r="B220" s="6" t="s">
        <v>859</v>
      </c>
      <c r="C220" s="668">
        <v>42724</v>
      </c>
      <c r="D220" s="667" t="s">
        <v>920</v>
      </c>
      <c r="E220" s="668">
        <v>42724</v>
      </c>
      <c r="F220" s="6" t="s">
        <v>942</v>
      </c>
    </row>
    <row r="222" spans="1:6" ht="108.5" x14ac:dyDescent="0.35">
      <c r="A222" s="659" t="s">
        <v>943</v>
      </c>
      <c r="B222" s="670" t="s">
        <v>859</v>
      </c>
      <c r="C222" s="668">
        <v>42641</v>
      </c>
      <c r="D222" s="667" t="s">
        <v>920</v>
      </c>
      <c r="E222" s="668">
        <v>42744</v>
      </c>
      <c r="F222" s="666" t="s">
        <v>944</v>
      </c>
    </row>
    <row r="224" spans="1:6" ht="108.5" x14ac:dyDescent="0.35">
      <c r="A224" s="659" t="s">
        <v>945</v>
      </c>
      <c r="B224" s="670" t="s">
        <v>859</v>
      </c>
      <c r="C224" s="668">
        <v>42641</v>
      </c>
      <c r="D224" s="667" t="s">
        <v>920</v>
      </c>
      <c r="E224" s="668">
        <v>42744</v>
      </c>
      <c r="F224" s="666" t="s">
        <v>944</v>
      </c>
    </row>
    <row r="226" spans="1:6" ht="77.5" x14ac:dyDescent="0.35">
      <c r="A226" s="659" t="s">
        <v>946</v>
      </c>
      <c r="B226" s="670" t="s">
        <v>859</v>
      </c>
      <c r="C226" s="668">
        <v>42741</v>
      </c>
      <c r="D226" s="667" t="s">
        <v>920</v>
      </c>
      <c r="E226" s="668">
        <v>42744</v>
      </c>
      <c r="F226" s="666" t="s">
        <v>902</v>
      </c>
    </row>
    <row r="228" spans="1:6" ht="62" x14ac:dyDescent="0.35">
      <c r="A228" s="659" t="s">
        <v>947</v>
      </c>
      <c r="B228" s="670" t="s">
        <v>859</v>
      </c>
      <c r="C228" s="668">
        <v>42741</v>
      </c>
      <c r="D228" s="667" t="s">
        <v>920</v>
      </c>
      <c r="E228" s="668">
        <v>42744</v>
      </c>
      <c r="F228" s="666" t="s">
        <v>902</v>
      </c>
    </row>
    <row r="230" spans="1:6" ht="46.5" x14ac:dyDescent="0.35">
      <c r="A230" s="659" t="s">
        <v>948</v>
      </c>
      <c r="B230" s="670" t="s">
        <v>859</v>
      </c>
      <c r="C230" s="668">
        <v>42807</v>
      </c>
      <c r="D230" s="667" t="s">
        <v>920</v>
      </c>
      <c r="E230" s="668">
        <v>42824</v>
      </c>
      <c r="F230" s="671" t="s">
        <v>893</v>
      </c>
    </row>
    <row r="232" spans="1:6" ht="62" x14ac:dyDescent="0.35">
      <c r="A232" s="659" t="s">
        <v>949</v>
      </c>
      <c r="B232" s="670" t="s">
        <v>859</v>
      </c>
      <c r="C232" s="668">
        <v>42807</v>
      </c>
      <c r="D232" s="667" t="s">
        <v>920</v>
      </c>
      <c r="E232" s="668">
        <v>42824</v>
      </c>
      <c r="F232" s="666" t="s">
        <v>902</v>
      </c>
    </row>
    <row r="234" spans="1:6" ht="62" x14ac:dyDescent="0.35">
      <c r="A234" s="659" t="s">
        <v>950</v>
      </c>
      <c r="B234" s="670" t="s">
        <v>859</v>
      </c>
      <c r="C234" s="668">
        <v>42807</v>
      </c>
      <c r="D234" s="667" t="s">
        <v>920</v>
      </c>
      <c r="E234" s="668">
        <v>42824</v>
      </c>
      <c r="F234" s="666" t="s">
        <v>902</v>
      </c>
    </row>
    <row r="236" spans="1:6" ht="62" x14ac:dyDescent="0.35">
      <c r="A236" s="659" t="s">
        <v>951</v>
      </c>
      <c r="B236" s="670" t="s">
        <v>859</v>
      </c>
      <c r="C236" s="668">
        <v>42807</v>
      </c>
      <c r="D236" s="667" t="s">
        <v>920</v>
      </c>
      <c r="E236" s="668">
        <v>42824</v>
      </c>
      <c r="F236" s="666" t="s">
        <v>902</v>
      </c>
    </row>
    <row r="238" spans="1:6" ht="93" x14ac:dyDescent="0.35">
      <c r="A238" s="659" t="s">
        <v>952</v>
      </c>
      <c r="B238" s="670" t="s">
        <v>859</v>
      </c>
      <c r="C238" s="668">
        <v>42808</v>
      </c>
      <c r="D238" s="667" t="s">
        <v>920</v>
      </c>
      <c r="E238" s="668">
        <v>42824</v>
      </c>
      <c r="F238" s="671" t="s">
        <v>893</v>
      </c>
    </row>
    <row r="240" spans="1:6" ht="62" x14ac:dyDescent="0.35">
      <c r="A240" s="659" t="s">
        <v>953</v>
      </c>
      <c r="B240" s="6" t="s">
        <v>859</v>
      </c>
      <c r="C240" s="662">
        <v>42901</v>
      </c>
      <c r="D240" s="6" t="s">
        <v>920</v>
      </c>
      <c r="E240" s="662">
        <v>42907</v>
      </c>
      <c r="F240" s="666" t="s">
        <v>902</v>
      </c>
    </row>
    <row r="241" spans="1:6" ht="46.5" x14ac:dyDescent="0.35">
      <c r="A241" s="666" t="s">
        <v>954</v>
      </c>
      <c r="B241" s="6" t="s">
        <v>920</v>
      </c>
      <c r="C241" s="662">
        <v>42907</v>
      </c>
      <c r="D241" s="6" t="s">
        <v>859</v>
      </c>
      <c r="E241" s="662">
        <v>42916</v>
      </c>
      <c r="F241" s="671" t="s">
        <v>893</v>
      </c>
    </row>
    <row r="242" spans="1:6" ht="62" x14ac:dyDescent="0.35">
      <c r="A242" s="666" t="s">
        <v>955</v>
      </c>
      <c r="B242" s="6" t="s">
        <v>920</v>
      </c>
      <c r="C242" s="662">
        <v>42913</v>
      </c>
      <c r="D242" s="6" t="s">
        <v>859</v>
      </c>
      <c r="E242" s="662">
        <v>42916</v>
      </c>
      <c r="F242" s="671" t="s">
        <v>893</v>
      </c>
    </row>
    <row r="243" spans="1:6" ht="46.5" x14ac:dyDescent="0.35">
      <c r="A243" s="666" t="s">
        <v>956</v>
      </c>
      <c r="B243" s="6" t="s">
        <v>920</v>
      </c>
      <c r="C243" s="662">
        <v>42913</v>
      </c>
      <c r="D243" s="6" t="s">
        <v>859</v>
      </c>
      <c r="E243" s="662">
        <v>42916</v>
      </c>
      <c r="F243" s="671" t="s">
        <v>893</v>
      </c>
    </row>
    <row r="244" spans="1:6" ht="46.5" x14ac:dyDescent="0.35">
      <c r="A244" s="666" t="s">
        <v>957</v>
      </c>
      <c r="B244" s="6" t="s">
        <v>920</v>
      </c>
      <c r="C244" s="662">
        <v>42913</v>
      </c>
      <c r="D244" s="6" t="s">
        <v>859</v>
      </c>
      <c r="E244" s="662">
        <v>42916</v>
      </c>
      <c r="F244" s="671" t="s">
        <v>893</v>
      </c>
    </row>
    <row r="245" spans="1:6" ht="46.5" x14ac:dyDescent="0.35">
      <c r="A245" s="666" t="s">
        <v>958</v>
      </c>
      <c r="B245" s="6" t="s">
        <v>920</v>
      </c>
      <c r="C245" s="662">
        <v>42926</v>
      </c>
      <c r="D245" s="6" t="s">
        <v>859</v>
      </c>
      <c r="E245" s="662">
        <v>42927</v>
      </c>
      <c r="F245" s="671" t="s">
        <v>893</v>
      </c>
    </row>
    <row r="246" spans="1:6" ht="15.5" x14ac:dyDescent="0.35">
      <c r="A246" s="6" t="s">
        <v>959</v>
      </c>
      <c r="B246" s="6" t="s">
        <v>920</v>
      </c>
      <c r="C246" s="662">
        <v>42984</v>
      </c>
      <c r="D246" s="6" t="s">
        <v>960</v>
      </c>
      <c r="E246" s="662">
        <v>43010</v>
      </c>
      <c r="F246" s="671" t="s">
        <v>961</v>
      </c>
    </row>
    <row r="247" spans="1:6" ht="39" customHeight="1" x14ac:dyDescent="0.35">
      <c r="A247" s="666" t="s">
        <v>962</v>
      </c>
      <c r="B247" s="6" t="s">
        <v>920</v>
      </c>
      <c r="C247" s="662">
        <v>42991</v>
      </c>
      <c r="D247" s="6" t="s">
        <v>960</v>
      </c>
      <c r="E247" s="662">
        <v>43010</v>
      </c>
      <c r="F247" s="666" t="s">
        <v>963</v>
      </c>
    </row>
    <row r="248" spans="1:6" ht="62" x14ac:dyDescent="0.35">
      <c r="A248" s="666" t="s">
        <v>964</v>
      </c>
      <c r="B248" s="6" t="s">
        <v>920</v>
      </c>
      <c r="C248" s="662">
        <v>42991</v>
      </c>
      <c r="D248" s="6" t="s">
        <v>960</v>
      </c>
      <c r="E248" s="662">
        <v>43010</v>
      </c>
      <c r="F248" s="666" t="s">
        <v>963</v>
      </c>
    </row>
    <row r="249" spans="1:6" ht="62" x14ac:dyDescent="0.35">
      <c r="A249" s="666" t="s">
        <v>965</v>
      </c>
      <c r="B249" s="6" t="s">
        <v>920</v>
      </c>
      <c r="C249" s="662">
        <v>42991</v>
      </c>
      <c r="D249" s="6" t="s">
        <v>960</v>
      </c>
      <c r="E249" s="662">
        <v>43010</v>
      </c>
      <c r="F249" s="666" t="s">
        <v>963</v>
      </c>
    </row>
    <row r="250" spans="1:6" ht="62" x14ac:dyDescent="0.35">
      <c r="A250" s="666" t="s">
        <v>966</v>
      </c>
      <c r="B250" s="6" t="s">
        <v>920</v>
      </c>
      <c r="C250" s="662">
        <v>42991</v>
      </c>
      <c r="D250" s="6" t="s">
        <v>960</v>
      </c>
      <c r="E250" s="662">
        <v>43010</v>
      </c>
      <c r="F250" s="666" t="s">
        <v>963</v>
      </c>
    </row>
    <row r="251" spans="1:6" ht="31" x14ac:dyDescent="0.35">
      <c r="A251" s="666" t="s">
        <v>967</v>
      </c>
      <c r="B251" s="6" t="s">
        <v>920</v>
      </c>
      <c r="C251" s="662">
        <v>43004</v>
      </c>
      <c r="D251" s="6" t="s">
        <v>960</v>
      </c>
      <c r="E251" s="662">
        <v>43010</v>
      </c>
      <c r="F251" s="666" t="s">
        <v>968</v>
      </c>
    </row>
    <row r="252" spans="1:6" ht="31" x14ac:dyDescent="0.35">
      <c r="A252" s="666" t="s">
        <v>969</v>
      </c>
      <c r="B252" s="6" t="s">
        <v>920</v>
      </c>
      <c r="C252" s="662">
        <v>43004</v>
      </c>
      <c r="D252" s="6" t="s">
        <v>960</v>
      </c>
      <c r="E252" s="662">
        <v>43010</v>
      </c>
      <c r="F252" s="666" t="s">
        <v>968</v>
      </c>
    </row>
    <row r="253" spans="1:6" ht="31" x14ac:dyDescent="0.35">
      <c r="A253" s="666" t="s">
        <v>970</v>
      </c>
      <c r="B253" s="6" t="s">
        <v>920</v>
      </c>
      <c r="C253" s="662">
        <v>43004</v>
      </c>
      <c r="D253" s="6" t="s">
        <v>960</v>
      </c>
      <c r="E253" s="662">
        <v>43010</v>
      </c>
      <c r="F253" s="666" t="s">
        <v>968</v>
      </c>
    </row>
    <row r="254" spans="1:6" ht="31" x14ac:dyDescent="0.35">
      <c r="A254" s="666" t="s">
        <v>971</v>
      </c>
      <c r="B254" s="6" t="s">
        <v>920</v>
      </c>
      <c r="C254" s="662">
        <v>43004</v>
      </c>
      <c r="D254" s="6" t="s">
        <v>960</v>
      </c>
      <c r="E254" s="662">
        <v>43010</v>
      </c>
      <c r="F254" s="666" t="s">
        <v>968</v>
      </c>
    </row>
    <row r="255" spans="1:6" ht="31" x14ac:dyDescent="0.35">
      <c r="A255" s="666" t="s">
        <v>972</v>
      </c>
      <c r="B255" s="6" t="s">
        <v>920</v>
      </c>
      <c r="C255" s="662">
        <v>43010</v>
      </c>
      <c r="D255" s="6" t="s">
        <v>960</v>
      </c>
      <c r="E255" s="662">
        <v>43010</v>
      </c>
      <c r="F255" s="666" t="s">
        <v>968</v>
      </c>
    </row>
    <row r="256" spans="1:6" ht="62" x14ac:dyDescent="0.35">
      <c r="A256" s="666" t="s">
        <v>973</v>
      </c>
      <c r="B256" s="6" t="s">
        <v>920</v>
      </c>
      <c r="C256" s="662">
        <v>43056</v>
      </c>
      <c r="D256" s="6" t="s">
        <v>859</v>
      </c>
      <c r="E256" s="662">
        <v>43096</v>
      </c>
      <c r="F256" s="666" t="s">
        <v>968</v>
      </c>
    </row>
    <row r="257" spans="1:6" ht="62" x14ac:dyDescent="0.35">
      <c r="A257" s="666" t="s">
        <v>974</v>
      </c>
      <c r="B257" s="6" t="s">
        <v>920</v>
      </c>
      <c r="C257" s="662">
        <v>43056</v>
      </c>
      <c r="D257" s="6" t="s">
        <v>859</v>
      </c>
      <c r="E257" s="662">
        <v>43096</v>
      </c>
      <c r="F257" s="666" t="s">
        <v>968</v>
      </c>
    </row>
    <row r="258" spans="1:6" ht="62" x14ac:dyDescent="0.35">
      <c r="A258" s="666" t="s">
        <v>975</v>
      </c>
      <c r="B258" s="6" t="s">
        <v>920</v>
      </c>
      <c r="C258" s="662">
        <v>43056</v>
      </c>
      <c r="D258" s="6" t="s">
        <v>859</v>
      </c>
      <c r="E258" s="662">
        <v>43096</v>
      </c>
      <c r="F258" s="666" t="s">
        <v>968</v>
      </c>
    </row>
    <row r="259" spans="1:6" ht="170.5" x14ac:dyDescent="0.35">
      <c r="A259" s="666" t="s">
        <v>976</v>
      </c>
      <c r="B259" s="6" t="s">
        <v>920</v>
      </c>
      <c r="C259" s="662">
        <v>43090</v>
      </c>
      <c r="D259" s="6" t="s">
        <v>859</v>
      </c>
      <c r="E259" s="662">
        <v>43096</v>
      </c>
      <c r="F259" s="666" t="s">
        <v>977</v>
      </c>
    </row>
    <row r="260" spans="1:6" ht="31" x14ac:dyDescent="0.35">
      <c r="A260" s="666" t="s">
        <v>978</v>
      </c>
      <c r="B260" s="6" t="s">
        <v>859</v>
      </c>
      <c r="C260" s="662">
        <v>43096</v>
      </c>
      <c r="D260" s="6" t="s">
        <v>979</v>
      </c>
      <c r="E260" s="662">
        <v>43096</v>
      </c>
      <c r="F260" s="666" t="s">
        <v>968</v>
      </c>
    </row>
    <row r="261" spans="1:6" ht="31" x14ac:dyDescent="0.35">
      <c r="A261" s="666" t="s">
        <v>980</v>
      </c>
      <c r="B261" s="6" t="s">
        <v>920</v>
      </c>
      <c r="C261" s="662">
        <v>43235</v>
      </c>
      <c r="D261" s="6" t="s">
        <v>859</v>
      </c>
      <c r="E261" s="662">
        <v>43278</v>
      </c>
      <c r="F261" s="666" t="s">
        <v>968</v>
      </c>
    </row>
    <row r="262" spans="1:6" ht="46.5" x14ac:dyDescent="0.35">
      <c r="A262" s="666" t="s">
        <v>981</v>
      </c>
      <c r="B262" s="6" t="s">
        <v>920</v>
      </c>
      <c r="C262" s="662">
        <v>43235</v>
      </c>
      <c r="D262" s="6" t="s">
        <v>859</v>
      </c>
      <c r="E262" s="662">
        <v>43278</v>
      </c>
      <c r="F262" s="6" t="s">
        <v>982</v>
      </c>
    </row>
    <row r="263" spans="1:6" ht="16.5" customHeight="1" x14ac:dyDescent="0.35">
      <c r="A263" s="6" t="s">
        <v>983</v>
      </c>
      <c r="B263" s="6" t="s">
        <v>920</v>
      </c>
      <c r="C263" s="662">
        <v>43235</v>
      </c>
      <c r="D263" s="6" t="s">
        <v>859</v>
      </c>
      <c r="E263" s="662">
        <v>43278</v>
      </c>
      <c r="F263" s="6" t="s">
        <v>982</v>
      </c>
    </row>
    <row r="264" spans="1:6" ht="31" x14ac:dyDescent="0.35">
      <c r="A264" s="666" t="s">
        <v>984</v>
      </c>
      <c r="B264" s="6" t="s">
        <v>920</v>
      </c>
      <c r="C264" s="662">
        <v>43235</v>
      </c>
      <c r="D264" s="6" t="s">
        <v>859</v>
      </c>
      <c r="E264" s="662">
        <v>43278</v>
      </c>
      <c r="F264" s="6" t="s">
        <v>982</v>
      </c>
    </row>
    <row r="265" spans="1:6" ht="31" x14ac:dyDescent="0.35">
      <c r="A265" s="666" t="s">
        <v>985</v>
      </c>
      <c r="B265" s="6" t="s">
        <v>920</v>
      </c>
      <c r="C265" s="662">
        <v>43235</v>
      </c>
      <c r="D265" s="6" t="s">
        <v>859</v>
      </c>
      <c r="E265" s="662">
        <v>43278</v>
      </c>
      <c r="F265" s="666" t="s">
        <v>968</v>
      </c>
    </row>
    <row r="266" spans="1:6" ht="31" x14ac:dyDescent="0.35">
      <c r="A266" s="666" t="s">
        <v>986</v>
      </c>
      <c r="B266" s="6" t="s">
        <v>920</v>
      </c>
      <c r="C266" s="662">
        <v>43235</v>
      </c>
      <c r="D266" s="6" t="s">
        <v>859</v>
      </c>
      <c r="E266" s="662">
        <v>43278</v>
      </c>
      <c r="F266" s="666" t="s">
        <v>968</v>
      </c>
    </row>
    <row r="267" spans="1:6" ht="31" x14ac:dyDescent="0.35">
      <c r="A267" s="666" t="s">
        <v>987</v>
      </c>
      <c r="B267" s="6" t="s">
        <v>920</v>
      </c>
      <c r="C267" s="662">
        <v>43263</v>
      </c>
      <c r="D267" s="6" t="s">
        <v>859</v>
      </c>
      <c r="E267" s="662">
        <v>43278</v>
      </c>
      <c r="F267" s="6" t="s">
        <v>982</v>
      </c>
    </row>
    <row r="268" spans="1:6" ht="31" x14ac:dyDescent="0.35">
      <c r="A268" s="666" t="s">
        <v>988</v>
      </c>
      <c r="B268" s="6" t="s">
        <v>920</v>
      </c>
      <c r="C268" s="662">
        <v>43263</v>
      </c>
      <c r="D268" s="6" t="s">
        <v>859</v>
      </c>
      <c r="E268" s="662">
        <v>43278</v>
      </c>
      <c r="F268" s="6" t="s">
        <v>982</v>
      </c>
    </row>
    <row r="269" spans="1:6" ht="31" x14ac:dyDescent="0.35">
      <c r="A269" s="666" t="s">
        <v>989</v>
      </c>
      <c r="B269" s="6" t="s">
        <v>920</v>
      </c>
      <c r="C269" s="662">
        <v>43264</v>
      </c>
      <c r="D269" s="6" t="s">
        <v>859</v>
      </c>
      <c r="E269" s="662">
        <v>43278</v>
      </c>
      <c r="F269" s="6" t="s">
        <v>982</v>
      </c>
    </row>
    <row r="270" spans="1:6" ht="31" x14ac:dyDescent="0.35">
      <c r="A270" s="666" t="s">
        <v>990</v>
      </c>
      <c r="B270" s="6" t="s">
        <v>920</v>
      </c>
      <c r="C270" s="662">
        <v>43264</v>
      </c>
      <c r="D270" s="6" t="s">
        <v>859</v>
      </c>
      <c r="E270" s="662">
        <v>43278</v>
      </c>
      <c r="F270" s="6" t="s">
        <v>982</v>
      </c>
    </row>
    <row r="271" spans="1:6" ht="46.5" x14ac:dyDescent="0.35">
      <c r="A271" s="666" t="s">
        <v>991</v>
      </c>
      <c r="B271" s="6" t="s">
        <v>920</v>
      </c>
      <c r="C271" s="662">
        <v>43277</v>
      </c>
      <c r="D271" s="6" t="s">
        <v>859</v>
      </c>
      <c r="E271" s="662">
        <v>43278</v>
      </c>
      <c r="F271" s="6" t="s">
        <v>982</v>
      </c>
    </row>
    <row r="272" spans="1:6" ht="62" x14ac:dyDescent="0.35">
      <c r="A272" s="666" t="s">
        <v>992</v>
      </c>
      <c r="B272" s="6" t="s">
        <v>920</v>
      </c>
      <c r="C272" s="662">
        <v>43355</v>
      </c>
      <c r="D272" s="6" t="s">
        <v>960</v>
      </c>
      <c r="E272" s="662">
        <v>43369</v>
      </c>
      <c r="F272" s="666" t="s">
        <v>993</v>
      </c>
    </row>
    <row r="273" spans="1:6" ht="62" x14ac:dyDescent="0.35">
      <c r="A273" s="666" t="s">
        <v>994</v>
      </c>
      <c r="B273" s="6" t="s">
        <v>920</v>
      </c>
      <c r="C273" s="662">
        <v>43355</v>
      </c>
      <c r="D273" s="6" t="s">
        <v>960</v>
      </c>
      <c r="E273" s="662">
        <v>43369</v>
      </c>
      <c r="F273" s="666" t="s">
        <v>995</v>
      </c>
    </row>
    <row r="274" spans="1:6" ht="77.5" x14ac:dyDescent="0.35">
      <c r="A274" s="666" t="s">
        <v>996</v>
      </c>
      <c r="B274" s="6" t="s">
        <v>920</v>
      </c>
      <c r="C274" s="662">
        <v>43368</v>
      </c>
      <c r="D274" s="6" t="s">
        <v>960</v>
      </c>
      <c r="E274" s="662">
        <v>43369</v>
      </c>
      <c r="F274" s="666" t="s">
        <v>997</v>
      </c>
    </row>
    <row r="275" spans="1:6" ht="62" x14ac:dyDescent="0.35">
      <c r="A275" s="666" t="s">
        <v>998</v>
      </c>
      <c r="B275" s="6" t="s">
        <v>920</v>
      </c>
      <c r="C275" s="662">
        <v>43528</v>
      </c>
      <c r="D275" s="6" t="s">
        <v>859</v>
      </c>
      <c r="E275" s="662">
        <v>43551</v>
      </c>
      <c r="F275" s="666" t="s">
        <v>999</v>
      </c>
    </row>
    <row r="276" spans="1:6" ht="46.5" x14ac:dyDescent="0.35">
      <c r="A276" s="666" t="s">
        <v>1000</v>
      </c>
      <c r="B276" s="6" t="s">
        <v>920</v>
      </c>
      <c r="C276" s="662">
        <v>43613</v>
      </c>
      <c r="D276" s="6" t="s">
        <v>859</v>
      </c>
      <c r="E276" s="662">
        <v>43642</v>
      </c>
      <c r="F276" s="666" t="s">
        <v>1001</v>
      </c>
    </row>
    <row r="277" spans="1:6" ht="46.5" x14ac:dyDescent="0.35">
      <c r="A277" s="666" t="s">
        <v>1002</v>
      </c>
      <c r="B277" s="6" t="s">
        <v>920</v>
      </c>
      <c r="C277" s="662">
        <v>43712</v>
      </c>
      <c r="D277" s="6" t="s">
        <v>1003</v>
      </c>
      <c r="E277" s="662">
        <v>43734</v>
      </c>
      <c r="F277" s="6" t="s">
        <v>982</v>
      </c>
    </row>
    <row r="278" spans="1:6" ht="46.5" x14ac:dyDescent="0.35">
      <c r="A278" s="666" t="s">
        <v>1004</v>
      </c>
      <c r="B278" s="6" t="s">
        <v>920</v>
      </c>
      <c r="C278" s="662">
        <v>43896</v>
      </c>
      <c r="D278" s="6" t="s">
        <v>1003</v>
      </c>
      <c r="E278" s="662">
        <v>43916</v>
      </c>
      <c r="F278" s="6" t="s">
        <v>982</v>
      </c>
    </row>
    <row r="279" spans="1:6" ht="16.5" customHeight="1" x14ac:dyDescent="0.35">
      <c r="A279" s="666"/>
      <c r="C279" s="662"/>
    </row>
    <row r="280" spans="1:6" ht="52.15" customHeight="1" x14ac:dyDescent="0.35">
      <c r="A280" s="666" t="s">
        <v>1005</v>
      </c>
      <c r="B280" s="6" t="s">
        <v>1006</v>
      </c>
      <c r="C280" s="662">
        <v>44001</v>
      </c>
      <c r="D280" s="6" t="s">
        <v>1007</v>
      </c>
      <c r="E280" s="663">
        <v>44011</v>
      </c>
      <c r="F280" s="6" t="s">
        <v>982</v>
      </c>
    </row>
    <row r="281" spans="1:6" ht="16.5" customHeight="1" x14ac:dyDescent="0.35">
      <c r="A281" s="666"/>
      <c r="C281" s="662"/>
    </row>
    <row r="282" spans="1:6" ht="40.15" customHeight="1" x14ac:dyDescent="0.35">
      <c r="A282" s="669" t="s">
        <v>1008</v>
      </c>
      <c r="B282" s="6" t="s">
        <v>1006</v>
      </c>
      <c r="C282" s="662">
        <v>44007</v>
      </c>
      <c r="D282" s="6" t="s">
        <v>1007</v>
      </c>
      <c r="E282" s="663">
        <v>44011</v>
      </c>
      <c r="F282" s="6" t="s">
        <v>982</v>
      </c>
    </row>
    <row r="283" spans="1:6" ht="16.5" customHeight="1" x14ac:dyDescent="0.35">
      <c r="A283" s="666"/>
      <c r="C283" s="662"/>
    </row>
    <row r="284" spans="1:6" ht="34.9" customHeight="1" x14ac:dyDescent="0.35">
      <c r="A284" s="666" t="s">
        <v>1009</v>
      </c>
      <c r="B284" s="6" t="s">
        <v>1006</v>
      </c>
      <c r="C284" s="662">
        <v>44007</v>
      </c>
      <c r="D284" s="6" t="s">
        <v>1007</v>
      </c>
      <c r="E284" s="663">
        <v>44011</v>
      </c>
      <c r="F284" s="6" t="s">
        <v>982</v>
      </c>
    </row>
    <row r="285" spans="1:6" ht="16.5" customHeight="1" x14ac:dyDescent="0.35">
      <c r="A285" s="666"/>
      <c r="C285" s="662"/>
    </row>
    <row r="286" spans="1:6" ht="37.15" customHeight="1" x14ac:dyDescent="0.35">
      <c r="A286" s="666" t="s">
        <v>1010</v>
      </c>
      <c r="B286" s="6" t="s">
        <v>1006</v>
      </c>
      <c r="C286" s="662">
        <v>44007</v>
      </c>
      <c r="D286" s="6" t="s">
        <v>1007</v>
      </c>
      <c r="E286" s="663">
        <v>44011</v>
      </c>
      <c r="F286" s="6" t="s">
        <v>982</v>
      </c>
    </row>
    <row r="287" spans="1:6" ht="16.5" customHeight="1" x14ac:dyDescent="0.35">
      <c r="A287" s="666"/>
      <c r="C287" s="662"/>
    </row>
    <row r="288" spans="1:6" ht="28.15" customHeight="1" x14ac:dyDescent="0.35">
      <c r="A288" s="608" t="s">
        <v>1011</v>
      </c>
      <c r="B288" s="6" t="s">
        <v>1006</v>
      </c>
      <c r="C288" s="662">
        <v>44186</v>
      </c>
      <c r="D288" s="6" t="s">
        <v>1007</v>
      </c>
      <c r="E288" s="663">
        <v>44188</v>
      </c>
      <c r="F288" s="6" t="s">
        <v>982</v>
      </c>
    </row>
    <row r="289" spans="1:6" ht="16.5" customHeight="1" x14ac:dyDescent="0.35">
      <c r="A289" s="666"/>
      <c r="C289" s="662"/>
    </row>
    <row r="290" spans="1:6" ht="55.15" customHeight="1" x14ac:dyDescent="0.35">
      <c r="A290" s="666" t="s">
        <v>1016</v>
      </c>
      <c r="B290" s="6" t="s">
        <v>1006</v>
      </c>
      <c r="C290" s="662">
        <v>44285</v>
      </c>
      <c r="D290" s="6" t="s">
        <v>1007</v>
      </c>
      <c r="E290" s="662">
        <v>44285</v>
      </c>
      <c r="F290" s="666" t="s">
        <v>1017</v>
      </c>
    </row>
    <row r="291" spans="1:6" ht="16.5" customHeight="1" x14ac:dyDescent="0.35">
      <c r="A291" s="666"/>
      <c r="C291" s="662"/>
    </row>
    <row r="292" spans="1:6" ht="53.5" customHeight="1" x14ac:dyDescent="0.35">
      <c r="A292" s="666" t="s">
        <v>1018</v>
      </c>
      <c r="B292" s="6" t="s">
        <v>1006</v>
      </c>
      <c r="C292" s="662">
        <v>44369</v>
      </c>
      <c r="D292" s="6" t="s">
        <v>1022</v>
      </c>
      <c r="E292" s="662">
        <v>44372</v>
      </c>
      <c r="F292" s="6" t="s">
        <v>982</v>
      </c>
    </row>
    <row r="293" spans="1:6" ht="16.5" customHeight="1" x14ac:dyDescent="0.35">
      <c r="A293" s="666"/>
      <c r="C293" s="662"/>
    </row>
    <row r="294" spans="1:6" ht="16.5" customHeight="1" x14ac:dyDescent="0.35">
      <c r="A294" s="666"/>
      <c r="C294" s="662"/>
    </row>
    <row r="295" spans="1:6" ht="16.5" customHeight="1" x14ac:dyDescent="0.35">
      <c r="A295" s="666"/>
      <c r="C295" s="662"/>
    </row>
    <row r="296" spans="1:6" ht="16.5" customHeight="1" x14ac:dyDescent="0.35">
      <c r="A296" s="666"/>
      <c r="C296" s="662"/>
    </row>
    <row r="297" spans="1:6" ht="16.5" customHeight="1" x14ac:dyDescent="0.35">
      <c r="A297" s="666"/>
      <c r="C297" s="662"/>
    </row>
    <row r="298" spans="1:6" ht="16.5" customHeight="1" x14ac:dyDescent="0.35">
      <c r="A298" s="666"/>
      <c r="C298" s="662"/>
    </row>
    <row r="299" spans="1:6" ht="16.5" customHeight="1" x14ac:dyDescent="0.35">
      <c r="A299" s="666"/>
      <c r="C299" s="662"/>
    </row>
    <row r="300" spans="1:6" ht="16.5" customHeight="1" x14ac:dyDescent="0.35">
      <c r="A300" s="666"/>
      <c r="C300" s="662"/>
    </row>
    <row r="301" spans="1:6" ht="16.5" customHeight="1" x14ac:dyDescent="0.35">
      <c r="A301" s="666"/>
      <c r="C301" s="662"/>
    </row>
    <row r="302" spans="1:6" ht="16.5" customHeight="1" x14ac:dyDescent="0.35">
      <c r="A302" s="666"/>
      <c r="C302" s="662"/>
    </row>
  </sheetData>
  <mergeCells count="17">
    <mergeCell ref="A87:A90"/>
    <mergeCell ref="A28:A31"/>
    <mergeCell ref="A33:A36"/>
    <mergeCell ref="A38:A41"/>
    <mergeCell ref="A43:A46"/>
    <mergeCell ref="A51:A54"/>
    <mergeCell ref="A56:A59"/>
    <mergeCell ref="A61:A64"/>
    <mergeCell ref="A67:A70"/>
    <mergeCell ref="A72:A75"/>
    <mergeCell ref="A77:A80"/>
    <mergeCell ref="A82:A85"/>
    <mergeCell ref="A92:A93"/>
    <mergeCell ref="A95:A96"/>
    <mergeCell ref="A100:A101"/>
    <mergeCell ref="A103:A104"/>
    <mergeCell ref="A106:A107"/>
  </mergeCells>
  <pageMargins left="0.25" right="0.25" top="1" bottom="1" header="0.5" footer="0.5"/>
  <pageSetup scale="62"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activeCell="B7" sqref="B7"/>
    </sheetView>
  </sheetViews>
  <sheetFormatPr defaultColWidth="8.84375" defaultRowHeight="15.5" x14ac:dyDescent="0.35"/>
  <cols>
    <col min="1" max="1" width="9" style="6" bestFit="1" customWidth="1"/>
    <col min="2" max="2" width="9.53515625" style="6" customWidth="1"/>
    <col min="3" max="3" width="10.23046875" style="6" hidden="1" customWidth="1"/>
    <col min="4" max="4" width="13.4609375" style="6" hidden="1" customWidth="1"/>
    <col min="5" max="6" width="11" style="6" hidden="1" customWidth="1"/>
    <col min="7" max="7" width="14.53515625" style="6" hidden="1" customWidth="1"/>
    <col min="8" max="8" width="11.53515625" style="6" customWidth="1"/>
    <col min="9" max="9" width="7.84375" style="6" customWidth="1"/>
    <col min="10" max="10" width="9.53515625" style="6" hidden="1" customWidth="1"/>
    <col min="11" max="12" width="10.07421875" style="6" hidden="1" customWidth="1"/>
    <col min="13" max="13" width="5.53515625" style="6" hidden="1" customWidth="1"/>
    <col min="14" max="14" width="12.84375" style="6" hidden="1" customWidth="1"/>
    <col min="15" max="15" width="8.69140625" style="6" hidden="1" customWidth="1"/>
    <col min="16" max="16" width="12.07421875" style="6" bestFit="1" customWidth="1"/>
    <col min="17" max="17" width="8.07421875" style="6" bestFit="1" customWidth="1"/>
    <col min="18" max="18" width="13.07421875" style="6" hidden="1" customWidth="1"/>
    <col min="19" max="19" width="9.53515625" style="6" hidden="1" customWidth="1"/>
    <col min="20" max="20" width="12.23046875" style="6" bestFit="1" customWidth="1"/>
    <col min="21" max="21" width="10.765625" style="6" customWidth="1"/>
    <col min="22" max="22" width="9.765625" style="6" hidden="1" customWidth="1"/>
    <col min="23" max="23" width="9.84375" style="6" hidden="1" customWidth="1"/>
    <col min="24" max="24" width="10" style="6" hidden="1" customWidth="1"/>
    <col min="25" max="25" width="8.69140625" style="6" hidden="1" customWidth="1"/>
    <col min="26" max="26" width="8.53515625" style="6" hidden="1" customWidth="1"/>
    <col min="27" max="27" width="10.23046875" style="6" hidden="1" customWidth="1"/>
    <col min="28" max="28" width="10.07421875" style="6" hidden="1" customWidth="1"/>
    <col min="29" max="29" width="5.69140625" style="6" customWidth="1"/>
    <col min="30" max="16384" width="8.84375" style="6"/>
  </cols>
  <sheetData>
    <row r="1" spans="1:28" s="337" customFormat="1" x14ac:dyDescent="0.35">
      <c r="A1" s="353">
        <v>-1</v>
      </c>
      <c r="B1" s="353">
        <v>-2</v>
      </c>
      <c r="C1" s="353">
        <v>-3</v>
      </c>
      <c r="D1" s="353">
        <v>-4</v>
      </c>
      <c r="E1" s="353">
        <v>-5</v>
      </c>
      <c r="F1" s="353">
        <v>-6</v>
      </c>
      <c r="G1" s="353">
        <v>-7</v>
      </c>
      <c r="H1" s="353">
        <v>-8</v>
      </c>
      <c r="I1" s="353">
        <v>-9</v>
      </c>
      <c r="J1" s="353">
        <v>-10</v>
      </c>
      <c r="K1" s="353">
        <v>-11</v>
      </c>
      <c r="L1" s="353">
        <v>-12</v>
      </c>
      <c r="M1" s="353">
        <v>-13</v>
      </c>
      <c r="N1" s="353">
        <v>-14</v>
      </c>
      <c r="O1" s="353">
        <v>-15</v>
      </c>
      <c r="P1" s="353">
        <v>-16</v>
      </c>
      <c r="Q1" s="353">
        <v>-17</v>
      </c>
      <c r="R1" s="353">
        <v>-18</v>
      </c>
      <c r="S1" s="353">
        <v>-19</v>
      </c>
      <c r="T1" s="353">
        <v>-20</v>
      </c>
      <c r="U1" s="353">
        <v>-21</v>
      </c>
      <c r="V1" s="353">
        <v>-22</v>
      </c>
      <c r="W1" s="353">
        <v>-23</v>
      </c>
      <c r="X1" s="353">
        <v>-24</v>
      </c>
      <c r="Y1" s="353">
        <v>-25</v>
      </c>
      <c r="Z1" s="353">
        <v>-26</v>
      </c>
      <c r="AA1" s="353">
        <v>-27</v>
      </c>
      <c r="AB1" s="353">
        <v>-28</v>
      </c>
    </row>
    <row r="3" spans="1:28" x14ac:dyDescent="0.35">
      <c r="A3" s="337"/>
      <c r="B3" s="343" t="s">
        <v>506</v>
      </c>
      <c r="C3" s="343" t="s">
        <v>506</v>
      </c>
      <c r="D3" s="343" t="s">
        <v>506</v>
      </c>
      <c r="E3" s="343" t="s">
        <v>507</v>
      </c>
      <c r="F3" s="343"/>
      <c r="G3" s="343" t="s">
        <v>508</v>
      </c>
      <c r="H3" s="343" t="s">
        <v>509</v>
      </c>
      <c r="I3" s="343" t="s">
        <v>510</v>
      </c>
      <c r="J3" s="343"/>
      <c r="K3" s="343" t="s">
        <v>511</v>
      </c>
      <c r="L3" s="341" t="s">
        <v>617</v>
      </c>
      <c r="M3" s="341"/>
      <c r="N3" s="768" t="s">
        <v>512</v>
      </c>
      <c r="O3" s="768"/>
      <c r="P3" s="768" t="s">
        <v>513</v>
      </c>
      <c r="Q3" s="768"/>
      <c r="R3" s="768" t="s">
        <v>514</v>
      </c>
      <c r="S3" s="768"/>
      <c r="T3" s="768" t="s">
        <v>515</v>
      </c>
      <c r="U3" s="768"/>
      <c r="V3" s="344" t="s">
        <v>516</v>
      </c>
      <c r="W3" s="344" t="s">
        <v>67</v>
      </c>
      <c r="X3" s="344" t="s">
        <v>517</v>
      </c>
      <c r="Y3" s="344" t="s">
        <v>518</v>
      </c>
      <c r="Z3" s="344" t="s">
        <v>519</v>
      </c>
      <c r="AA3" s="344"/>
      <c r="AB3" s="344"/>
    </row>
    <row r="4" spans="1:28" x14ac:dyDescent="0.35">
      <c r="A4" s="77" t="s">
        <v>263</v>
      </c>
      <c r="B4" s="346" t="s">
        <v>90</v>
      </c>
      <c r="C4" s="346" t="s">
        <v>520</v>
      </c>
      <c r="D4" s="346" t="s">
        <v>521</v>
      </c>
      <c r="E4" s="347" t="s">
        <v>522</v>
      </c>
      <c r="F4" s="557" t="s">
        <v>404</v>
      </c>
      <c r="G4" s="346" t="s">
        <v>523</v>
      </c>
      <c r="H4" s="346" t="s">
        <v>524</v>
      </c>
      <c r="I4" s="346" t="s">
        <v>525</v>
      </c>
      <c r="J4" s="346" t="s">
        <v>526</v>
      </c>
      <c r="K4" s="346" t="s">
        <v>527</v>
      </c>
      <c r="L4" s="345" t="s">
        <v>618</v>
      </c>
      <c r="M4" s="345"/>
      <c r="N4" s="346" t="s">
        <v>11</v>
      </c>
      <c r="O4" s="346" t="s">
        <v>528</v>
      </c>
      <c r="P4" s="346" t="s">
        <v>11</v>
      </c>
      <c r="Q4" s="346" t="s">
        <v>528</v>
      </c>
      <c r="R4" s="346" t="s">
        <v>11</v>
      </c>
      <c r="S4" s="346" t="s">
        <v>528</v>
      </c>
      <c r="T4" s="346" t="s">
        <v>11</v>
      </c>
      <c r="U4" s="346" t="s">
        <v>528</v>
      </c>
      <c r="V4" s="348" t="s">
        <v>529</v>
      </c>
      <c r="W4" s="348" t="s">
        <v>110</v>
      </c>
      <c r="X4" s="348" t="s">
        <v>530</v>
      </c>
      <c r="Y4" s="348" t="s">
        <v>529</v>
      </c>
      <c r="Z4" s="348" t="s">
        <v>531</v>
      </c>
      <c r="AA4" s="348" t="s">
        <v>532</v>
      </c>
      <c r="AB4" s="348" t="s">
        <v>30</v>
      </c>
    </row>
    <row r="5" spans="1:28" x14ac:dyDescent="0.35">
      <c r="A5" s="361">
        <f>'Input Data'!C7</f>
        <v>44593</v>
      </c>
      <c r="B5" s="691">
        <v>54563</v>
      </c>
      <c r="C5" s="690" t="s">
        <v>1014</v>
      </c>
      <c r="D5" s="690" t="s">
        <v>1014</v>
      </c>
      <c r="E5" s="690" t="s">
        <v>1014</v>
      </c>
      <c r="F5" s="690" t="s">
        <v>1014</v>
      </c>
      <c r="G5" s="690" t="s">
        <v>1014</v>
      </c>
      <c r="H5" s="495">
        <v>0</v>
      </c>
      <c r="I5" s="495">
        <v>0</v>
      </c>
      <c r="J5" s="495" t="s">
        <v>1014</v>
      </c>
      <c r="K5" s="495" t="s">
        <v>1014</v>
      </c>
      <c r="L5" s="495" t="s">
        <v>1014</v>
      </c>
      <c r="M5" s="495" t="s">
        <v>1014</v>
      </c>
      <c r="N5" s="495" t="s">
        <v>1014</v>
      </c>
      <c r="O5" s="495" t="s">
        <v>1014</v>
      </c>
      <c r="P5" s="691">
        <v>0</v>
      </c>
      <c r="Q5" s="495">
        <v>0</v>
      </c>
      <c r="R5" s="495" t="s">
        <v>1014</v>
      </c>
      <c r="S5" s="495" t="s">
        <v>1014</v>
      </c>
      <c r="T5" s="691">
        <v>153</v>
      </c>
      <c r="U5" s="495">
        <v>949.92</v>
      </c>
      <c r="V5" s="495" t="s">
        <v>1014</v>
      </c>
      <c r="W5" s="495" t="s">
        <v>1014</v>
      </c>
      <c r="X5" s="495" t="s">
        <v>1014</v>
      </c>
      <c r="Y5" s="495" t="s">
        <v>1014</v>
      </c>
      <c r="Z5" s="495" t="s">
        <v>1014</v>
      </c>
      <c r="AA5" s="495" t="s">
        <v>1014</v>
      </c>
      <c r="AB5" s="495" t="s">
        <v>1014</v>
      </c>
    </row>
    <row r="6" spans="1:28" x14ac:dyDescent="0.35">
      <c r="A6" s="361">
        <f>EOMONTH(A5,1)</f>
        <v>44651</v>
      </c>
      <c r="B6" s="691">
        <v>68709</v>
      </c>
      <c r="C6" s="690" t="s">
        <v>1014</v>
      </c>
      <c r="D6" s="690" t="s">
        <v>1014</v>
      </c>
      <c r="E6" s="690" t="s">
        <v>1014</v>
      </c>
      <c r="F6" s="690" t="s">
        <v>1014</v>
      </c>
      <c r="G6" s="690" t="s">
        <v>1014</v>
      </c>
      <c r="H6" s="495">
        <v>0</v>
      </c>
      <c r="I6" s="495">
        <v>0</v>
      </c>
      <c r="J6" s="495" t="s">
        <v>1014</v>
      </c>
      <c r="K6" s="495" t="s">
        <v>1014</v>
      </c>
      <c r="L6" s="495" t="s">
        <v>1014</v>
      </c>
      <c r="M6" s="495" t="s">
        <v>1014</v>
      </c>
      <c r="N6" s="495" t="s">
        <v>1014</v>
      </c>
      <c r="O6" s="495" t="s">
        <v>1014</v>
      </c>
      <c r="P6" s="691">
        <v>0</v>
      </c>
      <c r="Q6" s="495">
        <v>0</v>
      </c>
      <c r="R6" s="495" t="s">
        <v>1014</v>
      </c>
      <c r="S6" s="495" t="s">
        <v>1014</v>
      </c>
      <c r="T6" s="691">
        <v>2932</v>
      </c>
      <c r="U6" s="495">
        <v>15627.72</v>
      </c>
      <c r="V6" s="495" t="s">
        <v>1014</v>
      </c>
      <c r="W6" s="495" t="s">
        <v>1014</v>
      </c>
      <c r="X6" s="495" t="s">
        <v>1014</v>
      </c>
      <c r="Y6" s="495" t="s">
        <v>1014</v>
      </c>
      <c r="Z6" s="495" t="s">
        <v>1014</v>
      </c>
      <c r="AA6" s="495" t="s">
        <v>1014</v>
      </c>
      <c r="AB6" s="495" t="s">
        <v>1014</v>
      </c>
    </row>
    <row r="7" spans="1:28" x14ac:dyDescent="0.35">
      <c r="A7" s="361">
        <f>EOMONTH(A6,1)</f>
        <v>44681</v>
      </c>
      <c r="B7" s="692">
        <v>71266</v>
      </c>
      <c r="C7" s="690" t="s">
        <v>1014</v>
      </c>
      <c r="D7" s="690" t="s">
        <v>1014</v>
      </c>
      <c r="E7" s="690" t="s">
        <v>1014</v>
      </c>
      <c r="F7" s="690" t="s">
        <v>1014</v>
      </c>
      <c r="G7" s="690" t="s">
        <v>1014</v>
      </c>
      <c r="H7" s="693">
        <v>0</v>
      </c>
      <c r="I7" s="693">
        <v>0</v>
      </c>
      <c r="J7" s="693">
        <v>0</v>
      </c>
      <c r="K7" s="693">
        <v>0</v>
      </c>
      <c r="L7" s="693">
        <v>0</v>
      </c>
      <c r="M7" s="694"/>
      <c r="N7" s="495" t="s">
        <v>1014</v>
      </c>
      <c r="O7" s="495" t="s">
        <v>1014</v>
      </c>
      <c r="P7" s="692">
        <v>0</v>
      </c>
      <c r="Q7" s="693">
        <v>0</v>
      </c>
      <c r="R7" s="495" t="s">
        <v>1014</v>
      </c>
      <c r="S7" s="495" t="s">
        <v>1014</v>
      </c>
      <c r="T7" s="692">
        <v>1711</v>
      </c>
      <c r="U7" s="693">
        <v>13130.14</v>
      </c>
      <c r="V7" s="495" t="s">
        <v>1014</v>
      </c>
      <c r="W7" s="495" t="s">
        <v>1014</v>
      </c>
      <c r="X7" s="495" t="s">
        <v>1014</v>
      </c>
      <c r="Y7" s="495" t="s">
        <v>1014</v>
      </c>
      <c r="Z7" s="495" t="s">
        <v>1014</v>
      </c>
      <c r="AA7" s="495" t="s">
        <v>1014</v>
      </c>
      <c r="AB7" s="495" t="s">
        <v>1014</v>
      </c>
    </row>
    <row r="8" spans="1:28" x14ac:dyDescent="0.35">
      <c r="A8" s="43"/>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35">
      <c r="A9" s="43"/>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35">
      <c r="A10" s="43"/>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x14ac:dyDescent="0.35">
      <c r="A11" s="43"/>
    </row>
    <row r="12" spans="1:28" x14ac:dyDescent="0.35">
      <c r="A12" s="43"/>
    </row>
    <row r="13" spans="1:28" x14ac:dyDescent="0.35">
      <c r="A13" s="43"/>
    </row>
    <row r="14" spans="1:28" x14ac:dyDescent="0.35">
      <c r="A14" s="43"/>
    </row>
    <row r="15" spans="1:28" x14ac:dyDescent="0.35">
      <c r="A15" s="43"/>
    </row>
    <row r="16" spans="1:28" x14ac:dyDescent="0.35">
      <c r="A16" s="43"/>
    </row>
    <row r="17" spans="1:1" x14ac:dyDescent="0.35">
      <c r="A17" s="43"/>
    </row>
    <row r="18" spans="1:1" x14ac:dyDescent="0.35">
      <c r="A18" s="43"/>
    </row>
    <row r="19" spans="1:1" x14ac:dyDescent="0.35">
      <c r="A19" s="43"/>
    </row>
    <row r="20" spans="1:1" x14ac:dyDescent="0.35">
      <c r="A20" s="43"/>
    </row>
    <row r="21" spans="1:1" x14ac:dyDescent="0.35">
      <c r="A21" s="43"/>
    </row>
    <row r="22" spans="1:1" x14ac:dyDescent="0.35">
      <c r="A22" s="43"/>
    </row>
    <row r="23" spans="1:1" x14ac:dyDescent="0.35">
      <c r="A23" s="43"/>
    </row>
    <row r="24" spans="1:1" x14ac:dyDescent="0.35">
      <c r="A24" s="43"/>
    </row>
    <row r="25" spans="1:1" x14ac:dyDescent="0.35">
      <c r="A25" s="43"/>
    </row>
  </sheetData>
  <mergeCells count="4">
    <mergeCell ref="P3:Q3"/>
    <mergeCell ref="R3:S3"/>
    <mergeCell ref="T3:U3"/>
    <mergeCell ref="N3:O3"/>
  </mergeCells>
  <pageMargins left="0.7" right="0.7" top="0.75" bottom="0.75" header="0.3" footer="0.3"/>
  <pageSetup scale="24"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5" x14ac:dyDescent="0.35"/>
  <sheetData/>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4375" defaultRowHeight="15.5" x14ac:dyDescent="0.35"/>
  <cols>
    <col min="1" max="1" width="8.84375" style="90"/>
    <col min="2" max="2" width="10.07421875" style="90" customWidth="1"/>
    <col min="3" max="5" width="8.84375" style="90"/>
    <col min="6" max="6" width="16.07421875" style="90" customWidth="1"/>
    <col min="7" max="16384" width="8.84375" style="90"/>
  </cols>
  <sheetData>
    <row r="13" spans="2:6" ht="17.5" x14ac:dyDescent="0.35">
      <c r="B13" s="769" t="s">
        <v>5</v>
      </c>
      <c r="C13" s="769"/>
      <c r="D13" s="769"/>
      <c r="E13" s="769"/>
      <c r="F13" s="769"/>
    </row>
    <row r="14" spans="2:6" ht="17.5" x14ac:dyDescent="0.35">
      <c r="B14" s="182"/>
      <c r="C14" s="182"/>
      <c r="D14" s="182"/>
      <c r="E14" s="182"/>
      <c r="F14" s="182"/>
    </row>
    <row r="15" spans="2:6" ht="17.5" x14ac:dyDescent="0.35">
      <c r="B15" s="182"/>
      <c r="C15" s="182"/>
      <c r="D15" s="182"/>
      <c r="E15" s="182"/>
      <c r="F15" s="182"/>
    </row>
    <row r="16" spans="2:6" ht="17.5" x14ac:dyDescent="0.35">
      <c r="B16" s="182"/>
      <c r="C16" s="182"/>
      <c r="D16" s="182"/>
      <c r="E16" s="182"/>
      <c r="F16" s="182"/>
    </row>
    <row r="17" spans="2:6" ht="17.5" x14ac:dyDescent="0.35">
      <c r="B17" s="769" t="s">
        <v>358</v>
      </c>
      <c r="C17" s="769"/>
      <c r="D17" s="769"/>
      <c r="E17" s="769"/>
      <c r="F17" s="769"/>
    </row>
    <row r="18" spans="2:6" ht="17.5" x14ac:dyDescent="0.35">
      <c r="B18" s="182"/>
      <c r="C18" s="182"/>
      <c r="D18" s="182"/>
      <c r="E18" s="182"/>
      <c r="F18" s="182"/>
    </row>
    <row r="19" spans="2:6" ht="17.5" x14ac:dyDescent="0.35">
      <c r="B19" s="769" t="s">
        <v>214</v>
      </c>
      <c r="C19" s="769"/>
      <c r="D19" s="769"/>
      <c r="E19" s="769"/>
      <c r="F19" s="769"/>
    </row>
    <row r="20" spans="2:6" ht="17.5" x14ac:dyDescent="0.35">
      <c r="B20" s="182"/>
      <c r="C20" s="182"/>
      <c r="D20" s="182"/>
      <c r="E20" s="182"/>
      <c r="F20" s="182"/>
    </row>
    <row r="21" spans="2:6" ht="17.5" x14ac:dyDescent="0.35">
      <c r="B21" s="770" t="str">
        <f>'Input Data'!C12</f>
        <v>2022-00180</v>
      </c>
      <c r="C21" s="770"/>
      <c r="D21" s="770"/>
      <c r="E21" s="770"/>
      <c r="F21" s="770"/>
    </row>
    <row r="22" spans="2:6" ht="17.5" x14ac:dyDescent="0.35">
      <c r="B22" s="182"/>
      <c r="C22" s="182"/>
      <c r="D22" s="182"/>
      <c r="E22" s="182"/>
      <c r="F22" s="182"/>
    </row>
    <row r="23" spans="2:6" ht="17.5" x14ac:dyDescent="0.35">
      <c r="B23" s="182"/>
      <c r="C23" s="182"/>
      <c r="D23" s="182"/>
      <c r="E23" s="182"/>
      <c r="F23" s="182"/>
    </row>
    <row r="24" spans="2:6" ht="17.5" x14ac:dyDescent="0.35">
      <c r="B24" s="182"/>
      <c r="C24" s="182"/>
      <c r="D24" s="182"/>
      <c r="E24" s="182"/>
      <c r="F24" s="182"/>
    </row>
    <row r="25" spans="2:6" ht="17.5" x14ac:dyDescent="0.35">
      <c r="B25" s="182"/>
      <c r="C25" s="182"/>
      <c r="D25" s="182"/>
      <c r="E25" s="182"/>
      <c r="F25" s="182"/>
    </row>
    <row r="26" spans="2:6" ht="17.5" x14ac:dyDescent="0.35">
      <c r="B26" s="182"/>
      <c r="C26" s="182"/>
      <c r="D26" s="182"/>
      <c r="E26" s="182"/>
      <c r="F26" s="182"/>
    </row>
    <row r="27" spans="2:6" ht="17.5" x14ac:dyDescent="0.35">
      <c r="B27" s="769" t="s">
        <v>359</v>
      </c>
      <c r="C27" s="770"/>
      <c r="D27" s="770"/>
      <c r="E27" s="770"/>
      <c r="F27" s="770"/>
    </row>
    <row r="28" spans="2:6" ht="17.5" x14ac:dyDescent="0.35">
      <c r="B28" s="769" t="str">
        <f>CONCATENATE('Input Data'!D4," through ",'Input Data'!D5)</f>
        <v>August 1, 2022 through October 31, 2022</v>
      </c>
      <c r="C28" s="769"/>
      <c r="D28" s="769"/>
      <c r="E28" s="769"/>
      <c r="F28" s="769"/>
    </row>
    <row r="29" spans="2:6" ht="17.5" x14ac:dyDescent="0.35">
      <c r="B29" s="717"/>
      <c r="C29" s="717"/>
      <c r="D29" s="717"/>
      <c r="E29" s="717"/>
      <c r="F29" s="717"/>
    </row>
  </sheetData>
  <mergeCells count="6">
    <mergeCell ref="B28:F28"/>
    <mergeCell ref="B13:F13"/>
    <mergeCell ref="B17:F17"/>
    <mergeCell ref="B19:F19"/>
    <mergeCell ref="B21:F21"/>
    <mergeCell ref="B27:F27"/>
  </mergeCells>
  <pageMargins left="0.7" right="0.7" top="0.75" bottom="0.75" header="0.3" footer="0.3"/>
  <pageSetup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heetViews>
  <sheetFormatPr defaultColWidth="12.69140625" defaultRowHeight="15.5" x14ac:dyDescent="0.35"/>
  <cols>
    <col min="1" max="1" width="5.765625" style="711" customWidth="1"/>
    <col min="2" max="3" width="12.69140625" style="3"/>
    <col min="4" max="4" width="7.4609375" style="3" customWidth="1"/>
    <col min="5" max="5" width="5.765625" style="3" customWidth="1"/>
    <col min="6" max="6" width="16" style="3" bestFit="1" customWidth="1"/>
    <col min="7" max="7" width="16" style="3" customWidth="1"/>
    <col min="8" max="11" width="10.765625" style="3" customWidth="1"/>
    <col min="12" max="16384" width="12.69140625" style="3"/>
  </cols>
  <sheetData>
    <row r="1" spans="1:15" x14ac:dyDescent="0.35">
      <c r="B1" s="2"/>
      <c r="C1" s="2"/>
      <c r="D1" s="2"/>
      <c r="E1" s="2"/>
      <c r="F1" s="2"/>
      <c r="G1" s="2"/>
      <c r="H1" s="2"/>
      <c r="I1" s="53"/>
      <c r="J1" s="2"/>
    </row>
    <row r="2" spans="1:15" x14ac:dyDescent="0.35">
      <c r="B2" s="2"/>
      <c r="C2" s="2"/>
      <c r="D2" s="2"/>
      <c r="E2" s="2"/>
      <c r="F2" s="2"/>
      <c r="G2" s="2"/>
      <c r="H2" s="2"/>
      <c r="I2" s="53"/>
      <c r="J2" s="2"/>
      <c r="O2" s="13"/>
    </row>
    <row r="3" spans="1:15" ht="18" x14ac:dyDescent="0.4">
      <c r="A3" s="335" t="s">
        <v>5</v>
      </c>
      <c r="B3" s="225"/>
      <c r="C3" s="88"/>
      <c r="D3" s="88"/>
      <c r="E3" s="88"/>
      <c r="F3" s="88"/>
      <c r="G3" s="88"/>
      <c r="H3" s="88"/>
      <c r="I3" s="88"/>
      <c r="J3" s="132"/>
      <c r="K3" s="225"/>
    </row>
    <row r="4" spans="1:15" ht="18" x14ac:dyDescent="0.4">
      <c r="A4" s="176"/>
      <c r="C4" s="176"/>
      <c r="D4" s="176"/>
      <c r="E4" s="176"/>
      <c r="F4" s="176"/>
      <c r="G4" s="176"/>
      <c r="H4" s="176"/>
      <c r="I4" s="176"/>
      <c r="J4" s="2"/>
    </row>
    <row r="5" spans="1:15" ht="18" x14ac:dyDescent="0.4">
      <c r="A5" s="531" t="s">
        <v>6</v>
      </c>
      <c r="B5" s="225"/>
      <c r="C5" s="88"/>
      <c r="D5" s="88"/>
      <c r="E5" s="88"/>
      <c r="F5" s="88"/>
      <c r="G5" s="88"/>
      <c r="H5" s="88"/>
      <c r="I5" s="88"/>
      <c r="J5" s="132"/>
      <c r="K5" s="225"/>
    </row>
    <row r="6" spans="1:15" ht="18" x14ac:dyDescent="0.4">
      <c r="A6" s="531" t="str">
        <f>CONCATENATE("Service Rendered On and After ",'Input Data'!D4)</f>
        <v>Service Rendered On and After August 1, 2022</v>
      </c>
      <c r="B6" s="225"/>
      <c r="C6" s="88"/>
      <c r="D6" s="88"/>
      <c r="E6" s="88"/>
      <c r="F6" s="88"/>
      <c r="G6" s="88"/>
      <c r="H6" s="88"/>
      <c r="I6" s="88"/>
      <c r="J6" s="132"/>
      <c r="K6" s="225"/>
    </row>
    <row r="7" spans="1:15" ht="18" x14ac:dyDescent="0.4">
      <c r="A7" s="176"/>
      <c r="C7" s="176"/>
      <c r="D7" s="176"/>
      <c r="E7" s="176"/>
      <c r="F7" s="176"/>
      <c r="G7" s="176"/>
      <c r="H7" s="176"/>
      <c r="I7" s="176"/>
      <c r="J7" s="2"/>
    </row>
    <row r="8" spans="1:15" ht="18" x14ac:dyDescent="0.4">
      <c r="A8" s="335" t="str">
        <f>'Input Data'!C12</f>
        <v>2022-00180</v>
      </c>
      <c r="B8" s="225"/>
      <c r="C8" s="88"/>
      <c r="D8" s="88"/>
      <c r="E8" s="88"/>
      <c r="F8" s="88"/>
      <c r="G8" s="88"/>
      <c r="H8" s="88"/>
      <c r="I8" s="88"/>
      <c r="J8" s="132"/>
      <c r="K8" s="225"/>
    </row>
    <row r="9" spans="1:15" x14ac:dyDescent="0.35">
      <c r="B9" s="2"/>
      <c r="C9" s="2"/>
      <c r="D9" s="2"/>
      <c r="E9" s="2"/>
      <c r="F9" s="2"/>
      <c r="G9" s="2"/>
      <c r="H9" s="2"/>
      <c r="I9" s="2"/>
      <c r="J9" s="2"/>
    </row>
    <row r="10" spans="1:15" x14ac:dyDescent="0.35">
      <c r="B10" s="2"/>
      <c r="C10" s="2"/>
      <c r="D10" s="2"/>
      <c r="E10" s="2"/>
      <c r="F10" s="2"/>
      <c r="G10" s="2"/>
      <c r="H10" s="2"/>
      <c r="I10" s="2"/>
      <c r="J10" s="2"/>
    </row>
    <row r="11" spans="1:15" x14ac:dyDescent="0.35">
      <c r="B11" s="2"/>
      <c r="C11" s="2"/>
      <c r="D11" s="2"/>
      <c r="E11" s="2"/>
      <c r="F11" s="2"/>
      <c r="G11" s="2"/>
      <c r="H11" s="2"/>
      <c r="I11" s="2"/>
      <c r="J11" s="2"/>
    </row>
    <row r="12" spans="1:15" x14ac:dyDescent="0.35">
      <c r="A12" s="514" t="s">
        <v>321</v>
      </c>
      <c r="B12" s="504" t="s">
        <v>7</v>
      </c>
      <c r="C12" s="505"/>
      <c r="D12" s="505"/>
      <c r="E12" s="505"/>
      <c r="F12" s="505"/>
      <c r="G12" s="505"/>
      <c r="H12" s="505"/>
      <c r="I12" s="505"/>
      <c r="J12" s="505"/>
      <c r="K12" s="506"/>
    </row>
    <row r="13" spans="1:15" x14ac:dyDescent="0.35">
      <c r="A13" s="515" t="s">
        <v>322</v>
      </c>
      <c r="B13" s="507" t="s">
        <v>614</v>
      </c>
      <c r="C13" s="134"/>
      <c r="D13" s="133"/>
      <c r="E13" s="133"/>
      <c r="F13" s="133"/>
      <c r="G13" s="133"/>
      <c r="H13" s="135" t="s">
        <v>8</v>
      </c>
      <c r="I13" s="135" t="s">
        <v>528</v>
      </c>
      <c r="J13" s="512" t="s">
        <v>12</v>
      </c>
      <c r="K13" s="538" t="s">
        <v>610</v>
      </c>
    </row>
    <row r="14" spans="1:15" x14ac:dyDescent="0.35">
      <c r="A14" s="516">
        <v>1</v>
      </c>
      <c r="B14" s="508" t="s">
        <v>9</v>
      </c>
      <c r="C14" s="139"/>
      <c r="D14" s="139"/>
      <c r="E14" s="139"/>
      <c r="F14" s="139"/>
      <c r="G14" s="139"/>
      <c r="H14" s="716" t="s">
        <v>10</v>
      </c>
      <c r="I14" s="509">
        <f>'Ex A 1 of 2'!F63</f>
        <v>26761587</v>
      </c>
      <c r="J14" s="139"/>
      <c r="K14" s="483"/>
    </row>
    <row r="15" spans="1:15" x14ac:dyDescent="0.35">
      <c r="A15" s="516">
        <v>2</v>
      </c>
      <c r="B15" s="510" t="str">
        <f>CONCATENATE("Total Expected Customer Deliveries: ",'Input Data'!D4," through ",'Input Data'!D5)</f>
        <v>Total Expected Customer Deliveries: August 1, 2022 through October 31, 2022</v>
      </c>
      <c r="C15" s="139"/>
      <c r="D15" s="139"/>
      <c r="E15" s="139"/>
      <c r="F15" s="139"/>
      <c r="G15" s="139"/>
      <c r="H15" s="716" t="s">
        <v>11</v>
      </c>
      <c r="I15" s="509">
        <f>'Ex A 1 of 2'!F74</f>
        <v>3300269.0147000002</v>
      </c>
      <c r="J15" s="29"/>
      <c r="K15" s="483"/>
    </row>
    <row r="16" spans="1:15" x14ac:dyDescent="0.35">
      <c r="A16" s="515">
        <v>3</v>
      </c>
      <c r="B16" s="507" t="s">
        <v>611</v>
      </c>
      <c r="C16" s="511"/>
      <c r="D16" s="511"/>
      <c r="E16" s="511"/>
      <c r="F16" s="511"/>
      <c r="G16" s="511"/>
      <c r="H16" s="512"/>
      <c r="I16" s="513"/>
      <c r="J16" s="539">
        <f>ROUND('Ex A 1 of 2'!F77,4)</f>
        <v>8.1089000000000002</v>
      </c>
      <c r="K16" s="540">
        <f>ROUND('Ex A 1 of 2'!F77/10,5)</f>
        <v>0.81089</v>
      </c>
    </row>
    <row r="17" spans="1:13" x14ac:dyDescent="0.35">
      <c r="B17" s="2"/>
      <c r="C17" s="2"/>
      <c r="D17" s="2"/>
      <c r="E17" s="2"/>
      <c r="F17" s="2"/>
      <c r="G17" s="2"/>
      <c r="H17" s="2"/>
      <c r="I17" s="2"/>
      <c r="J17" s="2"/>
    </row>
    <row r="18" spans="1:13" x14ac:dyDescent="0.35">
      <c r="B18" s="2"/>
      <c r="C18" s="2"/>
      <c r="D18" s="2"/>
      <c r="E18" s="2"/>
      <c r="F18" s="2"/>
      <c r="G18" s="2"/>
      <c r="H18" s="2"/>
      <c r="I18" s="2"/>
      <c r="J18" s="2"/>
    </row>
    <row r="19" spans="1:13" x14ac:dyDescent="0.35">
      <c r="B19" s="2"/>
      <c r="C19" s="2"/>
      <c r="D19" s="2"/>
      <c r="E19" s="2"/>
      <c r="F19" s="2"/>
      <c r="G19" s="2"/>
      <c r="H19" s="2"/>
      <c r="I19" s="138"/>
      <c r="J19" s="2"/>
    </row>
    <row r="20" spans="1:13" x14ac:dyDescent="0.35">
      <c r="A20" s="514"/>
      <c r="B20" s="504" t="s">
        <v>13</v>
      </c>
      <c r="C20" s="505"/>
      <c r="D20" s="505"/>
      <c r="E20" s="505"/>
      <c r="F20" s="505"/>
      <c r="G20" s="505"/>
      <c r="H20" s="505"/>
      <c r="I20" s="505"/>
      <c r="J20" s="505"/>
      <c r="K20" s="506"/>
      <c r="L20" s="29"/>
    </row>
    <row r="21" spans="1:13" x14ac:dyDescent="0.35">
      <c r="A21" s="515"/>
      <c r="B21" s="507" t="s">
        <v>614</v>
      </c>
      <c r="C21" s="517"/>
      <c r="D21" s="511"/>
      <c r="E21" s="511"/>
      <c r="F21" s="511"/>
      <c r="G21" s="512" t="s">
        <v>116</v>
      </c>
      <c r="H21" s="512"/>
      <c r="I21" s="512"/>
      <c r="J21" s="512" t="s">
        <v>12</v>
      </c>
      <c r="K21" s="538" t="s">
        <v>610</v>
      </c>
    </row>
    <row r="22" spans="1:13" x14ac:dyDescent="0.35">
      <c r="A22" s="516">
        <v>4</v>
      </c>
      <c r="B22" s="522" t="s">
        <v>14</v>
      </c>
      <c r="C22" s="523"/>
      <c r="D22" s="523"/>
      <c r="E22" s="524" t="s">
        <v>195</v>
      </c>
      <c r="F22" s="525">
        <f>'Input Data'!$C$4</f>
        <v>44774</v>
      </c>
      <c r="G22" s="526" t="str">
        <f>VLOOKUP(F22,'Case Database'!$A$5:$F$200,6)</f>
        <v>2021-00458</v>
      </c>
      <c r="H22" s="526"/>
      <c r="I22" s="527"/>
      <c r="J22" s="542">
        <f>ROUND('Ex B-1 1 of 7'!D24,4)</f>
        <v>0.3614</v>
      </c>
      <c r="K22" s="543">
        <f>ROUND('Ex B-1 1 of 7'!D25,5)</f>
        <v>3.6139999999999999E-2</v>
      </c>
    </row>
    <row r="23" spans="1:13" x14ac:dyDescent="0.35">
      <c r="A23" s="516">
        <v>5</v>
      </c>
      <c r="B23" s="508" t="s">
        <v>15</v>
      </c>
      <c r="C23" s="139"/>
      <c r="D23" s="139"/>
      <c r="E23" s="528" t="s">
        <v>195</v>
      </c>
      <c r="F23" s="529">
        <f>EDATE(F22,-3)</f>
        <v>44682</v>
      </c>
      <c r="G23" s="740" t="str">
        <f>VLOOKUP(F23,'Case Database'!$A$5:$F$200,6)</f>
        <v>2021-00368</v>
      </c>
      <c r="H23" s="716"/>
      <c r="I23" s="502"/>
      <c r="J23" s="571">
        <f>VLOOKUP('Summary Sheet'!$G23,'Case Database'!$F$3:$H$205,2,FALSE)</f>
        <v>0.1132</v>
      </c>
      <c r="K23" s="612">
        <f>VLOOKUP('Summary Sheet'!$G23,'Case Database'!$F$3:$H$205,3,FALSE)</f>
        <v>1.132E-2</v>
      </c>
      <c r="M23" s="79"/>
    </row>
    <row r="24" spans="1:13" x14ac:dyDescent="0.35">
      <c r="A24" s="516">
        <v>6</v>
      </c>
      <c r="B24" s="508" t="s">
        <v>16</v>
      </c>
      <c r="C24" s="139"/>
      <c r="D24" s="139"/>
      <c r="E24" s="528" t="s">
        <v>195</v>
      </c>
      <c r="F24" s="529">
        <f>EDATE(F23,-3)</f>
        <v>44593</v>
      </c>
      <c r="G24" s="716" t="str">
        <f>VLOOKUP(F24,'Case Database'!$A$5:$F$200,6)</f>
        <v>2021-00251</v>
      </c>
      <c r="H24" s="716"/>
      <c r="I24" s="502"/>
      <c r="J24" s="571">
        <f>VLOOKUP('Summary Sheet'!$G24,'Case Database'!$F$3:$H$205,2,FALSE)</f>
        <v>8.4900000000000003E-2</v>
      </c>
      <c r="K24" s="612">
        <f>VLOOKUP('Summary Sheet'!$G24,'Case Database'!$F$3:$H$205,3,FALSE)</f>
        <v>8.4899999999999993E-3</v>
      </c>
    </row>
    <row r="25" spans="1:13" x14ac:dyDescent="0.35">
      <c r="A25" s="516">
        <v>7</v>
      </c>
      <c r="B25" s="508" t="s">
        <v>17</v>
      </c>
      <c r="C25" s="139"/>
      <c r="D25" s="139"/>
      <c r="E25" s="528" t="s">
        <v>195</v>
      </c>
      <c r="F25" s="529">
        <f>EDATE(F24,-3)</f>
        <v>44501</v>
      </c>
      <c r="G25" s="716" t="str">
        <f>VLOOKUP(F25,'Case Database'!$A$5:$F$200,6)</f>
        <v>2021-00130</v>
      </c>
      <c r="H25" s="716"/>
      <c r="I25" s="502"/>
      <c r="J25" s="572">
        <f>VLOOKUP('Summary Sheet'!$G25,'Case Database'!$F$3:$H$205,2,FALSE)</f>
        <v>7.3999999999999996E-2</v>
      </c>
      <c r="K25" s="613">
        <f>VLOOKUP('Summary Sheet'!$G25,'Case Database'!$F$3:$H$205,3,FALSE)</f>
        <v>7.4000000000000003E-3</v>
      </c>
    </row>
    <row r="26" spans="1:13" x14ac:dyDescent="0.35">
      <c r="A26" s="515">
        <v>8</v>
      </c>
      <c r="B26" s="507" t="s">
        <v>18</v>
      </c>
      <c r="C26" s="511"/>
      <c r="D26" s="511"/>
      <c r="E26" s="511"/>
      <c r="F26" s="511"/>
      <c r="G26" s="511"/>
      <c r="H26" s="512"/>
      <c r="I26" s="530"/>
      <c r="J26" s="544">
        <f>SUM(J22:J25)</f>
        <v>0.63349999999999995</v>
      </c>
      <c r="K26" s="614">
        <f>SUM(K22:K25)</f>
        <v>6.3350000000000004E-2</v>
      </c>
    </row>
    <row r="27" spans="1:13" x14ac:dyDescent="0.35">
      <c r="B27" s="2"/>
      <c r="C27" s="2"/>
      <c r="D27" s="2"/>
      <c r="E27" s="2"/>
      <c r="F27" s="2"/>
      <c r="G27" s="2"/>
      <c r="H27" s="2"/>
      <c r="I27" s="2"/>
      <c r="J27" s="2"/>
    </row>
    <row r="28" spans="1:13" x14ac:dyDescent="0.35">
      <c r="B28" s="2"/>
      <c r="C28" s="2"/>
      <c r="D28" s="2"/>
      <c r="E28" s="2"/>
      <c r="F28" s="2"/>
      <c r="G28" s="2"/>
      <c r="H28" s="2"/>
      <c r="I28" s="2"/>
      <c r="J28" s="2"/>
    </row>
    <row r="29" spans="1:13" x14ac:dyDescent="0.35">
      <c r="B29" s="2"/>
      <c r="C29" s="2"/>
      <c r="D29" s="2"/>
      <c r="E29" s="2"/>
      <c r="F29" s="2"/>
      <c r="G29" s="2"/>
      <c r="H29" s="2"/>
      <c r="I29" s="2"/>
      <c r="J29" s="2"/>
    </row>
    <row r="30" spans="1:13" x14ac:dyDescent="0.35">
      <c r="A30" s="514"/>
      <c r="B30" s="504" t="s">
        <v>19</v>
      </c>
      <c r="C30" s="505"/>
      <c r="D30" s="505"/>
      <c r="E30" s="505"/>
      <c r="F30" s="505"/>
      <c r="G30" s="505"/>
      <c r="H30" s="505"/>
      <c r="I30" s="505"/>
      <c r="J30" s="505"/>
      <c r="K30" s="506"/>
    </row>
    <row r="31" spans="1:13" x14ac:dyDescent="0.35">
      <c r="A31" s="516"/>
      <c r="B31" s="507" t="s">
        <v>614</v>
      </c>
      <c r="C31" s="500"/>
      <c r="D31" s="501"/>
      <c r="E31" s="501"/>
      <c r="F31" s="501"/>
      <c r="G31" s="501"/>
      <c r="H31" s="137"/>
      <c r="I31" s="137"/>
      <c r="J31" s="137" t="s">
        <v>12</v>
      </c>
      <c r="K31" s="541" t="s">
        <v>610</v>
      </c>
    </row>
    <row r="32" spans="1:13" x14ac:dyDescent="0.35">
      <c r="A32" s="92">
        <v>9</v>
      </c>
      <c r="B32" s="518" t="s">
        <v>612</v>
      </c>
      <c r="C32" s="519"/>
      <c r="D32" s="519"/>
      <c r="E32" s="519"/>
      <c r="F32" s="519"/>
      <c r="G32" s="519"/>
      <c r="H32" s="520"/>
      <c r="I32" s="521"/>
      <c r="J32" s="545">
        <f>ROUND('Ex C-1 1 of 3'!D17,4)</f>
        <v>1.1999999999999999E-3</v>
      </c>
      <c r="K32" s="546">
        <f>ROUND('Ex C-1 1 of 3'!D19,5)</f>
        <v>1.2E-4</v>
      </c>
    </row>
    <row r="33" spans="1:11" x14ac:dyDescent="0.35">
      <c r="B33" s="2"/>
      <c r="C33" s="2"/>
      <c r="D33" s="2"/>
      <c r="E33" s="2"/>
      <c r="F33" s="2"/>
      <c r="G33" s="2"/>
      <c r="H33" s="2"/>
      <c r="I33" s="2"/>
      <c r="J33" s="2"/>
    </row>
    <row r="34" spans="1:11" x14ac:dyDescent="0.35">
      <c r="B34" s="2"/>
      <c r="C34" s="2"/>
      <c r="D34" s="2"/>
      <c r="E34" s="2"/>
      <c r="F34" s="2"/>
      <c r="G34" s="2"/>
      <c r="H34" s="2"/>
      <c r="I34" s="2"/>
      <c r="J34" s="2"/>
    </row>
    <row r="35" spans="1:11" x14ac:dyDescent="0.35">
      <c r="B35" s="2"/>
      <c r="C35" s="2"/>
      <c r="D35" s="2"/>
      <c r="E35" s="2"/>
      <c r="F35" s="2"/>
      <c r="G35" s="2"/>
      <c r="H35" s="2"/>
      <c r="I35" s="2"/>
      <c r="J35" s="2"/>
    </row>
    <row r="36" spans="1:11" x14ac:dyDescent="0.35">
      <c r="A36" s="514"/>
      <c r="B36" s="504" t="s">
        <v>20</v>
      </c>
      <c r="C36" s="505"/>
      <c r="D36" s="505"/>
      <c r="E36" s="505"/>
      <c r="F36" s="505"/>
      <c r="G36" s="505"/>
      <c r="H36" s="505"/>
      <c r="I36" s="505"/>
      <c r="J36" s="505"/>
      <c r="K36" s="506"/>
    </row>
    <row r="37" spans="1:11" x14ac:dyDescent="0.35">
      <c r="A37" s="515"/>
      <c r="B37" s="507" t="s">
        <v>614</v>
      </c>
      <c r="C37" s="517"/>
      <c r="D37" s="511"/>
      <c r="E37" s="511"/>
      <c r="F37" s="511"/>
      <c r="G37" s="511"/>
      <c r="H37" s="512"/>
      <c r="I37" s="512"/>
      <c r="J37" s="512" t="s">
        <v>12</v>
      </c>
      <c r="K37" s="541" t="s">
        <v>610</v>
      </c>
    </row>
    <row r="38" spans="1:11" x14ac:dyDescent="0.35">
      <c r="A38" s="516">
        <v>10</v>
      </c>
      <c r="B38" s="522" t="s">
        <v>222</v>
      </c>
      <c r="C38" s="523"/>
      <c r="D38" s="523"/>
      <c r="E38" s="524" t="s">
        <v>195</v>
      </c>
      <c r="F38" s="525">
        <f>+F22</f>
        <v>44774</v>
      </c>
      <c r="G38" s="523"/>
      <c r="H38" s="526"/>
      <c r="I38" s="532"/>
      <c r="J38" s="547">
        <f>ROUND('Ex D-1 1 of 2'!H12,4)</f>
        <v>0</v>
      </c>
      <c r="K38" s="548">
        <f>ROUND('Ex D-1 1 of 2'!I12,5)</f>
        <v>0</v>
      </c>
    </row>
    <row r="39" spans="1:11" x14ac:dyDescent="0.35">
      <c r="A39" s="516">
        <v>11</v>
      </c>
      <c r="B39" s="508" t="s">
        <v>223</v>
      </c>
      <c r="C39" s="139"/>
      <c r="D39" s="139"/>
      <c r="E39" s="528" t="s">
        <v>195</v>
      </c>
      <c r="F39" s="529">
        <f>+F23</f>
        <v>44682</v>
      </c>
      <c r="G39" s="139"/>
      <c r="H39" s="716"/>
      <c r="I39" s="29"/>
      <c r="J39" s="549">
        <f>ROUND('Ex D-1 1 of 2'!H13,4)</f>
        <v>0</v>
      </c>
      <c r="K39" s="550">
        <f>ROUND('Ex D-1 1 of 2'!I13,5)</f>
        <v>0</v>
      </c>
    </row>
    <row r="40" spans="1:11" x14ac:dyDescent="0.35">
      <c r="A40" s="516">
        <v>12</v>
      </c>
      <c r="B40" s="508" t="s">
        <v>229</v>
      </c>
      <c r="C40" s="139"/>
      <c r="D40" s="139"/>
      <c r="E40" s="528" t="s">
        <v>195</v>
      </c>
      <c r="F40" s="529">
        <f>+F24</f>
        <v>44593</v>
      </c>
      <c r="G40" s="139"/>
      <c r="H40" s="716"/>
      <c r="I40" s="29"/>
      <c r="J40" s="549">
        <f>ROUND('Ex D-1 1 of 2'!H14,4)</f>
        <v>0</v>
      </c>
      <c r="K40" s="550">
        <f>ROUND('Ex D-1 1 of 2'!I14,5)</f>
        <v>0</v>
      </c>
    </row>
    <row r="41" spans="1:11" x14ac:dyDescent="0.35">
      <c r="A41" s="516">
        <v>13</v>
      </c>
      <c r="B41" s="508" t="s">
        <v>231</v>
      </c>
      <c r="C41" s="139"/>
      <c r="D41" s="139"/>
      <c r="E41" s="528" t="s">
        <v>195</v>
      </c>
      <c r="F41" s="529">
        <f>+F25</f>
        <v>44501</v>
      </c>
      <c r="G41" s="139"/>
      <c r="H41" s="716"/>
      <c r="I41" s="29"/>
      <c r="J41" s="551">
        <f>ROUND('Ex D-1 1 of 2'!H15,4)</f>
        <v>0</v>
      </c>
      <c r="K41" s="552">
        <f>ROUND('Ex D-1 1 of 2'!I15,5)</f>
        <v>0</v>
      </c>
    </row>
    <row r="42" spans="1:11" x14ac:dyDescent="0.35">
      <c r="A42" s="515">
        <v>14</v>
      </c>
      <c r="B42" s="507" t="s">
        <v>21</v>
      </c>
      <c r="C42" s="511"/>
      <c r="D42" s="511"/>
      <c r="E42" s="511"/>
      <c r="F42" s="511"/>
      <c r="G42" s="511"/>
      <c r="H42" s="512"/>
      <c r="I42" s="513"/>
      <c r="J42" s="551">
        <f>SUM(J38:J41)</f>
        <v>0</v>
      </c>
      <c r="K42" s="552">
        <f>SUM(K38:K41)</f>
        <v>0</v>
      </c>
    </row>
    <row r="43" spans="1:11" x14ac:dyDescent="0.35">
      <c r="B43" s="2"/>
      <c r="C43" s="2"/>
      <c r="D43" s="2"/>
      <c r="E43" s="2"/>
      <c r="F43" s="2"/>
      <c r="G43" s="2"/>
      <c r="H43" s="2"/>
      <c r="I43" s="2"/>
      <c r="J43" s="2"/>
    </row>
    <row r="44" spans="1:11" x14ac:dyDescent="0.35">
      <c r="B44" s="2"/>
      <c r="C44" s="2"/>
      <c r="D44" s="2"/>
      <c r="E44" s="2"/>
      <c r="F44" s="2"/>
      <c r="G44" s="2"/>
      <c r="H44" s="2"/>
      <c r="I44" s="2"/>
      <c r="J44" s="2"/>
    </row>
    <row r="45" spans="1:11" x14ac:dyDescent="0.35">
      <c r="B45" s="2"/>
      <c r="C45" s="2"/>
      <c r="D45" s="2"/>
      <c r="E45" s="2"/>
      <c r="F45" s="2"/>
      <c r="G45" s="2"/>
      <c r="H45" s="2"/>
      <c r="I45" s="2"/>
      <c r="J45" s="2"/>
    </row>
    <row r="46" spans="1:11" x14ac:dyDescent="0.35">
      <c r="A46" s="514"/>
      <c r="B46" s="504" t="s">
        <v>22</v>
      </c>
      <c r="C46" s="505"/>
      <c r="D46" s="505"/>
      <c r="E46" s="505"/>
      <c r="F46" s="505"/>
      <c r="G46" s="505"/>
      <c r="H46" s="505"/>
      <c r="I46" s="505"/>
      <c r="J46" s="505"/>
      <c r="K46" s="506"/>
    </row>
    <row r="47" spans="1:11" x14ac:dyDescent="0.35">
      <c r="A47" s="515"/>
      <c r="B47" s="507" t="s">
        <v>614</v>
      </c>
      <c r="C47" s="517"/>
      <c r="D47" s="511"/>
      <c r="E47" s="511"/>
      <c r="F47" s="511"/>
      <c r="G47" s="511"/>
      <c r="H47" s="512"/>
      <c r="I47" s="512"/>
      <c r="J47" s="512" t="s">
        <v>12</v>
      </c>
      <c r="K47" s="541" t="s">
        <v>610</v>
      </c>
    </row>
    <row r="48" spans="1:11" x14ac:dyDescent="0.35">
      <c r="A48" s="515">
        <v>15</v>
      </c>
      <c r="B48" s="518" t="s">
        <v>615</v>
      </c>
      <c r="C48" s="519"/>
      <c r="D48" s="533"/>
      <c r="E48" s="519"/>
      <c r="F48" s="519"/>
      <c r="G48" s="519"/>
      <c r="H48" s="520"/>
      <c r="I48" s="534"/>
      <c r="J48" s="519">
        <f>ROUND('Ex E-1 1 of 1'!C21+'Ex E-1 1 of 1'!D21,4)</f>
        <v>0.15809999999999999</v>
      </c>
      <c r="K48" s="704">
        <f>ROUND('Ex E-1 1 of 1'!C23+'Ex E-1 1 of 1'!D23,5)</f>
        <v>1.5810000000000001E-2</v>
      </c>
    </row>
    <row r="49" spans="1:13" x14ac:dyDescent="0.35">
      <c r="B49" s="2"/>
      <c r="C49" s="2"/>
      <c r="D49" s="2"/>
      <c r="E49" s="2"/>
      <c r="F49" s="2"/>
      <c r="G49" s="2"/>
      <c r="H49" s="2"/>
      <c r="I49" s="2"/>
      <c r="J49" s="2"/>
    </row>
    <row r="50" spans="1:13" x14ac:dyDescent="0.35">
      <c r="B50" s="2"/>
      <c r="C50" s="2"/>
      <c r="D50" s="2"/>
      <c r="E50" s="2"/>
      <c r="F50" s="2"/>
      <c r="G50" s="2"/>
      <c r="H50" s="2"/>
      <c r="I50" s="2"/>
      <c r="J50" s="2"/>
    </row>
    <row r="51" spans="1:13" x14ac:dyDescent="0.35">
      <c r="B51" s="2"/>
      <c r="C51" s="2"/>
      <c r="D51" s="2"/>
      <c r="E51" s="2"/>
      <c r="F51" s="2"/>
      <c r="G51" s="2"/>
      <c r="H51" s="2"/>
      <c r="I51" s="2"/>
      <c r="J51" s="2"/>
    </row>
    <row r="52" spans="1:13" x14ac:dyDescent="0.35">
      <c r="A52" s="514"/>
      <c r="B52" s="504" t="str">
        <f>CONCATENATE("Gas Supply Cost Component  (GSCC)  Effective ",'Input Data'!D4)</f>
        <v>Gas Supply Cost Component  (GSCC)  Effective August 1, 2022</v>
      </c>
      <c r="C52" s="505"/>
      <c r="D52" s="505"/>
      <c r="E52" s="505"/>
      <c r="F52" s="505"/>
      <c r="G52" s="505"/>
      <c r="H52" s="505"/>
      <c r="I52" s="505"/>
      <c r="J52" s="505"/>
      <c r="K52" s="506"/>
    </row>
    <row r="53" spans="1:13" x14ac:dyDescent="0.35">
      <c r="A53" s="515"/>
      <c r="B53" s="507" t="s">
        <v>614</v>
      </c>
      <c r="C53" s="500"/>
      <c r="D53" s="501"/>
      <c r="E53" s="501"/>
      <c r="F53" s="501"/>
      <c r="G53" s="501"/>
      <c r="H53" s="137"/>
      <c r="I53" s="137"/>
      <c r="J53" s="137" t="s">
        <v>12</v>
      </c>
      <c r="K53" s="541" t="s">
        <v>610</v>
      </c>
    </row>
    <row r="54" spans="1:13" x14ac:dyDescent="0.35">
      <c r="A54" s="516">
        <v>16</v>
      </c>
      <c r="B54" s="522" t="s">
        <v>23</v>
      </c>
      <c r="C54" s="523"/>
      <c r="D54" s="523"/>
      <c r="E54" s="523"/>
      <c r="F54" s="523"/>
      <c r="G54" s="523"/>
      <c r="H54" s="526"/>
      <c r="I54" s="535"/>
      <c r="J54" s="547">
        <f>J16</f>
        <v>8.1089000000000002</v>
      </c>
      <c r="K54" s="548">
        <f>K16</f>
        <v>0.81089</v>
      </c>
    </row>
    <row r="55" spans="1:13" x14ac:dyDescent="0.35">
      <c r="A55" s="516">
        <v>17</v>
      </c>
      <c r="B55" s="508" t="s">
        <v>24</v>
      </c>
      <c r="C55" s="139"/>
      <c r="D55" s="139"/>
      <c r="E55" s="139"/>
      <c r="F55" s="139"/>
      <c r="G55" s="139"/>
      <c r="H55" s="716"/>
      <c r="I55" s="249"/>
      <c r="J55" s="549">
        <f>J26</f>
        <v>0.63349999999999995</v>
      </c>
      <c r="K55" s="550">
        <f>K26</f>
        <v>6.3350000000000004E-2</v>
      </c>
    </row>
    <row r="56" spans="1:13" x14ac:dyDescent="0.35">
      <c r="A56" s="516">
        <v>18</v>
      </c>
      <c r="B56" s="508" t="s">
        <v>25</v>
      </c>
      <c r="C56" s="139"/>
      <c r="D56" s="139"/>
      <c r="E56" s="139"/>
      <c r="F56" s="139"/>
      <c r="G56" s="139"/>
      <c r="H56" s="716"/>
      <c r="I56" s="249"/>
      <c r="J56" s="549">
        <f>J32</f>
        <v>1.1999999999999999E-3</v>
      </c>
      <c r="K56" s="550">
        <f>K32</f>
        <v>1.2E-4</v>
      </c>
    </row>
    <row r="57" spans="1:13" x14ac:dyDescent="0.35">
      <c r="A57" s="516">
        <v>19</v>
      </c>
      <c r="B57" s="508" t="s">
        <v>26</v>
      </c>
      <c r="C57" s="139"/>
      <c r="D57" s="139"/>
      <c r="E57" s="139"/>
      <c r="F57" s="139"/>
      <c r="G57" s="139"/>
      <c r="H57" s="716"/>
      <c r="I57" s="249"/>
      <c r="J57" s="549">
        <f>J42</f>
        <v>0</v>
      </c>
      <c r="K57" s="550">
        <f>K42</f>
        <v>0</v>
      </c>
    </row>
    <row r="58" spans="1:13" x14ac:dyDescent="0.35">
      <c r="A58" s="516">
        <v>20</v>
      </c>
      <c r="B58" s="508" t="s">
        <v>27</v>
      </c>
      <c r="C58" s="139"/>
      <c r="D58" s="139"/>
      <c r="E58" s="139"/>
      <c r="F58" s="139"/>
      <c r="G58" s="139"/>
      <c r="H58" s="716"/>
      <c r="I58" s="249"/>
      <c r="J58" s="553">
        <f>J48</f>
        <v>0.15809999999999999</v>
      </c>
      <c r="K58" s="552">
        <f>K48</f>
        <v>1.5810000000000001E-2</v>
      </c>
    </row>
    <row r="59" spans="1:13" x14ac:dyDescent="0.35">
      <c r="A59" s="515">
        <v>21</v>
      </c>
      <c r="B59" s="536" t="s">
        <v>28</v>
      </c>
      <c r="C59" s="501"/>
      <c r="D59" s="501"/>
      <c r="E59" s="501"/>
      <c r="F59" s="501"/>
      <c r="G59" s="501"/>
      <c r="H59" s="137"/>
      <c r="I59" s="537"/>
      <c r="J59" s="545">
        <f>SUM(J54:J58)</f>
        <v>8.9016999999999999</v>
      </c>
      <c r="K59" s="546">
        <f>SUM(K54:K58)</f>
        <v>0.89017000000000002</v>
      </c>
      <c r="L59" s="31"/>
      <c r="M59" s="15"/>
    </row>
    <row r="60" spans="1:13" x14ac:dyDescent="0.35">
      <c r="B60" s="2"/>
      <c r="C60" s="2"/>
      <c r="D60" s="2"/>
      <c r="E60" s="2"/>
      <c r="F60" s="2"/>
      <c r="G60" s="2"/>
      <c r="H60" s="2"/>
      <c r="I60" s="2" t="s">
        <v>386</v>
      </c>
      <c r="J60" s="89"/>
      <c r="K60" s="250"/>
    </row>
    <row r="61" spans="1:13" x14ac:dyDescent="0.35">
      <c r="B61" s="2"/>
      <c r="C61" s="2"/>
      <c r="D61" s="2"/>
      <c r="E61" s="2"/>
      <c r="F61" s="2"/>
      <c r="G61" s="2"/>
      <c r="H61" s="2"/>
      <c r="I61" s="2"/>
      <c r="J61" s="2"/>
    </row>
    <row r="62" spans="1:13" x14ac:dyDescent="0.35">
      <c r="B62" s="2"/>
      <c r="C62" s="2"/>
      <c r="D62" s="2"/>
      <c r="E62" s="2"/>
      <c r="F62" s="2"/>
      <c r="G62" s="2"/>
      <c r="H62" s="2"/>
      <c r="I62" s="2"/>
      <c r="J62" s="2"/>
    </row>
    <row r="63" spans="1:13" x14ac:dyDescent="0.35">
      <c r="B63" s="2"/>
      <c r="C63" s="2"/>
      <c r="D63" s="2"/>
      <c r="E63" s="2"/>
      <c r="F63" s="2"/>
      <c r="G63" s="2"/>
      <c r="H63" s="2"/>
      <c r="I63" s="2"/>
      <c r="J63" s="2"/>
    </row>
    <row r="64" spans="1:13" x14ac:dyDescent="0.35">
      <c r="B64" s="2"/>
      <c r="C64" s="2"/>
      <c r="D64" s="2"/>
      <c r="E64" s="2"/>
      <c r="F64" s="2"/>
      <c r="G64" s="2"/>
      <c r="H64" s="2"/>
      <c r="I64" s="2"/>
      <c r="J64" s="2"/>
    </row>
    <row r="65" spans="2:10" x14ac:dyDescent="0.35">
      <c r="B65" s="2"/>
      <c r="C65" s="2"/>
      <c r="D65" s="2"/>
      <c r="E65" s="2"/>
      <c r="F65" s="2"/>
      <c r="G65" s="2"/>
      <c r="H65" s="2"/>
      <c r="I65" s="2"/>
      <c r="J65" s="2"/>
    </row>
    <row r="66" spans="2:10" x14ac:dyDescent="0.35">
      <c r="B66" s="2"/>
      <c r="C66" s="2"/>
      <c r="D66" s="2"/>
      <c r="E66" s="2"/>
      <c r="F66" s="2"/>
      <c r="G66" s="2"/>
      <c r="H66" s="2"/>
      <c r="I66" s="2"/>
      <c r="J66" s="2"/>
    </row>
    <row r="67" spans="2:10" x14ac:dyDescent="0.35">
      <c r="B67" s="2"/>
      <c r="C67" s="2"/>
      <c r="D67" s="2"/>
      <c r="E67" s="2"/>
      <c r="F67" s="2"/>
      <c r="G67" s="2"/>
      <c r="H67" s="2"/>
      <c r="I67" s="2"/>
      <c r="J67" s="2"/>
    </row>
    <row r="68" spans="2:10" x14ac:dyDescent="0.35">
      <c r="B68" s="2"/>
      <c r="C68" s="2"/>
      <c r="D68" s="2"/>
      <c r="E68" s="2"/>
      <c r="F68" s="2"/>
      <c r="G68" s="2"/>
      <c r="H68" s="2"/>
      <c r="I68" s="2"/>
      <c r="J68" s="2"/>
    </row>
    <row r="69" spans="2:10" x14ac:dyDescent="0.35">
      <c r="B69" s="2"/>
      <c r="C69" s="2"/>
      <c r="D69" s="2"/>
      <c r="E69" s="2"/>
      <c r="F69" s="2"/>
      <c r="G69" s="2"/>
      <c r="H69" s="2"/>
      <c r="I69" s="2"/>
      <c r="J69" s="2"/>
    </row>
    <row r="70" spans="2:10" x14ac:dyDescent="0.35">
      <c r="B70" s="2"/>
      <c r="C70" s="2"/>
      <c r="D70" s="2"/>
      <c r="E70" s="2"/>
      <c r="F70" s="2"/>
      <c r="G70" s="2"/>
      <c r="H70" s="2"/>
      <c r="I70" s="2"/>
      <c r="J70" s="2"/>
    </row>
    <row r="71" spans="2:10" x14ac:dyDescent="0.35">
      <c r="B71" s="2"/>
      <c r="C71" s="2"/>
      <c r="D71" s="2"/>
      <c r="E71" s="2"/>
      <c r="F71" s="2"/>
      <c r="G71" s="2"/>
      <c r="H71" s="2"/>
      <c r="I71" s="2"/>
      <c r="J71" s="2"/>
    </row>
    <row r="72" spans="2:10" x14ac:dyDescent="0.35">
      <c r="B72" s="2"/>
      <c r="C72" s="2"/>
      <c r="D72" s="2"/>
      <c r="E72" s="2"/>
      <c r="F72" s="2"/>
      <c r="G72" s="2"/>
      <c r="H72" s="2"/>
      <c r="I72" s="2"/>
      <c r="J72" s="2"/>
    </row>
    <row r="73" spans="2:10" x14ac:dyDescent="0.35">
      <c r="B73" s="2"/>
      <c r="C73" s="2"/>
      <c r="D73" s="2"/>
      <c r="E73" s="2"/>
      <c r="F73" s="2"/>
      <c r="G73" s="2"/>
      <c r="H73" s="2"/>
      <c r="I73" s="2"/>
      <c r="J73" s="2"/>
    </row>
    <row r="74" spans="2:10" x14ac:dyDescent="0.35">
      <c r="B74" s="2"/>
      <c r="C74" s="2"/>
      <c r="D74" s="2"/>
      <c r="E74" s="2"/>
      <c r="F74" s="2"/>
      <c r="G74" s="2"/>
      <c r="H74" s="2"/>
      <c r="I74" s="2"/>
      <c r="J74" s="2"/>
    </row>
    <row r="75" spans="2:10" x14ac:dyDescent="0.35">
      <c r="B75" s="2"/>
      <c r="C75" s="2"/>
      <c r="D75" s="2"/>
      <c r="E75" s="2"/>
      <c r="F75" s="2"/>
      <c r="G75" s="2"/>
      <c r="H75" s="2"/>
      <c r="I75" s="2"/>
      <c r="J75" s="2"/>
    </row>
    <row r="76" spans="2:10" x14ac:dyDescent="0.35">
      <c r="B76" s="2"/>
      <c r="C76" s="2"/>
      <c r="D76" s="2"/>
      <c r="E76" s="2"/>
      <c r="F76" s="2"/>
      <c r="G76" s="2"/>
      <c r="H76" s="2"/>
      <c r="I76" s="2"/>
      <c r="J76" s="2"/>
    </row>
    <row r="77" spans="2:10" x14ac:dyDescent="0.35">
      <c r="B77" s="2"/>
      <c r="C77" s="2"/>
      <c r="D77" s="2"/>
      <c r="E77" s="2"/>
      <c r="F77" s="2"/>
      <c r="G77" s="2"/>
      <c r="H77" s="2"/>
      <c r="I77" s="2"/>
      <c r="J77" s="2"/>
    </row>
  </sheetData>
  <phoneticPr fontId="0" type="noConversion"/>
  <pageMargins left="0.75" right="0.75" top="1" bottom="1" header="0.5" footer="0.5"/>
  <pageSetup scale="62" orientation="portrait" blackAndWhite="1"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A1:M130"/>
  <sheetViews>
    <sheetView view="pageBreakPreview" zoomScale="60" zoomScaleNormal="100" workbookViewId="0"/>
  </sheetViews>
  <sheetFormatPr defaultRowHeight="15.5" x14ac:dyDescent="0.35"/>
  <cols>
    <col min="1" max="1" width="1.07421875" customWidth="1"/>
    <col min="2" max="2" width="8.53515625" customWidth="1"/>
    <col min="11" max="11" width="15.84375" customWidth="1"/>
    <col min="12" max="12" width="1.07421875" customWidth="1"/>
  </cols>
  <sheetData>
    <row r="1" spans="2:11" x14ac:dyDescent="0.35">
      <c r="B1" s="787" t="s">
        <v>5</v>
      </c>
      <c r="C1" s="787"/>
      <c r="D1" s="787"/>
      <c r="E1" s="787"/>
      <c r="F1" s="787"/>
      <c r="G1" s="787"/>
      <c r="H1" s="787"/>
      <c r="I1" s="787"/>
      <c r="J1" s="787"/>
      <c r="K1" s="787"/>
    </row>
    <row r="2" spans="2:11" x14ac:dyDescent="0.35">
      <c r="B2" s="574"/>
      <c r="C2" s="574"/>
      <c r="D2" s="574"/>
      <c r="E2" s="574"/>
      <c r="F2" s="574"/>
      <c r="G2" s="574"/>
      <c r="H2" s="574"/>
      <c r="I2" s="574"/>
      <c r="J2" s="574"/>
      <c r="K2" s="574"/>
    </row>
    <row r="3" spans="2:11" x14ac:dyDescent="0.35">
      <c r="B3" s="788" t="str">
        <f>"Gas Supply Clause: "&amp; 'Input Data'!C12</f>
        <v>Gas Supply Clause: 2022-00180</v>
      </c>
      <c r="C3" s="788"/>
      <c r="D3" s="788"/>
      <c r="E3" s="788"/>
      <c r="F3" s="788"/>
      <c r="G3" s="788"/>
      <c r="H3" s="788"/>
      <c r="I3" s="788"/>
      <c r="J3" s="788"/>
      <c r="K3" s="788"/>
    </row>
    <row r="4" spans="2:11" x14ac:dyDescent="0.35">
      <c r="B4" s="676"/>
      <c r="C4" s="574"/>
      <c r="D4" s="574"/>
      <c r="E4" s="574"/>
      <c r="F4" s="574"/>
      <c r="G4" s="574"/>
      <c r="H4" s="574"/>
      <c r="I4" s="574"/>
      <c r="J4" s="574"/>
      <c r="K4" s="574"/>
    </row>
    <row r="5" spans="2:11" x14ac:dyDescent="0.35">
      <c r="B5" s="788" t="str">
        <f>"Gas Supply Cost Effective "&amp; 'Input Data'!D4</f>
        <v>Gas Supply Cost Effective August 1, 2022</v>
      </c>
      <c r="C5" s="788"/>
      <c r="D5" s="788"/>
      <c r="E5" s="788"/>
      <c r="F5" s="788"/>
      <c r="G5" s="788"/>
      <c r="H5" s="788"/>
      <c r="I5" s="788"/>
      <c r="J5" s="788"/>
      <c r="K5" s="788"/>
    </row>
    <row r="6" spans="2:11" x14ac:dyDescent="0.35">
      <c r="B6" s="6"/>
      <c r="C6" s="6"/>
      <c r="D6" s="6"/>
      <c r="E6" s="6"/>
      <c r="F6" s="6"/>
      <c r="G6" s="6"/>
      <c r="H6" s="6"/>
      <c r="I6" s="6"/>
      <c r="J6" s="6"/>
      <c r="K6" s="6"/>
    </row>
    <row r="7" spans="2:11" ht="63.75" customHeight="1" x14ac:dyDescent="0.35">
      <c r="B7" s="771" t="s">
        <v>647</v>
      </c>
      <c r="C7" s="771"/>
      <c r="D7" s="771"/>
      <c r="E7" s="771"/>
      <c r="F7" s="771"/>
      <c r="G7" s="771"/>
      <c r="H7" s="771"/>
      <c r="I7" s="771"/>
      <c r="J7" s="771"/>
      <c r="K7" s="771"/>
    </row>
    <row r="8" spans="2:11" x14ac:dyDescent="0.35">
      <c r="B8" s="3"/>
      <c r="C8" s="3"/>
      <c r="D8" s="3"/>
      <c r="E8" s="3"/>
      <c r="F8" s="3"/>
      <c r="G8" s="3"/>
      <c r="H8" s="3"/>
      <c r="I8" s="3"/>
      <c r="J8" s="3"/>
      <c r="K8" s="3"/>
    </row>
    <row r="9" spans="2:11" x14ac:dyDescent="0.35">
      <c r="B9" s="772" t="s">
        <v>648</v>
      </c>
      <c r="C9" s="772"/>
      <c r="D9" s="772"/>
      <c r="E9" s="772"/>
      <c r="F9" s="772"/>
      <c r="G9" s="772"/>
      <c r="H9" s="772"/>
      <c r="I9" s="772"/>
      <c r="J9" s="772"/>
      <c r="K9" s="3"/>
    </row>
    <row r="10" spans="2:11" x14ac:dyDescent="0.35">
      <c r="B10" s="745"/>
      <c r="C10" s="745"/>
      <c r="D10" s="745"/>
      <c r="E10" s="745"/>
      <c r="F10" s="745"/>
      <c r="G10" s="745"/>
      <c r="H10" s="745"/>
      <c r="I10" s="745"/>
      <c r="J10" s="745"/>
      <c r="K10" s="3"/>
    </row>
    <row r="11" spans="2:11" x14ac:dyDescent="0.35">
      <c r="B11" s="773" t="s">
        <v>649</v>
      </c>
      <c r="C11" s="773"/>
      <c r="D11" s="773"/>
      <c r="E11" s="773"/>
      <c r="F11" s="773"/>
      <c r="G11" s="773"/>
      <c r="H11" s="773"/>
      <c r="I11" s="773"/>
      <c r="J11" s="773"/>
      <c r="K11" s="3"/>
    </row>
    <row r="12" spans="2:11" x14ac:dyDescent="0.35">
      <c r="B12" s="3"/>
      <c r="C12" s="3"/>
      <c r="D12" s="3"/>
      <c r="E12" s="3"/>
      <c r="F12" s="3"/>
      <c r="G12" s="3"/>
      <c r="H12" s="3"/>
      <c r="I12" s="3"/>
      <c r="J12" s="3"/>
      <c r="K12" s="3"/>
    </row>
    <row r="13" spans="2:11" ht="63" customHeight="1" x14ac:dyDescent="0.35">
      <c r="B13" s="789" t="s">
        <v>650</v>
      </c>
      <c r="C13" s="789"/>
      <c r="D13" s="789"/>
      <c r="E13" s="789"/>
      <c r="F13" s="789"/>
      <c r="G13" s="789"/>
      <c r="H13" s="789"/>
      <c r="I13" s="789"/>
      <c r="J13" s="789"/>
      <c r="K13" s="789"/>
    </row>
    <row r="14" spans="2:11" x14ac:dyDescent="0.35">
      <c r="B14" s="3"/>
      <c r="C14" s="3"/>
      <c r="D14" s="3"/>
      <c r="E14" s="3"/>
      <c r="F14" s="3"/>
      <c r="G14" s="3"/>
      <c r="H14" s="3"/>
      <c r="I14" s="3"/>
      <c r="J14" s="3"/>
      <c r="K14" s="3"/>
    </row>
    <row r="15" spans="2:11" ht="31" customHeight="1" x14ac:dyDescent="0.35">
      <c r="B15" s="771" t="s">
        <v>1077</v>
      </c>
      <c r="C15" s="771"/>
      <c r="D15" s="771"/>
      <c r="E15" s="771"/>
      <c r="F15" s="771"/>
      <c r="G15" s="771"/>
      <c r="H15" s="771"/>
      <c r="I15" s="771"/>
      <c r="J15" s="771"/>
      <c r="K15" s="771"/>
    </row>
    <row r="16" spans="2:11" x14ac:dyDescent="0.35">
      <c r="B16" s="3"/>
      <c r="C16" s="3"/>
      <c r="D16" s="3"/>
      <c r="E16" s="3"/>
      <c r="F16" s="3"/>
      <c r="G16" s="3"/>
      <c r="H16" s="3"/>
      <c r="I16" s="3"/>
      <c r="J16" s="3"/>
      <c r="K16" s="3"/>
    </row>
    <row r="17" spans="1:13" ht="63.5" customHeight="1" x14ac:dyDescent="0.35">
      <c r="B17" s="771" t="s">
        <v>1078</v>
      </c>
      <c r="C17" s="771"/>
      <c r="D17" s="771"/>
      <c r="E17" s="771"/>
      <c r="F17" s="771"/>
      <c r="G17" s="771"/>
      <c r="H17" s="771"/>
      <c r="I17" s="771"/>
      <c r="J17" s="771"/>
      <c r="K17" s="771"/>
    </row>
    <row r="18" spans="1:13" x14ac:dyDescent="0.35">
      <c r="B18" s="3"/>
      <c r="C18" s="3"/>
      <c r="D18" s="3"/>
      <c r="E18" s="3"/>
      <c r="F18" s="3"/>
      <c r="G18" s="3"/>
      <c r="H18" s="3"/>
      <c r="I18" s="3"/>
      <c r="J18" s="3"/>
      <c r="K18" s="3"/>
    </row>
    <row r="19" spans="1:13" ht="48.5" customHeight="1" x14ac:dyDescent="0.35">
      <c r="B19" s="771" t="s">
        <v>1079</v>
      </c>
      <c r="C19" s="771"/>
      <c r="D19" s="771"/>
      <c r="E19" s="771"/>
      <c r="F19" s="771"/>
      <c r="G19" s="771"/>
      <c r="H19" s="771"/>
      <c r="I19" s="771"/>
      <c r="J19" s="771"/>
      <c r="K19" s="771"/>
      <c r="M19" s="90"/>
    </row>
    <row r="20" spans="1:13" x14ac:dyDescent="0.35">
      <c r="B20" s="3"/>
      <c r="C20" s="3"/>
      <c r="D20" s="3"/>
      <c r="E20" s="3"/>
      <c r="F20" s="3"/>
      <c r="G20" s="3"/>
      <c r="H20" s="3"/>
      <c r="I20" s="3"/>
      <c r="J20" s="3"/>
      <c r="K20" s="3"/>
    </row>
    <row r="21" spans="1:13" x14ac:dyDescent="0.35">
      <c r="B21" s="773" t="s">
        <v>651</v>
      </c>
      <c r="C21" s="773"/>
      <c r="D21" s="773"/>
      <c r="E21" s="773"/>
      <c r="F21" s="773"/>
      <c r="G21" s="773"/>
      <c r="H21" s="773"/>
      <c r="I21" s="773"/>
      <c r="J21" s="773"/>
      <c r="K21" s="3"/>
    </row>
    <row r="22" spans="1:13" x14ac:dyDescent="0.35">
      <c r="B22" s="3"/>
      <c r="C22" s="3"/>
      <c r="D22" s="3"/>
      <c r="E22" s="3"/>
      <c r="F22" s="3"/>
      <c r="G22" s="3"/>
      <c r="H22" s="3"/>
      <c r="I22" s="3"/>
      <c r="J22" s="3"/>
      <c r="K22" s="3"/>
    </row>
    <row r="23" spans="1:13" ht="63" customHeight="1" x14ac:dyDescent="0.35">
      <c r="B23" s="771" t="s">
        <v>654</v>
      </c>
      <c r="C23" s="771"/>
      <c r="D23" s="771"/>
      <c r="E23" s="771"/>
      <c r="F23" s="771"/>
      <c r="G23" s="771"/>
      <c r="H23" s="771"/>
      <c r="I23" s="771"/>
      <c r="J23" s="771"/>
      <c r="K23" s="771"/>
    </row>
    <row r="24" spans="1:13" x14ac:dyDescent="0.35">
      <c r="B24" s="3"/>
      <c r="C24" s="3"/>
      <c r="D24" s="3"/>
      <c r="E24" s="3"/>
      <c r="F24" s="3"/>
      <c r="G24" s="3"/>
      <c r="H24" s="3"/>
      <c r="I24" s="3"/>
      <c r="J24" s="3"/>
      <c r="K24" s="3"/>
    </row>
    <row r="25" spans="1:13" ht="34" customHeight="1" x14ac:dyDescent="0.35">
      <c r="A25" s="90"/>
      <c r="B25" s="771" t="s">
        <v>1080</v>
      </c>
      <c r="C25" s="771"/>
      <c r="D25" s="771"/>
      <c r="E25" s="771"/>
      <c r="F25" s="771"/>
      <c r="G25" s="771"/>
      <c r="H25" s="771"/>
      <c r="I25" s="771"/>
      <c r="J25" s="771"/>
      <c r="K25" s="771"/>
    </row>
    <row r="26" spans="1:13" x14ac:dyDescent="0.35">
      <c r="A26" s="90"/>
      <c r="B26" s="3"/>
      <c r="C26" s="3"/>
      <c r="D26" s="3"/>
      <c r="E26" s="3"/>
      <c r="F26" s="3"/>
      <c r="G26" s="3"/>
      <c r="H26" s="3"/>
      <c r="I26" s="3"/>
      <c r="J26" s="3"/>
      <c r="K26" s="3"/>
    </row>
    <row r="27" spans="1:13" ht="77.5" customHeight="1" x14ac:dyDescent="0.35">
      <c r="B27" s="777" t="s">
        <v>1081</v>
      </c>
      <c r="C27" s="777"/>
      <c r="D27" s="777"/>
      <c r="E27" s="777"/>
      <c r="F27" s="777"/>
      <c r="G27" s="777"/>
      <c r="H27" s="777"/>
      <c r="I27" s="777"/>
      <c r="J27" s="777"/>
      <c r="K27" s="777"/>
    </row>
    <row r="28" spans="1:13" x14ac:dyDescent="0.35">
      <c r="B28" s="3"/>
      <c r="C28" s="3"/>
      <c r="D28" s="3"/>
      <c r="E28" s="3"/>
      <c r="F28" s="3"/>
      <c r="G28" s="3"/>
      <c r="H28" s="3"/>
      <c r="I28" s="3"/>
      <c r="J28" s="3"/>
      <c r="K28" s="3"/>
    </row>
    <row r="29" spans="1:13" ht="48.5" customHeight="1" x14ac:dyDescent="0.35">
      <c r="B29" s="771" t="s">
        <v>1082</v>
      </c>
      <c r="C29" s="771"/>
      <c r="D29" s="771"/>
      <c r="E29" s="771"/>
      <c r="F29" s="771"/>
      <c r="G29" s="771"/>
      <c r="H29" s="771"/>
      <c r="I29" s="771"/>
      <c r="J29" s="771"/>
      <c r="K29" s="771"/>
    </row>
    <row r="30" spans="1:13" x14ac:dyDescent="0.35">
      <c r="B30" s="3"/>
      <c r="C30" s="3"/>
      <c r="D30" s="3"/>
      <c r="E30" s="3"/>
      <c r="F30" s="3"/>
      <c r="G30" s="3"/>
      <c r="H30" s="3"/>
      <c r="I30" s="3"/>
      <c r="J30" s="3"/>
      <c r="K30" s="3"/>
    </row>
    <row r="31" spans="1:13" x14ac:dyDescent="0.35">
      <c r="B31" s="774" t="s">
        <v>652</v>
      </c>
      <c r="C31" s="774"/>
      <c r="D31" s="774"/>
      <c r="E31" s="774"/>
      <c r="F31" s="774"/>
      <c r="G31" s="774"/>
      <c r="H31" s="774"/>
      <c r="I31" s="774"/>
      <c r="J31" s="774"/>
      <c r="K31" s="3"/>
    </row>
    <row r="32" spans="1:13" x14ac:dyDescent="0.35">
      <c r="B32" s="3"/>
      <c r="C32" s="3"/>
      <c r="D32" s="3"/>
      <c r="E32" s="3"/>
      <c r="F32" s="3"/>
      <c r="G32" s="3"/>
      <c r="H32" s="3"/>
      <c r="I32" s="3"/>
      <c r="J32" s="3"/>
      <c r="K32" s="3"/>
    </row>
    <row r="33" spans="1:12" x14ac:dyDescent="0.35">
      <c r="B33" s="773" t="s">
        <v>653</v>
      </c>
      <c r="C33" s="773"/>
      <c r="D33" s="773"/>
      <c r="E33" s="773"/>
      <c r="F33" s="773"/>
      <c r="G33" s="773"/>
      <c r="H33" s="773"/>
      <c r="I33" s="773"/>
      <c r="J33" s="773"/>
      <c r="K33" s="3"/>
    </row>
    <row r="34" spans="1:12" x14ac:dyDescent="0.35">
      <c r="B34" s="3"/>
      <c r="C34" s="3"/>
      <c r="D34" s="3"/>
      <c r="E34" s="3"/>
      <c r="F34" s="3"/>
      <c r="G34" s="3"/>
      <c r="H34" s="3"/>
      <c r="I34" s="3"/>
      <c r="J34" s="3"/>
      <c r="K34" s="3"/>
    </row>
    <row r="35" spans="1:12" ht="179.25" customHeight="1" x14ac:dyDescent="0.35">
      <c r="B35" s="771" t="s">
        <v>1045</v>
      </c>
      <c r="C35" s="771"/>
      <c r="D35" s="771"/>
      <c r="E35" s="771"/>
      <c r="F35" s="771"/>
      <c r="G35" s="771"/>
      <c r="H35" s="771"/>
      <c r="I35" s="771"/>
      <c r="J35" s="771"/>
      <c r="K35" s="771"/>
    </row>
    <row r="36" spans="1:12" x14ac:dyDescent="0.35">
      <c r="B36" s="743"/>
      <c r="C36" s="3"/>
      <c r="D36" s="3"/>
      <c r="E36" s="3"/>
      <c r="F36" s="3"/>
      <c r="G36" s="3"/>
      <c r="H36" s="3"/>
      <c r="I36" s="3"/>
      <c r="J36" s="3"/>
      <c r="K36" s="3"/>
    </row>
    <row r="37" spans="1:12" ht="29.5" customHeight="1" x14ac:dyDescent="0.35">
      <c r="B37" s="771" t="s">
        <v>1080</v>
      </c>
      <c r="C37" s="771"/>
      <c r="D37" s="771"/>
      <c r="E37" s="771"/>
      <c r="F37" s="771"/>
      <c r="G37" s="771"/>
      <c r="H37" s="771"/>
      <c r="I37" s="771"/>
      <c r="J37" s="771"/>
      <c r="K37" s="771"/>
    </row>
    <row r="38" spans="1:12" x14ac:dyDescent="0.35">
      <c r="B38" s="3"/>
      <c r="C38" s="3"/>
      <c r="D38" s="3"/>
      <c r="E38" s="3"/>
      <c r="F38" s="3"/>
      <c r="G38" s="3"/>
      <c r="H38" s="3"/>
      <c r="I38" s="3"/>
      <c r="J38" s="3"/>
      <c r="K38" s="3"/>
    </row>
    <row r="39" spans="1:12" ht="96" customHeight="1" x14ac:dyDescent="0.35">
      <c r="A39" s="90"/>
      <c r="B39" s="777" t="s">
        <v>1083</v>
      </c>
      <c r="C39" s="777"/>
      <c r="D39" s="777"/>
      <c r="E39" s="777"/>
      <c r="F39" s="777"/>
      <c r="G39" s="777"/>
      <c r="H39" s="777"/>
      <c r="I39" s="777"/>
      <c r="J39" s="777"/>
      <c r="K39" s="777"/>
    </row>
    <row r="40" spans="1:12" x14ac:dyDescent="0.35">
      <c r="A40" s="90"/>
      <c r="B40" s="3"/>
      <c r="C40" s="3"/>
      <c r="D40" s="3"/>
      <c r="E40" s="3"/>
      <c r="F40" s="3"/>
      <c r="G40" s="3"/>
      <c r="H40" s="3"/>
      <c r="I40" s="3"/>
      <c r="J40" s="3"/>
      <c r="K40" s="3"/>
    </row>
    <row r="41" spans="1:12" ht="62" customHeight="1" x14ac:dyDescent="0.35">
      <c r="B41" s="771" t="s">
        <v>1084</v>
      </c>
      <c r="C41" s="771"/>
      <c r="D41" s="771"/>
      <c r="E41" s="771"/>
      <c r="F41" s="771"/>
      <c r="G41" s="771"/>
      <c r="H41" s="771"/>
      <c r="I41" s="771"/>
      <c r="J41" s="771"/>
      <c r="K41" s="771"/>
    </row>
    <row r="42" spans="1:12" x14ac:dyDescent="0.35">
      <c r="B42" s="6"/>
      <c r="C42" s="6"/>
      <c r="D42" s="6"/>
      <c r="E42" s="6"/>
      <c r="F42" s="6"/>
      <c r="G42" s="6"/>
      <c r="H42" s="6"/>
      <c r="I42" s="6"/>
      <c r="J42" s="6"/>
      <c r="K42" s="6"/>
    </row>
    <row r="43" spans="1:12" x14ac:dyDescent="0.35">
      <c r="B43" s="775" t="s">
        <v>655</v>
      </c>
      <c r="C43" s="775"/>
      <c r="D43" s="775"/>
      <c r="E43" s="775"/>
      <c r="F43" s="775"/>
      <c r="G43" s="775"/>
      <c r="H43" s="775"/>
      <c r="I43" s="775"/>
      <c r="J43" s="775"/>
      <c r="K43" s="6"/>
    </row>
    <row r="44" spans="1:12" x14ac:dyDescent="0.35">
      <c r="B44" s="6"/>
      <c r="C44" s="6"/>
      <c r="D44" s="6"/>
      <c r="E44" s="6"/>
      <c r="F44" s="6"/>
      <c r="G44" s="6"/>
      <c r="H44" s="6"/>
      <c r="I44" s="6"/>
      <c r="J44" s="6"/>
      <c r="K44" s="6"/>
    </row>
    <row r="45" spans="1:12" ht="80.25" customHeight="1" x14ac:dyDescent="0.35">
      <c r="B45" s="776" t="s">
        <v>1071</v>
      </c>
      <c r="C45" s="776"/>
      <c r="D45" s="776"/>
      <c r="E45" s="776"/>
      <c r="F45" s="776"/>
      <c r="G45" s="776"/>
      <c r="H45" s="776"/>
      <c r="I45" s="776"/>
      <c r="J45" s="776"/>
      <c r="K45" s="776"/>
    </row>
    <row r="46" spans="1:12" x14ac:dyDescent="0.35">
      <c r="B46" s="573"/>
      <c r="C46" s="6"/>
      <c r="D46" s="6"/>
      <c r="E46" s="6"/>
      <c r="F46" s="6"/>
      <c r="G46" s="6"/>
      <c r="H46" s="6"/>
      <c r="I46" s="6"/>
      <c r="J46" s="6"/>
      <c r="K46" s="6"/>
    </row>
    <row r="47" spans="1:12" ht="31.5" customHeight="1" x14ac:dyDescent="0.35">
      <c r="B47" s="702" t="s">
        <v>773</v>
      </c>
      <c r="C47" s="771" t="s">
        <v>1072</v>
      </c>
      <c r="D47" s="771"/>
      <c r="E47" s="771"/>
      <c r="F47" s="771"/>
      <c r="G47" s="771"/>
      <c r="H47" s="771"/>
      <c r="I47" s="771"/>
      <c r="J47" s="771"/>
      <c r="K47" s="771"/>
      <c r="L47" s="610"/>
    </row>
    <row r="48" spans="1:12" x14ac:dyDescent="0.35">
      <c r="B48" s="670"/>
      <c r="C48" s="753"/>
      <c r="D48" s="753"/>
      <c r="E48" s="753"/>
      <c r="F48" s="753"/>
      <c r="G48" s="753"/>
      <c r="H48" s="753"/>
      <c r="I48" s="753"/>
      <c r="J48" s="753"/>
      <c r="K48" s="753"/>
    </row>
    <row r="49" spans="2:11" ht="31.5" customHeight="1" x14ac:dyDescent="0.35">
      <c r="B49" s="702" t="s">
        <v>773</v>
      </c>
      <c r="C49" s="771" t="s">
        <v>1063</v>
      </c>
      <c r="D49" s="771"/>
      <c r="E49" s="771"/>
      <c r="F49" s="771"/>
      <c r="G49" s="771"/>
      <c r="H49" s="771"/>
      <c r="I49" s="771"/>
      <c r="J49" s="771"/>
      <c r="K49" s="771"/>
    </row>
    <row r="50" spans="2:11" x14ac:dyDescent="0.35">
      <c r="B50" s="670"/>
      <c r="C50" s="753"/>
      <c r="D50" s="753"/>
      <c r="E50" s="753"/>
      <c r="F50" s="753"/>
      <c r="G50" s="753"/>
      <c r="H50" s="753"/>
      <c r="I50" s="753"/>
      <c r="J50" s="753"/>
      <c r="K50" s="753"/>
    </row>
    <row r="51" spans="2:11" ht="15.65" customHeight="1" x14ac:dyDescent="0.35">
      <c r="B51" s="702" t="s">
        <v>773</v>
      </c>
      <c r="C51" s="771" t="s">
        <v>1058</v>
      </c>
      <c r="D51" s="771"/>
      <c r="E51" s="771"/>
      <c r="F51" s="771"/>
      <c r="G51" s="771"/>
      <c r="H51" s="771"/>
      <c r="I51" s="771"/>
      <c r="J51" s="771"/>
      <c r="K51" s="753"/>
    </row>
    <row r="52" spans="2:11" x14ac:dyDescent="0.35">
      <c r="B52" s="670"/>
      <c r="C52" s="753"/>
      <c r="D52" s="753"/>
      <c r="E52" s="753"/>
      <c r="F52" s="753"/>
      <c r="G52" s="753"/>
      <c r="H52" s="753"/>
      <c r="I52" s="753"/>
      <c r="J52" s="753"/>
      <c r="K52" s="753"/>
    </row>
    <row r="53" spans="2:11" ht="62.5" customHeight="1" x14ac:dyDescent="0.35">
      <c r="B53" s="702" t="s">
        <v>773</v>
      </c>
      <c r="C53" s="771" t="s">
        <v>1085</v>
      </c>
      <c r="D53" s="771"/>
      <c r="E53" s="771"/>
      <c r="F53" s="771"/>
      <c r="G53" s="771"/>
      <c r="H53" s="771"/>
      <c r="I53" s="771"/>
      <c r="J53" s="771"/>
      <c r="K53" s="771"/>
    </row>
    <row r="54" spans="2:11" x14ac:dyDescent="0.35">
      <c r="B54" s="670"/>
      <c r="C54" s="753"/>
      <c r="D54" s="753"/>
      <c r="E54" s="753"/>
      <c r="F54" s="753"/>
      <c r="G54" s="753"/>
      <c r="H54" s="753"/>
      <c r="I54" s="753"/>
      <c r="J54" s="753"/>
      <c r="K54" s="753"/>
    </row>
    <row r="55" spans="2:11" ht="33" customHeight="1" x14ac:dyDescent="0.35">
      <c r="B55" s="702" t="s">
        <v>773</v>
      </c>
      <c r="C55" s="777" t="s">
        <v>1073</v>
      </c>
      <c r="D55" s="777"/>
      <c r="E55" s="777"/>
      <c r="F55" s="777"/>
      <c r="G55" s="777"/>
      <c r="H55" s="777"/>
      <c r="I55" s="777"/>
      <c r="J55" s="777"/>
      <c r="K55" s="777"/>
    </row>
    <row r="56" spans="2:11" x14ac:dyDescent="0.35">
      <c r="B56" s="670"/>
      <c r="C56" s="753"/>
      <c r="D56" s="753"/>
      <c r="E56" s="753"/>
      <c r="F56" s="753"/>
      <c r="G56" s="753"/>
      <c r="H56" s="753"/>
      <c r="I56" s="753"/>
      <c r="J56" s="753"/>
      <c r="K56" s="753"/>
    </row>
    <row r="57" spans="2:11" ht="15.75" customHeight="1" x14ac:dyDescent="0.35">
      <c r="B57" s="702" t="s">
        <v>773</v>
      </c>
      <c r="C57" s="782" t="s">
        <v>1039</v>
      </c>
      <c r="D57" s="782"/>
      <c r="E57" s="782"/>
      <c r="F57" s="782"/>
      <c r="G57" s="782"/>
      <c r="H57" s="782"/>
      <c r="I57" s="782"/>
      <c r="J57" s="782"/>
      <c r="K57" s="782"/>
    </row>
    <row r="58" spans="2:11" x14ac:dyDescent="0.35">
      <c r="B58" s="702"/>
      <c r="C58" s="752"/>
      <c r="D58" s="752"/>
      <c r="E58" s="752"/>
      <c r="F58" s="752"/>
      <c r="G58" s="752"/>
      <c r="H58" s="752"/>
      <c r="I58" s="752"/>
      <c r="J58" s="752"/>
      <c r="K58" s="677"/>
    </row>
    <row r="59" spans="2:11" ht="32.25" customHeight="1" x14ac:dyDescent="0.35">
      <c r="B59" s="702" t="s">
        <v>773</v>
      </c>
      <c r="C59" s="776" t="s">
        <v>1062</v>
      </c>
      <c r="D59" s="776"/>
      <c r="E59" s="776"/>
      <c r="F59" s="776"/>
      <c r="G59" s="776"/>
      <c r="H59" s="776"/>
      <c r="I59" s="776"/>
      <c r="J59" s="776"/>
      <c r="K59" s="776"/>
    </row>
    <row r="60" spans="2:11" x14ac:dyDescent="0.35">
      <c r="B60" s="702"/>
      <c r="C60" s="752"/>
      <c r="D60" s="752"/>
      <c r="E60" s="752"/>
      <c r="F60" s="752"/>
      <c r="G60" s="752"/>
      <c r="H60" s="752"/>
      <c r="I60" s="752"/>
      <c r="J60" s="752"/>
      <c r="K60" s="677"/>
    </row>
    <row r="61" spans="2:11" ht="32.15" customHeight="1" x14ac:dyDescent="0.35">
      <c r="B61" s="702" t="s">
        <v>773</v>
      </c>
      <c r="C61" s="782" t="s">
        <v>1089</v>
      </c>
      <c r="D61" s="782"/>
      <c r="E61" s="782"/>
      <c r="F61" s="782"/>
      <c r="G61" s="782"/>
      <c r="H61" s="782"/>
      <c r="I61" s="782"/>
      <c r="J61" s="782"/>
      <c r="K61" s="782"/>
    </row>
    <row r="62" spans="2:11" x14ac:dyDescent="0.35">
      <c r="B62" s="589"/>
      <c r="C62" s="675"/>
      <c r="D62" s="675"/>
      <c r="E62" s="675"/>
      <c r="F62" s="675"/>
      <c r="G62" s="675"/>
      <c r="H62" s="675"/>
      <c r="I62" s="675"/>
      <c r="J62" s="675"/>
      <c r="K62" s="6"/>
    </row>
    <row r="63" spans="2:11" x14ac:dyDescent="0.35">
      <c r="B63" s="589"/>
      <c r="C63" s="783"/>
      <c r="D63" s="783"/>
      <c r="E63" s="783"/>
      <c r="F63" s="783"/>
      <c r="G63" s="783"/>
      <c r="H63" s="783"/>
      <c r="I63" s="783"/>
      <c r="J63" s="783"/>
      <c r="K63" s="783"/>
    </row>
    <row r="64" spans="2:11" x14ac:dyDescent="0.35">
      <c r="B64" s="589"/>
      <c r="C64" s="675"/>
      <c r="D64" s="675"/>
      <c r="E64" s="675"/>
      <c r="F64" s="675"/>
      <c r="G64" s="675"/>
      <c r="H64" s="675"/>
      <c r="I64" s="675"/>
      <c r="J64" s="675"/>
      <c r="K64" s="6"/>
    </row>
    <row r="65" spans="2:11" x14ac:dyDescent="0.35">
      <c r="B65" s="589"/>
      <c r="C65" s="675"/>
      <c r="D65" s="675"/>
      <c r="E65" s="675"/>
      <c r="F65" s="675"/>
      <c r="G65" s="675"/>
      <c r="H65" s="675"/>
      <c r="I65" s="675"/>
      <c r="J65" s="675"/>
      <c r="K65" s="6"/>
    </row>
    <row r="66" spans="2:11" x14ac:dyDescent="0.35">
      <c r="B66" s="589"/>
      <c r="C66" s="675"/>
      <c r="D66" s="675"/>
      <c r="E66" s="675"/>
      <c r="F66" s="675"/>
      <c r="G66" s="675"/>
      <c r="H66" s="675"/>
      <c r="I66" s="675"/>
      <c r="J66" s="675"/>
      <c r="K66" s="6"/>
    </row>
    <row r="67" spans="2:11" x14ac:dyDescent="0.35">
      <c r="B67" s="589"/>
      <c r="C67" s="675"/>
      <c r="D67" s="675"/>
      <c r="E67" s="675"/>
      <c r="F67" s="675"/>
      <c r="G67" s="675"/>
      <c r="H67" s="675"/>
      <c r="I67" s="675"/>
      <c r="J67" s="675"/>
      <c r="K67" s="6"/>
    </row>
    <row r="68" spans="2:11" x14ac:dyDescent="0.35">
      <c r="B68" s="589"/>
      <c r="C68" s="675"/>
      <c r="D68" s="675"/>
      <c r="E68" s="675"/>
      <c r="F68" s="675"/>
      <c r="G68" s="675"/>
      <c r="H68" s="675"/>
      <c r="I68" s="675"/>
      <c r="J68" s="675"/>
      <c r="K68" s="6"/>
    </row>
    <row r="69" spans="2:11" x14ac:dyDescent="0.35">
      <c r="B69" s="589"/>
      <c r="C69" s="675"/>
      <c r="D69" s="675"/>
      <c r="E69" s="675"/>
      <c r="F69" s="675"/>
      <c r="G69" s="675"/>
      <c r="H69" s="675"/>
      <c r="I69" s="675"/>
      <c r="J69" s="675"/>
      <c r="K69" s="6"/>
    </row>
    <row r="70" spans="2:11" x14ac:dyDescent="0.35">
      <c r="B70" s="589"/>
      <c r="C70" s="675"/>
      <c r="D70" s="675"/>
      <c r="E70" s="675"/>
      <c r="F70" s="675"/>
      <c r="G70" s="675"/>
      <c r="H70" s="675"/>
      <c r="I70" s="675"/>
      <c r="J70" s="675"/>
      <c r="K70" s="6"/>
    </row>
    <row r="71" spans="2:11" x14ac:dyDescent="0.35">
      <c r="B71" s="589"/>
      <c r="C71" s="675"/>
      <c r="D71" s="675"/>
      <c r="E71" s="675"/>
      <c r="F71" s="675"/>
      <c r="G71" s="675"/>
      <c r="H71" s="675"/>
      <c r="I71" s="675"/>
      <c r="J71" s="675"/>
      <c r="K71" s="6"/>
    </row>
    <row r="72" spans="2:11" x14ac:dyDescent="0.35">
      <c r="B72" s="589"/>
      <c r="C72" s="675"/>
      <c r="D72" s="675"/>
      <c r="E72" s="675"/>
      <c r="F72" s="675"/>
      <c r="G72" s="675"/>
      <c r="H72" s="675"/>
      <c r="I72" s="675"/>
      <c r="J72" s="675"/>
      <c r="K72" s="6"/>
    </row>
    <row r="73" spans="2:11" x14ac:dyDescent="0.35">
      <c r="B73" s="589"/>
      <c r="C73" s="675"/>
      <c r="D73" s="675"/>
      <c r="E73" s="675"/>
      <c r="F73" s="675"/>
      <c r="G73" s="675"/>
      <c r="H73" s="675"/>
      <c r="I73" s="675"/>
      <c r="J73" s="675"/>
      <c r="K73" s="6"/>
    </row>
    <row r="74" spans="2:11" x14ac:dyDescent="0.35">
      <c r="B74" s="589"/>
      <c r="C74" s="675"/>
      <c r="D74" s="675"/>
      <c r="E74" s="675"/>
      <c r="F74" s="675"/>
      <c r="G74" s="675"/>
      <c r="H74" s="675"/>
      <c r="I74" s="675"/>
      <c r="J74" s="675"/>
      <c r="K74" s="6"/>
    </row>
    <row r="75" spans="2:11" x14ac:dyDescent="0.35">
      <c r="B75" s="589"/>
      <c r="C75" s="675"/>
      <c r="D75" s="675"/>
      <c r="E75" s="675"/>
      <c r="F75" s="675"/>
      <c r="G75" s="675"/>
      <c r="H75" s="675"/>
      <c r="I75" s="675"/>
      <c r="J75" s="675"/>
      <c r="K75" s="6"/>
    </row>
    <row r="76" spans="2:11" x14ac:dyDescent="0.35">
      <c r="B76" s="589"/>
      <c r="C76" s="675"/>
      <c r="D76" s="675"/>
      <c r="E76" s="675"/>
      <c r="F76" s="675"/>
      <c r="G76" s="675"/>
      <c r="H76" s="675"/>
      <c r="I76" s="675"/>
      <c r="J76" s="675"/>
      <c r="K76" s="6"/>
    </row>
    <row r="77" spans="2:11" x14ac:dyDescent="0.35">
      <c r="B77" s="589"/>
      <c r="C77" s="675"/>
      <c r="D77" s="675"/>
      <c r="E77" s="675"/>
      <c r="F77" s="675"/>
      <c r="G77" s="675"/>
      <c r="H77" s="675"/>
      <c r="I77" s="675"/>
      <c r="J77" s="675"/>
      <c r="K77" s="6"/>
    </row>
    <row r="78" spans="2:11" x14ac:dyDescent="0.35">
      <c r="B78" s="589"/>
      <c r="C78" s="675"/>
      <c r="D78" s="675"/>
      <c r="E78" s="675"/>
      <c r="F78" s="675"/>
      <c r="G78" s="675"/>
      <c r="H78" s="675"/>
      <c r="I78" s="675"/>
      <c r="J78" s="675"/>
      <c r="K78" s="6"/>
    </row>
    <row r="79" spans="2:11" x14ac:dyDescent="0.35">
      <c r="B79" s="589"/>
      <c r="C79" s="675"/>
      <c r="D79" s="675"/>
      <c r="E79" s="675"/>
      <c r="F79" s="675"/>
      <c r="G79" s="675"/>
      <c r="H79" s="675"/>
      <c r="I79" s="675"/>
      <c r="J79" s="675"/>
      <c r="K79" s="6"/>
    </row>
    <row r="80" spans="2:11" x14ac:dyDescent="0.35">
      <c r="B80" s="589"/>
      <c r="C80" s="675"/>
      <c r="D80" s="675"/>
      <c r="E80" s="675"/>
      <c r="F80" s="675"/>
      <c r="G80" s="675"/>
      <c r="H80" s="675"/>
      <c r="I80" s="675"/>
      <c r="J80" s="675"/>
      <c r="K80" s="6"/>
    </row>
    <row r="81" spans="2:13" x14ac:dyDescent="0.35">
      <c r="B81" s="589"/>
      <c r="C81" s="675"/>
      <c r="D81" s="675"/>
      <c r="E81" s="675"/>
      <c r="F81" s="675"/>
      <c r="G81" s="675"/>
      <c r="H81" s="675"/>
      <c r="I81" s="675"/>
      <c r="J81" s="675"/>
      <c r="K81" s="6"/>
    </row>
    <row r="82" spans="2:13" x14ac:dyDescent="0.35">
      <c r="B82" s="680"/>
      <c r="C82" s="611"/>
      <c r="D82" s="611"/>
      <c r="E82" s="611"/>
      <c r="F82" s="675"/>
      <c r="G82" s="675"/>
      <c r="H82" s="675"/>
      <c r="I82" s="675"/>
      <c r="J82" s="675"/>
      <c r="K82" s="6"/>
    </row>
    <row r="83" spans="2:13" ht="156" customHeight="1" x14ac:dyDescent="0.35">
      <c r="B83" s="777" t="s">
        <v>1074</v>
      </c>
      <c r="C83" s="777"/>
      <c r="D83" s="777"/>
      <c r="E83" s="777"/>
      <c r="F83" s="777"/>
      <c r="G83" s="777"/>
      <c r="H83" s="777"/>
      <c r="I83" s="777"/>
      <c r="J83" s="777"/>
      <c r="K83" s="777"/>
    </row>
    <row r="84" spans="2:13" x14ac:dyDescent="0.35">
      <c r="B84" s="6"/>
      <c r="C84" s="6"/>
      <c r="D84" s="6"/>
      <c r="E84" s="6"/>
      <c r="F84" s="6"/>
      <c r="G84" s="6"/>
      <c r="H84" s="6"/>
      <c r="I84" s="6"/>
      <c r="J84" s="6"/>
      <c r="K84" s="6"/>
    </row>
    <row r="85" spans="2:13" ht="113.5" customHeight="1" x14ac:dyDescent="0.35">
      <c r="B85" s="771" t="s">
        <v>1075</v>
      </c>
      <c r="C85" s="771"/>
      <c r="D85" s="771"/>
      <c r="E85" s="771"/>
      <c r="F85" s="771"/>
      <c r="G85" s="771"/>
      <c r="H85" s="771"/>
      <c r="I85" s="771"/>
      <c r="J85" s="771"/>
      <c r="K85" s="771"/>
      <c r="M85" s="90"/>
    </row>
    <row r="86" spans="2:13" x14ac:dyDescent="0.35">
      <c r="B86" s="3"/>
      <c r="C86" s="3"/>
      <c r="D86" s="3"/>
      <c r="E86" s="3"/>
      <c r="F86" s="3"/>
      <c r="G86" s="3"/>
      <c r="H86" s="3"/>
      <c r="I86" s="3"/>
      <c r="J86" s="3"/>
      <c r="K86" s="3"/>
    </row>
    <row r="87" spans="2:13" ht="78.75" customHeight="1" x14ac:dyDescent="0.35">
      <c r="B87" s="771" t="s">
        <v>1090</v>
      </c>
      <c r="C87" s="771"/>
      <c r="D87" s="771"/>
      <c r="E87" s="771"/>
      <c r="F87" s="771"/>
      <c r="G87" s="771"/>
      <c r="H87" s="771"/>
      <c r="I87" s="771"/>
      <c r="J87" s="771"/>
      <c r="K87" s="771"/>
      <c r="M87" s="90"/>
    </row>
    <row r="88" spans="2:13" x14ac:dyDescent="0.35">
      <c r="B88" s="3"/>
      <c r="C88" s="3"/>
      <c r="D88" s="3"/>
      <c r="E88" s="3"/>
      <c r="F88" s="3"/>
      <c r="G88" s="3"/>
      <c r="H88" s="3"/>
      <c r="I88" s="3"/>
      <c r="J88" s="3"/>
      <c r="K88" s="3"/>
    </row>
    <row r="89" spans="2:13" ht="31.5" customHeight="1" x14ac:dyDescent="0.35">
      <c r="B89" s="771" t="s">
        <v>774</v>
      </c>
      <c r="C89" s="771"/>
      <c r="D89" s="771"/>
      <c r="E89" s="771"/>
      <c r="F89" s="771"/>
      <c r="G89" s="771"/>
      <c r="H89" s="771"/>
      <c r="I89" s="771"/>
      <c r="J89" s="771"/>
      <c r="K89" s="771"/>
    </row>
    <row r="90" spans="2:13" x14ac:dyDescent="0.35">
      <c r="B90" s="3"/>
      <c r="C90" s="3"/>
      <c r="D90" s="3"/>
      <c r="E90" s="3"/>
      <c r="F90" s="3"/>
      <c r="G90" s="3"/>
      <c r="H90" s="3"/>
      <c r="I90" s="3"/>
      <c r="J90" s="3"/>
      <c r="K90" s="3"/>
    </row>
    <row r="91" spans="2:13" x14ac:dyDescent="0.35">
      <c r="B91" s="778" t="s">
        <v>775</v>
      </c>
      <c r="C91" s="778"/>
      <c r="D91" s="778"/>
      <c r="E91" s="778"/>
      <c r="F91" s="778"/>
      <c r="G91" s="778"/>
      <c r="H91" s="778"/>
      <c r="I91" s="778"/>
      <c r="J91" s="778"/>
      <c r="K91" s="778"/>
    </row>
    <row r="92" spans="2:13" x14ac:dyDescent="0.35">
      <c r="B92" s="778" t="s">
        <v>776</v>
      </c>
      <c r="C92" s="778"/>
      <c r="D92" s="778"/>
      <c r="E92" s="778"/>
      <c r="F92" s="778"/>
      <c r="G92" s="778"/>
      <c r="H92" s="778"/>
      <c r="I92" s="778"/>
      <c r="J92" s="778"/>
      <c r="K92" s="778"/>
    </row>
    <row r="93" spans="2:13" x14ac:dyDescent="0.35">
      <c r="B93" s="779" t="s">
        <v>777</v>
      </c>
      <c r="C93" s="779"/>
      <c r="D93" s="779"/>
      <c r="E93" s="779"/>
      <c r="F93" s="779"/>
      <c r="G93" s="779"/>
      <c r="H93" s="779"/>
      <c r="I93" s="779"/>
      <c r="J93" s="779"/>
      <c r="K93" s="779"/>
    </row>
    <row r="94" spans="2:13" x14ac:dyDescent="0.35">
      <c r="B94" s="673"/>
      <c r="C94" s="3"/>
      <c r="D94" s="3"/>
      <c r="E94" s="3"/>
      <c r="F94" s="3"/>
      <c r="G94" s="3"/>
      <c r="H94" s="3"/>
      <c r="I94" s="3"/>
      <c r="J94" s="3"/>
      <c r="K94" s="3"/>
    </row>
    <row r="95" spans="2:13" ht="46.15" customHeight="1" x14ac:dyDescent="0.35">
      <c r="B95" s="737" t="s">
        <v>785</v>
      </c>
      <c r="C95" s="3"/>
      <c r="D95" s="781" t="s">
        <v>784</v>
      </c>
      <c r="E95" s="781"/>
      <c r="F95" s="780" t="s">
        <v>1088</v>
      </c>
      <c r="G95" s="780"/>
      <c r="H95" s="780" t="s">
        <v>783</v>
      </c>
      <c r="I95" s="780"/>
      <c r="J95" s="780" t="s">
        <v>782</v>
      </c>
      <c r="K95" s="780"/>
    </row>
    <row r="96" spans="2:13" x14ac:dyDescent="0.35">
      <c r="B96" s="3"/>
      <c r="C96" s="3"/>
      <c r="D96" s="3"/>
      <c r="E96" s="3"/>
      <c r="F96" s="3"/>
      <c r="G96" s="3"/>
      <c r="H96" s="3"/>
      <c r="I96" s="3"/>
      <c r="J96" s="3"/>
      <c r="K96" s="3"/>
    </row>
    <row r="97" spans="2:13" x14ac:dyDescent="0.35">
      <c r="B97" s="672">
        <f>'Ex A 1 of 2'!C6</f>
        <v>44774</v>
      </c>
      <c r="C97" s="3"/>
      <c r="D97" s="785">
        <v>6.61</v>
      </c>
      <c r="E97" s="785"/>
      <c r="F97" s="784">
        <v>1.4800000000000001E-2</v>
      </c>
      <c r="G97" s="784"/>
      <c r="H97" s="785">
        <v>6.2600000000000003E-2</v>
      </c>
      <c r="I97" s="785"/>
      <c r="J97" s="785">
        <v>6.7718999999999996</v>
      </c>
      <c r="K97" s="785"/>
      <c r="M97" s="90"/>
    </row>
    <row r="98" spans="2:13" x14ac:dyDescent="0.35">
      <c r="B98" s="672">
        <f>'Ex A 1 of 2'!D6</f>
        <v>44805</v>
      </c>
      <c r="C98" s="3"/>
      <c r="D98" s="785">
        <v>6.569</v>
      </c>
      <c r="E98" s="785"/>
      <c r="F98" s="784">
        <v>1.4800000000000001E-2</v>
      </c>
      <c r="G98" s="784"/>
      <c r="H98" s="785">
        <v>6.2600000000000003E-2</v>
      </c>
      <c r="I98" s="785"/>
      <c r="J98" s="785">
        <v>6.7302999999999997</v>
      </c>
      <c r="K98" s="785"/>
      <c r="M98" s="90"/>
    </row>
    <row r="99" spans="2:13" x14ac:dyDescent="0.35">
      <c r="B99" s="672">
        <f>'Ex A 1 of 2'!E6</f>
        <v>44835</v>
      </c>
      <c r="C99" s="3"/>
      <c r="D99" s="785">
        <v>6.56</v>
      </c>
      <c r="E99" s="785"/>
      <c r="F99" s="784">
        <v>1.4800000000000001E-2</v>
      </c>
      <c r="G99" s="784"/>
      <c r="H99" s="785">
        <v>6.2799999999999995E-2</v>
      </c>
      <c r="I99" s="785"/>
      <c r="J99" s="785">
        <v>6.7213000000000003</v>
      </c>
      <c r="K99" s="785"/>
      <c r="M99" s="90"/>
    </row>
    <row r="100" spans="2:13" x14ac:dyDescent="0.35">
      <c r="B100" s="673"/>
      <c r="C100" s="3"/>
      <c r="D100" s="3"/>
      <c r="E100" s="3"/>
      <c r="F100" s="3"/>
      <c r="G100" s="3"/>
      <c r="H100" s="3"/>
      <c r="I100" s="3"/>
      <c r="J100" s="3"/>
      <c r="K100" s="3"/>
      <c r="M100" s="90"/>
    </row>
    <row r="101" spans="2:13" x14ac:dyDescent="0.35">
      <c r="B101" s="673"/>
      <c r="C101" s="3"/>
      <c r="D101" s="3"/>
      <c r="E101" s="3"/>
      <c r="F101" s="3"/>
      <c r="G101" s="3"/>
      <c r="H101" s="3"/>
      <c r="I101" s="3"/>
      <c r="J101" s="3"/>
      <c r="K101" s="3"/>
      <c r="M101" s="90"/>
    </row>
    <row r="102" spans="2:13" x14ac:dyDescent="0.35">
      <c r="B102" s="778" t="s">
        <v>778</v>
      </c>
      <c r="C102" s="778"/>
      <c r="D102" s="778"/>
      <c r="E102" s="778"/>
      <c r="F102" s="778"/>
      <c r="G102" s="778"/>
      <c r="H102" s="778"/>
      <c r="I102" s="778"/>
      <c r="J102" s="778"/>
      <c r="K102" s="778"/>
      <c r="M102" s="90"/>
    </row>
    <row r="103" spans="2:13" x14ac:dyDescent="0.35">
      <c r="B103" s="778" t="s">
        <v>779</v>
      </c>
      <c r="C103" s="778"/>
      <c r="D103" s="778"/>
      <c r="E103" s="778"/>
      <c r="F103" s="778"/>
      <c r="G103" s="778"/>
      <c r="H103" s="778"/>
      <c r="I103" s="778"/>
      <c r="J103" s="778"/>
      <c r="K103" s="778"/>
      <c r="M103" s="90"/>
    </row>
    <row r="104" spans="2:13" x14ac:dyDescent="0.35">
      <c r="B104" s="779" t="s">
        <v>780</v>
      </c>
      <c r="C104" s="779"/>
      <c r="D104" s="779"/>
      <c r="E104" s="779"/>
      <c r="F104" s="779"/>
      <c r="G104" s="779"/>
      <c r="H104" s="779"/>
      <c r="I104" s="779"/>
      <c r="J104" s="779"/>
      <c r="K104" s="779"/>
      <c r="M104" s="90"/>
    </row>
    <row r="105" spans="2:13" x14ac:dyDescent="0.35">
      <c r="B105" s="673"/>
      <c r="C105" s="3"/>
      <c r="D105" s="3"/>
      <c r="E105" s="3"/>
      <c r="F105" s="3"/>
      <c r="G105" s="3"/>
      <c r="H105" s="3"/>
      <c r="I105" s="3"/>
      <c r="J105" s="3"/>
      <c r="K105" s="3"/>
      <c r="M105" s="90"/>
    </row>
    <row r="106" spans="2:13" ht="46.15" customHeight="1" x14ac:dyDescent="0.35">
      <c r="B106" s="737" t="s">
        <v>785</v>
      </c>
      <c r="C106" s="3"/>
      <c r="D106" s="781" t="s">
        <v>784</v>
      </c>
      <c r="E106" s="781"/>
      <c r="F106" s="780" t="s">
        <v>1087</v>
      </c>
      <c r="G106" s="780"/>
      <c r="H106" s="780" t="s">
        <v>789</v>
      </c>
      <c r="I106" s="780"/>
      <c r="J106" s="780" t="s">
        <v>782</v>
      </c>
      <c r="K106" s="780"/>
      <c r="M106" s="90"/>
    </row>
    <row r="107" spans="2:13" x14ac:dyDescent="0.35">
      <c r="B107" s="3"/>
      <c r="C107" s="3"/>
      <c r="D107" s="3"/>
      <c r="E107" s="3"/>
      <c r="F107" s="3"/>
      <c r="G107" s="3"/>
      <c r="H107" s="3"/>
      <c r="I107" s="3"/>
      <c r="J107" s="3"/>
      <c r="K107" s="3"/>
      <c r="M107" s="90"/>
    </row>
    <row r="108" spans="2:13" x14ac:dyDescent="0.35">
      <c r="B108" s="672">
        <f>B97</f>
        <v>44774</v>
      </c>
      <c r="C108" s="3"/>
      <c r="D108" s="785">
        <v>6.5839999999999996</v>
      </c>
      <c r="E108" s="785"/>
      <c r="F108" s="784">
        <v>5.8999999999999999E-3</v>
      </c>
      <c r="G108" s="784"/>
      <c r="H108" s="785">
        <v>3.7199999999999997E-2</v>
      </c>
      <c r="I108" s="785"/>
      <c r="J108" s="785">
        <v>6.6603000000000003</v>
      </c>
      <c r="K108" s="785"/>
      <c r="M108" s="90"/>
    </row>
    <row r="109" spans="2:13" x14ac:dyDescent="0.35">
      <c r="B109" s="672">
        <f>B98</f>
        <v>44805</v>
      </c>
      <c r="C109" s="3"/>
      <c r="D109" s="785">
        <v>6.5430000000000001</v>
      </c>
      <c r="E109" s="785"/>
      <c r="F109" s="784">
        <v>5.8999999999999999E-3</v>
      </c>
      <c r="G109" s="784"/>
      <c r="H109" s="785">
        <v>3.7199999999999997E-2</v>
      </c>
      <c r="I109" s="785"/>
      <c r="J109" s="785">
        <v>6.6189999999999998</v>
      </c>
      <c r="K109" s="785"/>
      <c r="M109" s="90"/>
    </row>
    <row r="110" spans="2:13" x14ac:dyDescent="0.35">
      <c r="B110" s="672">
        <f>B99</f>
        <v>44835</v>
      </c>
      <c r="C110" s="3"/>
      <c r="D110" s="785">
        <v>6.5339999999999998</v>
      </c>
      <c r="E110" s="785"/>
      <c r="F110" s="784">
        <v>5.8999999999999999E-3</v>
      </c>
      <c r="G110" s="784"/>
      <c r="H110" s="785">
        <v>3.7400000000000003E-2</v>
      </c>
      <c r="I110" s="785"/>
      <c r="J110" s="785">
        <v>6.6101999999999999</v>
      </c>
      <c r="K110" s="785"/>
      <c r="M110" s="90"/>
    </row>
    <row r="111" spans="2:13" x14ac:dyDescent="0.35">
      <c r="B111" s="673"/>
      <c r="C111" s="3"/>
      <c r="D111" s="3"/>
      <c r="E111" s="3"/>
      <c r="F111" s="3"/>
      <c r="G111" s="3"/>
      <c r="H111" s="3"/>
      <c r="I111" s="3"/>
      <c r="J111" s="3"/>
      <c r="K111" s="3"/>
      <c r="M111" s="90"/>
    </row>
    <row r="112" spans="2:13" x14ac:dyDescent="0.35">
      <c r="B112" s="742"/>
      <c r="C112" s="738"/>
      <c r="D112" s="738"/>
      <c r="E112" s="738"/>
      <c r="F112" s="738"/>
      <c r="G112" s="3"/>
      <c r="H112" s="3"/>
      <c r="I112" s="3"/>
      <c r="J112" s="3"/>
      <c r="K112" s="3"/>
      <c r="M112" s="90"/>
    </row>
    <row r="113" spans="2:13" x14ac:dyDescent="0.35">
      <c r="B113" s="778" t="s">
        <v>781</v>
      </c>
      <c r="C113" s="778"/>
      <c r="D113" s="778"/>
      <c r="E113" s="778"/>
      <c r="F113" s="778"/>
      <c r="G113" s="778"/>
      <c r="H113" s="778"/>
      <c r="I113" s="778"/>
      <c r="J113" s="778"/>
      <c r="K113" s="778"/>
      <c r="M113" s="90"/>
    </row>
    <row r="114" spans="2:13" x14ac:dyDescent="0.35">
      <c r="B114" s="778" t="s">
        <v>776</v>
      </c>
      <c r="C114" s="778"/>
      <c r="D114" s="778"/>
      <c r="E114" s="778"/>
      <c r="F114" s="778"/>
      <c r="G114" s="778"/>
      <c r="H114" s="778"/>
      <c r="I114" s="778"/>
      <c r="J114" s="778"/>
      <c r="K114" s="778"/>
      <c r="M114" s="90"/>
    </row>
    <row r="115" spans="2:13" x14ac:dyDescent="0.35">
      <c r="B115" s="779" t="s">
        <v>786</v>
      </c>
      <c r="C115" s="779"/>
      <c r="D115" s="779"/>
      <c r="E115" s="779"/>
      <c r="F115" s="779"/>
      <c r="G115" s="779"/>
      <c r="H115" s="779"/>
      <c r="I115" s="779"/>
      <c r="J115" s="779"/>
      <c r="K115" s="779"/>
      <c r="M115" s="90"/>
    </row>
    <row r="116" spans="2:13" x14ac:dyDescent="0.35">
      <c r="B116" s="673"/>
      <c r="C116" s="3"/>
      <c r="D116" s="3"/>
      <c r="E116" s="3"/>
      <c r="F116" s="3"/>
      <c r="G116" s="3"/>
      <c r="H116" s="3"/>
      <c r="I116" s="3"/>
      <c r="J116" s="3"/>
      <c r="K116" s="3"/>
      <c r="M116" s="90"/>
    </row>
    <row r="117" spans="2:13" ht="46.15" customHeight="1" x14ac:dyDescent="0.35">
      <c r="B117" s="737" t="s">
        <v>785</v>
      </c>
      <c r="C117" s="3"/>
      <c r="D117" s="781" t="s">
        <v>787</v>
      </c>
      <c r="E117" s="781"/>
      <c r="F117" s="780" t="s">
        <v>1086</v>
      </c>
      <c r="G117" s="780"/>
      <c r="H117" s="780" t="s">
        <v>788</v>
      </c>
      <c r="I117" s="780"/>
      <c r="J117" s="780" t="s">
        <v>782</v>
      </c>
      <c r="K117" s="780"/>
      <c r="M117" s="90"/>
    </row>
    <row r="118" spans="2:13" x14ac:dyDescent="0.35">
      <c r="B118" s="3"/>
      <c r="C118" s="3"/>
      <c r="D118" s="3"/>
      <c r="E118" s="3"/>
      <c r="F118" s="3"/>
      <c r="G118" s="3"/>
      <c r="H118" s="3"/>
      <c r="I118" s="3"/>
      <c r="J118" s="3"/>
      <c r="K118" s="3"/>
      <c r="M118" s="90"/>
    </row>
    <row r="119" spans="2:13" x14ac:dyDescent="0.35">
      <c r="B119" s="672">
        <f>B108</f>
        <v>44774</v>
      </c>
      <c r="C119" s="3"/>
      <c r="D119" s="785">
        <v>6.6870000000000003</v>
      </c>
      <c r="E119" s="785"/>
      <c r="F119" s="784">
        <v>1.2999999999999999E-3</v>
      </c>
      <c r="G119" s="784"/>
      <c r="H119" s="785">
        <v>4.1200000000000001E-2</v>
      </c>
      <c r="I119" s="785"/>
      <c r="J119" s="785">
        <v>6.7369000000000003</v>
      </c>
      <c r="K119" s="785"/>
      <c r="M119" s="90"/>
    </row>
    <row r="120" spans="2:13" x14ac:dyDescent="0.35">
      <c r="B120" s="672">
        <f>B109</f>
        <v>44805</v>
      </c>
      <c r="C120" s="3"/>
      <c r="D120" s="785">
        <v>6.6459999999999999</v>
      </c>
      <c r="E120" s="785"/>
      <c r="F120" s="784">
        <v>1.2999999999999999E-3</v>
      </c>
      <c r="G120" s="784"/>
      <c r="H120" s="785">
        <v>4.1200000000000001E-2</v>
      </c>
      <c r="I120" s="785"/>
      <c r="J120" s="785">
        <v>6.6959</v>
      </c>
      <c r="K120" s="785"/>
      <c r="M120" s="90"/>
    </row>
    <row r="121" spans="2:13" x14ac:dyDescent="0.35">
      <c r="B121" s="672">
        <f>B110</f>
        <v>44835</v>
      </c>
      <c r="C121" s="3"/>
      <c r="D121" s="785">
        <v>6.6369999999999996</v>
      </c>
      <c r="E121" s="785"/>
      <c r="F121" s="784">
        <v>1.2999999999999999E-3</v>
      </c>
      <c r="G121" s="784"/>
      <c r="H121" s="785">
        <v>4.1399999999999999E-2</v>
      </c>
      <c r="I121" s="785"/>
      <c r="J121" s="785">
        <v>6.6870000000000003</v>
      </c>
      <c r="K121" s="785"/>
      <c r="M121" s="90"/>
    </row>
    <row r="122" spans="2:13" x14ac:dyDescent="0.35">
      <c r="B122" s="673"/>
      <c r="C122" s="3"/>
      <c r="D122" s="3"/>
      <c r="E122" s="3"/>
      <c r="F122" s="3"/>
      <c r="G122" s="3"/>
      <c r="H122" s="3"/>
      <c r="I122" s="3"/>
      <c r="J122" s="3"/>
      <c r="K122" s="3"/>
    </row>
    <row r="123" spans="2:13" x14ac:dyDescent="0.35">
      <c r="B123" s="673"/>
      <c r="C123" s="673"/>
      <c r="D123" s="3"/>
      <c r="E123" s="3"/>
      <c r="F123" s="3"/>
      <c r="G123" s="3"/>
      <c r="H123" s="3"/>
      <c r="I123" s="3"/>
      <c r="J123" s="3"/>
      <c r="K123" s="3"/>
    </row>
    <row r="124" spans="2:13" ht="31.9" customHeight="1" x14ac:dyDescent="0.35">
      <c r="B124" s="771" t="s">
        <v>1091</v>
      </c>
      <c r="C124" s="771"/>
      <c r="D124" s="771"/>
      <c r="E124" s="771"/>
      <c r="F124" s="771"/>
      <c r="G124" s="771"/>
      <c r="H124" s="771"/>
      <c r="I124" s="771"/>
      <c r="J124" s="771"/>
      <c r="K124" s="771"/>
      <c r="M124" s="90"/>
    </row>
    <row r="125" spans="2:13" x14ac:dyDescent="0.35">
      <c r="B125" s="3"/>
      <c r="C125" s="3"/>
      <c r="D125" s="3"/>
      <c r="E125" s="3"/>
      <c r="F125" s="3"/>
      <c r="G125" s="3"/>
      <c r="H125" s="3"/>
      <c r="I125" s="3"/>
      <c r="J125" s="3"/>
      <c r="K125" s="3"/>
    </row>
    <row r="126" spans="2:13" x14ac:dyDescent="0.35">
      <c r="B126" s="786" t="s">
        <v>790</v>
      </c>
      <c r="C126" s="786"/>
      <c r="D126" s="786"/>
      <c r="E126" s="786"/>
      <c r="F126" s="786"/>
      <c r="G126" s="786"/>
      <c r="H126" s="786"/>
      <c r="I126" s="786"/>
      <c r="J126" s="786"/>
      <c r="K126" s="3"/>
    </row>
    <row r="127" spans="2:13" x14ac:dyDescent="0.35">
      <c r="B127" s="743"/>
      <c r="C127" s="3"/>
      <c r="D127" s="3"/>
      <c r="E127" s="3"/>
      <c r="F127" s="3"/>
      <c r="G127" s="3"/>
      <c r="H127" s="3"/>
      <c r="I127" s="3"/>
      <c r="J127" s="3"/>
      <c r="K127" s="3"/>
    </row>
    <row r="128" spans="2:13" ht="31.5" customHeight="1" x14ac:dyDescent="0.35">
      <c r="B128" s="771" t="s">
        <v>1076</v>
      </c>
      <c r="C128" s="771"/>
      <c r="D128" s="771"/>
      <c r="E128" s="771"/>
      <c r="F128" s="771"/>
      <c r="G128" s="771"/>
      <c r="H128" s="771"/>
      <c r="I128" s="771"/>
      <c r="J128" s="771"/>
      <c r="K128" s="771"/>
      <c r="M128" s="90"/>
    </row>
    <row r="129" spans="2:11" x14ac:dyDescent="0.35">
      <c r="B129" s="744"/>
      <c r="C129" s="744"/>
      <c r="D129" s="744"/>
      <c r="E129" s="744"/>
      <c r="F129" s="744"/>
      <c r="G129" s="744"/>
      <c r="H129" s="744"/>
      <c r="I129" s="744"/>
      <c r="J129" s="744"/>
      <c r="K129" s="744"/>
    </row>
    <row r="130" spans="2:11" ht="48" customHeight="1" x14ac:dyDescent="0.35">
      <c r="B130" s="771" t="s">
        <v>791</v>
      </c>
      <c r="C130" s="771"/>
      <c r="D130" s="771"/>
      <c r="E130" s="771"/>
      <c r="F130" s="771"/>
      <c r="G130" s="771"/>
      <c r="H130" s="771"/>
      <c r="I130" s="771"/>
      <c r="J130" s="771"/>
      <c r="K130" s="771"/>
    </row>
  </sheetData>
  <mergeCells count="97">
    <mergeCell ref="B128:K128"/>
    <mergeCell ref="B130:K130"/>
    <mergeCell ref="B126:J126"/>
    <mergeCell ref="B1:K1"/>
    <mergeCell ref="B3:K3"/>
    <mergeCell ref="B5:K5"/>
    <mergeCell ref="B7:K7"/>
    <mergeCell ref="B13:K13"/>
    <mergeCell ref="B17:K17"/>
    <mergeCell ref="B19:K19"/>
    <mergeCell ref="B23:K23"/>
    <mergeCell ref="B27:K27"/>
    <mergeCell ref="B29:K29"/>
    <mergeCell ref="B35:K35"/>
    <mergeCell ref="B39:K39"/>
    <mergeCell ref="J121:K121"/>
    <mergeCell ref="H121:I121"/>
    <mergeCell ref="F121:G121"/>
    <mergeCell ref="D121:E121"/>
    <mergeCell ref="B124:K124"/>
    <mergeCell ref="J119:K119"/>
    <mergeCell ref="J120:K120"/>
    <mergeCell ref="H120:I120"/>
    <mergeCell ref="H119:I119"/>
    <mergeCell ref="F119:G119"/>
    <mergeCell ref="F120:G120"/>
    <mergeCell ref="D120:E120"/>
    <mergeCell ref="D119:E119"/>
    <mergeCell ref="B115:K115"/>
    <mergeCell ref="B114:K114"/>
    <mergeCell ref="D117:E117"/>
    <mergeCell ref="F117:G117"/>
    <mergeCell ref="H117:I117"/>
    <mergeCell ref="J117:K117"/>
    <mergeCell ref="J110:K110"/>
    <mergeCell ref="H110:I110"/>
    <mergeCell ref="F110:G110"/>
    <mergeCell ref="D110:E110"/>
    <mergeCell ref="B113:K113"/>
    <mergeCell ref="D108:E108"/>
    <mergeCell ref="D109:E109"/>
    <mergeCell ref="B104:K104"/>
    <mergeCell ref="B103:K103"/>
    <mergeCell ref="B102:K102"/>
    <mergeCell ref="J106:K106"/>
    <mergeCell ref="H106:I106"/>
    <mergeCell ref="F106:G106"/>
    <mergeCell ref="D106:E106"/>
    <mergeCell ref="J109:K109"/>
    <mergeCell ref="J108:K108"/>
    <mergeCell ref="H109:I109"/>
    <mergeCell ref="H108:I108"/>
    <mergeCell ref="F109:G109"/>
    <mergeCell ref="F108:G108"/>
    <mergeCell ref="J97:K97"/>
    <mergeCell ref="J98:K98"/>
    <mergeCell ref="J99:K99"/>
    <mergeCell ref="H99:I99"/>
    <mergeCell ref="H98:I98"/>
    <mergeCell ref="H97:I97"/>
    <mergeCell ref="F97:G97"/>
    <mergeCell ref="F98:G98"/>
    <mergeCell ref="F99:G99"/>
    <mergeCell ref="D99:E99"/>
    <mergeCell ref="D98:E98"/>
    <mergeCell ref="D97:E97"/>
    <mergeCell ref="C55:K55"/>
    <mergeCell ref="B91:K91"/>
    <mergeCell ref="B93:K93"/>
    <mergeCell ref="B92:K92"/>
    <mergeCell ref="J95:K95"/>
    <mergeCell ref="H95:I95"/>
    <mergeCell ref="F95:G95"/>
    <mergeCell ref="D95:E95"/>
    <mergeCell ref="B85:K85"/>
    <mergeCell ref="B87:K87"/>
    <mergeCell ref="B89:K89"/>
    <mergeCell ref="B83:K83"/>
    <mergeCell ref="C57:K57"/>
    <mergeCell ref="C59:K59"/>
    <mergeCell ref="C61:K61"/>
    <mergeCell ref="C63:K63"/>
    <mergeCell ref="C51:J51"/>
    <mergeCell ref="C47:K47"/>
    <mergeCell ref="C53:K53"/>
    <mergeCell ref="C49:K49"/>
    <mergeCell ref="B9:J9"/>
    <mergeCell ref="B21:J21"/>
    <mergeCell ref="B33:J33"/>
    <mergeCell ref="B31:J31"/>
    <mergeCell ref="B15:K15"/>
    <mergeCell ref="B25:K25"/>
    <mergeCell ref="B43:J43"/>
    <mergeCell ref="B41:K41"/>
    <mergeCell ref="B45:K45"/>
    <mergeCell ref="B11:J11"/>
    <mergeCell ref="B37:K37"/>
  </mergeCells>
  <pageMargins left="0.7" right="0.7" top="0.75" bottom="0.75" header="0.3" footer="0.3"/>
  <pageSetup scale="69" fitToHeight="5" orientation="portrait" cellComments="atEnd" r:id="rId1"/>
  <headerFooter>
    <oddHeader>&amp;R&amp;"Times New Roman,Bold"Exhibit A-1
&amp;P of &amp;N</oddHeader>
  </headerFooter>
  <rowBreaks count="4" manualBreakCount="4">
    <brk id="29" max="10" man="1"/>
    <brk id="42" max="10" man="1"/>
    <brk id="83" max="10" man="1"/>
    <brk id="112" max="10"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0"/>
  <sheetViews>
    <sheetView zoomScale="70" zoomScaleNormal="70" workbookViewId="0"/>
  </sheetViews>
  <sheetFormatPr defaultColWidth="9.765625" defaultRowHeight="15.5" x14ac:dyDescent="0.35"/>
  <cols>
    <col min="1" max="1" width="8.23046875" style="396" bestFit="1" customWidth="1"/>
    <col min="2" max="2" width="75.23046875" style="368" bestFit="1" customWidth="1"/>
    <col min="3" max="3" width="14.84375" style="368" customWidth="1"/>
    <col min="4" max="4" width="16.69140625" style="368" customWidth="1"/>
    <col min="5" max="5" width="14.23046875" style="368" customWidth="1"/>
    <col min="6" max="6" width="14.765625" style="368" customWidth="1"/>
    <col min="7" max="7" width="5.69140625" style="368" customWidth="1"/>
    <col min="8" max="8" width="4.4609375" style="368" customWidth="1"/>
    <col min="9" max="9" width="10.3046875" style="368" bestFit="1" customWidth="1"/>
    <col min="10" max="16384" width="9.765625" style="368"/>
  </cols>
  <sheetData>
    <row r="1" spans="1:9" ht="18" x14ac:dyDescent="0.4">
      <c r="A1" s="367"/>
      <c r="B1" s="12"/>
      <c r="C1" s="12"/>
      <c r="D1" s="12"/>
      <c r="E1" s="12"/>
      <c r="F1" s="12"/>
    </row>
    <row r="2" spans="1:9" ht="18" x14ac:dyDescent="0.4">
      <c r="A2" s="369" t="s">
        <v>5</v>
      </c>
      <c r="B2" s="370"/>
      <c r="C2" s="370"/>
      <c r="D2" s="370"/>
      <c r="E2" s="370"/>
      <c r="F2" s="370"/>
      <c r="G2" s="371"/>
    </row>
    <row r="3" spans="1:9" ht="18" x14ac:dyDescent="0.4">
      <c r="A3" s="372" t="s">
        <v>224</v>
      </c>
      <c r="B3" s="373"/>
      <c r="C3" s="373"/>
      <c r="D3" s="373"/>
      <c r="E3" s="370"/>
      <c r="F3" s="370"/>
      <c r="G3" s="371"/>
    </row>
    <row r="4" spans="1:9" ht="18" x14ac:dyDescent="0.4">
      <c r="A4" s="88" t="str">
        <f>CONCATENATE("For the Three-Month Period From ",'Input Data'!D4," thru ",'Input Data'!D5)</f>
        <v>For the Three-Month Period From August 1, 2022 thru October 31, 2022</v>
      </c>
      <c r="B4" s="373"/>
      <c r="C4" s="373"/>
      <c r="D4" s="373"/>
      <c r="E4" s="370"/>
      <c r="F4" s="370"/>
      <c r="G4" s="371"/>
    </row>
    <row r="5" spans="1:9" ht="19.5" customHeight="1" x14ac:dyDescent="0.4">
      <c r="A5" s="367"/>
      <c r="B5" s="12"/>
      <c r="C5" s="12"/>
      <c r="D5" s="12"/>
      <c r="E5" s="12"/>
      <c r="F5" s="355"/>
      <c r="G5" s="12"/>
    </row>
    <row r="6" spans="1:9" ht="18" x14ac:dyDescent="0.4">
      <c r="A6" s="374" t="s">
        <v>247</v>
      </c>
      <c r="B6" s="374" t="s">
        <v>31</v>
      </c>
      <c r="C6" s="375">
        <f>'Input Data'!C4</f>
        <v>44774</v>
      </c>
      <c r="D6" s="375">
        <f>EDATE(C6,1)</f>
        <v>44805</v>
      </c>
      <c r="E6" s="375">
        <f>EDATE(D6,1)</f>
        <v>44835</v>
      </c>
      <c r="F6" s="376" t="s">
        <v>30</v>
      </c>
      <c r="G6" s="12"/>
    </row>
    <row r="7" spans="1:9" ht="18" x14ac:dyDescent="0.4">
      <c r="A7" s="367"/>
      <c r="B7" s="12"/>
      <c r="C7" s="12"/>
      <c r="D7" s="12"/>
      <c r="E7" s="12"/>
      <c r="F7" s="12"/>
      <c r="G7" s="12"/>
    </row>
    <row r="8" spans="1:9" ht="18" x14ac:dyDescent="0.4">
      <c r="A8" s="377" t="s">
        <v>248</v>
      </c>
      <c r="B8" s="378" t="s">
        <v>549</v>
      </c>
      <c r="C8" s="379">
        <f>'Input Data'!C24</f>
        <v>602485</v>
      </c>
      <c r="D8" s="379">
        <f>'Input Data'!D24</f>
        <v>718778</v>
      </c>
      <c r="E8" s="379">
        <f>'Input Data'!E24</f>
        <v>1252936</v>
      </c>
      <c r="F8" s="49">
        <f>ROUND(SUM(C8:E8),0)</f>
        <v>2574199</v>
      </c>
      <c r="G8" s="12"/>
      <c r="I8" s="380"/>
    </row>
    <row r="9" spans="1:9" ht="18" x14ac:dyDescent="0.4">
      <c r="A9" s="377">
        <f>A8+1</f>
        <v>2</v>
      </c>
      <c r="B9" s="378" t="s">
        <v>551</v>
      </c>
      <c r="C9" s="458">
        <f>'Input Data'!C25</f>
        <v>1854200</v>
      </c>
      <c r="D9" s="458">
        <f>'Input Data'!D25</f>
        <v>1794400</v>
      </c>
      <c r="E9" s="458">
        <f>'Input Data'!E25</f>
        <v>1854200</v>
      </c>
      <c r="F9" s="49">
        <f>ROUND(SUM(C9:E9),0)</f>
        <v>5502800</v>
      </c>
      <c r="G9" s="12"/>
    </row>
    <row r="10" spans="1:9" ht="18" x14ac:dyDescent="0.4">
      <c r="A10" s="377">
        <f>A9+1</f>
        <v>3</v>
      </c>
      <c r="B10" s="378" t="s">
        <v>557</v>
      </c>
      <c r="C10" s="459">
        <f>'Input Data'!C26</f>
        <v>620000</v>
      </c>
      <c r="D10" s="459">
        <f>'Input Data'!D26</f>
        <v>600000</v>
      </c>
      <c r="E10" s="459">
        <f>'Input Data'!E26</f>
        <v>620000</v>
      </c>
      <c r="F10" s="381">
        <f>ROUND(SUM(C10:E10),0)</f>
        <v>1840000</v>
      </c>
      <c r="G10" s="12"/>
    </row>
    <row r="11" spans="1:9" ht="18" x14ac:dyDescent="0.4">
      <c r="A11" s="377">
        <f>A10+1</f>
        <v>4</v>
      </c>
      <c r="B11" s="378" t="s">
        <v>32</v>
      </c>
      <c r="C11" s="49">
        <f>SUM(C8:C10)</f>
        <v>3076685</v>
      </c>
      <c r="D11" s="49">
        <f>SUM(D8:D10)</f>
        <v>3113178</v>
      </c>
      <c r="E11" s="49">
        <f>SUM(E8:E10)</f>
        <v>3727136</v>
      </c>
      <c r="F11" s="49">
        <f>SUM(C11:E11)</f>
        <v>9916999</v>
      </c>
      <c r="G11" s="12"/>
    </row>
    <row r="12" spans="1:9" ht="18" x14ac:dyDescent="0.4">
      <c r="A12" s="377"/>
      <c r="B12" s="12"/>
      <c r="C12" s="379"/>
      <c r="D12" s="379"/>
      <c r="E12" s="379"/>
      <c r="F12" s="49"/>
      <c r="G12" s="12"/>
    </row>
    <row r="13" spans="1:9" ht="18" x14ac:dyDescent="0.4">
      <c r="A13" s="377">
        <f>A11+1</f>
        <v>5</v>
      </c>
      <c r="B13" s="378" t="s">
        <v>33</v>
      </c>
      <c r="C13" s="458">
        <f>'Input Data'!C28</f>
        <v>0</v>
      </c>
      <c r="D13" s="458">
        <f>'Input Data'!D28</f>
        <v>0</v>
      </c>
      <c r="E13" s="458">
        <f>'Input Data'!E28</f>
        <v>0</v>
      </c>
      <c r="F13" s="49">
        <f>SUM(C13:E13)</f>
        <v>0</v>
      </c>
      <c r="G13" s="12"/>
    </row>
    <row r="14" spans="1:9" ht="18" x14ac:dyDescent="0.4">
      <c r="A14" s="377">
        <f>A13+1</f>
        <v>6</v>
      </c>
      <c r="B14" s="378" t="s">
        <v>34</v>
      </c>
      <c r="C14" s="382">
        <f>'Input Data'!C29</f>
        <v>0</v>
      </c>
      <c r="D14" s="382">
        <f>'Input Data'!D29</f>
        <v>0</v>
      </c>
      <c r="E14" s="382">
        <f>'Input Data'!E29</f>
        <v>66000</v>
      </c>
      <c r="F14" s="381">
        <f>SUM(C14:E14)</f>
        <v>66000</v>
      </c>
      <c r="G14" s="12"/>
    </row>
    <row r="15" spans="1:9" ht="18" x14ac:dyDescent="0.4">
      <c r="A15" s="377">
        <f>A14+1</f>
        <v>7</v>
      </c>
      <c r="B15" s="378" t="s">
        <v>35</v>
      </c>
      <c r="C15" s="49">
        <f>C11+C13-C14</f>
        <v>3076685</v>
      </c>
      <c r="D15" s="49">
        <f>D11+D13-D14</f>
        <v>3113178</v>
      </c>
      <c r="E15" s="49">
        <f>E11+E13-E14</f>
        <v>3661136</v>
      </c>
      <c r="F15" s="49">
        <f>F11+F13-F14</f>
        <v>9850999</v>
      </c>
      <c r="G15" s="12"/>
    </row>
    <row r="16" spans="1:9" ht="18" x14ac:dyDescent="0.4">
      <c r="A16" s="377"/>
      <c r="B16" s="378" t="s">
        <v>448</v>
      </c>
      <c r="C16" s="12"/>
      <c r="D16" s="12"/>
      <c r="E16" s="12"/>
      <c r="F16" s="12"/>
      <c r="G16" s="12"/>
    </row>
    <row r="17" spans="1:10" ht="18" x14ac:dyDescent="0.4">
      <c r="A17" s="377"/>
      <c r="B17" s="12"/>
      <c r="C17" s="379"/>
      <c r="D17" s="379"/>
      <c r="E17" s="379"/>
      <c r="F17" s="379"/>
      <c r="G17" s="12"/>
    </row>
    <row r="18" spans="1:10" ht="18" x14ac:dyDescent="0.4">
      <c r="A18" s="377"/>
      <c r="B18" s="374" t="s">
        <v>36</v>
      </c>
      <c r="C18" s="379"/>
      <c r="D18" s="379"/>
      <c r="E18" s="379"/>
      <c r="F18" s="379"/>
      <c r="G18" s="12"/>
    </row>
    <row r="19" spans="1:10" ht="18" x14ac:dyDescent="0.4">
      <c r="A19" s="377">
        <f>A15+1</f>
        <v>8</v>
      </c>
      <c r="B19" s="378" t="s">
        <v>37</v>
      </c>
      <c r="C19" s="49">
        <f>ROUND(C11/'Input Data'!$C$17,0)</f>
        <v>2888906</v>
      </c>
      <c r="D19" s="49">
        <f>ROUND(D11/'Input Data'!$C$17,0)</f>
        <v>2923172</v>
      </c>
      <c r="E19" s="49">
        <f>ROUND(E11/'Input Data'!$C$17,0)</f>
        <v>3499658</v>
      </c>
      <c r="F19" s="379"/>
      <c r="G19" s="12"/>
    </row>
    <row r="20" spans="1:10" ht="18" x14ac:dyDescent="0.4">
      <c r="A20" s="377">
        <f>A19+1</f>
        <v>9</v>
      </c>
      <c r="B20" s="378" t="s">
        <v>39</v>
      </c>
      <c r="C20" s="49">
        <f>ROUND(C13/'Input Data'!$C$17,0)</f>
        <v>0</v>
      </c>
      <c r="D20" s="49">
        <f>ROUND(D13/'Input Data'!$C$17,0)</f>
        <v>0</v>
      </c>
      <c r="E20" s="49">
        <f>ROUND(E13/'Input Data'!$C$17,0)</f>
        <v>0</v>
      </c>
      <c r="F20" s="379"/>
      <c r="G20" s="12"/>
    </row>
    <row r="21" spans="1:10" ht="18" x14ac:dyDescent="0.4">
      <c r="A21" s="377">
        <f>A20+1</f>
        <v>10</v>
      </c>
      <c r="B21" s="378" t="s">
        <v>40</v>
      </c>
      <c r="C21" s="383">
        <f>ROUND(C14/'Input Data'!$C$17,0)</f>
        <v>0</v>
      </c>
      <c r="D21" s="383">
        <f>ROUND(D14/'Input Data'!$C$17,0)</f>
        <v>0</v>
      </c>
      <c r="E21" s="383">
        <f>ROUND(E14/'Input Data'!$C$17,0)</f>
        <v>61972</v>
      </c>
      <c r="F21" s="384"/>
      <c r="G21" s="12"/>
    </row>
    <row r="22" spans="1:10" ht="18" x14ac:dyDescent="0.4">
      <c r="A22" s="377">
        <f>A21+1</f>
        <v>11</v>
      </c>
      <c r="B22" s="378" t="s">
        <v>35</v>
      </c>
      <c r="C22" s="49">
        <f>C19+C20-C21</f>
        <v>2888906</v>
      </c>
      <c r="D22" s="49">
        <f>D19+D20-D21</f>
        <v>2923172</v>
      </c>
      <c r="E22" s="49">
        <f>E19+E20-E21</f>
        <v>3437686</v>
      </c>
      <c r="F22" s="12"/>
      <c r="G22" s="12"/>
    </row>
    <row r="23" spans="1:10" ht="18" x14ac:dyDescent="0.4">
      <c r="A23" s="377"/>
      <c r="B23" s="378" t="s">
        <v>448</v>
      </c>
      <c r="C23" s="12"/>
      <c r="D23" s="12"/>
      <c r="E23" s="12"/>
      <c r="F23" s="379"/>
      <c r="G23" s="12"/>
    </row>
    <row r="24" spans="1:10" ht="18" x14ac:dyDescent="0.4">
      <c r="A24" s="377"/>
      <c r="B24" s="12"/>
      <c r="C24" s="379"/>
      <c r="D24" s="12"/>
      <c r="E24" s="379"/>
      <c r="F24" s="379"/>
      <c r="G24" s="12"/>
    </row>
    <row r="25" spans="1:10" ht="18" x14ac:dyDescent="0.4">
      <c r="A25" s="377">
        <f>A22+1</f>
        <v>12</v>
      </c>
      <c r="B25" s="378" t="s">
        <v>449</v>
      </c>
      <c r="C25" s="382">
        <f>VLOOKUP(C6,Forecast!A9:K1000,3,FALSE)</f>
        <v>73156</v>
      </c>
      <c r="D25" s="382">
        <f>VLOOKUP(D6,Forecast!A9:K1000,3,FALSE)</f>
        <v>74365</v>
      </c>
      <c r="E25" s="382">
        <f>VLOOKUP(E6,Forecast!A9:K150,3,FALSE)</f>
        <v>80684</v>
      </c>
      <c r="F25" s="379"/>
      <c r="G25" s="12"/>
      <c r="I25" s="258"/>
      <c r="J25" s="258"/>
    </row>
    <row r="26" spans="1:10" ht="18" x14ac:dyDescent="0.4">
      <c r="A26" s="377">
        <f>A25+1</f>
        <v>13</v>
      </c>
      <c r="B26" s="378" t="s">
        <v>575</v>
      </c>
      <c r="C26" s="49">
        <f>C22+C25</f>
        <v>2962062</v>
      </c>
      <c r="D26" s="49">
        <f>D22+D25</f>
        <v>2997537</v>
      </c>
      <c r="E26" s="49">
        <f>E22+E25</f>
        <v>3518370</v>
      </c>
      <c r="F26" s="379"/>
      <c r="G26" s="12"/>
      <c r="I26" s="47"/>
    </row>
    <row r="27" spans="1:10" ht="18" x14ac:dyDescent="0.4">
      <c r="A27" s="377"/>
      <c r="B27" s="12"/>
      <c r="C27" s="379"/>
      <c r="D27" s="379"/>
      <c r="E27" s="379"/>
      <c r="F27" s="379"/>
      <c r="G27" s="12"/>
      <c r="I27" s="47"/>
    </row>
    <row r="28" spans="1:10" ht="18" x14ac:dyDescent="0.4">
      <c r="A28" s="377">
        <f>A26+1</f>
        <v>14</v>
      </c>
      <c r="B28" s="378" t="s">
        <v>41</v>
      </c>
      <c r="C28" s="379">
        <f>VLOOKUP(C6,Forecast!$A9:$K1000,4,FALSE)+VLOOKUP(C6,Forecast!$A9:$K1000,5,FALSE)</f>
        <v>101</v>
      </c>
      <c r="D28" s="379">
        <f>VLOOKUP(D6,Forecast!$A9:$K1000,4,FALSE)+VLOOKUP(D6,Forecast!$A9:$K1000,5,FALSE)</f>
        <v>92</v>
      </c>
      <c r="E28" s="379">
        <f>VLOOKUP(E6,Forecast!$A9:$K150,4,FALSE)+VLOOKUP(E6,Forecast!$A9:$K150,5,FALSE)</f>
        <v>143</v>
      </c>
      <c r="F28" s="379"/>
      <c r="G28" s="12"/>
      <c r="I28" s="47"/>
    </row>
    <row r="29" spans="1:10" ht="18" x14ac:dyDescent="0.4">
      <c r="A29" s="377">
        <f>A28+1</f>
        <v>15</v>
      </c>
      <c r="B29" s="378" t="s">
        <v>42</v>
      </c>
      <c r="C29" s="382">
        <f>VLOOKUP(C6,Forecast!$A9:$K1000,6,FALSE)</f>
        <v>2157000</v>
      </c>
      <c r="D29" s="382">
        <f>VLOOKUP(D6,Forecast!$A9:$K1000,6,FALSE)</f>
        <v>2084000</v>
      </c>
      <c r="E29" s="382">
        <f>VLOOKUP(E6,Forecast!$A9:$K150,6,FALSE)</f>
        <v>1800000</v>
      </c>
      <c r="F29" s="379"/>
      <c r="G29" s="12"/>
    </row>
    <row r="30" spans="1:10" ht="18" x14ac:dyDescent="0.4">
      <c r="A30" s="377">
        <f>A29+1</f>
        <v>16</v>
      </c>
      <c r="B30" s="378" t="s">
        <v>576</v>
      </c>
      <c r="C30" s="49">
        <f>C22-C28-C29</f>
        <v>731805</v>
      </c>
      <c r="D30" s="49">
        <f>D22-D28-D29</f>
        <v>839080</v>
      </c>
      <c r="E30" s="49">
        <f>E22-E28-E29</f>
        <v>1637543</v>
      </c>
      <c r="F30" s="49">
        <f>SUM(C30:E30)</f>
        <v>3208428</v>
      </c>
      <c r="G30" s="12"/>
    </row>
    <row r="31" spans="1:10" ht="18" x14ac:dyDescent="0.4">
      <c r="A31" s="377"/>
      <c r="B31" s="12"/>
      <c r="C31" s="379"/>
      <c r="D31" s="379"/>
      <c r="E31" s="379"/>
      <c r="F31" s="379"/>
      <c r="G31" s="12"/>
    </row>
    <row r="32" spans="1:10" ht="18" x14ac:dyDescent="0.4">
      <c r="A32" s="377">
        <f>A30+1</f>
        <v>17</v>
      </c>
      <c r="B32" s="378" t="s">
        <v>43</v>
      </c>
      <c r="C32" s="379">
        <f>'Input Data'!C16</f>
        <v>5451020</v>
      </c>
      <c r="D32" s="379">
        <f>C37</f>
        <v>7545477</v>
      </c>
      <c r="E32" s="379">
        <f>D37</f>
        <v>9581545</v>
      </c>
      <c r="F32" s="379"/>
      <c r="G32" s="12"/>
    </row>
    <row r="33" spans="1:9" ht="18" x14ac:dyDescent="0.4">
      <c r="A33" s="377">
        <f>A32+1</f>
        <v>18</v>
      </c>
      <c r="B33" s="378" t="s">
        <v>577</v>
      </c>
      <c r="C33" s="382">
        <f>C29</f>
        <v>2157000</v>
      </c>
      <c r="D33" s="382">
        <f>(D29)</f>
        <v>2084000</v>
      </c>
      <c r="E33" s="382">
        <f>(E29)</f>
        <v>1800000</v>
      </c>
      <c r="F33" s="379"/>
      <c r="G33" s="12"/>
    </row>
    <row r="34" spans="1:9" ht="18" x14ac:dyDescent="0.4">
      <c r="A34" s="377">
        <f>A33+1</f>
        <v>19</v>
      </c>
      <c r="B34" s="378" t="s">
        <v>44</v>
      </c>
      <c r="C34" s="49">
        <f>C32+C33</f>
        <v>7608020</v>
      </c>
      <c r="D34" s="49">
        <f>D32+D33</f>
        <v>9629477</v>
      </c>
      <c r="E34" s="49">
        <f>E32+E33</f>
        <v>11381545</v>
      </c>
      <c r="F34" s="379"/>
      <c r="G34" s="12"/>
      <c r="I34" s="47"/>
    </row>
    <row r="35" spans="1:9" ht="18" x14ac:dyDescent="0.4">
      <c r="A35" s="377">
        <f>A34+1</f>
        <v>20</v>
      </c>
      <c r="B35" s="378" t="s">
        <v>45</v>
      </c>
      <c r="C35" s="458">
        <f>VLOOKUP(C6,Forecast!$A9:$K1000,7,FALSE)</f>
        <v>0</v>
      </c>
      <c r="D35" s="458">
        <f>VLOOKUP(D6,Forecast!$A9:$K1000,7,FALSE)</f>
        <v>0</v>
      </c>
      <c r="E35" s="458">
        <f>VLOOKUP(E6,Forecast!$A9:$K150,7,FALSE)</f>
        <v>0</v>
      </c>
      <c r="F35" s="49">
        <f>SUM(C35:E35)</f>
        <v>0</v>
      </c>
      <c r="G35" s="12"/>
      <c r="I35" s="47"/>
    </row>
    <row r="36" spans="1:9" ht="18" x14ac:dyDescent="0.4">
      <c r="A36" s="377">
        <f>A35+1</f>
        <v>21</v>
      </c>
      <c r="B36" s="378" t="s">
        <v>46</v>
      </c>
      <c r="C36" s="459">
        <f>VLOOKUP(C6,Forecast!$A9:$K1000,8,FALSE)</f>
        <v>62543</v>
      </c>
      <c r="D36" s="459">
        <f>VLOOKUP(D6,Forecast!$A9:$K1000,8,FALSE)</f>
        <v>47932</v>
      </c>
      <c r="E36" s="459">
        <f>VLOOKUP(E6,Forecast!$A9:$K150,8,FALSE)</f>
        <v>51814</v>
      </c>
      <c r="F36" s="49">
        <f>C36+D36+E36</f>
        <v>162289</v>
      </c>
      <c r="G36" s="12"/>
      <c r="I36" s="47"/>
    </row>
    <row r="37" spans="1:9" ht="18" x14ac:dyDescent="0.4">
      <c r="A37" s="377">
        <f>A36+1</f>
        <v>22</v>
      </c>
      <c r="B37" s="378" t="s">
        <v>47</v>
      </c>
      <c r="C37" s="49">
        <f>C34-C35-C36</f>
        <v>7545477</v>
      </c>
      <c r="D37" s="49">
        <f>D34-D35-D36</f>
        <v>9581545</v>
      </c>
      <c r="E37" s="49">
        <f>E34-E35-E36</f>
        <v>11329731</v>
      </c>
      <c r="F37" s="379"/>
      <c r="G37" s="12"/>
    </row>
    <row r="38" spans="1:9" ht="18" x14ac:dyDescent="0.4">
      <c r="A38" s="377"/>
      <c r="B38" s="12"/>
      <c r="C38" s="379"/>
      <c r="D38" s="379"/>
      <c r="E38" s="379"/>
      <c r="F38" s="379"/>
      <c r="G38" s="12"/>
    </row>
    <row r="39" spans="1:9" ht="18" x14ac:dyDescent="0.4">
      <c r="A39" s="377">
        <f>A37+1</f>
        <v>23</v>
      </c>
      <c r="B39" s="378" t="s">
        <v>558</v>
      </c>
      <c r="C39" s="49">
        <f>C30+C35+C36</f>
        <v>794348</v>
      </c>
      <c r="D39" s="49">
        <f>D30+D35+D36</f>
        <v>887012</v>
      </c>
      <c r="E39" s="49">
        <f>E30+E35+E36</f>
        <v>1689357</v>
      </c>
      <c r="F39" s="49">
        <f>SUM(C39:E39)</f>
        <v>3370717</v>
      </c>
      <c r="G39" s="12"/>
    </row>
    <row r="40" spans="1:9" ht="18" x14ac:dyDescent="0.4">
      <c r="A40" s="377"/>
      <c r="B40" s="12"/>
      <c r="C40" s="379"/>
      <c r="D40" s="379"/>
      <c r="E40" s="379"/>
      <c r="F40" s="379"/>
      <c r="G40" s="12"/>
    </row>
    <row r="41" spans="1:9" ht="18" x14ac:dyDescent="0.4">
      <c r="A41" s="377"/>
      <c r="B41" s="374" t="s">
        <v>48</v>
      </c>
      <c r="C41" s="379"/>
      <c r="D41" s="379"/>
      <c r="E41" s="379"/>
      <c r="F41" s="379"/>
      <c r="G41" s="12"/>
    </row>
    <row r="42" spans="1:9" ht="18" x14ac:dyDescent="0.4">
      <c r="A42" s="377">
        <f>A39+1</f>
        <v>24</v>
      </c>
      <c r="B42" s="378" t="s">
        <v>559</v>
      </c>
      <c r="C42" s="385">
        <f>ROUND(C26*C66,0)</f>
        <v>2616686</v>
      </c>
      <c r="D42" s="385">
        <f>ROUND(D26*D66,0)</f>
        <v>2648024</v>
      </c>
      <c r="E42" s="385">
        <f>ROUND(E26*E66,0)</f>
        <v>3108128</v>
      </c>
      <c r="F42" s="49"/>
      <c r="G42" s="12"/>
    </row>
    <row r="43" spans="1:9" ht="18" x14ac:dyDescent="0.4">
      <c r="A43" s="377">
        <f>A42+1</f>
        <v>25</v>
      </c>
      <c r="B43" s="378" t="s">
        <v>560</v>
      </c>
      <c r="C43" s="383">
        <f>ROUND(C25*C66,0)</f>
        <v>64626</v>
      </c>
      <c r="D43" s="383">
        <f>ROUND(D25*D66,0)</f>
        <v>65694</v>
      </c>
      <c r="E43" s="383">
        <f>ROUND(E25*E66,0)</f>
        <v>71276</v>
      </c>
      <c r="F43" s="49"/>
      <c r="G43" s="12"/>
    </row>
    <row r="44" spans="1:9" ht="18" x14ac:dyDescent="0.4">
      <c r="A44" s="377">
        <f t="shared" ref="A44:A54" si="0">A43+1</f>
        <v>26</v>
      </c>
      <c r="B44" s="378" t="s">
        <v>450</v>
      </c>
      <c r="C44" s="385">
        <f>C42-C43</f>
        <v>2552060</v>
      </c>
      <c r="D44" s="385">
        <f>D42-D43</f>
        <v>2582330</v>
      </c>
      <c r="E44" s="385">
        <f>E42-E43</f>
        <v>3036852</v>
      </c>
      <c r="F44" s="49"/>
      <c r="G44" s="12"/>
    </row>
    <row r="45" spans="1:9" ht="18" x14ac:dyDescent="0.4">
      <c r="A45" s="377">
        <f t="shared" si="0"/>
        <v>27</v>
      </c>
      <c r="B45" s="378" t="s">
        <v>561</v>
      </c>
      <c r="C45" s="49">
        <f t="shared" ref="C45:E47" si="1">ROUND(C8*C67,0)</f>
        <v>4079968</v>
      </c>
      <c r="D45" s="49">
        <f t="shared" si="1"/>
        <v>4837592</v>
      </c>
      <c r="E45" s="49">
        <f t="shared" si="1"/>
        <v>8421359</v>
      </c>
      <c r="F45" s="49"/>
      <c r="G45" s="12"/>
    </row>
    <row r="46" spans="1:9" ht="18" x14ac:dyDescent="0.4">
      <c r="A46" s="377">
        <f t="shared" si="0"/>
        <v>28</v>
      </c>
      <c r="B46" s="378" t="s">
        <v>578</v>
      </c>
      <c r="C46" s="49">
        <f>ROUND(C9*C68,0)</f>
        <v>12349528</v>
      </c>
      <c r="D46" s="49">
        <f t="shared" si="1"/>
        <v>11877134</v>
      </c>
      <c r="E46" s="49">
        <f t="shared" si="1"/>
        <v>12256633</v>
      </c>
      <c r="F46" s="49"/>
      <c r="G46" s="12"/>
    </row>
    <row r="47" spans="1:9" ht="18" x14ac:dyDescent="0.4">
      <c r="A47" s="377">
        <f t="shared" si="0"/>
        <v>29</v>
      </c>
      <c r="B47" s="378" t="s">
        <v>586</v>
      </c>
      <c r="C47" s="49">
        <f t="shared" si="1"/>
        <v>4176878</v>
      </c>
      <c r="D47" s="49">
        <f t="shared" si="1"/>
        <v>4017540</v>
      </c>
      <c r="E47" s="49">
        <f t="shared" si="1"/>
        <v>4145940</v>
      </c>
      <c r="F47" s="49"/>
      <c r="G47" s="12"/>
    </row>
    <row r="48" spans="1:9" ht="18" x14ac:dyDescent="0.4">
      <c r="A48" s="377">
        <f t="shared" si="0"/>
        <v>30</v>
      </c>
      <c r="B48" s="378" t="s">
        <v>49</v>
      </c>
      <c r="C48" s="385">
        <f>SUM(C44:C47)</f>
        <v>23158434</v>
      </c>
      <c r="D48" s="385">
        <f>SUM(D44:D47)</f>
        <v>23314596</v>
      </c>
      <c r="E48" s="385">
        <f>SUM(E44:E47)</f>
        <v>27860784</v>
      </c>
      <c r="F48" s="385">
        <f t="shared" ref="F48:F54" si="2">SUM(C48:E48)</f>
        <v>74333814</v>
      </c>
      <c r="G48" s="12"/>
    </row>
    <row r="49" spans="1:7" ht="18" x14ac:dyDescent="0.4">
      <c r="A49" s="377">
        <f t="shared" si="0"/>
        <v>31</v>
      </c>
      <c r="B49" s="378" t="s">
        <v>562</v>
      </c>
      <c r="C49" s="49">
        <f>ROUND(C13*C67,0)</f>
        <v>0</v>
      </c>
      <c r="D49" s="49">
        <f>ROUND(D13*D67,0)</f>
        <v>0</v>
      </c>
      <c r="E49" s="49">
        <f>ROUND(E13*E67,0)</f>
        <v>0</v>
      </c>
      <c r="F49" s="49">
        <f t="shared" si="2"/>
        <v>0</v>
      </c>
      <c r="G49" s="12"/>
    </row>
    <row r="50" spans="1:7" ht="18" x14ac:dyDescent="0.4">
      <c r="A50" s="377">
        <f t="shared" si="0"/>
        <v>32</v>
      </c>
      <c r="B50" s="378" t="s">
        <v>563</v>
      </c>
      <c r="C50" s="383">
        <f>ROUND(C14*C67,0)</f>
        <v>0</v>
      </c>
      <c r="D50" s="383">
        <f>ROUND(D14*D67,0)</f>
        <v>0</v>
      </c>
      <c r="E50" s="383">
        <f>ROUND(E14*E67,0)</f>
        <v>443606</v>
      </c>
      <c r="F50" s="383">
        <f t="shared" si="2"/>
        <v>443606</v>
      </c>
      <c r="G50" s="12"/>
    </row>
    <row r="51" spans="1:7" ht="18" x14ac:dyDescent="0.4">
      <c r="A51" s="377">
        <f t="shared" si="0"/>
        <v>33</v>
      </c>
      <c r="B51" s="378" t="s">
        <v>50</v>
      </c>
      <c r="C51" s="385">
        <f>C48+C49-C50</f>
        <v>23158434</v>
      </c>
      <c r="D51" s="385">
        <f>D48+D49-D50</f>
        <v>23314596</v>
      </c>
      <c r="E51" s="385">
        <f>E48+E49-E50</f>
        <v>27417178</v>
      </c>
      <c r="F51" s="385">
        <f t="shared" si="2"/>
        <v>73890208</v>
      </c>
      <c r="G51" s="12"/>
    </row>
    <row r="52" spans="1:7" ht="18" x14ac:dyDescent="0.4">
      <c r="A52" s="377">
        <f t="shared" si="0"/>
        <v>34</v>
      </c>
      <c r="B52" s="378" t="s">
        <v>579</v>
      </c>
      <c r="C52" s="49">
        <f>ROUND(C28*C70,0)</f>
        <v>810</v>
      </c>
      <c r="D52" s="49">
        <f>ROUND(D28*D70,0)</f>
        <v>734</v>
      </c>
      <c r="E52" s="49">
        <f>ROUND(E28*E70,0)</f>
        <v>1140</v>
      </c>
      <c r="F52" s="49">
        <f t="shared" si="2"/>
        <v>2684</v>
      </c>
      <c r="G52" s="12"/>
    </row>
    <row r="53" spans="1:7" ht="18" x14ac:dyDescent="0.4">
      <c r="A53" s="377">
        <f t="shared" si="0"/>
        <v>35</v>
      </c>
      <c r="B53" s="378" t="s">
        <v>580</v>
      </c>
      <c r="C53" s="383">
        <f>ROUND(C29*C70,0)</f>
        <v>17291159</v>
      </c>
      <c r="D53" s="383">
        <f>ROUND(D29*D70,0)</f>
        <v>16621567</v>
      </c>
      <c r="E53" s="383">
        <f>ROUND(E29*E70,0)</f>
        <v>14355900</v>
      </c>
      <c r="F53" s="383">
        <f t="shared" si="2"/>
        <v>48268626</v>
      </c>
      <c r="G53" s="12"/>
    </row>
    <row r="54" spans="1:7" ht="18" x14ac:dyDescent="0.4">
      <c r="A54" s="377">
        <f t="shared" si="0"/>
        <v>36</v>
      </c>
      <c r="B54" s="378" t="s">
        <v>51</v>
      </c>
      <c r="C54" s="385">
        <f>C51-C52-C53</f>
        <v>5866465</v>
      </c>
      <c r="D54" s="385">
        <f>D51-D52-D53</f>
        <v>6692295</v>
      </c>
      <c r="E54" s="385">
        <f>E51-E52-E53</f>
        <v>13060138</v>
      </c>
      <c r="F54" s="385">
        <f t="shared" si="2"/>
        <v>25618898</v>
      </c>
      <c r="G54" s="12"/>
    </row>
    <row r="55" spans="1:7" ht="18" x14ac:dyDescent="0.4">
      <c r="A55" s="377"/>
      <c r="B55" s="12"/>
      <c r="C55" s="49"/>
      <c r="D55" s="49"/>
      <c r="E55" s="49"/>
      <c r="F55" s="49"/>
      <c r="G55" s="12"/>
    </row>
    <row r="56" spans="1:7" ht="18" x14ac:dyDescent="0.4">
      <c r="A56" s="377">
        <f>A54+1</f>
        <v>37</v>
      </c>
      <c r="B56" s="378" t="s">
        <v>43</v>
      </c>
      <c r="C56" s="386">
        <f>ROUND(C32*'Input Data'!C15,0)</f>
        <v>34794406</v>
      </c>
      <c r="D56" s="385">
        <f>C61</f>
        <v>51657389</v>
      </c>
      <c r="E56" s="385">
        <f>D61</f>
        <v>67939089</v>
      </c>
      <c r="F56" s="49"/>
      <c r="G56" s="12"/>
    </row>
    <row r="57" spans="1:7" ht="18" x14ac:dyDescent="0.4">
      <c r="A57" s="377">
        <f>A56+1</f>
        <v>38</v>
      </c>
      <c r="B57" s="378" t="s">
        <v>564</v>
      </c>
      <c r="C57" s="383">
        <f>(C53)</f>
        <v>17291159</v>
      </c>
      <c r="D57" s="383">
        <f>(D53)</f>
        <v>16621567</v>
      </c>
      <c r="E57" s="383">
        <f>(E53)</f>
        <v>14355900</v>
      </c>
      <c r="F57" s="49"/>
      <c r="G57" s="12"/>
    </row>
    <row r="58" spans="1:7" ht="18" x14ac:dyDescent="0.4">
      <c r="A58" s="377">
        <f>A57+1</f>
        <v>39</v>
      </c>
      <c r="B58" s="378" t="s">
        <v>44</v>
      </c>
      <c r="C58" s="385">
        <f>C56+C57</f>
        <v>52085565</v>
      </c>
      <c r="D58" s="385">
        <f>D56+D57</f>
        <v>68278956</v>
      </c>
      <c r="E58" s="385">
        <f>E56+E57</f>
        <v>82294989</v>
      </c>
      <c r="F58" s="49"/>
      <c r="G58" s="12"/>
    </row>
    <row r="59" spans="1:7" ht="18" x14ac:dyDescent="0.4">
      <c r="A59" s="377">
        <f>A58+1</f>
        <v>40</v>
      </c>
      <c r="B59" s="378" t="s">
        <v>581</v>
      </c>
      <c r="C59" s="49">
        <f>ROUND(C35*C71,0)</f>
        <v>0</v>
      </c>
      <c r="D59" s="49">
        <f>ROUND(D35*D71,0)</f>
        <v>0</v>
      </c>
      <c r="E59" s="49">
        <f>ROUND(E35*E71,0)</f>
        <v>0</v>
      </c>
      <c r="F59" s="385">
        <f>SUM(C59:E59)</f>
        <v>0</v>
      </c>
      <c r="G59" s="12"/>
    </row>
    <row r="60" spans="1:7" ht="18" x14ac:dyDescent="0.4">
      <c r="A60" s="377">
        <f>A59+1</f>
        <v>41</v>
      </c>
      <c r="B60" s="378" t="s">
        <v>582</v>
      </c>
      <c r="C60" s="383">
        <f>ROUND(C36*C71,0)</f>
        <v>428176</v>
      </c>
      <c r="D60" s="383">
        <f>ROUND(D36*D71,0)</f>
        <v>339867</v>
      </c>
      <c r="E60" s="383">
        <f>ROUND(E36*E71,0)</f>
        <v>374646</v>
      </c>
      <c r="F60" s="381">
        <f>C60+D60+E60</f>
        <v>1142689</v>
      </c>
      <c r="G60" s="12"/>
    </row>
    <row r="61" spans="1:7" ht="18" x14ac:dyDescent="0.4">
      <c r="A61" s="377">
        <f>A60+1</f>
        <v>42</v>
      </c>
      <c r="B61" s="378" t="s">
        <v>47</v>
      </c>
      <c r="C61" s="385">
        <f>C58-C59-C60</f>
        <v>51657389</v>
      </c>
      <c r="D61" s="385">
        <f>D58-D59-D60</f>
        <v>67939089</v>
      </c>
      <c r="E61" s="385">
        <f>E58-E59-E60</f>
        <v>81920343</v>
      </c>
      <c r="F61" s="49"/>
      <c r="G61" s="12"/>
    </row>
    <row r="62" spans="1:7" ht="18" x14ac:dyDescent="0.4">
      <c r="A62" s="377"/>
      <c r="B62" s="378"/>
      <c r="C62" s="385"/>
      <c r="D62" s="385"/>
      <c r="E62" s="385"/>
      <c r="F62" s="49"/>
      <c r="G62" s="12"/>
    </row>
    <row r="63" spans="1:7" ht="18" x14ac:dyDescent="0.4">
      <c r="A63" s="377">
        <f>A61+1</f>
        <v>43</v>
      </c>
      <c r="B63" s="378" t="s">
        <v>565</v>
      </c>
      <c r="C63" s="387">
        <f>C54+C59+C60</f>
        <v>6294641</v>
      </c>
      <c r="D63" s="387">
        <f>D54+D59+D60</f>
        <v>7032162</v>
      </c>
      <c r="E63" s="387">
        <f>E54+E59+E60</f>
        <v>13434784</v>
      </c>
      <c r="F63" s="387">
        <f>F54+F59+F60</f>
        <v>26761587</v>
      </c>
      <c r="G63" s="12"/>
    </row>
    <row r="64" spans="1:7" ht="18" x14ac:dyDescent="0.4">
      <c r="A64" s="377"/>
      <c r="B64" s="12"/>
      <c r="C64" s="379"/>
      <c r="D64" s="379"/>
      <c r="E64" s="379"/>
      <c r="F64" s="379"/>
      <c r="G64" s="12"/>
    </row>
    <row r="65" spans="1:14" ht="18" x14ac:dyDescent="0.4">
      <c r="A65" s="377"/>
      <c r="B65" s="374" t="s">
        <v>52</v>
      </c>
      <c r="C65" s="379"/>
      <c r="D65" s="379"/>
      <c r="E65" s="379"/>
      <c r="F65" s="379"/>
      <c r="G65" s="12"/>
    </row>
    <row r="66" spans="1:14" ht="18" x14ac:dyDescent="0.4">
      <c r="A66" s="377">
        <f>A63+1</f>
        <v>44</v>
      </c>
      <c r="B66" s="378" t="s">
        <v>53</v>
      </c>
      <c r="C66" s="388">
        <f>'Ex A 2 of 2'!F27</f>
        <v>0.88339999999999996</v>
      </c>
      <c r="D66" s="389">
        <f>C66</f>
        <v>0.88339999999999996</v>
      </c>
      <c r="E66" s="389">
        <f>C66</f>
        <v>0.88339999999999996</v>
      </c>
      <c r="F66" s="379"/>
      <c r="G66" s="12"/>
    </row>
    <row r="67" spans="1:14" ht="18" x14ac:dyDescent="0.4">
      <c r="A67" s="377">
        <f>A66+1</f>
        <v>45</v>
      </c>
      <c r="B67" s="378" t="s">
        <v>550</v>
      </c>
      <c r="C67" s="388">
        <f>'Input Data'!C31</f>
        <v>6.7718999999999996</v>
      </c>
      <c r="D67" s="388">
        <f>'Input Data'!D31</f>
        <v>6.7302999999999997</v>
      </c>
      <c r="E67" s="388">
        <f>'Input Data'!E31</f>
        <v>6.7213000000000003</v>
      </c>
      <c r="F67" s="390"/>
      <c r="G67" s="12"/>
      <c r="L67" s="391"/>
      <c r="M67" s="391"/>
      <c r="N67" s="391"/>
    </row>
    <row r="68" spans="1:14" ht="18" x14ac:dyDescent="0.4">
      <c r="A68" s="377">
        <f>A67+1</f>
        <v>46</v>
      </c>
      <c r="B68" s="378" t="s">
        <v>552</v>
      </c>
      <c r="C68" s="388">
        <f>'Input Data'!C32</f>
        <v>6.6603000000000003</v>
      </c>
      <c r="D68" s="388">
        <f>'Input Data'!D32</f>
        <v>6.6189999999999998</v>
      </c>
      <c r="E68" s="388">
        <f>'Input Data'!E32</f>
        <v>6.6101999999999999</v>
      </c>
      <c r="F68" s="390"/>
      <c r="G68" s="12"/>
      <c r="L68" s="391"/>
      <c r="M68" s="391"/>
      <c r="N68" s="391"/>
    </row>
    <row r="69" spans="1:14" ht="18" x14ac:dyDescent="0.4">
      <c r="A69" s="377">
        <f>A68+1</f>
        <v>47</v>
      </c>
      <c r="B69" s="378" t="s">
        <v>585</v>
      </c>
      <c r="C69" s="388">
        <f>'Input Data'!C33</f>
        <v>6.7369000000000003</v>
      </c>
      <c r="D69" s="388">
        <f>'Input Data'!D33</f>
        <v>6.6959</v>
      </c>
      <c r="E69" s="388">
        <f>'Input Data'!E33</f>
        <v>6.6870000000000003</v>
      </c>
      <c r="F69" s="390"/>
      <c r="G69" s="12"/>
      <c r="L69" s="391"/>
      <c r="M69" s="391"/>
      <c r="N69" s="391"/>
    </row>
    <row r="70" spans="1:14" ht="18" x14ac:dyDescent="0.4">
      <c r="A70" s="377">
        <f>A69+1</f>
        <v>48</v>
      </c>
      <c r="B70" s="378" t="s">
        <v>566</v>
      </c>
      <c r="C70" s="388">
        <f>ROUND(C51/C22,4)</f>
        <v>8.0162999999999993</v>
      </c>
      <c r="D70" s="388">
        <f>ROUND(D51/D22,4)</f>
        <v>7.9757999999999996</v>
      </c>
      <c r="E70" s="388">
        <f>ROUND(E51/E22,4)</f>
        <v>7.9755000000000003</v>
      </c>
      <c r="F70" s="379"/>
      <c r="G70" s="12"/>
    </row>
    <row r="71" spans="1:14" ht="18" x14ac:dyDescent="0.4">
      <c r="A71" s="377">
        <f>A70+1</f>
        <v>49</v>
      </c>
      <c r="B71" s="378" t="s">
        <v>567</v>
      </c>
      <c r="C71" s="388">
        <f>ROUND(C58/C34,4)</f>
        <v>6.8460999999999999</v>
      </c>
      <c r="D71" s="388">
        <f>ROUND(D58/D34,4)</f>
        <v>7.0906000000000002</v>
      </c>
      <c r="E71" s="388">
        <f>ROUND(E58/E34,4)</f>
        <v>7.2305999999999999</v>
      </c>
      <c r="F71" s="379"/>
      <c r="G71" s="12"/>
    </row>
    <row r="72" spans="1:14" ht="18" x14ac:dyDescent="0.4">
      <c r="A72" s="377"/>
      <c r="B72" s="12"/>
      <c r="C72" s="379"/>
      <c r="D72" s="379"/>
      <c r="E72" s="379"/>
      <c r="F72" s="379"/>
      <c r="G72" s="12"/>
    </row>
    <row r="73" spans="1:14" ht="18" x14ac:dyDescent="0.4">
      <c r="A73" s="377"/>
      <c r="B73" s="374" t="s">
        <v>54</v>
      </c>
      <c r="C73" s="392"/>
      <c r="D73" s="392"/>
      <c r="E73" s="392"/>
      <c r="F73" s="379"/>
      <c r="G73" s="12"/>
    </row>
    <row r="74" spans="1:14" ht="18" x14ac:dyDescent="0.4">
      <c r="A74" s="377">
        <f>A71+1</f>
        <v>50</v>
      </c>
      <c r="B74" s="378" t="s">
        <v>55</v>
      </c>
      <c r="C74" s="379"/>
      <c r="D74" s="379"/>
      <c r="E74" s="379"/>
      <c r="F74" s="393">
        <f>ROUND(F39*'Input Data'!C18,4)</f>
        <v>3300269.0147000002</v>
      </c>
      <c r="G74" s="378" t="s">
        <v>56</v>
      </c>
    </row>
    <row r="75" spans="1:14" ht="18" x14ac:dyDescent="0.4">
      <c r="A75" s="377"/>
      <c r="B75" s="394" t="str">
        <f>CONCATENATE('Input Data'!D4," through ",'Input Data'!D5)</f>
        <v>August 1, 2022 through October 31, 2022</v>
      </c>
      <c r="C75" s="379"/>
      <c r="D75" s="379"/>
      <c r="E75" s="379"/>
      <c r="F75" s="12"/>
      <c r="G75" s="12"/>
    </row>
    <row r="76" spans="1:14" ht="18" x14ac:dyDescent="0.4">
      <c r="A76" s="377"/>
      <c r="B76" s="12"/>
      <c r="C76" s="379"/>
      <c r="D76" s="379"/>
      <c r="E76" s="379"/>
      <c r="F76" s="379"/>
      <c r="G76" s="12"/>
    </row>
    <row r="77" spans="1:14" ht="18" x14ac:dyDescent="0.4">
      <c r="A77" s="377">
        <f>A74+1</f>
        <v>51</v>
      </c>
      <c r="B77" s="394" t="s">
        <v>568</v>
      </c>
      <c r="C77" s="379"/>
      <c r="D77" s="379"/>
      <c r="E77" s="379"/>
      <c r="F77" s="395">
        <f>F63/F74</f>
        <v>8.1089107829692093</v>
      </c>
      <c r="G77" s="378" t="s">
        <v>57</v>
      </c>
    </row>
    <row r="78" spans="1:14" ht="18" x14ac:dyDescent="0.4">
      <c r="A78" s="377"/>
      <c r="B78" s="12"/>
      <c r="C78" s="12"/>
      <c r="D78" s="12"/>
      <c r="E78" s="12"/>
      <c r="F78" s="12"/>
      <c r="G78" s="12"/>
    </row>
    <row r="79" spans="1:14" ht="18" x14ac:dyDescent="0.4">
      <c r="A79" s="377"/>
      <c r="B79" s="12"/>
      <c r="C79" s="12"/>
      <c r="D79" s="12"/>
      <c r="E79" s="12"/>
      <c r="F79" s="12"/>
      <c r="G79" s="12"/>
    </row>
    <row r="80" spans="1:14" ht="18" x14ac:dyDescent="0.4">
      <c r="A80" s="377"/>
      <c r="B80" s="12"/>
      <c r="C80" s="12"/>
      <c r="D80" s="12"/>
      <c r="E80" s="12"/>
      <c r="F80" s="12"/>
      <c r="G80" s="12"/>
    </row>
    <row r="81" spans="1:7" ht="18" x14ac:dyDescent="0.4">
      <c r="A81" s="377"/>
      <c r="B81" s="12"/>
      <c r="C81" s="12"/>
      <c r="D81" s="12"/>
      <c r="E81" s="12"/>
      <c r="F81" s="12"/>
      <c r="G81" s="12"/>
    </row>
    <row r="82" spans="1:7" ht="18" x14ac:dyDescent="0.4">
      <c r="A82" s="377"/>
      <c r="B82" s="12"/>
      <c r="C82" s="12"/>
      <c r="D82" s="12"/>
      <c r="E82" s="12"/>
      <c r="F82" s="12"/>
      <c r="G82" s="12"/>
    </row>
    <row r="83" spans="1:7" ht="18" x14ac:dyDescent="0.4">
      <c r="A83" s="377"/>
      <c r="B83" s="12"/>
      <c r="C83" s="12"/>
      <c r="D83" s="12"/>
      <c r="E83" s="12"/>
      <c r="F83" s="12"/>
      <c r="G83" s="12"/>
    </row>
    <row r="84" spans="1:7" ht="18" x14ac:dyDescent="0.4">
      <c r="A84" s="377"/>
      <c r="B84" s="12"/>
      <c r="C84" s="12"/>
      <c r="D84" s="12"/>
      <c r="E84" s="12"/>
      <c r="F84" s="12"/>
      <c r="G84" s="12"/>
    </row>
    <row r="85" spans="1:7" ht="18" x14ac:dyDescent="0.4">
      <c r="A85" s="377"/>
      <c r="B85" s="12"/>
      <c r="C85" s="12"/>
      <c r="D85" s="12"/>
      <c r="E85" s="12"/>
      <c r="F85" s="12"/>
      <c r="G85" s="12"/>
    </row>
    <row r="86" spans="1:7" ht="18" x14ac:dyDescent="0.4">
      <c r="A86" s="377"/>
      <c r="B86" s="12"/>
      <c r="C86" s="12"/>
      <c r="D86" s="12"/>
      <c r="E86" s="12"/>
      <c r="F86" s="12"/>
      <c r="G86" s="12"/>
    </row>
    <row r="87" spans="1:7" ht="18" x14ac:dyDescent="0.4">
      <c r="A87" s="377"/>
      <c r="B87" s="12"/>
      <c r="C87" s="12"/>
      <c r="D87" s="12"/>
      <c r="E87" s="12"/>
      <c r="F87" s="12"/>
      <c r="G87" s="12"/>
    </row>
    <row r="88" spans="1:7" ht="18" x14ac:dyDescent="0.4">
      <c r="A88" s="377"/>
      <c r="B88" s="12"/>
      <c r="C88" s="388"/>
      <c r="D88" s="12"/>
      <c r="E88" s="12"/>
      <c r="F88" s="12"/>
      <c r="G88" s="12"/>
    </row>
    <row r="89" spans="1:7" ht="18" x14ac:dyDescent="0.4">
      <c r="A89" s="367"/>
      <c r="B89" s="12"/>
      <c r="C89" s="12"/>
      <c r="D89" s="12"/>
      <c r="E89" s="12"/>
      <c r="F89" s="12"/>
      <c r="G89" s="12"/>
    </row>
    <row r="90" spans="1:7" ht="18" x14ac:dyDescent="0.4">
      <c r="A90" s="367"/>
      <c r="B90" s="12"/>
      <c r="C90" s="12"/>
      <c r="D90" s="12"/>
      <c r="E90" s="12"/>
      <c r="F90" s="12"/>
      <c r="G90" s="12"/>
    </row>
  </sheetData>
  <protectedRanges>
    <protectedRange password="C6AD" sqref="C11:E11" name="Range1"/>
    <protectedRange password="C6AD" sqref="D66:E66" name="Range2"/>
  </protectedRanges>
  <phoneticPr fontId="3" type="noConversion"/>
  <pageMargins left="0.75" right="0.75" top="0.75" bottom="0.75" header="0.5" footer="0.5"/>
  <pageSetup scale="49" orientation="portrait" r:id="rId1"/>
  <headerFooter alignWithMargins="0">
    <oddHeader>&amp;R&amp;"Times New Roman,Bold"&amp;20Exhibit A
Page 1 of 2</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Q76"/>
  <sheetViews>
    <sheetView zoomScale="80" zoomScaleNormal="80" workbookViewId="0">
      <selection sqref="A1:F1"/>
    </sheetView>
  </sheetViews>
  <sheetFormatPr defaultColWidth="9.765625" defaultRowHeight="15.5" x14ac:dyDescent="0.35"/>
  <cols>
    <col min="1" max="1" width="8.23046875" style="3" customWidth="1"/>
    <col min="2" max="2" width="60.3046875" style="3" customWidth="1"/>
    <col min="3" max="3" width="10.69140625" style="3" customWidth="1"/>
    <col min="4" max="4" width="9.69140625" style="3" customWidth="1"/>
    <col min="5" max="5" width="7.4609375" style="3" customWidth="1"/>
    <col min="6" max="6" width="13.69140625" style="3" customWidth="1"/>
    <col min="7" max="7" width="11.4609375" style="13" customWidth="1"/>
    <col min="8" max="8" width="6" style="3" customWidth="1"/>
    <col min="9" max="9" width="12.53515625" style="3" hidden="1" customWidth="1"/>
    <col min="10" max="10" width="13.4609375" style="3" hidden="1" customWidth="1"/>
    <col min="11" max="11" width="14.765625" style="3" hidden="1" customWidth="1"/>
    <col min="12" max="12" width="14.53515625" style="3" hidden="1" customWidth="1"/>
    <col min="13" max="15" width="9.765625" style="3" hidden="1" customWidth="1"/>
    <col min="16" max="16" width="12" style="3" hidden="1" customWidth="1"/>
    <col min="17" max="17" width="9.765625" style="3" hidden="1" customWidth="1"/>
    <col min="18" max="24" width="9.765625" style="3" customWidth="1"/>
    <col min="25" max="16384" width="9.765625" style="3"/>
  </cols>
  <sheetData>
    <row r="1" spans="1:17" ht="17.5" x14ac:dyDescent="0.35">
      <c r="A1" s="797" t="s">
        <v>29</v>
      </c>
      <c r="B1" s="797"/>
      <c r="C1" s="797"/>
      <c r="D1" s="797"/>
      <c r="E1" s="797"/>
      <c r="F1" s="797"/>
      <c r="G1" s="63"/>
    </row>
    <row r="2" spans="1:17" ht="18" x14ac:dyDescent="0.35">
      <c r="A2" s="798" t="s">
        <v>261</v>
      </c>
      <c r="B2" s="798"/>
      <c r="C2" s="798"/>
      <c r="D2" s="798"/>
      <c r="E2" s="798"/>
      <c r="F2" s="798"/>
      <c r="G2" s="63"/>
    </row>
    <row r="3" spans="1:17" s="258" customFormat="1" ht="17.25" customHeight="1" x14ac:dyDescent="0.4">
      <c r="A3" s="756" t="str">
        <f>CONCATENATE("For the Three-Month Period From ",'Input Data'!D4," thru ",'Input Data'!D5)</f>
        <v>For the Three-Month Period From August 1, 2022 thru October 31, 2022</v>
      </c>
      <c r="B3" s="756"/>
      <c r="C3" s="756"/>
      <c r="D3" s="756"/>
      <c r="E3" s="756"/>
      <c r="F3" s="756"/>
    </row>
    <row r="4" spans="1:17" ht="17.5" x14ac:dyDescent="0.35">
      <c r="A4" s="712"/>
      <c r="B4" s="712"/>
      <c r="C4" s="712"/>
      <c r="D4" s="712"/>
      <c r="E4" s="712"/>
      <c r="F4" s="712"/>
      <c r="G4" s="61"/>
    </row>
    <row r="5" spans="1:17" x14ac:dyDescent="0.35">
      <c r="B5" s="715"/>
      <c r="C5" s="302"/>
      <c r="D5" s="302"/>
      <c r="E5" s="302"/>
      <c r="F5" s="61"/>
      <c r="G5" s="64"/>
    </row>
    <row r="6" spans="1:17" x14ac:dyDescent="0.35">
      <c r="B6" s="715"/>
      <c r="C6" s="302"/>
      <c r="D6" s="302"/>
      <c r="E6" s="302"/>
      <c r="F6" s="91"/>
      <c r="G6" s="50"/>
    </row>
    <row r="7" spans="1:17" x14ac:dyDescent="0.35">
      <c r="B7" s="64"/>
      <c r="C7" s="64"/>
      <c r="D7" s="64"/>
      <c r="E7" s="64"/>
      <c r="F7" s="64"/>
      <c r="G7" s="11"/>
    </row>
    <row r="8" spans="1:17" x14ac:dyDescent="0.35">
      <c r="B8" s="51"/>
      <c r="C8" s="261"/>
      <c r="D8" s="261"/>
      <c r="E8" s="261"/>
      <c r="F8" s="50"/>
    </row>
    <row r="9" spans="1:17" ht="18" x14ac:dyDescent="0.4">
      <c r="A9" s="790" t="s">
        <v>249</v>
      </c>
      <c r="B9" s="790"/>
      <c r="C9" s="790"/>
      <c r="D9" s="790"/>
      <c r="E9" s="790"/>
      <c r="F9" s="790"/>
      <c r="G9" s="3"/>
      <c r="I9" s="264" t="s">
        <v>275</v>
      </c>
    </row>
    <row r="10" spans="1:17" ht="16" thickBot="1" x14ac:dyDescent="0.4">
      <c r="G10" s="3"/>
      <c r="I10" s="264" t="s">
        <v>354</v>
      </c>
    </row>
    <row r="11" spans="1:17" ht="47" thickBot="1" x14ac:dyDescent="0.4">
      <c r="A11" s="66" t="s">
        <v>247</v>
      </c>
      <c r="B11" s="66" t="s">
        <v>254</v>
      </c>
      <c r="C11" s="67" t="s">
        <v>251</v>
      </c>
      <c r="D11" s="66" t="s">
        <v>31</v>
      </c>
      <c r="E11" s="67" t="s">
        <v>252</v>
      </c>
      <c r="F11" s="67" t="s">
        <v>249</v>
      </c>
      <c r="I11" s="794" t="s">
        <v>324</v>
      </c>
      <c r="J11" s="795"/>
      <c r="K11" s="795"/>
      <c r="L11" s="796"/>
    </row>
    <row r="12" spans="1:17" ht="16" thickBot="1" x14ac:dyDescent="0.4">
      <c r="F12" s="13"/>
      <c r="I12" s="791" t="s">
        <v>245</v>
      </c>
      <c r="J12" s="792"/>
      <c r="K12" s="792"/>
      <c r="L12" s="793"/>
    </row>
    <row r="13" spans="1:17" x14ac:dyDescent="0.35">
      <c r="A13" s="711">
        <v>1</v>
      </c>
      <c r="B13" s="13" t="s">
        <v>253</v>
      </c>
      <c r="C13" s="99">
        <f>'Input Data'!C39</f>
        <v>12.7104</v>
      </c>
      <c r="D13" s="55">
        <f>'Input Data'!C44</f>
        <v>119913</v>
      </c>
      <c r="E13" s="711">
        <v>12</v>
      </c>
      <c r="F13" s="91">
        <f>ROUND((C13*D13*12),0)</f>
        <v>18289706</v>
      </c>
      <c r="I13" s="70"/>
      <c r="J13" s="29"/>
      <c r="K13" s="29"/>
      <c r="L13" s="52"/>
    </row>
    <row r="14" spans="1:17" x14ac:dyDescent="0.35">
      <c r="A14" s="711">
        <v>2</v>
      </c>
      <c r="B14" s="13" t="s">
        <v>569</v>
      </c>
      <c r="C14" s="99">
        <f>'Input Data'!C40</f>
        <v>4.1792999999999996</v>
      </c>
      <c r="D14" s="55">
        <f>'Input Data'!C45</f>
        <v>60000</v>
      </c>
      <c r="E14" s="711">
        <v>12</v>
      </c>
      <c r="F14" s="55">
        <f>ROUND((C14*D14*12),0)</f>
        <v>3009096</v>
      </c>
      <c r="I14" s="71" t="s">
        <v>78</v>
      </c>
      <c r="J14" s="92" t="s">
        <v>94</v>
      </c>
      <c r="K14" s="42" t="s">
        <v>235</v>
      </c>
      <c r="L14" s="72" t="s">
        <v>260</v>
      </c>
      <c r="N14" s="3" t="s">
        <v>555</v>
      </c>
    </row>
    <row r="15" spans="1:17" x14ac:dyDescent="0.35">
      <c r="A15" s="711">
        <v>3</v>
      </c>
      <c r="B15" s="13" t="s">
        <v>379</v>
      </c>
      <c r="C15" s="99">
        <f>'Input Data'!C41</f>
        <v>5.0675999999999997</v>
      </c>
      <c r="D15" s="55">
        <f>'Input Data'!C46</f>
        <v>20000</v>
      </c>
      <c r="E15" s="711">
        <v>12</v>
      </c>
      <c r="F15" s="55">
        <f>ROUND((C15*D15*12),0)</f>
        <v>1216224</v>
      </c>
      <c r="I15" s="80">
        <f>'Input Data'!C4</f>
        <v>44774</v>
      </c>
      <c r="J15" s="81">
        <f>VLOOKUP(I15,Forecast!A$1:K$200,2)</f>
        <v>3534449</v>
      </c>
      <c r="K15" s="81">
        <f>VLOOKUP(I15,Forecast!A$1:K$200,3)</f>
        <v>73156</v>
      </c>
      <c r="L15" s="82">
        <f>SUM(J15:K15)</f>
        <v>3607605</v>
      </c>
      <c r="N15" s="81">
        <f>VLOOKUP($I15,Forecast!$A$10:$J$124,2,FALSE)</f>
        <v>3534449</v>
      </c>
      <c r="O15" s="3">
        <f>J15-N15</f>
        <v>0</v>
      </c>
      <c r="P15" s="81">
        <f>VLOOKUP($I15,Forecast!$A$10:$J$124,3,FALSE)</f>
        <v>73156</v>
      </c>
      <c r="Q15" s="3">
        <f>K15-P15</f>
        <v>0</v>
      </c>
    </row>
    <row r="16" spans="1:17" x14ac:dyDescent="0.35">
      <c r="A16" s="711">
        <v>4</v>
      </c>
      <c r="B16" s="60" t="s">
        <v>58</v>
      </c>
      <c r="C16" s="623"/>
      <c r="D16" s="623"/>
      <c r="E16" s="624"/>
      <c r="F16" s="97">
        <f>'Input Data'!C49</f>
        <v>7971454</v>
      </c>
      <c r="I16" s="80">
        <f>EOMONTH(I15,0)+1</f>
        <v>44805</v>
      </c>
      <c r="J16" s="81">
        <f>VLOOKUP(I16,Forecast!A$1:K$200,2)</f>
        <v>3462104</v>
      </c>
      <c r="K16" s="81">
        <f>VLOOKUP(I16,Forecast!A$1:K$200,3)</f>
        <v>74365</v>
      </c>
      <c r="L16" s="82">
        <f t="shared" ref="L16:L26" si="0">SUM(J16:K16)</f>
        <v>3536469</v>
      </c>
      <c r="N16" s="81">
        <f>VLOOKUP($I16,Forecast!$A$10:$J$124,2,FALSE)</f>
        <v>3462104</v>
      </c>
      <c r="O16" s="3">
        <f t="shared" ref="O16:O25" si="1">J16-N16</f>
        <v>0</v>
      </c>
      <c r="P16" s="81">
        <f>VLOOKUP($I16,Forecast!$A$10:$J$124,3,FALSE)</f>
        <v>74365</v>
      </c>
      <c r="Q16" s="3">
        <f t="shared" ref="Q16:Q26" si="2">K16-P16</f>
        <v>0</v>
      </c>
    </row>
    <row r="17" spans="1:17" x14ac:dyDescent="0.35">
      <c r="A17" s="711">
        <v>5</v>
      </c>
      <c r="C17" s="16"/>
      <c r="D17" s="16"/>
      <c r="E17" s="62" t="s">
        <v>256</v>
      </c>
      <c r="F17" s="625">
        <f>SUM(F13:F16)</f>
        <v>30486480</v>
      </c>
      <c r="I17" s="80">
        <f t="shared" ref="I17:I26" si="3">EOMONTH(I16,0)+1</f>
        <v>44835</v>
      </c>
      <c r="J17" s="81">
        <f>VLOOKUP(I17,Forecast!A$1:K$200,2)</f>
        <v>3780533</v>
      </c>
      <c r="K17" s="81">
        <f>VLOOKUP(I17,Forecast!A$1:K$200,3)</f>
        <v>80684</v>
      </c>
      <c r="L17" s="82">
        <f t="shared" si="0"/>
        <v>3861217</v>
      </c>
      <c r="N17" s="81">
        <f>VLOOKUP($I17,Forecast!$A$10:$J$124,2,FALSE)</f>
        <v>3780533</v>
      </c>
      <c r="O17" s="3">
        <f t="shared" si="1"/>
        <v>0</v>
      </c>
      <c r="P17" s="81">
        <f>VLOOKUP($I17,Forecast!$A$10:$J$124,3,FALSE)</f>
        <v>80684</v>
      </c>
      <c r="Q17" s="3">
        <f t="shared" si="2"/>
        <v>0</v>
      </c>
    </row>
    <row r="18" spans="1:17" x14ac:dyDescent="0.35">
      <c r="A18" s="711"/>
      <c r="B18" s="16"/>
      <c r="C18" s="16"/>
      <c r="D18" s="16"/>
      <c r="E18" s="16"/>
      <c r="F18" s="625"/>
      <c r="I18" s="80">
        <f t="shared" si="3"/>
        <v>44866</v>
      </c>
      <c r="J18" s="81">
        <f>VLOOKUP(I18,Forecast!A$1:K$200,2)</f>
        <v>3383596</v>
      </c>
      <c r="K18" s="81">
        <f>VLOOKUP(I18,Forecast!A$1:K$200,3)</f>
        <v>67937</v>
      </c>
      <c r="L18" s="82">
        <f t="shared" si="0"/>
        <v>3451533</v>
      </c>
      <c r="N18" s="81">
        <f>VLOOKUP($I18,Forecast!$A$10:$J$124,2,FALSE)</f>
        <v>3383596</v>
      </c>
      <c r="O18" s="3">
        <f t="shared" si="1"/>
        <v>0</v>
      </c>
      <c r="P18" s="81">
        <f>VLOOKUP($I18,Forecast!$A$10:$J$124,3,FALSE)</f>
        <v>67937</v>
      </c>
      <c r="Q18" s="3">
        <f t="shared" si="2"/>
        <v>0</v>
      </c>
    </row>
    <row r="19" spans="1:17" x14ac:dyDescent="0.35">
      <c r="A19" s="711"/>
      <c r="B19" s="16"/>
      <c r="C19" s="16"/>
      <c r="D19" s="16"/>
      <c r="E19" s="16"/>
      <c r="F19" s="625"/>
      <c r="I19" s="80">
        <f t="shared" si="3"/>
        <v>44896</v>
      </c>
      <c r="J19" s="81">
        <f>VLOOKUP(I19,Forecast!A$1:K$200,2)</f>
        <v>3221636</v>
      </c>
      <c r="K19" s="81">
        <f>VLOOKUP(I19,Forecast!A$1:K$200,3)</f>
        <v>53759</v>
      </c>
      <c r="L19" s="82">
        <f t="shared" si="0"/>
        <v>3275395</v>
      </c>
      <c r="N19" s="81">
        <f>VLOOKUP($I19,Forecast!$A$10:$J$124,2,FALSE)</f>
        <v>3221636</v>
      </c>
      <c r="O19" s="3">
        <f t="shared" si="1"/>
        <v>0</v>
      </c>
      <c r="P19" s="81">
        <f>VLOOKUP($I19,Forecast!$A$10:$J$124,3,FALSE)</f>
        <v>53759</v>
      </c>
      <c r="Q19" s="3">
        <f t="shared" si="2"/>
        <v>0</v>
      </c>
    </row>
    <row r="20" spans="1:17" x14ac:dyDescent="0.35">
      <c r="A20" s="711"/>
      <c r="F20" s="65"/>
      <c r="I20" s="80">
        <f t="shared" si="3"/>
        <v>44927</v>
      </c>
      <c r="J20" s="81">
        <f>VLOOKUP(I20,Forecast!A$1:K$200,2)</f>
        <v>3105073</v>
      </c>
      <c r="K20" s="81">
        <f>VLOOKUP(I20,Forecast!A$1:K$200,3)</f>
        <v>42327</v>
      </c>
      <c r="L20" s="82">
        <f t="shared" si="0"/>
        <v>3147400</v>
      </c>
      <c r="N20" s="81">
        <f>VLOOKUP($I20,Forecast!$A$10:$J$124,2,FALSE)</f>
        <v>3105073</v>
      </c>
      <c r="O20" s="3">
        <f t="shared" si="1"/>
        <v>0</v>
      </c>
      <c r="P20" s="81">
        <f>VLOOKUP($I20,Forecast!$A$10:$J$124,3,FALSE)</f>
        <v>42327</v>
      </c>
      <c r="Q20" s="3">
        <f t="shared" si="2"/>
        <v>0</v>
      </c>
    </row>
    <row r="21" spans="1:17" x14ac:dyDescent="0.35">
      <c r="A21" s="715"/>
      <c r="F21" s="65"/>
      <c r="I21" s="80">
        <f t="shared" si="3"/>
        <v>44958</v>
      </c>
      <c r="J21" s="81">
        <f>VLOOKUP(I21,Forecast!A$1:K$200,2)</f>
        <v>2388189</v>
      </c>
      <c r="K21" s="81">
        <f>VLOOKUP(I21,Forecast!A$1:K$200,3)</f>
        <v>43450</v>
      </c>
      <c r="L21" s="82">
        <f t="shared" si="0"/>
        <v>2431639</v>
      </c>
      <c r="N21" s="81">
        <f>VLOOKUP($I21,Forecast!$A$10:$J$124,2,FALSE)</f>
        <v>2388189</v>
      </c>
      <c r="O21" s="3">
        <f t="shared" si="1"/>
        <v>0</v>
      </c>
      <c r="P21" s="81">
        <f>VLOOKUP($I21,Forecast!$A$10:$J$124,3,FALSE)</f>
        <v>43450</v>
      </c>
      <c r="Q21" s="3">
        <f t="shared" si="2"/>
        <v>0</v>
      </c>
    </row>
    <row r="22" spans="1:17" x14ac:dyDescent="0.35">
      <c r="A22" s="715"/>
      <c r="E22" s="54"/>
      <c r="I22" s="80">
        <f t="shared" si="3"/>
        <v>44986</v>
      </c>
      <c r="J22" s="81">
        <f>VLOOKUP(I22,Forecast!A$1:K$200,2)</f>
        <v>2444641</v>
      </c>
      <c r="K22" s="81">
        <f>VLOOKUP(I22,Forecast!A$1:K$200,3)</f>
        <v>61771</v>
      </c>
      <c r="L22" s="82">
        <f t="shared" si="0"/>
        <v>2506412</v>
      </c>
      <c r="N22" s="81">
        <f>VLOOKUP($I22,Forecast!$A$10:$J$124,2,FALSE)</f>
        <v>2444641</v>
      </c>
      <c r="O22" s="3">
        <f t="shared" si="1"/>
        <v>0</v>
      </c>
      <c r="P22" s="81">
        <f>VLOOKUP($I22,Forecast!$A$10:$J$124,3,FALSE)</f>
        <v>61771</v>
      </c>
      <c r="Q22" s="3">
        <f t="shared" si="2"/>
        <v>0</v>
      </c>
    </row>
    <row r="23" spans="1:17" ht="18" x14ac:dyDescent="0.4">
      <c r="A23" s="790" t="s">
        <v>250</v>
      </c>
      <c r="B23" s="790"/>
      <c r="C23" s="790"/>
      <c r="D23" s="790"/>
      <c r="E23" s="790"/>
      <c r="F23" s="790"/>
      <c r="I23" s="80">
        <f t="shared" si="3"/>
        <v>45017</v>
      </c>
      <c r="J23" s="81">
        <f>VLOOKUP(I23,Forecast!A$1:K$200,2)</f>
        <v>1482869</v>
      </c>
      <c r="K23" s="81">
        <f>VLOOKUP(I23,Forecast!A$1:K$200,3)</f>
        <v>69194</v>
      </c>
      <c r="L23" s="82">
        <f t="shared" si="0"/>
        <v>1552063</v>
      </c>
      <c r="N23" s="81">
        <f>VLOOKUP($I23,Forecast!$A$10:$J$124,2,FALSE)</f>
        <v>1482869</v>
      </c>
      <c r="O23" s="3">
        <f t="shared" si="1"/>
        <v>0</v>
      </c>
      <c r="P23" s="81">
        <f>VLOOKUP($I23,Forecast!$A$10:$J$124,3,FALSE)</f>
        <v>69194</v>
      </c>
      <c r="Q23" s="3">
        <f t="shared" si="2"/>
        <v>0</v>
      </c>
    </row>
    <row r="24" spans="1:17" x14ac:dyDescent="0.35">
      <c r="E24" s="54"/>
      <c r="I24" s="80">
        <f t="shared" si="3"/>
        <v>45047</v>
      </c>
      <c r="J24" s="81">
        <f>VLOOKUP(I24,Forecast!A$1:K$200,2)</f>
        <v>1124259</v>
      </c>
      <c r="K24" s="81">
        <f>VLOOKUP(I24,Forecast!A$1:K$200,3)</f>
        <v>74775</v>
      </c>
      <c r="L24" s="82">
        <f t="shared" si="0"/>
        <v>1199034</v>
      </c>
      <c r="N24" s="81">
        <f>VLOOKUP($I24,Forecast!$A$10:$J$124,2,FALSE)</f>
        <v>1124259</v>
      </c>
      <c r="O24" s="3">
        <f t="shared" si="1"/>
        <v>0</v>
      </c>
      <c r="P24" s="81">
        <f>VLOOKUP($I24,Forecast!$A$10:$J$124,3,FALSE)</f>
        <v>74775</v>
      </c>
      <c r="Q24" s="3">
        <f t="shared" si="2"/>
        <v>0</v>
      </c>
    </row>
    <row r="25" spans="1:17" x14ac:dyDescent="0.35">
      <c r="A25" s="711">
        <v>6</v>
      </c>
      <c r="B25" s="3" t="s">
        <v>583</v>
      </c>
      <c r="E25" s="13"/>
      <c r="F25" s="93">
        <f>F17</f>
        <v>30486480</v>
      </c>
      <c r="I25" s="80">
        <f t="shared" si="3"/>
        <v>45078</v>
      </c>
      <c r="J25" s="81">
        <f>VLOOKUP(I25,Forecast!A$1:K$200,2)</f>
        <v>2307067</v>
      </c>
      <c r="K25" s="81">
        <f>VLOOKUP(I25,Forecast!A$1:K$200,3)</f>
        <v>58490</v>
      </c>
      <c r="L25" s="82">
        <f t="shared" si="0"/>
        <v>2365557</v>
      </c>
      <c r="N25" s="81">
        <f>VLOOKUP($I25,Forecast!$A$10:$J$124,2,FALSE)</f>
        <v>2307067</v>
      </c>
      <c r="O25" s="3">
        <f t="shared" si="1"/>
        <v>0</v>
      </c>
      <c r="P25" s="81">
        <f>VLOOKUP($I25,Forecast!$A$10:$J$124,3,FALSE)</f>
        <v>58490</v>
      </c>
      <c r="Q25" s="3">
        <f t="shared" si="2"/>
        <v>0</v>
      </c>
    </row>
    <row r="26" spans="1:17" x14ac:dyDescent="0.35">
      <c r="A26" s="711">
        <v>7</v>
      </c>
      <c r="B26" s="60" t="s">
        <v>446</v>
      </c>
      <c r="C26" s="28"/>
      <c r="D26" s="28"/>
      <c r="E26" s="60"/>
      <c r="F26" s="97">
        <f>L28</f>
        <v>34512197</v>
      </c>
      <c r="G26" s="3"/>
      <c r="I26" s="80">
        <f t="shared" si="3"/>
        <v>45108</v>
      </c>
      <c r="J26" s="81">
        <f>VLOOKUP(I26,Forecast!A$1:K$200,2)</f>
        <v>3522658</v>
      </c>
      <c r="K26" s="81">
        <f>VLOOKUP(I26,Forecast!A$1:K$200,3)</f>
        <v>55215</v>
      </c>
      <c r="L26" s="82">
        <f t="shared" si="0"/>
        <v>3577873</v>
      </c>
      <c r="N26" s="81">
        <f>VLOOKUP($I26,Forecast!$A$10:$J$124,2,FALSE)</f>
        <v>3522658</v>
      </c>
      <c r="O26" s="3">
        <f>J26-N26</f>
        <v>0</v>
      </c>
      <c r="P26" s="81">
        <f>VLOOKUP($I26,Forecast!$A$10:$J$124,3,FALSE)</f>
        <v>55215</v>
      </c>
      <c r="Q26" s="3">
        <f t="shared" si="2"/>
        <v>0</v>
      </c>
    </row>
    <row r="27" spans="1:17" ht="16" thickBot="1" x14ac:dyDescent="0.4">
      <c r="A27" s="711">
        <v>8</v>
      </c>
      <c r="B27" s="16"/>
      <c r="C27" s="16"/>
      <c r="D27" s="16"/>
      <c r="E27" s="62" t="s">
        <v>587</v>
      </c>
      <c r="F27" s="98">
        <f>ROUND(F25/F26,4)</f>
        <v>0.88339999999999996</v>
      </c>
      <c r="G27" s="3"/>
      <c r="I27" s="73"/>
      <c r="J27" s="29"/>
      <c r="K27" s="29"/>
      <c r="L27" s="52"/>
      <c r="P27" s="81"/>
    </row>
    <row r="28" spans="1:17" ht="16" thickBot="1" x14ac:dyDescent="0.4">
      <c r="I28" s="94" t="s">
        <v>1034</v>
      </c>
      <c r="J28" s="95"/>
      <c r="K28" s="95"/>
      <c r="L28" s="96">
        <f>SUM(L15:L27)</f>
        <v>34512197</v>
      </c>
      <c r="P28" s="81">
        <f>SUM(N15:N26)+SUM(P15:P26)</f>
        <v>34512197</v>
      </c>
      <c r="Q28" s="3">
        <f>L28-P28</f>
        <v>0</v>
      </c>
    </row>
    <row r="29" spans="1:17" x14ac:dyDescent="0.35">
      <c r="I29" s="258"/>
    </row>
    <row r="30" spans="1:17" x14ac:dyDescent="0.35">
      <c r="I30" s="258"/>
    </row>
    <row r="31" spans="1:17" x14ac:dyDescent="0.35">
      <c r="I31" s="258"/>
    </row>
    <row r="32" spans="1:17" x14ac:dyDescent="0.35">
      <c r="I32" s="258"/>
    </row>
    <row r="33" spans="1:9" x14ac:dyDescent="0.35">
      <c r="I33" s="258"/>
    </row>
    <row r="34" spans="1:9" x14ac:dyDescent="0.35">
      <c r="F34" s="13"/>
      <c r="I34" s="258"/>
    </row>
    <row r="35" spans="1:9" ht="18.75" customHeight="1" x14ac:dyDescent="0.4">
      <c r="A35" s="756" t="s">
        <v>59</v>
      </c>
      <c r="B35" s="756"/>
      <c r="C35" s="756"/>
      <c r="D35" s="756"/>
      <c r="E35" s="756"/>
      <c r="F35" s="756"/>
      <c r="G35" s="3"/>
      <c r="I35" s="258"/>
    </row>
    <row r="36" spans="1:9" ht="18.75" customHeight="1" x14ac:dyDescent="0.4">
      <c r="A36" s="790" t="s">
        <v>447</v>
      </c>
      <c r="B36" s="790"/>
      <c r="C36" s="790"/>
      <c r="D36" s="790"/>
      <c r="E36" s="790"/>
      <c r="F36" s="790"/>
      <c r="G36" s="64"/>
    </row>
    <row r="37" spans="1:9" x14ac:dyDescent="0.35">
      <c r="F37" s="13"/>
      <c r="G37" s="64"/>
    </row>
    <row r="38" spans="1:9" x14ac:dyDescent="0.35">
      <c r="A38" s="711">
        <v>9</v>
      </c>
      <c r="B38" s="13" t="s">
        <v>584</v>
      </c>
      <c r="F38" s="252">
        <f>(F27)</f>
        <v>0.88339999999999996</v>
      </c>
      <c r="G38" s="3"/>
    </row>
    <row r="39" spans="1:9" x14ac:dyDescent="0.35">
      <c r="A39" s="711">
        <v>10</v>
      </c>
      <c r="B39" s="13" t="s">
        <v>475</v>
      </c>
      <c r="F39" s="262">
        <f>'Ex D-1 1 of 2'!H17</f>
        <v>0</v>
      </c>
    </row>
    <row r="40" spans="1:9" x14ac:dyDescent="0.35">
      <c r="A40" s="711">
        <v>11</v>
      </c>
      <c r="B40" s="60" t="s">
        <v>476</v>
      </c>
      <c r="C40" s="28"/>
      <c r="D40" s="28"/>
      <c r="E40" s="28"/>
      <c r="F40" s="263">
        <f>ROUND('Ex E-1 1 of 1'!D21,4)</f>
        <v>2.5999999999999999E-2</v>
      </c>
    </row>
    <row r="41" spans="1:9" x14ac:dyDescent="0.35">
      <c r="A41" s="711">
        <v>12</v>
      </c>
      <c r="B41" s="53"/>
      <c r="C41" s="16"/>
      <c r="D41" s="16"/>
      <c r="E41" s="62" t="s">
        <v>258</v>
      </c>
      <c r="F41" s="253">
        <f>SUM(F38:F40)</f>
        <v>0.90939999999999999</v>
      </c>
    </row>
    <row r="47" spans="1:9" x14ac:dyDescent="0.35">
      <c r="I47" s="56"/>
    </row>
    <row r="48" spans="1:9" x14ac:dyDescent="0.35">
      <c r="I48" s="258"/>
    </row>
    <row r="49" spans="1:11" ht="18" x14ac:dyDescent="0.4">
      <c r="A49" s="756" t="s">
        <v>257</v>
      </c>
      <c r="B49" s="756"/>
      <c r="C49" s="756"/>
      <c r="D49" s="756"/>
      <c r="E49" s="756"/>
      <c r="F49" s="756"/>
      <c r="I49" s="258"/>
      <c r="J49" s="258"/>
    </row>
    <row r="50" spans="1:11" ht="18" x14ac:dyDescent="0.4">
      <c r="A50" s="790" t="s">
        <v>396</v>
      </c>
      <c r="B50" s="790"/>
      <c r="C50" s="790"/>
      <c r="D50" s="790"/>
      <c r="E50" s="790"/>
      <c r="F50" s="790"/>
      <c r="H50" s="192"/>
      <c r="I50" s="258"/>
      <c r="J50" s="493" t="s">
        <v>1033</v>
      </c>
      <c r="K50" s="494"/>
    </row>
    <row r="51" spans="1:11" x14ac:dyDescent="0.35">
      <c r="F51" s="65"/>
      <c r="H51" s="192"/>
      <c r="I51" s="258"/>
      <c r="J51" s="362" t="s">
        <v>451</v>
      </c>
      <c r="K51" s="626">
        <f>'Input Data'!C53</f>
        <v>322467</v>
      </c>
    </row>
    <row r="52" spans="1:11" x14ac:dyDescent="0.35">
      <c r="A52" s="711">
        <v>13</v>
      </c>
      <c r="B52" s="3" t="s">
        <v>583</v>
      </c>
      <c r="F52" s="65">
        <f>F17</f>
        <v>30486480</v>
      </c>
      <c r="I52" s="258"/>
      <c r="J52" s="362" t="s">
        <v>452</v>
      </c>
      <c r="K52" s="626">
        <f>'Input Data'!C54</f>
        <v>156915</v>
      </c>
    </row>
    <row r="53" spans="1:11" x14ac:dyDescent="0.35">
      <c r="A53" s="48">
        <v>14</v>
      </c>
      <c r="B53" s="28" t="s">
        <v>255</v>
      </c>
      <c r="C53" s="28"/>
      <c r="D53" s="28"/>
      <c r="E53" s="28"/>
      <c r="F53" s="97">
        <f>K55</f>
        <v>491963</v>
      </c>
      <c r="I53" s="258"/>
      <c r="J53" s="362" t="s">
        <v>453</v>
      </c>
      <c r="K53" s="626">
        <f>'Input Data'!C55</f>
        <v>12132</v>
      </c>
    </row>
    <row r="54" spans="1:11" ht="16" thickBot="1" x14ac:dyDescent="0.4">
      <c r="A54" s="711">
        <v>15</v>
      </c>
      <c r="D54" s="55"/>
      <c r="E54" s="62" t="s">
        <v>588</v>
      </c>
      <c r="F54" s="100">
        <f>ROUND(F52/F53/365,4)</f>
        <v>0.16980000000000001</v>
      </c>
      <c r="I54" s="258"/>
      <c r="J54" s="362" t="s">
        <v>592</v>
      </c>
      <c r="K54" s="626">
        <f>'Input Data'!C56</f>
        <v>449</v>
      </c>
    </row>
    <row r="55" spans="1:11" ht="16" thickTop="1" x14ac:dyDescent="0.35">
      <c r="G55" s="258"/>
      <c r="I55" s="258"/>
      <c r="J55" s="493" t="s">
        <v>30</v>
      </c>
      <c r="K55" s="605">
        <f>SUM(K51:K54)</f>
        <v>491963</v>
      </c>
    </row>
    <row r="56" spans="1:11" x14ac:dyDescent="0.35">
      <c r="G56" s="258"/>
    </row>
    <row r="57" spans="1:11" x14ac:dyDescent="0.35">
      <c r="G57" s="258"/>
    </row>
    <row r="58" spans="1:11" x14ac:dyDescent="0.35">
      <c r="F58" s="13"/>
      <c r="G58" s="258"/>
    </row>
    <row r="59" spans="1:11" x14ac:dyDescent="0.35">
      <c r="F59" s="13"/>
      <c r="G59" s="3"/>
    </row>
    <row r="60" spans="1:11" x14ac:dyDescent="0.35">
      <c r="F60" s="13"/>
      <c r="G60" s="3"/>
    </row>
    <row r="61" spans="1:11" x14ac:dyDescent="0.35">
      <c r="A61" s="711"/>
      <c r="F61" s="13"/>
      <c r="G61" s="3"/>
    </row>
    <row r="62" spans="1:11" x14ac:dyDescent="0.35">
      <c r="A62" s="711"/>
      <c r="B62" s="57"/>
      <c r="F62" s="13"/>
      <c r="G62" s="3"/>
    </row>
    <row r="63" spans="1:11" x14ac:dyDescent="0.35">
      <c r="A63" s="711"/>
      <c r="G63" s="55"/>
    </row>
    <row r="64" spans="1:11" x14ac:dyDescent="0.35">
      <c r="A64" s="711"/>
      <c r="G64" s="3"/>
    </row>
    <row r="65" spans="1:7" x14ac:dyDescent="0.35">
      <c r="A65" s="711"/>
      <c r="G65" s="3"/>
    </row>
    <row r="69" spans="1:7" hidden="1" x14ac:dyDescent="0.35">
      <c r="A69" s="711"/>
    </row>
    <row r="70" spans="1:7" hidden="1" x14ac:dyDescent="0.35">
      <c r="F70" s="58"/>
    </row>
    <row r="71" spans="1:7" x14ac:dyDescent="0.35">
      <c r="F71" s="58"/>
    </row>
    <row r="72" spans="1:7" x14ac:dyDescent="0.35">
      <c r="F72" s="58"/>
    </row>
    <row r="73" spans="1:7" x14ac:dyDescent="0.35">
      <c r="F73" s="58"/>
    </row>
    <row r="74" spans="1:7" x14ac:dyDescent="0.35">
      <c r="F74" s="58"/>
    </row>
    <row r="75" spans="1:7" x14ac:dyDescent="0.35">
      <c r="F75" s="59"/>
    </row>
    <row r="76" spans="1:7" x14ac:dyDescent="0.35">
      <c r="F76" s="29"/>
    </row>
  </sheetData>
  <mergeCells count="11">
    <mergeCell ref="I12:L12"/>
    <mergeCell ref="I11:L11"/>
    <mergeCell ref="A9:F9"/>
    <mergeCell ref="A1:F1"/>
    <mergeCell ref="A2:F2"/>
    <mergeCell ref="A3:F3"/>
    <mergeCell ref="A50:F50"/>
    <mergeCell ref="A23:F23"/>
    <mergeCell ref="A35:F35"/>
    <mergeCell ref="A36:F36"/>
    <mergeCell ref="A49:F49"/>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zoomScaleNormal="100" workbookViewId="0"/>
  </sheetViews>
  <sheetFormatPr defaultColWidth="8.765625" defaultRowHeight="15.5" x14ac:dyDescent="0.35"/>
  <cols>
    <col min="1" max="1" width="1.07421875" style="6" customWidth="1"/>
    <col min="2" max="2" width="8.765625" style="6"/>
    <col min="3" max="3" width="9.69140625" style="6" customWidth="1"/>
    <col min="4" max="4" width="13.53515625" style="6" bestFit="1" customWidth="1"/>
    <col min="5" max="5" width="14.69140625" style="6" customWidth="1"/>
    <col min="6" max="6" width="8.765625" style="6"/>
    <col min="7" max="7" width="9.69140625" style="6" customWidth="1"/>
    <col min="8" max="8" width="10.07421875" style="6" customWidth="1"/>
    <col min="9" max="9" width="15.53515625" style="6" customWidth="1"/>
    <col min="10" max="16384" width="8.765625" style="6"/>
  </cols>
  <sheetData>
    <row r="1" spans="2:9" x14ac:dyDescent="0.35">
      <c r="B1" s="787" t="s">
        <v>5</v>
      </c>
      <c r="C1" s="787"/>
      <c r="D1" s="787"/>
      <c r="E1" s="787"/>
      <c r="F1" s="787"/>
      <c r="G1" s="787"/>
      <c r="H1" s="787"/>
      <c r="I1" s="787"/>
    </row>
    <row r="2" spans="2:9" x14ac:dyDescent="0.35">
      <c r="B2" s="574"/>
      <c r="C2" s="574"/>
      <c r="D2" s="574"/>
      <c r="E2" s="574"/>
      <c r="F2" s="574"/>
      <c r="G2" s="574"/>
      <c r="H2" s="574"/>
      <c r="I2" s="574"/>
    </row>
    <row r="3" spans="2:9" x14ac:dyDescent="0.35">
      <c r="B3" s="787" t="str">
        <f>'Exhibit F Write-Up'!B3:N3</f>
        <v>Gas Supply Clause: 2022-00180</v>
      </c>
      <c r="C3" s="787"/>
      <c r="D3" s="787"/>
      <c r="E3" s="787"/>
      <c r="F3" s="787"/>
      <c r="G3" s="787"/>
      <c r="H3" s="787"/>
      <c r="I3" s="787"/>
    </row>
    <row r="4" spans="2:9" x14ac:dyDescent="0.35">
      <c r="B4" s="574"/>
      <c r="C4" s="574"/>
      <c r="D4" s="574"/>
      <c r="E4" s="574"/>
      <c r="F4" s="574"/>
      <c r="G4" s="574"/>
      <c r="H4" s="574"/>
      <c r="I4" s="574"/>
    </row>
    <row r="5" spans="2:9" x14ac:dyDescent="0.35">
      <c r="B5" s="787" t="s">
        <v>758</v>
      </c>
      <c r="C5" s="787"/>
      <c r="D5" s="787"/>
      <c r="E5" s="787"/>
      <c r="F5" s="787"/>
      <c r="G5" s="787"/>
      <c r="H5" s="787"/>
      <c r="I5" s="787"/>
    </row>
    <row r="7" spans="2:9" s="677" customFormat="1" ht="31.5" customHeight="1" x14ac:dyDescent="0.35">
      <c r="B7" s="776" t="s">
        <v>759</v>
      </c>
      <c r="C7" s="776"/>
      <c r="D7" s="776"/>
      <c r="E7" s="776"/>
      <c r="F7" s="776"/>
      <c r="G7" s="776"/>
      <c r="H7" s="776"/>
      <c r="I7" s="776"/>
    </row>
    <row r="9" spans="2:9" s="677" customFormat="1" ht="31.5" customHeight="1" x14ac:dyDescent="0.35">
      <c r="B9" s="776" t="str">
        <f>CONCATENATE("As shown on Page 1 of Exhibit B-1, the amount of recovery from Case Number ",'Ex B-1 1 of 7'!C12, " during the three-month period of ", 'Input Data'!B65, " through ", 'Input Data'!B66," was the following:")</f>
        <v>As shown on Page 1 of Exhibit B-1, the amount of recovery from Case Number 2021-00458 during the three-month period of February 2022 through April 2022 was the following:</v>
      </c>
      <c r="C9" s="776"/>
      <c r="D9" s="776"/>
      <c r="E9" s="776"/>
      <c r="F9" s="776"/>
      <c r="G9" s="776"/>
      <c r="H9" s="776"/>
      <c r="I9" s="776"/>
    </row>
    <row r="11" spans="2:9" x14ac:dyDescent="0.35">
      <c r="B11" s="13" t="s">
        <v>760</v>
      </c>
      <c r="C11" s="84"/>
      <c r="D11" s="606">
        <f>'Ex B-1 1 of 7'!D18</f>
        <v>11371643</v>
      </c>
    </row>
    <row r="13" spans="2:9" ht="31.5" customHeight="1" x14ac:dyDescent="0.35">
      <c r="B13" s="776" t="str">
        <f>CONCATENATE("The calculation of the Gas Cost Actual Adjustment (GCAA) set forth in Exhibit B-1 results in the following factor, which LG&amp;E will place in effect ", 'Input Data'!B69, " with service rendered on and after ",'Input Data'!D4, " and continue for 12 months:")</f>
        <v>The calculation of the Gas Cost Actual Adjustment (GCAA) set forth in Exhibit B-1 results in the following factor, which LG&amp;E will place in effect as a debit with service rendered on and after August 1, 2022 and continue for 12 months:</v>
      </c>
      <c r="C13" s="776"/>
      <c r="D13" s="776"/>
      <c r="E13" s="776"/>
      <c r="F13" s="776"/>
      <c r="G13" s="776"/>
      <c r="H13" s="776"/>
      <c r="I13" s="776"/>
    </row>
    <row r="15" spans="2:9" x14ac:dyDescent="0.35">
      <c r="B15" s="6" t="s">
        <v>761</v>
      </c>
      <c r="E15" s="607">
        <f>'Ex B-1 1 of 7'!D25</f>
        <v>3.6139999999999999E-2</v>
      </c>
    </row>
    <row r="17" spans="2:9" s="677" customFormat="1" ht="47.25" customHeight="1" x14ac:dyDescent="0.35">
      <c r="B17" s="776" t="str">
        <f>CONCATENATE("Also enclosed, on pages 6 and 7 of Exhibit B-1, is a breakdown of gas purchases for the three-month period from ", 'Input Data'!B65, " through ", 'Input Data'!B66, ".  [Please note that the names of the suppliers have been redacted from these pages, in accordance with LG&amp;E's Petition for Confidentiality filed this quarter.]")</f>
        <v>Also enclosed, on pages 6 and 7 of Exhibit B-1, is a breakdown of gas purchases for the three-month period from February 2022 through April 2022.  [Please note that the names of the suppliers have been redacted from these pages, in accordance with LG&amp;E's Petition for Confidentiality filed this quarter.]</v>
      </c>
      <c r="C17" s="776"/>
      <c r="D17" s="776"/>
      <c r="E17" s="776"/>
      <c r="F17" s="776"/>
      <c r="G17" s="776"/>
      <c r="H17" s="776"/>
      <c r="I17" s="776"/>
    </row>
    <row r="19" spans="2:9" ht="47.25" customHeight="1" x14ac:dyDescent="0.35">
      <c r="B19" s="776" t="str">
        <f>CONCATENATE("In this filing, LG&amp;E will be eliminating the GCAA from Case Number ", 'Input Data'!B67,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2020-00401 which will have been in effect for twelve months.  Any over- or under-recovery of the amount originally established will be transferred to the Gas Cost Balance Adjustment (GCBA) which will be implemented in LG&amp;E's next Gas Supply Clause filing.</v>
      </c>
      <c r="C19" s="776"/>
      <c r="D19" s="776"/>
      <c r="E19" s="776"/>
      <c r="F19" s="776"/>
      <c r="G19" s="776"/>
      <c r="H19" s="776"/>
      <c r="I19" s="776"/>
    </row>
    <row r="21" spans="2:9" x14ac:dyDescent="0.35">
      <c r="B21" s="6" t="s">
        <v>762</v>
      </c>
    </row>
    <row r="23" spans="2:9" s="678" customFormat="1" ht="31" x14ac:dyDescent="0.35">
      <c r="E23" s="586" t="s">
        <v>371</v>
      </c>
      <c r="G23" s="586" t="s">
        <v>116</v>
      </c>
      <c r="I23" s="586" t="s">
        <v>767</v>
      </c>
    </row>
    <row r="24" spans="2:9" s="678" customFormat="1" x14ac:dyDescent="0.35"/>
    <row r="25" spans="2:9" x14ac:dyDescent="0.35">
      <c r="B25" s="6" t="s">
        <v>763</v>
      </c>
      <c r="E25" s="604">
        <f>'Summary Sheet'!F22</f>
        <v>44774</v>
      </c>
      <c r="G25" s="6" t="str">
        <f>'Summary Sheet'!G22</f>
        <v>2021-00458</v>
      </c>
      <c r="I25" s="580">
        <f>'Summary Sheet'!K22</f>
        <v>3.6139999999999999E-2</v>
      </c>
    </row>
    <row r="26" spans="2:9" x14ac:dyDescent="0.35">
      <c r="E26" s="604"/>
      <c r="I26" s="580"/>
    </row>
    <row r="27" spans="2:9" x14ac:dyDescent="0.35">
      <c r="B27" s="6" t="s">
        <v>764</v>
      </c>
      <c r="E27" s="604">
        <f>'Summary Sheet'!F23</f>
        <v>44682</v>
      </c>
      <c r="G27" s="6" t="str">
        <f>'Summary Sheet'!G23</f>
        <v>2021-00368</v>
      </c>
      <c r="I27" s="580">
        <f>'Summary Sheet'!K23</f>
        <v>1.132E-2</v>
      </c>
    </row>
    <row r="28" spans="2:9" x14ac:dyDescent="0.35">
      <c r="E28" s="604"/>
      <c r="I28" s="580"/>
    </row>
    <row r="29" spans="2:9" ht="18.5" x14ac:dyDescent="0.35">
      <c r="B29" s="6" t="s">
        <v>765</v>
      </c>
      <c r="E29" s="604">
        <f>'Summary Sheet'!F24</f>
        <v>44593</v>
      </c>
      <c r="G29" s="6" t="str">
        <f>'Summary Sheet'!G24</f>
        <v>2021-00251</v>
      </c>
      <c r="I29" s="580">
        <f>'Summary Sheet'!K24</f>
        <v>8.4899999999999993E-3</v>
      </c>
    </row>
    <row r="30" spans="2:9" x14ac:dyDescent="0.35">
      <c r="E30" s="604"/>
      <c r="I30" s="580"/>
    </row>
    <row r="31" spans="2:9" ht="18.5" x14ac:dyDescent="0.35">
      <c r="B31" s="6" t="s">
        <v>766</v>
      </c>
      <c r="E31" s="604">
        <f>'Summary Sheet'!F25</f>
        <v>44501</v>
      </c>
      <c r="G31" s="6" t="str">
        <f>'Summary Sheet'!G25</f>
        <v>2021-00130</v>
      </c>
      <c r="I31" s="580">
        <f>'Summary Sheet'!K25</f>
        <v>7.4000000000000003E-3</v>
      </c>
    </row>
    <row r="33" spans="2:9" x14ac:dyDescent="0.35">
      <c r="B33" s="574" t="s">
        <v>768</v>
      </c>
      <c r="I33" s="609">
        <f>SUM(I25:I31)</f>
        <v>6.3350000000000004E-2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0"/>
  <sheetViews>
    <sheetView zoomScale="80" zoomScaleNormal="80" workbookViewId="0">
      <selection sqref="A1:F1"/>
    </sheetView>
  </sheetViews>
  <sheetFormatPr defaultColWidth="9.765625" defaultRowHeight="15.5" x14ac:dyDescent="0.35"/>
  <cols>
    <col min="1" max="1" width="7.765625" style="3" customWidth="1"/>
    <col min="2" max="2" width="15.53515625" style="3" customWidth="1"/>
    <col min="3" max="3" width="22.4609375" style="3" customWidth="1"/>
    <col min="4" max="4" width="18.23046875" style="3" customWidth="1"/>
    <col min="5" max="5" width="17.3046875" style="3" customWidth="1"/>
    <col min="6" max="6" width="16.23046875" style="3" customWidth="1"/>
    <col min="7" max="7" width="14.84375" style="3" customWidth="1"/>
    <col min="8" max="8" width="14.07421875" style="3" customWidth="1"/>
    <col min="9" max="9" width="13.4609375" style="1" hidden="1" customWidth="1"/>
    <col min="10" max="10" width="14.53515625" style="23" hidden="1" customWidth="1"/>
    <col min="11" max="11" width="14" style="3" hidden="1" customWidth="1"/>
    <col min="12" max="12" width="15.23046875" style="3" hidden="1" customWidth="1"/>
    <col min="13" max="17" width="9.765625" style="3" hidden="1" customWidth="1"/>
    <col min="18" max="20" width="9.765625" style="3" customWidth="1"/>
    <col min="21" max="21" width="11.53515625" style="3" customWidth="1"/>
    <col min="22" max="22" width="4.765625" style="3" customWidth="1"/>
    <col min="23" max="23" width="4.3046875" style="3" customWidth="1"/>
    <col min="24" max="24" width="12" style="3" customWidth="1"/>
    <col min="25" max="25" width="11.53515625" style="3" customWidth="1"/>
    <col min="26" max="26" width="5.84375" style="3" customWidth="1"/>
    <col min="27" max="28" width="9.765625" style="3"/>
    <col min="29" max="29" width="3.07421875" style="3" bestFit="1" customWidth="1"/>
    <col min="30" max="16384" width="9.765625" style="3"/>
  </cols>
  <sheetData>
    <row r="1" spans="1:17" ht="17.5" x14ac:dyDescent="0.35">
      <c r="A1" s="769" t="s">
        <v>5</v>
      </c>
      <c r="B1" s="769"/>
      <c r="C1" s="769"/>
      <c r="D1" s="769"/>
      <c r="E1" s="769"/>
      <c r="F1" s="769"/>
    </row>
    <row r="2" spans="1:17" ht="18" x14ac:dyDescent="0.4">
      <c r="A2" s="756" t="s">
        <v>295</v>
      </c>
      <c r="B2" s="756"/>
      <c r="C2" s="756"/>
      <c r="D2" s="756"/>
      <c r="E2" s="756"/>
      <c r="F2" s="756"/>
    </row>
    <row r="3" spans="1:17" ht="18" x14ac:dyDescent="0.4">
      <c r="A3" s="756" t="s">
        <v>344</v>
      </c>
      <c r="B3" s="756"/>
      <c r="C3" s="756"/>
      <c r="D3" s="756"/>
      <c r="E3" s="756"/>
      <c r="F3" s="756"/>
    </row>
    <row r="4" spans="1:17" ht="18" x14ac:dyDescent="0.4">
      <c r="A4" s="756" t="s">
        <v>296</v>
      </c>
      <c r="B4" s="756"/>
      <c r="C4" s="756"/>
      <c r="D4" s="756"/>
      <c r="E4" s="756"/>
      <c r="F4" s="756"/>
    </row>
    <row r="5" spans="1:17" ht="18" x14ac:dyDescent="0.4">
      <c r="A5" s="756" t="str">
        <f>CONCATENATE("For Service Rendered On and After ",'Input Data'!$D$4)</f>
        <v>For Service Rendered On and After August 1, 2022</v>
      </c>
      <c r="B5" s="756"/>
      <c r="C5" s="756"/>
      <c r="D5" s="756"/>
      <c r="E5" s="756"/>
      <c r="F5" s="756"/>
    </row>
    <row r="6" spans="1:17" x14ac:dyDescent="0.35">
      <c r="I6" s="264" t="s">
        <v>275</v>
      </c>
    </row>
    <row r="7" spans="1:17" ht="16" thickBot="1" x14ac:dyDescent="0.4">
      <c r="F7" s="711"/>
      <c r="G7" s="711"/>
      <c r="I7" s="264" t="s">
        <v>354</v>
      </c>
      <c r="J7" s="34"/>
      <c r="K7" s="34"/>
      <c r="L7" s="34"/>
    </row>
    <row r="8" spans="1:17" ht="25.5" thickBot="1" x14ac:dyDescent="0.55000000000000004">
      <c r="B8" s="29"/>
      <c r="D8" s="711"/>
      <c r="E8" s="711"/>
      <c r="F8" s="711"/>
      <c r="G8" s="711"/>
      <c r="I8" s="799" t="s">
        <v>211</v>
      </c>
      <c r="J8" s="800"/>
      <c r="K8" s="800"/>
      <c r="L8" s="801"/>
    </row>
    <row r="9" spans="1:17" ht="16" thickBot="1" x14ac:dyDescent="0.4">
      <c r="B9" s="29"/>
      <c r="D9" s="711"/>
      <c r="E9" s="711"/>
      <c r="F9" s="711"/>
      <c r="G9" s="711"/>
      <c r="I9" s="791" t="s">
        <v>245</v>
      </c>
      <c r="J9" s="792"/>
      <c r="K9" s="792"/>
      <c r="L9" s="793"/>
      <c r="M9" s="38"/>
    </row>
    <row r="10" spans="1:17" ht="60.5" x14ac:dyDescent="0.35">
      <c r="A10" s="713" t="s">
        <v>247</v>
      </c>
      <c r="B10" s="714" t="s">
        <v>348</v>
      </c>
      <c r="C10" s="713" t="s">
        <v>0</v>
      </c>
      <c r="D10" s="142" t="s">
        <v>392</v>
      </c>
      <c r="E10" s="142" t="s">
        <v>393</v>
      </c>
      <c r="F10" s="142" t="s">
        <v>309</v>
      </c>
      <c r="G10" s="143"/>
      <c r="I10" s="76"/>
      <c r="J10" s="466" t="s">
        <v>210</v>
      </c>
      <c r="K10" s="467" t="s">
        <v>642</v>
      </c>
      <c r="L10" s="468" t="s">
        <v>233</v>
      </c>
      <c r="M10" s="38"/>
      <c r="N10" s="3" t="s">
        <v>556</v>
      </c>
    </row>
    <row r="11" spans="1:17" ht="15.75" customHeight="1" x14ac:dyDescent="0.35">
      <c r="A11" s="46" t="s">
        <v>60</v>
      </c>
      <c r="B11" s="46" t="s">
        <v>61</v>
      </c>
      <c r="C11" s="46" t="s">
        <v>62</v>
      </c>
      <c r="D11" s="46" t="s">
        <v>63</v>
      </c>
      <c r="E11" s="46" t="s">
        <v>64</v>
      </c>
      <c r="F11" s="46" t="s">
        <v>497</v>
      </c>
      <c r="G11" s="46"/>
      <c r="I11" s="469">
        <f>'Input Data'!C4</f>
        <v>44774</v>
      </c>
      <c r="J11" s="192">
        <f>VLOOKUP(I11,Forecast!A$1:K$200,9)</f>
        <v>671507</v>
      </c>
      <c r="K11" s="192">
        <f>VLOOKUP(I11,Forecast!A$1:K$200,10)</f>
        <v>17490</v>
      </c>
      <c r="L11" s="470">
        <f>SUM(J11:K11)</f>
        <v>688997</v>
      </c>
      <c r="M11" s="38"/>
      <c r="N11" s="81">
        <f>VLOOKUP($I11,Forecast!$A$10:$J$124,9,FALSE)</f>
        <v>671507</v>
      </c>
      <c r="O11" s="3">
        <f>J11-N11</f>
        <v>0</v>
      </c>
      <c r="P11" s="81">
        <f>VLOOKUP($I11,Forecast!$A$10:$J$124,10,FALSE)</f>
        <v>17490</v>
      </c>
      <c r="Q11" s="3">
        <f>K11-P11</f>
        <v>0</v>
      </c>
    </row>
    <row r="12" spans="1:17" ht="15.75" customHeight="1" x14ac:dyDescent="0.35">
      <c r="A12" s="46">
        <v>1</v>
      </c>
      <c r="B12" s="144">
        <f>'Input Data'!C7</f>
        <v>44593</v>
      </c>
      <c r="C12" s="711" t="str">
        <f>VLOOKUP(B12,'Case Database'!$A$5:$H$200,3,FALSE)</f>
        <v>2021-00458</v>
      </c>
      <c r="D12" s="84">
        <f>'Ex B-1 2 of 7'!J19</f>
        <v>12233843</v>
      </c>
      <c r="E12" s="84">
        <f>'Ex B-1 5 of 7'!I31</f>
        <v>31313316</v>
      </c>
      <c r="F12" s="84">
        <f t="shared" ref="F12:F15" si="0">E12-D12</f>
        <v>19079473</v>
      </c>
      <c r="G12" s="84"/>
      <c r="H12" s="145"/>
      <c r="I12" s="80">
        <f>EOMONTH(I11,0)+1</f>
        <v>44805</v>
      </c>
      <c r="J12" s="192">
        <f>VLOOKUP(I12,Forecast!A$1:K$200,9)</f>
        <v>783136</v>
      </c>
      <c r="K12" s="192">
        <f>VLOOKUP(I12,Forecast!A$1:K$200,10)</f>
        <v>15683</v>
      </c>
      <c r="L12" s="470">
        <f t="shared" ref="L12:L22" si="1">SUM(J12:K12)</f>
        <v>798819</v>
      </c>
      <c r="M12" s="38"/>
      <c r="N12" s="81">
        <f>VLOOKUP($I12,Forecast!$A$10:$J$124,9,FALSE)</f>
        <v>783136</v>
      </c>
      <c r="O12" s="3">
        <f t="shared" ref="O12:O22" si="2">J12-N12</f>
        <v>0</v>
      </c>
      <c r="P12" s="81">
        <f>VLOOKUP($I12,Forecast!$A$10:$J$124,10,FALSE)</f>
        <v>15683</v>
      </c>
      <c r="Q12" s="3">
        <f t="shared" ref="Q12:Q22" si="3">K12-P12</f>
        <v>0</v>
      </c>
    </row>
    <row r="13" spans="1:17" ht="15.75" customHeight="1" x14ac:dyDescent="0.35">
      <c r="A13" s="46">
        <v>2</v>
      </c>
      <c r="B13" s="144">
        <f>EDATE(B12,1)</f>
        <v>44621</v>
      </c>
      <c r="C13" s="711" t="str">
        <f>C12</f>
        <v>2021-00458</v>
      </c>
      <c r="D13" s="84">
        <f>'Ex B-1 2 of 7'!J20</f>
        <v>20142435</v>
      </c>
      <c r="E13" s="84">
        <f>'Ex B-1 5 of 7'!I32</f>
        <v>18451199</v>
      </c>
      <c r="F13" s="84">
        <f t="shared" si="0"/>
        <v>-1691236</v>
      </c>
      <c r="G13" s="152"/>
      <c r="H13" s="148"/>
      <c r="I13" s="80">
        <f t="shared" ref="I13:I22" si="4">EOMONTH(I12,0)+1</f>
        <v>44835</v>
      </c>
      <c r="J13" s="192">
        <f>VLOOKUP(I13,Forecast!A$1:K$200,9)</f>
        <v>1580455</v>
      </c>
      <c r="K13" s="192">
        <f>VLOOKUP(I13,Forecast!A$1:K$200,10)</f>
        <v>16417</v>
      </c>
      <c r="L13" s="470">
        <f t="shared" si="1"/>
        <v>1596872</v>
      </c>
      <c r="M13" s="38"/>
      <c r="N13" s="81">
        <f>VLOOKUP($I13,Forecast!$A$10:$J$124,9,FALSE)</f>
        <v>1580455</v>
      </c>
      <c r="O13" s="3">
        <f t="shared" si="2"/>
        <v>0</v>
      </c>
      <c r="P13" s="81">
        <f>VLOOKUP($I13,Forecast!$A$10:$J$124,10,FALSE)</f>
        <v>16417</v>
      </c>
      <c r="Q13" s="3">
        <f t="shared" si="3"/>
        <v>0</v>
      </c>
    </row>
    <row r="14" spans="1:17" ht="15.75" customHeight="1" x14ac:dyDescent="0.35">
      <c r="A14" s="46">
        <v>3</v>
      </c>
      <c r="B14" s="144">
        <f>EDATE(B13,1)</f>
        <v>44652</v>
      </c>
      <c r="C14" s="146" t="str">
        <f>C13</f>
        <v>2021-00458</v>
      </c>
      <c r="D14" s="84">
        <f>'Ex B-1 2 of 7'!J21</f>
        <v>12983608</v>
      </c>
      <c r="E14" s="147">
        <f>'Ex B-1 5 of 7'!I33</f>
        <v>10615239</v>
      </c>
      <c r="F14" s="84">
        <f t="shared" si="0"/>
        <v>-2368369</v>
      </c>
      <c r="G14" s="152"/>
      <c r="H14" s="148"/>
      <c r="I14" s="80">
        <f t="shared" si="4"/>
        <v>44866</v>
      </c>
      <c r="J14" s="192">
        <f>VLOOKUP(I14,Forecast!A$1:K$200,9)</f>
        <v>3214920</v>
      </c>
      <c r="K14" s="192">
        <f>VLOOKUP(I14,Forecast!A$1:K$200,10)</f>
        <v>24254</v>
      </c>
      <c r="L14" s="470">
        <f t="shared" si="1"/>
        <v>3239174</v>
      </c>
      <c r="M14" s="38"/>
      <c r="N14" s="81">
        <f>VLOOKUP($I14,Forecast!$A$10:$J$124,9,FALSE)</f>
        <v>3214920</v>
      </c>
      <c r="O14" s="3">
        <f t="shared" si="2"/>
        <v>0</v>
      </c>
      <c r="P14" s="81">
        <f>VLOOKUP($I14,Forecast!$A$10:$J$124,10,FALSE)</f>
        <v>24254</v>
      </c>
      <c r="Q14" s="3">
        <f t="shared" si="3"/>
        <v>0</v>
      </c>
    </row>
    <row r="15" spans="1:17" ht="15.75" customHeight="1" x14ac:dyDescent="0.35">
      <c r="A15" s="711">
        <v>4</v>
      </c>
      <c r="B15" s="144">
        <f>EDATE(B14,1)</f>
        <v>44682</v>
      </c>
      <c r="C15" s="146" t="s">
        <v>267</v>
      </c>
      <c r="D15" s="149">
        <f>'Ex B-1 2 of 7'!J22</f>
        <v>3648225</v>
      </c>
      <c r="E15" s="149">
        <f>'Ex B-1 5 of 7'!I34</f>
        <v>0</v>
      </c>
      <c r="F15" s="149">
        <f t="shared" si="0"/>
        <v>-3648225</v>
      </c>
      <c r="G15" s="152"/>
      <c r="H15" s="148"/>
      <c r="I15" s="80">
        <f t="shared" si="4"/>
        <v>44896</v>
      </c>
      <c r="J15" s="192">
        <f>VLOOKUP(I15,Forecast!A$1:K$200,9)</f>
        <v>5107593</v>
      </c>
      <c r="K15" s="192">
        <f>VLOOKUP(I15,Forecast!A$1:K$200,10)</f>
        <v>12496</v>
      </c>
      <c r="L15" s="470">
        <f t="shared" si="1"/>
        <v>5120089</v>
      </c>
      <c r="M15" s="38"/>
      <c r="N15" s="81">
        <f>VLOOKUP($I15,Forecast!$A$10:$J$124,9,FALSE)</f>
        <v>5107593</v>
      </c>
      <c r="O15" s="3">
        <f t="shared" si="2"/>
        <v>0</v>
      </c>
      <c r="P15" s="81">
        <f>VLOOKUP($I15,Forecast!$A$10:$J$124,10,FALSE)</f>
        <v>12496</v>
      </c>
      <c r="Q15" s="3">
        <f t="shared" si="3"/>
        <v>0</v>
      </c>
    </row>
    <row r="16" spans="1:17" ht="15.75" customHeight="1" x14ac:dyDescent="0.35">
      <c r="A16" s="711">
        <v>5</v>
      </c>
      <c r="B16" s="150"/>
      <c r="C16" s="146"/>
      <c r="D16" s="84">
        <f>(SUM(D12:D15))</f>
        <v>49008111</v>
      </c>
      <c r="E16" s="84">
        <f>(SUM(E12:E15))</f>
        <v>60379754</v>
      </c>
      <c r="F16" s="84">
        <f>(SUM(F12:F15))</f>
        <v>11371643</v>
      </c>
      <c r="G16" s="152"/>
      <c r="H16" s="148"/>
      <c r="I16" s="80">
        <f t="shared" si="4"/>
        <v>44927</v>
      </c>
      <c r="J16" s="192">
        <f>VLOOKUP(I16,Forecast!A$1:K$200,9)</f>
        <v>6068873</v>
      </c>
      <c r="K16" s="192">
        <f>VLOOKUP(I16,Forecast!A$1:K$200,10)</f>
        <v>19723</v>
      </c>
      <c r="L16" s="470">
        <f t="shared" si="1"/>
        <v>6088596</v>
      </c>
      <c r="M16" s="38"/>
      <c r="N16" s="81">
        <f>VLOOKUP($I16,Forecast!$A$10:$J$124,9,FALSE)</f>
        <v>6068873</v>
      </c>
      <c r="O16" s="3">
        <f t="shared" si="2"/>
        <v>0</v>
      </c>
      <c r="P16" s="81">
        <f>VLOOKUP($I16,Forecast!$A$10:$J$124,10,FALSE)</f>
        <v>19723</v>
      </c>
      <c r="Q16" s="3">
        <f t="shared" si="3"/>
        <v>0</v>
      </c>
    </row>
    <row r="17" spans="1:17" ht="15.75" customHeight="1" x14ac:dyDescent="0.35">
      <c r="A17" s="711"/>
      <c r="B17" s="151"/>
      <c r="C17" s="151"/>
      <c r="D17" s="145"/>
      <c r="E17" s="145"/>
      <c r="F17" s="152"/>
      <c r="G17" s="152"/>
      <c r="I17" s="80">
        <f t="shared" si="4"/>
        <v>44958</v>
      </c>
      <c r="J17" s="192">
        <f>VLOOKUP(I17,Forecast!A$1:K$200,9)</f>
        <v>5101927</v>
      </c>
      <c r="K17" s="192">
        <f>VLOOKUP(I17,Forecast!A$1:K$200,10)</f>
        <v>21039</v>
      </c>
      <c r="L17" s="470">
        <f t="shared" si="1"/>
        <v>5122966</v>
      </c>
      <c r="M17" s="38"/>
      <c r="N17" s="81">
        <f>VLOOKUP($I17,Forecast!$A$10:$J$124,9,FALSE)</f>
        <v>5101927</v>
      </c>
      <c r="O17" s="3">
        <f t="shared" si="2"/>
        <v>0</v>
      </c>
      <c r="P17" s="81">
        <f>VLOOKUP($I17,Forecast!$A$10:$J$124,10,FALSE)</f>
        <v>21039</v>
      </c>
      <c r="Q17" s="3">
        <f t="shared" si="3"/>
        <v>0</v>
      </c>
    </row>
    <row r="18" spans="1:17" ht="15.75" customHeight="1" x14ac:dyDescent="0.35">
      <c r="A18" s="711">
        <v>6</v>
      </c>
      <c r="B18" s="151"/>
      <c r="C18" s="54" t="s">
        <v>309</v>
      </c>
      <c r="D18" s="84">
        <f>F16</f>
        <v>11371643</v>
      </c>
      <c r="E18" s="145"/>
      <c r="F18" s="152"/>
      <c r="G18" s="152"/>
      <c r="I18" s="80">
        <f t="shared" si="4"/>
        <v>44986</v>
      </c>
      <c r="J18" s="192">
        <f>VLOOKUP(I18,Forecast!A$1:K$200,9)</f>
        <v>4021998</v>
      </c>
      <c r="K18" s="192">
        <f>VLOOKUP(I18,Forecast!A$1:K$200,10)</f>
        <v>17380</v>
      </c>
      <c r="L18" s="470">
        <f t="shared" si="1"/>
        <v>4039378</v>
      </c>
      <c r="M18" s="38"/>
      <c r="N18" s="81">
        <f>VLOOKUP($I18,Forecast!$A$10:$J$124,9,FALSE)</f>
        <v>4021998</v>
      </c>
      <c r="O18" s="3">
        <f t="shared" si="2"/>
        <v>0</v>
      </c>
      <c r="P18" s="81">
        <f>VLOOKUP($I18,Forecast!$A$10:$J$124,10,FALSE)</f>
        <v>17380</v>
      </c>
      <c r="Q18" s="3">
        <f t="shared" si="3"/>
        <v>0</v>
      </c>
    </row>
    <row r="19" spans="1:17" ht="15.75" customHeight="1" x14ac:dyDescent="0.35">
      <c r="A19" s="711"/>
      <c r="B19" s="90"/>
      <c r="C19" s="54"/>
      <c r="D19" s="90"/>
      <c r="E19" s="90"/>
      <c r="F19" s="152"/>
      <c r="G19" s="152"/>
      <c r="I19" s="80">
        <f t="shared" si="4"/>
        <v>45017</v>
      </c>
      <c r="J19" s="192">
        <f>VLOOKUP(I19,Forecast!A$1:K$200,9)</f>
        <v>2103412</v>
      </c>
      <c r="K19" s="192">
        <f>VLOOKUP(I19,Forecast!A$1:K$200,10)</f>
        <v>23937</v>
      </c>
      <c r="L19" s="470">
        <f t="shared" si="1"/>
        <v>2127349</v>
      </c>
      <c r="M19" s="38"/>
      <c r="N19" s="81">
        <f>VLOOKUP($I19,Forecast!$A$10:$J$124,9,FALSE)</f>
        <v>2103412</v>
      </c>
      <c r="O19" s="3">
        <f t="shared" si="2"/>
        <v>0</v>
      </c>
      <c r="P19" s="81">
        <f>VLOOKUP($I19,Forecast!$A$10:$J$124,10,FALSE)</f>
        <v>23937</v>
      </c>
      <c r="Q19" s="3">
        <f t="shared" si="3"/>
        <v>0</v>
      </c>
    </row>
    <row r="20" spans="1:17" ht="15.75" customHeight="1" x14ac:dyDescent="0.35">
      <c r="F20" s="152"/>
      <c r="G20" s="277"/>
      <c r="I20" s="80">
        <f t="shared" si="4"/>
        <v>45047</v>
      </c>
      <c r="J20" s="192">
        <f>VLOOKUP(I20,Forecast!A$1:K$200,9)</f>
        <v>1192115</v>
      </c>
      <c r="K20" s="192">
        <f>VLOOKUP(I20,Forecast!A$1:K$200,10)</f>
        <v>19297</v>
      </c>
      <c r="L20" s="470">
        <f t="shared" si="1"/>
        <v>1211412</v>
      </c>
      <c r="M20" s="38"/>
      <c r="N20" s="81">
        <f>VLOOKUP($I20,Forecast!$A$10:$J$124,9,FALSE)</f>
        <v>1192115</v>
      </c>
      <c r="O20" s="3">
        <f t="shared" si="2"/>
        <v>0</v>
      </c>
      <c r="P20" s="81">
        <f>VLOOKUP($I20,Forecast!$A$10:$J$124,10,FALSE)</f>
        <v>19297</v>
      </c>
      <c r="Q20" s="3">
        <f t="shared" si="3"/>
        <v>0</v>
      </c>
    </row>
    <row r="21" spans="1:17" ht="15.75" customHeight="1" x14ac:dyDescent="0.35">
      <c r="A21" s="711">
        <v>7</v>
      </c>
      <c r="B21" s="151"/>
      <c r="C21" s="54" t="s">
        <v>318</v>
      </c>
      <c r="E21" s="153"/>
      <c r="F21" s="275"/>
      <c r="G21" s="1"/>
      <c r="I21" s="80">
        <f t="shared" si="4"/>
        <v>45078</v>
      </c>
      <c r="J21" s="192">
        <f>VLOOKUP(I21,Forecast!A$1:K$200,9)</f>
        <v>729943</v>
      </c>
      <c r="K21" s="192">
        <f>VLOOKUP(I21,Forecast!A$1:K$200,10)</f>
        <v>17980</v>
      </c>
      <c r="L21" s="470">
        <f t="shared" si="1"/>
        <v>747923</v>
      </c>
      <c r="M21" s="38"/>
      <c r="N21" s="81">
        <f>VLOOKUP($I21,Forecast!$A$10:$J$124,9,FALSE)</f>
        <v>729943</v>
      </c>
      <c r="O21" s="3">
        <f t="shared" si="2"/>
        <v>0</v>
      </c>
      <c r="P21" s="81">
        <f>VLOOKUP($I21,Forecast!$A$10:$J$124,10,FALSE)</f>
        <v>17980</v>
      </c>
      <c r="Q21" s="3">
        <f t="shared" si="3"/>
        <v>0</v>
      </c>
    </row>
    <row r="22" spans="1:17" ht="15.75" customHeight="1" x14ac:dyDescent="0.35">
      <c r="A22" s="711">
        <v>8</v>
      </c>
      <c r="B22" s="151"/>
      <c r="C22" s="54" t="s">
        <v>319</v>
      </c>
      <c r="D22" s="55">
        <f>L25</f>
        <v>31463109</v>
      </c>
      <c r="E22" s="153"/>
      <c r="F22" s="152"/>
      <c r="G22" s="1"/>
      <c r="I22" s="80">
        <f t="shared" si="4"/>
        <v>45108</v>
      </c>
      <c r="J22" s="192">
        <f>VLOOKUP(I22,Forecast!A$1:K$200,9)</f>
        <v>664044</v>
      </c>
      <c r="K22" s="192">
        <f>VLOOKUP(I22,Forecast!A$1:K$200,10)</f>
        <v>17490</v>
      </c>
      <c r="L22" s="470">
        <f t="shared" si="1"/>
        <v>681534</v>
      </c>
      <c r="M22" s="38"/>
      <c r="N22" s="561">
        <f>VLOOKUP($I22,Forecast!$A$10:$J$124,9,FALSE)</f>
        <v>664044</v>
      </c>
      <c r="O22" s="513">
        <f t="shared" si="2"/>
        <v>0</v>
      </c>
      <c r="P22" s="561">
        <f>VLOOKUP($I22,Forecast!$A$10:$J$124,10,FALSE)</f>
        <v>17490</v>
      </c>
      <c r="Q22" s="513">
        <f t="shared" si="3"/>
        <v>0</v>
      </c>
    </row>
    <row r="23" spans="1:17" ht="15.75" customHeight="1" x14ac:dyDescent="0.35">
      <c r="E23" s="145"/>
      <c r="F23" s="152"/>
      <c r="G23" s="1"/>
      <c r="I23" s="471"/>
      <c r="J23" s="472"/>
      <c r="K23" s="472"/>
      <c r="L23" s="473"/>
      <c r="M23" s="38"/>
      <c r="N23" s="192">
        <f>SUM(N11:N22)</f>
        <v>31239923</v>
      </c>
      <c r="P23" s="192">
        <f>SUM(P11:P22)</f>
        <v>223186</v>
      </c>
    </row>
    <row r="24" spans="1:17" ht="16" thickBot="1" x14ac:dyDescent="0.4">
      <c r="A24" s="711">
        <v>9</v>
      </c>
      <c r="B24" s="151"/>
      <c r="C24" s="54" t="s">
        <v>317</v>
      </c>
      <c r="D24" s="99">
        <f>ROUND((D18)/D22,4)</f>
        <v>0.3614</v>
      </c>
      <c r="E24" s="145"/>
      <c r="F24" s="152"/>
      <c r="I24" s="471"/>
      <c r="J24" s="472"/>
      <c r="K24" s="472"/>
      <c r="L24" s="473"/>
      <c r="M24" s="38"/>
      <c r="N24" s="37"/>
      <c r="P24" s="37"/>
      <c r="Q24" s="37"/>
    </row>
    <row r="25" spans="1:17" ht="15.75" customHeight="1" thickBot="1" x14ac:dyDescent="0.4">
      <c r="A25" s="711">
        <v>10</v>
      </c>
      <c r="B25" s="151"/>
      <c r="C25" s="54" t="s">
        <v>320</v>
      </c>
      <c r="D25" s="154">
        <f>ROUND(D24/10,5)</f>
        <v>3.6139999999999999E-2</v>
      </c>
      <c r="E25" s="1"/>
      <c r="F25" s="1"/>
      <c r="H25" s="1"/>
      <c r="I25" s="474"/>
      <c r="J25" s="475"/>
      <c r="K25" s="476"/>
      <c r="L25" s="477">
        <f>SUM(L11:L23)</f>
        <v>31463109</v>
      </c>
      <c r="M25" s="30"/>
      <c r="N25" s="192">
        <f>N23+P23</f>
        <v>31463109</v>
      </c>
      <c r="O25" s="3">
        <f>L25-N25</f>
        <v>0</v>
      </c>
      <c r="P25" s="37"/>
    </row>
    <row r="26" spans="1:17" ht="15.75" customHeight="1" x14ac:dyDescent="0.35">
      <c r="A26" s="711"/>
      <c r="B26" s="1"/>
      <c r="C26" s="54"/>
      <c r="D26" s="554"/>
      <c r="E26" s="1"/>
      <c r="F26" s="1"/>
      <c r="H26" s="1"/>
      <c r="M26" s="30"/>
    </row>
    <row r="27" spans="1:17" ht="15.75" customHeight="1" x14ac:dyDescent="0.35">
      <c r="A27" s="711"/>
      <c r="D27" s="1"/>
      <c r="E27" s="1"/>
      <c r="F27" s="1"/>
    </row>
    <row r="28" spans="1:17" x14ac:dyDescent="0.35">
      <c r="A28" s="711"/>
      <c r="D28" s="1"/>
    </row>
    <row r="29" spans="1:17" ht="18.5" x14ac:dyDescent="0.35">
      <c r="A29" s="711"/>
      <c r="B29" s="155" t="s">
        <v>394</v>
      </c>
      <c r="C29" s="1"/>
    </row>
    <row r="30" spans="1:17" ht="18.5" x14ac:dyDescent="0.35">
      <c r="B30" s="155" t="s">
        <v>467</v>
      </c>
      <c r="C30" s="1"/>
    </row>
    <row r="31" spans="1:17" ht="18.5" x14ac:dyDescent="0.35">
      <c r="B31" s="3" t="s">
        <v>478</v>
      </c>
    </row>
    <row r="45" ht="15.75" customHeight="1" x14ac:dyDescent="0.35"/>
    <row r="58" s="3" customFormat="1" x14ac:dyDescent="0.35"/>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N1"/>
    </sheetView>
  </sheetViews>
  <sheetFormatPr defaultColWidth="9.23046875" defaultRowHeight="14" x14ac:dyDescent="0.3"/>
  <cols>
    <col min="1" max="1" width="7" style="2" customWidth="1"/>
    <col min="2" max="2" width="14.84375" style="2" customWidth="1"/>
    <col min="3" max="3" width="3.23046875" style="2" customWidth="1"/>
    <col min="4" max="4" width="13.3046875" style="2" customWidth="1"/>
    <col min="5" max="5" width="3" style="2" customWidth="1"/>
    <col min="6" max="6" width="13" style="2" customWidth="1"/>
    <col min="7" max="7" width="2.23046875" style="2" customWidth="1"/>
    <col min="8" max="8" width="10.69140625" style="2" customWidth="1"/>
    <col min="9" max="9" width="2.3046875" style="2" customWidth="1"/>
    <col min="10" max="10" width="14.84375" style="2" customWidth="1"/>
    <col min="11" max="11" width="2.4609375" style="2" customWidth="1"/>
    <col min="12" max="12" width="12.3046875" style="2" customWidth="1"/>
    <col min="13" max="13" width="11.84375" style="2" customWidth="1"/>
    <col min="14" max="14" width="16.07421875" style="2" customWidth="1"/>
    <col min="15" max="15" width="13.69140625" style="2" customWidth="1"/>
    <col min="16" max="16" width="11.3046875" style="2" customWidth="1"/>
    <col min="17" max="17" width="15.765625" style="2" customWidth="1"/>
    <col min="18" max="19" width="13.23046875" style="2" customWidth="1"/>
    <col min="20" max="20" width="8.765625" style="2" customWidth="1"/>
    <col min="21" max="21" width="18" style="2" customWidth="1"/>
    <col min="22" max="16384" width="9.23046875" style="2"/>
  </cols>
  <sheetData>
    <row r="1" spans="1:21" ht="17.5" x14ac:dyDescent="0.35">
      <c r="A1" s="769" t="s">
        <v>5</v>
      </c>
      <c r="B1" s="769"/>
      <c r="C1" s="769"/>
      <c r="D1" s="769"/>
      <c r="E1" s="769"/>
      <c r="F1" s="769"/>
      <c r="G1" s="769"/>
      <c r="H1" s="769"/>
      <c r="I1" s="769"/>
      <c r="J1" s="769"/>
      <c r="K1" s="769"/>
      <c r="L1" s="769"/>
      <c r="M1" s="769"/>
      <c r="N1" s="769"/>
      <c r="O1" s="177"/>
      <c r="P1" s="177"/>
      <c r="Q1" s="177"/>
      <c r="R1" s="177"/>
      <c r="S1" s="177"/>
      <c r="T1" s="177"/>
      <c r="U1" s="177"/>
    </row>
    <row r="2" spans="1:21" ht="18" x14ac:dyDescent="0.4">
      <c r="A2" s="756" t="s">
        <v>293</v>
      </c>
      <c r="B2" s="756"/>
      <c r="C2" s="756"/>
      <c r="D2" s="756"/>
      <c r="E2" s="756"/>
      <c r="F2" s="756"/>
      <c r="G2" s="756"/>
      <c r="H2" s="756"/>
      <c r="I2" s="756"/>
      <c r="J2" s="756"/>
      <c r="K2" s="756"/>
      <c r="L2" s="756"/>
      <c r="M2" s="756"/>
      <c r="N2" s="756"/>
      <c r="O2" s="104"/>
      <c r="P2" s="104"/>
      <c r="Q2" s="104"/>
      <c r="R2" s="104"/>
      <c r="S2" s="104"/>
      <c r="T2" s="104"/>
      <c r="U2" s="104"/>
    </row>
    <row r="3" spans="1:21" ht="18" x14ac:dyDescent="0.4">
      <c r="A3" s="756" t="s">
        <v>294</v>
      </c>
      <c r="B3" s="756"/>
      <c r="C3" s="756"/>
      <c r="D3" s="756"/>
      <c r="E3" s="756"/>
      <c r="F3" s="756"/>
      <c r="G3" s="756"/>
      <c r="H3" s="756"/>
      <c r="I3" s="756"/>
      <c r="J3" s="756"/>
      <c r="K3" s="756"/>
      <c r="L3" s="756"/>
      <c r="M3" s="756"/>
      <c r="N3" s="756"/>
      <c r="O3" s="104"/>
      <c r="P3" s="104"/>
      <c r="Q3" s="104"/>
      <c r="R3" s="104"/>
      <c r="S3" s="104"/>
      <c r="T3" s="104"/>
      <c r="U3" s="104"/>
    </row>
    <row r="4" spans="1:21" ht="18" x14ac:dyDescent="0.4">
      <c r="A4" s="756" t="str">
        <f>CONCATENATE("For Service Rendered On and After ",'Input Data'!$D$4)</f>
        <v>For Service Rendered On and After August 1, 2022</v>
      </c>
      <c r="B4" s="756"/>
      <c r="C4" s="756"/>
      <c r="D4" s="756"/>
      <c r="E4" s="756"/>
      <c r="F4" s="756"/>
      <c r="G4" s="756"/>
      <c r="H4" s="756"/>
      <c r="I4" s="756"/>
      <c r="J4" s="756"/>
      <c r="K4" s="756"/>
      <c r="L4" s="756"/>
      <c r="M4" s="756"/>
      <c r="N4" s="756"/>
      <c r="O4" s="104"/>
      <c r="P4" s="104"/>
      <c r="Q4" s="104"/>
      <c r="R4" s="104"/>
      <c r="S4" s="104"/>
      <c r="T4" s="104"/>
      <c r="U4" s="104"/>
    </row>
    <row r="5" spans="1:21" ht="15.5" x14ac:dyDescent="0.35">
      <c r="A5" s="3"/>
      <c r="B5" s="3"/>
      <c r="C5" s="3"/>
      <c r="D5" s="3"/>
      <c r="E5" s="3"/>
      <c r="F5" s="3"/>
      <c r="G5" s="3"/>
      <c r="H5" s="3"/>
      <c r="I5" s="3"/>
      <c r="J5" s="711"/>
      <c r="K5" s="3"/>
      <c r="L5" s="711"/>
      <c r="M5" s="329"/>
    </row>
    <row r="6" spans="1:21" ht="87" customHeight="1" x14ac:dyDescent="0.35">
      <c r="A6" s="713" t="s">
        <v>247</v>
      </c>
      <c r="B6" s="714" t="s">
        <v>348</v>
      </c>
      <c r="C6" s="714"/>
      <c r="D6" s="713" t="s">
        <v>310</v>
      </c>
      <c r="E6" s="713"/>
      <c r="F6" s="713" t="s">
        <v>116</v>
      </c>
      <c r="G6" s="713"/>
      <c r="H6" s="714" t="s">
        <v>369</v>
      </c>
      <c r="I6" s="714"/>
      <c r="J6" s="714" t="s">
        <v>361</v>
      </c>
      <c r="K6" s="3"/>
      <c r="L6" s="714" t="s">
        <v>268</v>
      </c>
      <c r="M6" s="397" t="s">
        <v>444</v>
      </c>
      <c r="N6" s="142" t="s">
        <v>264</v>
      </c>
    </row>
    <row r="7" spans="1:21" ht="34.5" customHeight="1" x14ac:dyDescent="0.35">
      <c r="A7" s="398" t="s">
        <v>60</v>
      </c>
      <c r="B7" s="398" t="s">
        <v>61</v>
      </c>
      <c r="C7" s="398"/>
      <c r="D7" s="398" t="s">
        <v>62</v>
      </c>
      <c r="F7" s="398" t="s">
        <v>63</v>
      </c>
      <c r="G7" s="398"/>
      <c r="H7" s="398" t="s">
        <v>64</v>
      </c>
      <c r="I7" s="3"/>
      <c r="J7" s="398" t="s">
        <v>65</v>
      </c>
      <c r="L7" s="399" t="s">
        <v>66</v>
      </c>
      <c r="M7" s="399" t="s">
        <v>111</v>
      </c>
      <c r="N7" s="398" t="s">
        <v>496</v>
      </c>
      <c r="Q7" s="258"/>
      <c r="R7" s="258"/>
    </row>
    <row r="8" spans="1:21" ht="15.5" x14ac:dyDescent="0.35">
      <c r="A8" s="54"/>
      <c r="B8" s="400"/>
      <c r="C8" s="400"/>
      <c r="D8" s="400"/>
      <c r="E8" s="400"/>
      <c r="F8" s="400"/>
      <c r="G8" s="400"/>
      <c r="H8" s="400"/>
      <c r="I8" s="400"/>
      <c r="K8" s="1"/>
      <c r="L8" s="3"/>
      <c r="Q8" s="258"/>
      <c r="R8" s="258"/>
    </row>
    <row r="9" spans="1:21" ht="18.5" x14ac:dyDescent="0.35">
      <c r="A9" s="711">
        <v>1</v>
      </c>
      <c r="B9" s="146">
        <f>'Input Data'!C7</f>
        <v>44593</v>
      </c>
      <c r="C9" s="146"/>
      <c r="D9" s="146" t="s">
        <v>364</v>
      </c>
      <c r="E9" s="146"/>
      <c r="F9" s="146" t="str">
        <f>'Ex B-1 1 of 7'!C12</f>
        <v>2021-00458</v>
      </c>
      <c r="G9" s="146"/>
      <c r="H9" s="401">
        <f>VLOOKUP($B9,'Sales Volumes'!$A$1:$H$150,2,FALSE)</f>
        <v>5840316.2000000002</v>
      </c>
      <c r="I9" s="402">
        <v>1</v>
      </c>
      <c r="J9" s="403">
        <f>VLOOKUP($B9,'Sales Volumes'!$A$1:$H$150,4,FALSE)</f>
        <v>2633655.2000000002</v>
      </c>
      <c r="K9" s="402">
        <v>2</v>
      </c>
      <c r="L9" s="404">
        <f>VLOOKUP(F9,'Case Database'!C3:E200,2)</f>
        <v>4.6096000000000004</v>
      </c>
      <c r="M9" s="156">
        <f>'Ex B-1 3 of 7'!L13</f>
        <v>0</v>
      </c>
      <c r="N9" s="156">
        <f>ROUND(J9*L9,0)+M9</f>
        <v>12140097</v>
      </c>
      <c r="Q9" s="258"/>
      <c r="R9" s="258"/>
    </row>
    <row r="10" spans="1:21" ht="18.5" x14ac:dyDescent="0.35">
      <c r="A10" s="711">
        <v>2</v>
      </c>
      <c r="B10" s="146">
        <f>EDATE(B9,1)</f>
        <v>44621</v>
      </c>
      <c r="C10" s="146"/>
      <c r="D10" s="146"/>
      <c r="E10" s="146"/>
      <c r="F10" s="146" t="str">
        <f>F9</f>
        <v>2021-00458</v>
      </c>
      <c r="G10" s="146"/>
      <c r="H10" s="401">
        <f>VLOOKUP($B10,'Sales Volumes'!$A$1:$H$150,2,FALSE)</f>
        <v>4334416.8</v>
      </c>
      <c r="I10" s="405"/>
      <c r="J10" s="403">
        <f>H10</f>
        <v>4334416.8</v>
      </c>
      <c r="K10" s="193"/>
      <c r="L10" s="404">
        <f>$L$9</f>
        <v>4.6096000000000004</v>
      </c>
      <c r="M10" s="156">
        <f>'Ex B-1 3 of 7'!L14</f>
        <v>0</v>
      </c>
      <c r="N10" s="156">
        <f>ROUND(J10*L10,0)+M10</f>
        <v>19979928</v>
      </c>
      <c r="Q10" s="258"/>
      <c r="R10" s="258"/>
    </row>
    <row r="11" spans="1:21" ht="18.5" x14ac:dyDescent="0.35">
      <c r="A11" s="711">
        <v>3</v>
      </c>
      <c r="B11" s="146">
        <f>EDATE(B10,1)</f>
        <v>44652</v>
      </c>
      <c r="C11" s="146"/>
      <c r="D11" s="146"/>
      <c r="E11" s="146"/>
      <c r="F11" s="146" t="str">
        <f>F9</f>
        <v>2021-00458</v>
      </c>
      <c r="G11" s="146"/>
      <c r="H11" s="401">
        <f>VLOOKUP($B11,'Sales Volumes'!$A$1:$H$150,2,FALSE)</f>
        <v>2797541.7</v>
      </c>
      <c r="I11" s="405"/>
      <c r="J11" s="403">
        <f>H11</f>
        <v>2797541.7</v>
      </c>
      <c r="K11" s="193"/>
      <c r="L11" s="404">
        <f>$L$9</f>
        <v>4.6096000000000004</v>
      </c>
      <c r="M11" s="156">
        <f>'Ex B-1 3 of 7'!L15</f>
        <v>0</v>
      </c>
      <c r="N11" s="156">
        <f>ROUND(J11*L11,0)+M11</f>
        <v>12895548</v>
      </c>
      <c r="Q11" s="258"/>
      <c r="R11" s="258"/>
    </row>
    <row r="12" spans="1:21" ht="18.5" x14ac:dyDescent="0.35">
      <c r="A12" s="711">
        <v>4</v>
      </c>
      <c r="B12" s="146">
        <f>EDATE(B11,1)</f>
        <v>44682</v>
      </c>
      <c r="C12" s="146"/>
      <c r="D12" s="146" t="s">
        <v>364</v>
      </c>
      <c r="E12" s="146"/>
      <c r="F12" s="146" t="str">
        <f>F9</f>
        <v>2021-00458</v>
      </c>
      <c r="G12" s="146"/>
      <c r="H12" s="401">
        <f>VLOOKUP($B12,'Sales Volumes'!$A$1:$H$150,2,FALSE)</f>
        <v>1353023.2</v>
      </c>
      <c r="I12" s="402">
        <v>1</v>
      </c>
      <c r="J12" s="406">
        <f>VLOOKUP($B12,'Sales Volumes'!$A$1:$H$150,3,FALSE)</f>
        <v>791440.7</v>
      </c>
      <c r="K12" s="402">
        <v>2</v>
      </c>
      <c r="L12" s="404">
        <f>$L$9</f>
        <v>4.6096000000000004</v>
      </c>
      <c r="M12" s="407"/>
      <c r="N12" s="408">
        <f>ROUND(J12*L12,0)+M12</f>
        <v>3648225</v>
      </c>
    </row>
    <row r="13" spans="1:21" ht="18" customHeight="1" x14ac:dyDescent="0.35">
      <c r="A13" s="711">
        <v>5</v>
      </c>
      <c r="I13" s="1"/>
      <c r="J13" s="409">
        <f>SUM(J9:J12)</f>
        <v>10557054.399999999</v>
      </c>
      <c r="K13" s="410"/>
      <c r="L13" s="54"/>
      <c r="M13" s="156">
        <f>SUM(M9:M12)</f>
        <v>0</v>
      </c>
      <c r="N13" s="156">
        <f>SUM(N9:N12)</f>
        <v>48663798</v>
      </c>
    </row>
    <row r="14" spans="1:21" ht="16.5" customHeight="1" x14ac:dyDescent="0.35">
      <c r="I14" s="1"/>
      <c r="K14" s="3"/>
      <c r="L14" s="3"/>
    </row>
    <row r="15" spans="1:21" ht="15.5" x14ac:dyDescent="0.35">
      <c r="K15" s="3"/>
      <c r="L15" s="3"/>
    </row>
    <row r="16" spans="1:21" ht="51.75" customHeight="1" x14ac:dyDescent="0.35">
      <c r="D16" s="142" t="s">
        <v>468</v>
      </c>
      <c r="E16" s="402">
        <v>3</v>
      </c>
      <c r="F16" s="142" t="s">
        <v>462</v>
      </c>
      <c r="G16" s="402">
        <v>4</v>
      </c>
      <c r="H16" s="142" t="s">
        <v>265</v>
      </c>
      <c r="J16" s="142" t="s">
        <v>266</v>
      </c>
    </row>
    <row r="17" spans="1:21" ht="31" x14ac:dyDescent="0.35">
      <c r="D17" s="398" t="s">
        <v>113</v>
      </c>
      <c r="E17" s="398"/>
      <c r="F17" s="398" t="s">
        <v>375</v>
      </c>
      <c r="G17" s="398"/>
      <c r="H17" s="398" t="s">
        <v>365</v>
      </c>
      <c r="J17" s="411" t="s">
        <v>479</v>
      </c>
      <c r="K17" s="258"/>
      <c r="L17" s="258"/>
      <c r="M17" s="258"/>
      <c r="N17" s="258"/>
    </row>
    <row r="18" spans="1:21" ht="16.5" customHeight="1" x14ac:dyDescent="0.35">
      <c r="K18" s="258"/>
      <c r="L18" s="258"/>
      <c r="M18" s="258"/>
      <c r="N18" s="258"/>
    </row>
    <row r="19" spans="1:21" ht="18.75" customHeight="1" x14ac:dyDescent="0.35">
      <c r="A19" s="329">
        <v>6</v>
      </c>
      <c r="B19" s="146">
        <f>B9</f>
        <v>44593</v>
      </c>
      <c r="D19" s="156">
        <f>'Ex B-1 3 of 7'!N13</f>
        <v>49129</v>
      </c>
      <c r="F19" s="156">
        <f>'Ex B-1 4 of 7'!N15</f>
        <v>44617</v>
      </c>
      <c r="G19" s="156"/>
      <c r="H19" s="156">
        <f>'Input Data'!C74</f>
        <v>0</v>
      </c>
      <c r="J19" s="156">
        <f>N9+D19+F19+H19</f>
        <v>12233843</v>
      </c>
      <c r="K19" s="258"/>
      <c r="L19" s="258"/>
      <c r="M19" s="258"/>
      <c r="N19" s="258"/>
    </row>
    <row r="20" spans="1:21" ht="18.75" customHeight="1" x14ac:dyDescent="0.35">
      <c r="A20" s="329">
        <v>7</v>
      </c>
      <c r="B20" s="146">
        <f>B10</f>
        <v>44621</v>
      </c>
      <c r="D20" s="156">
        <f>'Ex B-1 3 of 7'!N14</f>
        <v>76298</v>
      </c>
      <c r="E20" s="412"/>
      <c r="F20" s="156">
        <f>'Ex B-1 4 of 7'!N16</f>
        <v>86209</v>
      </c>
      <c r="G20" s="156"/>
      <c r="H20" s="156">
        <f>'Input Data'!D74</f>
        <v>0</v>
      </c>
      <c r="J20" s="156">
        <f>N10+D20+F20+H20</f>
        <v>20142435</v>
      </c>
      <c r="K20" s="258"/>
      <c r="L20" s="258"/>
      <c r="M20" s="258"/>
      <c r="N20" s="258"/>
    </row>
    <row r="21" spans="1:21" ht="18.75" customHeight="1" x14ac:dyDescent="0.35">
      <c r="A21" s="329">
        <v>8</v>
      </c>
      <c r="B21" s="146">
        <f>B11</f>
        <v>44652</v>
      </c>
      <c r="D21" s="156">
        <f>'Ex B-1 3 of 7'!N15</f>
        <v>76058</v>
      </c>
      <c r="E21" s="412"/>
      <c r="F21" s="156">
        <f>'Ex B-1 4 of 7'!N17</f>
        <v>12002</v>
      </c>
      <c r="G21" s="156"/>
      <c r="H21" s="156">
        <f>'Input Data'!E74</f>
        <v>0</v>
      </c>
      <c r="J21" s="156">
        <f>N11+D21+F21+H21</f>
        <v>12983608</v>
      </c>
      <c r="K21" s="258"/>
      <c r="L21" s="258"/>
      <c r="M21" s="258"/>
      <c r="N21" s="258"/>
    </row>
    <row r="22" spans="1:21" ht="18.75" customHeight="1" x14ac:dyDescent="0.35">
      <c r="A22" s="329">
        <v>9</v>
      </c>
      <c r="B22" s="146">
        <f>B12</f>
        <v>44682</v>
      </c>
      <c r="D22" s="413"/>
      <c r="E22" s="414"/>
      <c r="F22" s="415"/>
      <c r="G22" s="416"/>
      <c r="H22" s="417"/>
      <c r="J22" s="408">
        <f>N12+D22+F22+H22</f>
        <v>3648225</v>
      </c>
      <c r="K22" s="258"/>
      <c r="L22" s="258"/>
      <c r="M22" s="258"/>
      <c r="N22" s="258"/>
    </row>
    <row r="23" spans="1:21" ht="18.75" customHeight="1" x14ac:dyDescent="0.35">
      <c r="A23" s="329">
        <v>10</v>
      </c>
      <c r="B23" s="146"/>
      <c r="D23" s="156">
        <f>SUM(D19:D22)</f>
        <v>201485</v>
      </c>
      <c r="E23" s="157"/>
      <c r="F23" s="156">
        <f>SUM(F19:F22)</f>
        <v>142828</v>
      </c>
      <c r="G23" s="156"/>
      <c r="H23" s="156">
        <f>SUM(H19:H22)</f>
        <v>0</v>
      </c>
      <c r="J23" s="156">
        <f>SUM(J19:J22)</f>
        <v>49008111</v>
      </c>
      <c r="K23" s="258"/>
      <c r="L23" s="258"/>
      <c r="M23" s="258"/>
      <c r="N23" s="258"/>
    </row>
    <row r="24" spans="1:21" ht="16.5" customHeight="1" x14ac:dyDescent="0.35">
      <c r="H24" s="418"/>
      <c r="K24" s="3"/>
      <c r="L24" s="3"/>
      <c r="N24" s="419"/>
    </row>
    <row r="25" spans="1:21" ht="16.5" customHeight="1" x14ac:dyDescent="0.35">
      <c r="K25" s="3"/>
      <c r="L25" s="3"/>
      <c r="N25" s="419"/>
    </row>
    <row r="26" spans="1:21" ht="18.5" x14ac:dyDescent="0.35">
      <c r="A26" s="420">
        <v>1</v>
      </c>
      <c r="B26" s="3" t="s">
        <v>480</v>
      </c>
      <c r="C26" s="3"/>
      <c r="D26" s="3"/>
      <c r="E26" s="3"/>
      <c r="F26" s="3"/>
      <c r="G26" s="3"/>
      <c r="H26" s="3"/>
      <c r="K26" s="3"/>
      <c r="L26" s="3"/>
      <c r="N26" s="419"/>
    </row>
    <row r="27" spans="1:21" ht="18.5" x14ac:dyDescent="0.35">
      <c r="A27" s="420">
        <v>2</v>
      </c>
      <c r="B27" s="3" t="s">
        <v>481</v>
      </c>
      <c r="C27" s="3"/>
      <c r="D27" s="3"/>
      <c r="E27" s="3"/>
      <c r="F27" s="3"/>
      <c r="G27" s="3"/>
      <c r="H27" s="3"/>
      <c r="K27" s="3"/>
      <c r="L27" s="3"/>
      <c r="N27" s="419"/>
    </row>
    <row r="28" spans="1:21" ht="18.5" x14ac:dyDescent="0.35">
      <c r="A28" s="420">
        <v>3</v>
      </c>
      <c r="B28" s="3" t="s">
        <v>482</v>
      </c>
      <c r="C28" s="3"/>
      <c r="D28" s="3"/>
      <c r="E28" s="3"/>
      <c r="F28" s="3"/>
      <c r="G28" s="3"/>
      <c r="H28" s="3"/>
      <c r="K28" s="3"/>
      <c r="L28" s="3"/>
      <c r="N28" s="419"/>
    </row>
    <row r="29" spans="1:21" ht="18.5" x14ac:dyDescent="0.35">
      <c r="A29" s="420">
        <v>4</v>
      </c>
      <c r="B29" s="3" t="s">
        <v>483</v>
      </c>
      <c r="C29" s="3"/>
      <c r="D29" s="3"/>
      <c r="E29" s="3"/>
      <c r="F29" s="3"/>
      <c r="G29" s="3"/>
      <c r="H29" s="3"/>
      <c r="I29" s="3"/>
      <c r="J29" s="3"/>
      <c r="K29" s="3"/>
      <c r="L29" s="3"/>
      <c r="Q29" s="258"/>
      <c r="R29" s="258"/>
      <c r="S29" s="258"/>
      <c r="T29" s="258"/>
      <c r="U29" s="258"/>
    </row>
    <row r="30" spans="1:21" ht="20.149999999999999" customHeight="1" x14ac:dyDescent="0.35">
      <c r="A30" s="420"/>
      <c r="B30" s="13"/>
      <c r="C30" s="13"/>
      <c r="D30" s="13"/>
      <c r="E30" s="13"/>
      <c r="F30" s="13"/>
      <c r="G30" s="13"/>
      <c r="H30" s="13"/>
      <c r="I30" s="13"/>
      <c r="J30" s="3"/>
      <c r="K30" s="3"/>
      <c r="L30" s="3"/>
    </row>
    <row r="31" spans="1:21" ht="20.149999999999999" customHeight="1" x14ac:dyDescent="0.35">
      <c r="I31" s="3"/>
      <c r="J31" s="3"/>
      <c r="K31" s="3"/>
      <c r="L31" s="3"/>
    </row>
    <row r="32" spans="1:21" ht="20.149999999999999" customHeight="1" x14ac:dyDescent="0.35">
      <c r="I32" s="3"/>
      <c r="J32" s="3"/>
      <c r="K32" s="3"/>
      <c r="L32" s="3"/>
    </row>
    <row r="33" spans="1:12" ht="20.149999999999999" customHeight="1" x14ac:dyDescent="0.35">
      <c r="I33" s="3"/>
      <c r="J33" s="3"/>
      <c r="K33" s="3"/>
      <c r="L33" s="3"/>
    </row>
    <row r="34" spans="1:12" ht="20.149999999999999" customHeight="1" x14ac:dyDescent="0.35">
      <c r="A34" s="3"/>
      <c r="B34" s="3"/>
      <c r="C34" s="3"/>
      <c r="D34" s="3"/>
      <c r="E34" s="3"/>
      <c r="F34" s="3"/>
      <c r="G34" s="3"/>
      <c r="H34" s="3"/>
      <c r="I34" s="3"/>
      <c r="J34" s="3"/>
      <c r="K34" s="3"/>
      <c r="L34" s="3"/>
    </row>
    <row r="35" spans="1:12" ht="20.149999999999999" customHeight="1" x14ac:dyDescent="0.35">
      <c r="A35" s="3"/>
      <c r="B35" s="3"/>
      <c r="C35" s="3"/>
      <c r="D35" s="3"/>
      <c r="E35" s="3"/>
      <c r="F35" s="3"/>
      <c r="G35" s="3"/>
      <c r="H35" s="3"/>
      <c r="I35" s="3"/>
      <c r="J35" s="3"/>
    </row>
    <row r="36" spans="1:12" ht="15.5" x14ac:dyDescent="0.35">
      <c r="A36" s="3"/>
      <c r="B36" s="3"/>
      <c r="C36" s="3"/>
      <c r="D36" s="3"/>
      <c r="E36" s="3"/>
      <c r="F36" s="3"/>
      <c r="G36" s="3"/>
      <c r="H36" s="3"/>
      <c r="I36" s="3"/>
      <c r="J36" s="3"/>
    </row>
    <row r="37" spans="1:12" ht="15.5" x14ac:dyDescent="0.35">
      <c r="A37" s="3"/>
      <c r="B37" s="3"/>
      <c r="C37" s="3"/>
      <c r="D37" s="3"/>
      <c r="E37" s="3"/>
      <c r="F37" s="3"/>
      <c r="G37" s="3"/>
      <c r="H37" s="3"/>
      <c r="I37" s="3"/>
      <c r="J37" s="3"/>
    </row>
    <row r="38" spans="1:12" ht="15.5" x14ac:dyDescent="0.35">
      <c r="A38" s="3"/>
      <c r="B38" s="3"/>
      <c r="C38" s="3"/>
      <c r="D38" s="3"/>
      <c r="E38" s="3"/>
      <c r="F38" s="3"/>
      <c r="G38" s="3"/>
      <c r="H38" s="3"/>
      <c r="I38" s="3"/>
    </row>
    <row r="39" spans="1:12" ht="21" customHeight="1" x14ac:dyDescent="0.35">
      <c r="A39" s="3"/>
    </row>
    <row r="40" spans="1:12" ht="21.75" customHeight="1" x14ac:dyDescent="0.35">
      <c r="K40" s="3"/>
      <c r="L40" s="3"/>
    </row>
    <row r="41" spans="1:12" ht="15.5" x14ac:dyDescent="0.35">
      <c r="K41" s="3"/>
      <c r="L41" s="3"/>
    </row>
    <row r="42" spans="1:12" ht="15.5" x14ac:dyDescent="0.35">
      <c r="A42" s="3"/>
      <c r="B42" s="11"/>
      <c r="C42" s="11"/>
      <c r="D42" s="11"/>
      <c r="E42" s="11"/>
      <c r="F42" s="11"/>
      <c r="G42" s="11"/>
      <c r="H42" s="11"/>
      <c r="I42" s="11"/>
    </row>
    <row r="43" spans="1:12" ht="15.5" x14ac:dyDescent="0.35">
      <c r="A43" s="3"/>
      <c r="B43" s="13"/>
      <c r="C43" s="13"/>
      <c r="D43" s="13"/>
      <c r="E43" s="13"/>
      <c r="F43" s="13"/>
      <c r="G43" s="13"/>
      <c r="H43" s="13"/>
      <c r="I43" s="13"/>
    </row>
    <row r="44" spans="1:12" ht="15.5" x14ac:dyDescent="0.35">
      <c r="A44" s="3"/>
      <c r="B44" s="3"/>
      <c r="C44" s="3"/>
      <c r="D44" s="3"/>
      <c r="E44" s="3"/>
      <c r="F44" s="3"/>
      <c r="G44" s="3"/>
      <c r="H44" s="3"/>
      <c r="I44" s="3"/>
    </row>
    <row r="45" spans="1:12" ht="15.5" x14ac:dyDescent="0.35">
      <c r="A45" s="3"/>
      <c r="B45" s="3"/>
      <c r="C45" s="3"/>
      <c r="D45" s="3"/>
      <c r="E45" s="3"/>
      <c r="F45" s="3"/>
      <c r="G45" s="3"/>
      <c r="H45" s="3"/>
      <c r="I45" s="3"/>
    </row>
    <row r="46" spans="1:12" ht="15.5" x14ac:dyDescent="0.35">
      <c r="A46" s="3"/>
      <c r="B46" s="3"/>
      <c r="C46" s="3"/>
      <c r="D46" s="3"/>
      <c r="E46" s="3"/>
      <c r="F46" s="3"/>
      <c r="G46" s="3"/>
      <c r="H46" s="3"/>
      <c r="I46" s="3"/>
    </row>
    <row r="47" spans="1:12" ht="15.5" x14ac:dyDescent="0.35">
      <c r="A47" s="3"/>
      <c r="B47" s="3"/>
      <c r="C47" s="3"/>
      <c r="D47" s="3"/>
      <c r="E47" s="3"/>
      <c r="F47" s="3"/>
      <c r="G47" s="3"/>
      <c r="H47" s="3"/>
      <c r="I47" s="3"/>
    </row>
    <row r="48" spans="1:12" ht="15.5" x14ac:dyDescent="0.35">
      <c r="A48" s="3"/>
      <c r="B48" s="3"/>
      <c r="C48" s="3"/>
      <c r="D48" s="3"/>
      <c r="E48" s="3"/>
      <c r="F48" s="3"/>
      <c r="G48" s="3"/>
      <c r="H48" s="3"/>
      <c r="I48" s="3"/>
    </row>
    <row r="49" spans="1:9" ht="15.5" x14ac:dyDescent="0.35">
      <c r="A49" s="3"/>
      <c r="B49" s="3"/>
      <c r="C49" s="3"/>
      <c r="D49" s="3"/>
      <c r="E49" s="3"/>
      <c r="F49" s="3"/>
      <c r="G49" s="3"/>
      <c r="H49" s="3"/>
      <c r="I49" s="3"/>
    </row>
    <row r="50" spans="1:9" ht="15.5" x14ac:dyDescent="0.35">
      <c r="A50" s="3"/>
      <c r="B50" s="3"/>
      <c r="C50" s="3"/>
      <c r="D50" s="3"/>
      <c r="E50" s="3"/>
      <c r="F50" s="3"/>
      <c r="G50" s="3"/>
      <c r="H50" s="3"/>
      <c r="I50" s="3"/>
    </row>
    <row r="51" spans="1:9" ht="15.5" x14ac:dyDescent="0.35">
      <c r="A51" s="3"/>
      <c r="B51" s="3"/>
      <c r="C51" s="3"/>
      <c r="D51" s="3"/>
      <c r="E51" s="3"/>
      <c r="F51" s="3"/>
      <c r="G51" s="3"/>
      <c r="H51" s="3"/>
      <c r="I51" s="3"/>
    </row>
    <row r="52" spans="1:9" ht="15.5" x14ac:dyDescent="0.35">
      <c r="A52" s="3"/>
    </row>
    <row r="53" spans="1:9" ht="15.5" x14ac:dyDescent="0.3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dimension ref="A1:C1"/>
  <sheetViews>
    <sheetView workbookViewId="0"/>
  </sheetViews>
  <sheetFormatPr defaultRowHeight="15.5" x14ac:dyDescent="0.35"/>
  <sheetData>
    <row r="1" spans="1:3" x14ac:dyDescent="0.35">
      <c r="A1" t="s">
        <v>1059</v>
      </c>
      <c r="B1" t="s">
        <v>1060</v>
      </c>
      <c r="C1" t="s">
        <v>1061</v>
      </c>
    </row>
  </sheetData>
  <pageMargins left="0.7" right="0.7" top="0.75" bottom="0.75" header="0.3" footer="0.3"/>
  <pageSetup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4375" defaultRowHeight="15.5" x14ac:dyDescent="0.35"/>
  <cols>
    <col min="1" max="1" width="7.07421875" style="4" customWidth="1"/>
    <col min="2" max="2" width="10.4609375" style="119" customWidth="1"/>
    <col min="3" max="3" width="11.84375" style="119" customWidth="1"/>
    <col min="4" max="4" width="11.23046875" style="119" customWidth="1"/>
    <col min="5" max="5" width="10.765625" style="119" customWidth="1"/>
    <col min="6" max="6" width="11.07421875" style="119" customWidth="1"/>
    <col min="7" max="7" width="9.84375" style="119" bestFit="1" customWidth="1"/>
    <col min="8" max="8" width="8.84375" style="119"/>
    <col min="9" max="9" width="9.84375" style="119" bestFit="1" customWidth="1"/>
    <col min="10" max="11" width="9.84375" style="119" customWidth="1"/>
    <col min="12" max="12" width="10.69140625" style="119" customWidth="1"/>
    <col min="13" max="13" width="10.23046875" style="119" customWidth="1"/>
    <col min="14" max="14" width="13.53515625" style="119" customWidth="1"/>
    <col min="15" max="15" width="13.84375" style="119" customWidth="1"/>
    <col min="16" max="16384" width="8.84375" style="119"/>
  </cols>
  <sheetData>
    <row r="1" spans="1:18" ht="17.5" x14ac:dyDescent="0.35">
      <c r="A1" s="802" t="s">
        <v>5</v>
      </c>
      <c r="B1" s="802"/>
      <c r="C1" s="802"/>
      <c r="D1" s="802"/>
      <c r="E1" s="802"/>
      <c r="F1" s="802"/>
      <c r="G1" s="802"/>
      <c r="H1" s="802"/>
      <c r="I1" s="802"/>
      <c r="J1" s="802"/>
      <c r="K1" s="802"/>
      <c r="L1" s="802"/>
      <c r="M1" s="802"/>
      <c r="N1" s="802"/>
      <c r="O1" s="323"/>
      <c r="P1" s="323"/>
      <c r="Q1" s="323"/>
      <c r="R1" s="323"/>
    </row>
    <row r="2" spans="1:18" ht="18" x14ac:dyDescent="0.4">
      <c r="A2" s="803" t="s">
        <v>297</v>
      </c>
      <c r="B2" s="803"/>
      <c r="C2" s="803"/>
      <c r="D2" s="803"/>
      <c r="E2" s="803"/>
      <c r="F2" s="803"/>
      <c r="G2" s="803"/>
      <c r="H2" s="803"/>
      <c r="I2" s="803"/>
      <c r="J2" s="803"/>
      <c r="K2" s="803"/>
      <c r="L2" s="803"/>
      <c r="M2" s="803"/>
      <c r="N2" s="803"/>
      <c r="O2" s="260"/>
      <c r="P2" s="260"/>
      <c r="Q2" s="260"/>
      <c r="R2" s="260"/>
    </row>
    <row r="3" spans="1:18" ht="18" x14ac:dyDescent="0.4">
      <c r="A3" s="803" t="s">
        <v>456</v>
      </c>
      <c r="B3" s="803"/>
      <c r="C3" s="803"/>
      <c r="D3" s="803"/>
      <c r="E3" s="803"/>
      <c r="F3" s="803"/>
      <c r="G3" s="803"/>
      <c r="H3" s="803"/>
      <c r="I3" s="803"/>
      <c r="J3" s="803"/>
      <c r="K3" s="803"/>
      <c r="L3" s="803"/>
      <c r="M3" s="803"/>
      <c r="N3" s="803"/>
      <c r="O3" s="260"/>
      <c r="P3" s="260"/>
      <c r="Q3" s="260"/>
      <c r="R3" s="260"/>
    </row>
    <row r="4" spans="1:18" ht="18" x14ac:dyDescent="0.4">
      <c r="A4" s="803" t="str">
        <f>CONCATENATE("For Service Rendered On and After ",'Input Data'!$D$4)</f>
        <v>For Service Rendered On and After August 1, 2022</v>
      </c>
      <c r="B4" s="803"/>
      <c r="C4" s="803"/>
      <c r="D4" s="803"/>
      <c r="E4" s="803"/>
      <c r="F4" s="803"/>
      <c r="G4" s="803"/>
      <c r="H4" s="803"/>
      <c r="I4" s="803"/>
      <c r="J4" s="803"/>
      <c r="K4" s="803"/>
      <c r="L4" s="803"/>
      <c r="M4" s="803"/>
      <c r="N4" s="803"/>
      <c r="O4" s="260"/>
      <c r="P4" s="260"/>
      <c r="Q4" s="260"/>
      <c r="R4" s="260"/>
    </row>
    <row r="5" spans="1:18" x14ac:dyDescent="0.35">
      <c r="B5" s="326"/>
      <c r="C5" s="326"/>
      <c r="D5" s="326"/>
      <c r="E5" s="326"/>
      <c r="F5" s="326"/>
      <c r="G5" s="326"/>
      <c r="H5" s="326"/>
      <c r="I5" s="326"/>
      <c r="J5" s="326"/>
      <c r="K5" s="326"/>
      <c r="L5" s="326"/>
      <c r="M5" s="326"/>
      <c r="N5" s="326"/>
      <c r="O5" s="326"/>
      <c r="P5" s="326"/>
      <c r="Q5" s="326"/>
      <c r="R5" s="326"/>
    </row>
    <row r="6" spans="1:18" x14ac:dyDescent="0.35">
      <c r="B6" s="326"/>
      <c r="C6" s="326"/>
      <c r="D6" s="326"/>
      <c r="E6" s="326"/>
      <c r="F6" s="326"/>
      <c r="G6" s="326"/>
      <c r="H6" s="326"/>
      <c r="I6" s="326"/>
      <c r="J6" s="326"/>
      <c r="K6" s="326"/>
      <c r="L6" s="326"/>
      <c r="M6" s="326"/>
      <c r="N6" s="326"/>
      <c r="O6" s="326"/>
      <c r="P6" s="326"/>
      <c r="Q6" s="326"/>
      <c r="R6" s="326"/>
    </row>
    <row r="7" spans="1:18" x14ac:dyDescent="0.35">
      <c r="B7" s="4"/>
      <c r="C7" s="4"/>
      <c r="D7" s="4"/>
      <c r="E7" s="4"/>
      <c r="F7" s="4"/>
      <c r="G7" s="4"/>
      <c r="H7" s="4"/>
      <c r="I7" s="4"/>
      <c r="J7" s="4"/>
      <c r="K7" s="4"/>
      <c r="L7" s="4"/>
      <c r="M7" s="4"/>
      <c r="N7" s="4"/>
      <c r="O7" s="4"/>
      <c r="P7" s="4"/>
    </row>
    <row r="8" spans="1:18" x14ac:dyDescent="0.35">
      <c r="B8" s="4"/>
      <c r="C8" s="4"/>
      <c r="D8" s="325"/>
      <c r="E8" s="4"/>
      <c r="F8" s="4"/>
      <c r="G8" s="4"/>
      <c r="H8" s="4"/>
      <c r="I8" s="4"/>
      <c r="J8" s="4"/>
      <c r="K8" s="4"/>
      <c r="L8" s="4"/>
      <c r="M8" s="4"/>
      <c r="N8" s="4"/>
      <c r="O8" s="4"/>
      <c r="P8" s="325"/>
    </row>
    <row r="9" spans="1:18" x14ac:dyDescent="0.35">
      <c r="A9" s="325"/>
      <c r="B9" s="325"/>
      <c r="C9" s="325"/>
      <c r="D9" s="325"/>
      <c r="E9" s="325"/>
      <c r="F9" s="325"/>
      <c r="G9" s="325"/>
      <c r="H9" s="325"/>
      <c r="I9" s="174"/>
      <c r="J9" s="174"/>
      <c r="K9" s="174"/>
      <c r="L9" s="174"/>
      <c r="M9" s="325"/>
    </row>
    <row r="10" spans="1:18" ht="77.5" x14ac:dyDescent="0.35">
      <c r="A10" s="160" t="s">
        <v>247</v>
      </c>
      <c r="B10" s="313" t="s">
        <v>348</v>
      </c>
      <c r="C10" s="313" t="s">
        <v>0</v>
      </c>
      <c r="D10" s="322" t="s">
        <v>465</v>
      </c>
      <c r="E10" s="313" t="s">
        <v>466</v>
      </c>
      <c r="F10" s="321" t="s">
        <v>461</v>
      </c>
      <c r="G10" s="313" t="s">
        <v>457</v>
      </c>
      <c r="H10" s="313" t="s">
        <v>469</v>
      </c>
      <c r="I10" s="313" t="s">
        <v>458</v>
      </c>
      <c r="J10" s="313" t="s">
        <v>498</v>
      </c>
      <c r="K10" s="313" t="s">
        <v>470</v>
      </c>
      <c r="L10" s="313" t="s">
        <v>464</v>
      </c>
      <c r="M10" s="313" t="s">
        <v>459</v>
      </c>
      <c r="N10" s="313" t="s">
        <v>460</v>
      </c>
    </row>
    <row r="11" spans="1:18" ht="46.5" x14ac:dyDescent="0.35">
      <c r="B11" s="325" t="s">
        <v>60</v>
      </c>
      <c r="C11" s="325" t="s">
        <v>61</v>
      </c>
      <c r="D11" s="325" t="s">
        <v>62</v>
      </c>
      <c r="E11" s="421">
        <v>-4</v>
      </c>
      <c r="F11" s="422" t="s">
        <v>488</v>
      </c>
      <c r="G11" s="421">
        <v>-6</v>
      </c>
      <c r="H11" s="422">
        <v>-7</v>
      </c>
      <c r="I11" s="422" t="s">
        <v>111</v>
      </c>
      <c r="J11" s="421">
        <v>-9</v>
      </c>
      <c r="K11" s="421" t="s">
        <v>113</v>
      </c>
      <c r="L11" s="421" t="s">
        <v>375</v>
      </c>
      <c r="M11" s="421" t="s">
        <v>365</v>
      </c>
      <c r="N11" s="423" t="s">
        <v>471</v>
      </c>
    </row>
    <row r="12" spans="1:18" x14ac:dyDescent="0.35">
      <c r="B12" s="325"/>
      <c r="C12" s="161"/>
      <c r="D12" s="325"/>
      <c r="E12" s="424"/>
      <c r="G12" s="425"/>
      <c r="H12" s="425"/>
      <c r="I12" s="425"/>
      <c r="J12" s="425"/>
      <c r="K12" s="425"/>
      <c r="L12" s="425"/>
      <c r="M12" s="425"/>
      <c r="N12" s="18"/>
    </row>
    <row r="13" spans="1:18" x14ac:dyDescent="0.35">
      <c r="A13" s="325">
        <v>1</v>
      </c>
      <c r="B13" s="276">
        <f>'Input Data'!C7</f>
        <v>44593</v>
      </c>
      <c r="C13" s="325" t="str">
        <f>'Ex B-1 1 of 7'!C12</f>
        <v>2021-00458</v>
      </c>
      <c r="D13" s="426">
        <f>'TS-2 Data'!B5</f>
        <v>54563</v>
      </c>
      <c r="E13" s="627">
        <f>VLOOKUP(C13,'Case Database'!C3:K200,7)</f>
        <v>0.88300000000000001</v>
      </c>
      <c r="F13" s="427">
        <f>D13*E13</f>
        <v>48179.129000000001</v>
      </c>
      <c r="G13" s="358">
        <f>'TS-2 Data'!H5</f>
        <v>0</v>
      </c>
      <c r="H13" s="409">
        <f>'TS-2 Data'!P5</f>
        <v>0</v>
      </c>
      <c r="I13" s="428">
        <f>'TS-2 Data'!Q5</f>
        <v>0</v>
      </c>
      <c r="J13" s="478">
        <f>'TS-2 Data'!T5</f>
        <v>153</v>
      </c>
      <c r="K13" s="428">
        <f>'TS-2 Data'!U5</f>
        <v>949.92</v>
      </c>
      <c r="L13" s="430">
        <f>'Input Data'!C80</f>
        <v>0</v>
      </c>
      <c r="M13" s="430">
        <f>'TS-2 Data'!I5</f>
        <v>0</v>
      </c>
      <c r="N13" s="254">
        <f>ROUND((F13+G13+I13+K13+L13+M13),0)</f>
        <v>49129</v>
      </c>
    </row>
    <row r="14" spans="1:18" x14ac:dyDescent="0.35">
      <c r="A14" s="325">
        <v>2</v>
      </c>
      <c r="B14" s="276">
        <f>EDATE(B13,1)</f>
        <v>44621</v>
      </c>
      <c r="C14" s="325" t="str">
        <f>C13</f>
        <v>2021-00458</v>
      </c>
      <c r="D14" s="426">
        <f>'TS-2 Data'!B6</f>
        <v>68709</v>
      </c>
      <c r="E14" s="431">
        <f>E13</f>
        <v>0.88300000000000001</v>
      </c>
      <c r="F14" s="427">
        <f>D14*E14</f>
        <v>60670.046999999999</v>
      </c>
      <c r="G14" s="358">
        <f>'TS-2 Data'!H6</f>
        <v>0</v>
      </c>
      <c r="H14" s="409">
        <f>'TS-2 Data'!P6</f>
        <v>0</v>
      </c>
      <c r="I14" s="428">
        <f>'TS-2 Data'!Q6</f>
        <v>0</v>
      </c>
      <c r="J14" s="478">
        <f>'TS-2 Data'!T6</f>
        <v>2932</v>
      </c>
      <c r="K14" s="428">
        <f>'TS-2 Data'!U6</f>
        <v>15627.72</v>
      </c>
      <c r="L14" s="430">
        <f>'Input Data'!D80</f>
        <v>0</v>
      </c>
      <c r="M14" s="430">
        <f>'TS-2 Data'!I6</f>
        <v>0</v>
      </c>
      <c r="N14" s="254">
        <f>ROUND((F14+G14+I14+K14+L14+M14),0)</f>
        <v>76298</v>
      </c>
    </row>
    <row r="15" spans="1:18" x14ac:dyDescent="0.35">
      <c r="A15" s="325">
        <v>3</v>
      </c>
      <c r="B15" s="363">
        <f>EDATE(B14,1)</f>
        <v>44652</v>
      </c>
      <c r="C15" s="315" t="str">
        <f>C13</f>
        <v>2021-00458</v>
      </c>
      <c r="D15" s="432">
        <f>'TS-2 Data'!B7</f>
        <v>71266</v>
      </c>
      <c r="E15" s="433">
        <f>E13</f>
        <v>0.88300000000000001</v>
      </c>
      <c r="F15" s="434">
        <f>D15*E15</f>
        <v>62927.877999999997</v>
      </c>
      <c r="G15" s="359">
        <f>'TS-2 Data'!H7</f>
        <v>0</v>
      </c>
      <c r="H15" s="435">
        <f>'TS-2 Data'!P7</f>
        <v>0</v>
      </c>
      <c r="I15" s="436">
        <f>'TS-2 Data'!Q7</f>
        <v>0</v>
      </c>
      <c r="J15" s="479">
        <f>'TS-2 Data'!T7</f>
        <v>1711</v>
      </c>
      <c r="K15" s="436">
        <f>'TS-2 Data'!U7</f>
        <v>13130.14</v>
      </c>
      <c r="L15" s="438">
        <f>'Input Data'!E80</f>
        <v>0</v>
      </c>
      <c r="M15" s="438">
        <f>'TS-2 Data'!I7</f>
        <v>0</v>
      </c>
      <c r="N15" s="439">
        <f>ROUND((F15+G15+I15+K15+L15+M15),0)</f>
        <v>76058</v>
      </c>
    </row>
    <row r="16" spans="1:18" x14ac:dyDescent="0.35">
      <c r="B16" s="325"/>
      <c r="C16" s="325"/>
      <c r="D16" s="325"/>
      <c r="E16" s="440"/>
      <c r="F16" s="441"/>
      <c r="G16" s="440"/>
      <c r="H16" s="440"/>
      <c r="I16" s="442"/>
      <c r="J16" s="442"/>
      <c r="K16" s="442"/>
      <c r="L16" s="440"/>
      <c r="M16" s="440"/>
      <c r="N16" s="441"/>
      <c r="O16" s="101"/>
      <c r="P16" s="101"/>
      <c r="Q16" s="314"/>
      <c r="R16" s="254"/>
    </row>
    <row r="17" spans="1:18" x14ac:dyDescent="0.35">
      <c r="A17" s="325">
        <v>4</v>
      </c>
      <c r="B17" s="325"/>
      <c r="C17" s="325"/>
      <c r="D17" s="325"/>
      <c r="E17" s="440"/>
      <c r="F17" s="441"/>
      <c r="G17" s="440"/>
      <c r="H17" s="440"/>
      <c r="L17" s="440"/>
      <c r="M17" s="162" t="s">
        <v>380</v>
      </c>
      <c r="N17" s="254">
        <f>SUM(N13:N15)</f>
        <v>201485</v>
      </c>
      <c r="P17" s="162"/>
      <c r="Q17" s="156"/>
      <c r="R17" s="254"/>
    </row>
    <row r="18" spans="1:18" x14ac:dyDescent="0.35">
      <c r="B18" s="167"/>
      <c r="C18" s="4"/>
      <c r="D18" s="163"/>
      <c r="E18" s="164"/>
      <c r="F18" s="165"/>
      <c r="G18" s="164"/>
      <c r="H18" s="164"/>
      <c r="I18" s="166"/>
      <c r="J18" s="166"/>
      <c r="K18" s="166"/>
      <c r="L18" s="164"/>
      <c r="M18" s="164"/>
      <c r="N18" s="165"/>
      <c r="O18" s="39"/>
      <c r="P18" s="39"/>
      <c r="Q18" s="39"/>
      <c r="R18" s="20"/>
    </row>
    <row r="19" spans="1:18" x14ac:dyDescent="0.35">
      <c r="B19" s="167"/>
      <c r="C19" s="4"/>
      <c r="D19" s="163"/>
      <c r="E19" s="164"/>
      <c r="F19" s="165"/>
      <c r="G19" s="164"/>
      <c r="H19" s="164"/>
      <c r="I19" s="166"/>
      <c r="J19" s="166"/>
      <c r="K19" s="166"/>
      <c r="L19" s="4"/>
      <c r="M19" s="4"/>
    </row>
    <row r="20" spans="1:18" x14ac:dyDescent="0.35">
      <c r="B20" s="167"/>
      <c r="C20" s="4"/>
      <c r="D20" s="163"/>
      <c r="E20" s="164"/>
      <c r="F20" s="165"/>
      <c r="G20" s="164"/>
      <c r="H20" s="164"/>
      <c r="I20" s="166"/>
      <c r="J20" s="166"/>
      <c r="K20" s="166"/>
      <c r="L20" s="4"/>
      <c r="M20" s="4"/>
    </row>
    <row r="21" spans="1:18" x14ac:dyDescent="0.35">
      <c r="B21" s="167"/>
      <c r="C21" s="4"/>
      <c r="D21" s="163"/>
      <c r="E21" s="164"/>
      <c r="F21" s="165"/>
      <c r="G21" s="164"/>
      <c r="H21" s="164"/>
      <c r="I21" s="166"/>
      <c r="J21" s="166"/>
      <c r="K21" s="166"/>
      <c r="L21" s="4"/>
      <c r="M21" s="4"/>
    </row>
    <row r="22" spans="1:18" x14ac:dyDescent="0.35">
      <c r="B22" s="167"/>
      <c r="C22" s="4"/>
      <c r="D22" s="163"/>
      <c r="E22" s="164"/>
      <c r="F22" s="165"/>
      <c r="G22" s="164"/>
      <c r="H22" s="164"/>
      <c r="I22" s="166"/>
      <c r="J22" s="166"/>
      <c r="K22" s="166"/>
      <c r="L22" s="4"/>
      <c r="M22" s="4"/>
    </row>
    <row r="23" spans="1:18" x14ac:dyDescent="0.35">
      <c r="B23" s="167"/>
      <c r="C23" s="4"/>
      <c r="D23" s="163"/>
      <c r="E23" s="164"/>
      <c r="F23" s="165"/>
      <c r="G23" s="164"/>
      <c r="H23" s="164"/>
      <c r="I23" s="166"/>
      <c r="J23" s="166"/>
      <c r="K23" s="166"/>
      <c r="L23" s="4"/>
      <c r="M23" s="4"/>
    </row>
    <row r="24" spans="1:18" x14ac:dyDescent="0.35">
      <c r="B24" s="168" t="s">
        <v>486</v>
      </c>
      <c r="C24" s="4"/>
      <c r="D24" s="4"/>
      <c r="E24" s="4"/>
      <c r="F24" s="4"/>
      <c r="G24" s="4"/>
      <c r="H24" s="4"/>
      <c r="I24" s="4"/>
      <c r="J24" s="4"/>
      <c r="K24" s="166"/>
      <c r="L24" s="4"/>
      <c r="M24" s="4"/>
    </row>
    <row r="25" spans="1:18" x14ac:dyDescent="0.35">
      <c r="B25" s="4"/>
      <c r="C25" s="168" t="s">
        <v>487</v>
      </c>
      <c r="D25" s="4"/>
      <c r="E25" s="4"/>
      <c r="F25" s="4"/>
      <c r="G25" s="4"/>
      <c r="H25" s="4"/>
      <c r="I25" s="169"/>
      <c r="J25" s="19"/>
      <c r="K25" s="166"/>
      <c r="L25" s="4"/>
      <c r="M25" s="4"/>
    </row>
    <row r="26" spans="1:18" x14ac:dyDescent="0.35">
      <c r="B26" s="4"/>
      <c r="C26" s="4"/>
      <c r="D26" s="4"/>
      <c r="E26" s="4"/>
      <c r="F26" s="4"/>
      <c r="G26" s="4"/>
      <c r="H26" s="4"/>
      <c r="I26" s="169"/>
      <c r="J26" s="19"/>
    </row>
    <row r="27" spans="1:18" x14ac:dyDescent="0.35">
      <c r="B27" s="168" t="s">
        <v>88</v>
      </c>
      <c r="C27" s="4"/>
      <c r="D27" s="4"/>
      <c r="E27" s="4"/>
      <c r="F27" s="4"/>
      <c r="G27" s="4"/>
      <c r="H27" s="4"/>
      <c r="I27" s="169"/>
      <c r="J27" s="19"/>
    </row>
    <row r="28" spans="1:18" x14ac:dyDescent="0.35">
      <c r="B28" s="4"/>
      <c r="C28" s="168" t="s">
        <v>89</v>
      </c>
      <c r="D28" s="4"/>
      <c r="E28" s="4"/>
      <c r="F28" s="4"/>
      <c r="G28" s="4"/>
      <c r="H28" s="4"/>
      <c r="I28" s="169"/>
      <c r="J28" s="19"/>
    </row>
  </sheetData>
  <mergeCells count="4">
    <mergeCell ref="A1:N1"/>
    <mergeCell ref="A2:N2"/>
    <mergeCell ref="A3:N3"/>
    <mergeCell ref="A4:N4"/>
  </mergeCells>
  <pageMargins left="0.7" right="0.7" top="0.75" bottom="0.75" header="0.3" footer="0.3"/>
  <pageSetup scale="70" orientation="landscape" r:id="rId1"/>
  <headerFooter>
    <oddFooter>&amp;R&amp;"Times New Roman,Bold"Exhibit B-1
Page 3 of 7</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4"/>
  <sheetViews>
    <sheetView zoomScale="80" zoomScaleNormal="80" workbookViewId="0"/>
  </sheetViews>
  <sheetFormatPr defaultColWidth="6.07421875" defaultRowHeight="15.5" x14ac:dyDescent="0.35"/>
  <cols>
    <col min="1" max="1" width="6.07421875" style="4"/>
    <col min="2" max="2" width="16.3046875" style="4" customWidth="1"/>
    <col min="3" max="3" width="2.4609375" style="4" customWidth="1"/>
    <col min="4" max="4" width="18.765625" style="4" customWidth="1"/>
    <col min="5" max="5" width="11.23046875" style="4" customWidth="1"/>
    <col min="6" max="6" width="10.3046875" style="4" customWidth="1"/>
    <col min="7" max="7" width="12.23046875" style="4" customWidth="1"/>
    <col min="8" max="8" width="11" style="4" customWidth="1"/>
    <col min="9" max="9" width="12" style="4" customWidth="1"/>
    <col min="10" max="10" width="11.4609375" style="4" customWidth="1"/>
    <col min="11" max="11" width="12.53515625" style="4" bestFit="1" customWidth="1"/>
    <col min="12" max="12" width="13.07421875" style="4" customWidth="1"/>
    <col min="13" max="13" width="15.84375" style="4" bestFit="1" customWidth="1"/>
    <col min="14" max="14" width="22" style="4" customWidth="1"/>
    <col min="15" max="16384" width="6.07421875" style="4"/>
  </cols>
  <sheetData>
    <row r="1" spans="1:15" ht="17.5" x14ac:dyDescent="0.35">
      <c r="B1" s="802" t="s">
        <v>5</v>
      </c>
      <c r="C1" s="802"/>
      <c r="D1" s="802"/>
      <c r="E1" s="802"/>
      <c r="F1" s="802"/>
      <c r="G1" s="802"/>
      <c r="H1" s="802"/>
      <c r="I1" s="802"/>
      <c r="J1" s="802"/>
      <c r="K1" s="802"/>
      <c r="L1" s="802"/>
      <c r="M1" s="802"/>
      <c r="N1" s="802"/>
    </row>
    <row r="2" spans="1:15" ht="18" x14ac:dyDescent="0.4">
      <c r="B2" s="803" t="s">
        <v>297</v>
      </c>
      <c r="C2" s="803"/>
      <c r="D2" s="803"/>
      <c r="E2" s="803"/>
      <c r="F2" s="803"/>
      <c r="G2" s="803"/>
      <c r="H2" s="803"/>
      <c r="I2" s="803"/>
      <c r="J2" s="803"/>
      <c r="K2" s="803"/>
      <c r="L2" s="803"/>
      <c r="M2" s="803"/>
      <c r="N2" s="803"/>
    </row>
    <row r="3" spans="1:15" ht="18" x14ac:dyDescent="0.4">
      <c r="B3" s="803" t="s">
        <v>298</v>
      </c>
      <c r="C3" s="803"/>
      <c r="D3" s="803"/>
      <c r="E3" s="803"/>
      <c r="F3" s="803"/>
      <c r="G3" s="803"/>
      <c r="H3" s="803"/>
      <c r="I3" s="803"/>
      <c r="J3" s="803"/>
      <c r="K3" s="803"/>
      <c r="L3" s="803"/>
      <c r="M3" s="803"/>
      <c r="N3" s="803"/>
    </row>
    <row r="4" spans="1:15" ht="18" x14ac:dyDescent="0.4">
      <c r="B4" s="803" t="str">
        <f>CONCATENATE("For Service Rendered On and After ",'Input Data'!$D$4)</f>
        <v>For Service Rendered On and After August 1, 2022</v>
      </c>
      <c r="C4" s="803"/>
      <c r="D4" s="803"/>
      <c r="E4" s="803"/>
      <c r="F4" s="803"/>
      <c r="G4" s="803"/>
      <c r="H4" s="803"/>
      <c r="I4" s="803"/>
      <c r="J4" s="803"/>
      <c r="K4" s="803"/>
      <c r="L4" s="803"/>
      <c r="M4" s="803"/>
      <c r="N4" s="803"/>
      <c r="O4" s="260"/>
    </row>
    <row r="5" spans="1:15" x14ac:dyDescent="0.35">
      <c r="B5" s="326"/>
      <c r="C5" s="326"/>
      <c r="D5" s="326"/>
      <c r="E5" s="326"/>
      <c r="F5" s="326"/>
      <c r="G5" s="326"/>
      <c r="H5" s="326"/>
      <c r="I5" s="326"/>
      <c r="J5" s="326"/>
      <c r="K5" s="326"/>
      <c r="L5" s="326"/>
      <c r="M5" s="326"/>
      <c r="N5" s="326"/>
    </row>
    <row r="6" spans="1:15" x14ac:dyDescent="0.35">
      <c r="B6" s="326"/>
      <c r="C6" s="326"/>
      <c r="D6" s="326"/>
      <c r="E6" s="326"/>
      <c r="F6" s="326"/>
      <c r="G6" s="326"/>
      <c r="H6" s="326"/>
      <c r="I6" s="326"/>
      <c r="J6" s="326"/>
      <c r="K6" s="326"/>
      <c r="L6" s="326"/>
      <c r="M6" s="326"/>
      <c r="N6" s="326"/>
    </row>
    <row r="7" spans="1:15" x14ac:dyDescent="0.35">
      <c r="B7" s="326"/>
      <c r="C7" s="326"/>
      <c r="D7" s="326"/>
      <c r="E7" s="326"/>
      <c r="F7" s="326"/>
      <c r="G7" s="326"/>
      <c r="H7" s="326"/>
      <c r="I7" s="326"/>
      <c r="J7" s="326"/>
      <c r="K7" s="326"/>
      <c r="L7" s="326"/>
      <c r="M7" s="326"/>
      <c r="N7" s="326"/>
    </row>
    <row r="10" spans="1:15" x14ac:dyDescent="0.35">
      <c r="E10" s="325" t="s">
        <v>69</v>
      </c>
      <c r="N10" s="325" t="s">
        <v>68</v>
      </c>
    </row>
    <row r="11" spans="1:15" x14ac:dyDescent="0.35">
      <c r="A11" s="325" t="s">
        <v>321</v>
      </c>
      <c r="B11" s="325" t="s">
        <v>372</v>
      </c>
      <c r="C11" s="325"/>
      <c r="D11" s="325" t="s">
        <v>72</v>
      </c>
      <c r="E11" s="325" t="s">
        <v>73</v>
      </c>
      <c r="F11" s="325" t="s">
        <v>74</v>
      </c>
      <c r="G11" s="325" t="s">
        <v>74</v>
      </c>
      <c r="H11" s="325" t="s">
        <v>75</v>
      </c>
      <c r="I11" s="325" t="s">
        <v>75</v>
      </c>
      <c r="J11" s="325" t="s">
        <v>69</v>
      </c>
      <c r="K11" s="325" t="s">
        <v>76</v>
      </c>
      <c r="M11" s="325" t="s">
        <v>439</v>
      </c>
      <c r="N11" s="325" t="s">
        <v>70</v>
      </c>
    </row>
    <row r="12" spans="1:15" x14ac:dyDescent="0.35">
      <c r="A12" s="160" t="s">
        <v>322</v>
      </c>
      <c r="B12" s="160" t="s">
        <v>263</v>
      </c>
      <c r="C12" s="160"/>
      <c r="D12" s="160" t="s">
        <v>79</v>
      </c>
      <c r="E12" s="160" t="s">
        <v>80</v>
      </c>
      <c r="F12" s="160" t="s">
        <v>81</v>
      </c>
      <c r="G12" s="160" t="s">
        <v>82</v>
      </c>
      <c r="H12" s="160" t="s">
        <v>83</v>
      </c>
      <c r="I12" s="160" t="s">
        <v>84</v>
      </c>
      <c r="J12" s="160" t="s">
        <v>11</v>
      </c>
      <c r="K12" s="160" t="s">
        <v>489</v>
      </c>
      <c r="L12" s="160" t="s">
        <v>77</v>
      </c>
      <c r="M12" s="142" t="s">
        <v>440</v>
      </c>
      <c r="N12" s="313" t="s">
        <v>463</v>
      </c>
    </row>
    <row r="13" spans="1:15" x14ac:dyDescent="0.35">
      <c r="B13" s="325" t="s">
        <v>60</v>
      </c>
      <c r="C13" s="325"/>
      <c r="D13" s="325" t="s">
        <v>61</v>
      </c>
      <c r="E13" s="325" t="s">
        <v>62</v>
      </c>
      <c r="F13" s="421">
        <v>-4</v>
      </c>
      <c r="G13" s="421">
        <v>-5</v>
      </c>
      <c r="H13" s="421">
        <v>-6</v>
      </c>
      <c r="I13" s="421">
        <v>-7</v>
      </c>
      <c r="J13" s="421">
        <v>-8</v>
      </c>
      <c r="K13" s="422" t="s">
        <v>112</v>
      </c>
      <c r="L13" s="421">
        <v>-10</v>
      </c>
      <c r="M13" s="398" t="s">
        <v>375</v>
      </c>
      <c r="N13" s="421">
        <v>-12</v>
      </c>
    </row>
    <row r="14" spans="1:15" x14ac:dyDescent="0.35">
      <c r="B14" s="325"/>
      <c r="C14" s="325"/>
      <c r="D14" s="325"/>
      <c r="E14" s="325"/>
      <c r="F14" s="421"/>
      <c r="G14" s="421"/>
      <c r="H14" s="421"/>
      <c r="I14" s="421"/>
      <c r="J14" s="421"/>
      <c r="K14" s="422"/>
      <c r="L14" s="421"/>
      <c r="M14" s="398"/>
      <c r="N14" s="421"/>
    </row>
    <row r="15" spans="1:15" ht="18.75" customHeight="1" x14ac:dyDescent="0.35">
      <c r="A15" s="325">
        <v>1</v>
      </c>
      <c r="B15" s="276">
        <f>'Input Data'!C7</f>
        <v>44593</v>
      </c>
      <c r="C15" s="276"/>
      <c r="D15" s="325" t="str">
        <f>'Ex B-1 1 of 7'!C12</f>
        <v>2021-00458</v>
      </c>
      <c r="E15" s="443">
        <f>VLOOKUP(D15,'Case Database'!C3:K200,9)</f>
        <v>0.16980000000000001</v>
      </c>
      <c r="F15" s="440">
        <f>'FT Data'!L5</f>
        <v>940</v>
      </c>
      <c r="G15" s="428">
        <f>'FT Data'!M5</f>
        <v>6065.44</v>
      </c>
      <c r="H15" s="440">
        <f>'FT Data'!U5</f>
        <v>0</v>
      </c>
      <c r="I15" s="428">
        <f>'FT Data'!V5</f>
        <v>0</v>
      </c>
      <c r="J15" s="429">
        <f>'FT Data'!AK5</f>
        <v>75790</v>
      </c>
      <c r="K15" s="428">
        <f>ROUND(E15*J15,2)</f>
        <v>12869.14</v>
      </c>
      <c r="L15" s="428">
        <f>'FT Data'!Z5</f>
        <v>21637.9</v>
      </c>
      <c r="M15" s="428">
        <f>'FT Data'!X5</f>
        <v>4044.26</v>
      </c>
      <c r="N15" s="254">
        <f>ROUND((G15+I15+K15+L15+M15),0)</f>
        <v>44617</v>
      </c>
    </row>
    <row r="16" spans="1:15" ht="18.75" customHeight="1" x14ac:dyDescent="0.35">
      <c r="A16" s="325">
        <v>2</v>
      </c>
      <c r="B16" s="276">
        <f>EDATE(B15,1)</f>
        <v>44621</v>
      </c>
      <c r="C16" s="276"/>
      <c r="D16" s="325" t="str">
        <f>D15</f>
        <v>2021-00458</v>
      </c>
      <c r="E16" s="443">
        <f>E15</f>
        <v>0.16980000000000001</v>
      </c>
      <c r="F16" s="440">
        <f>'FT Data'!L6</f>
        <v>13824</v>
      </c>
      <c r="G16" s="428">
        <f>'FT Data'!M6</f>
        <v>73689.149999999994</v>
      </c>
      <c r="H16" s="440">
        <f>'FT Data'!U6</f>
        <v>0</v>
      </c>
      <c r="I16" s="428">
        <f>'FT Data'!V6</f>
        <v>0</v>
      </c>
      <c r="J16" s="429">
        <f>'FT Data'!AK6</f>
        <v>53126</v>
      </c>
      <c r="K16" s="428">
        <f>ROUND(E16*J16,2)</f>
        <v>9020.7900000000009</v>
      </c>
      <c r="L16" s="428">
        <f>'FT Data'!Z6</f>
        <v>0</v>
      </c>
      <c r="M16" s="428">
        <f>'FT Data'!X6</f>
        <v>3498.95</v>
      </c>
      <c r="N16" s="254">
        <f t="shared" ref="N16:N17" si="0">ROUND((G16+I16+K16+L16+M16),0)</f>
        <v>86209</v>
      </c>
    </row>
    <row r="17" spans="1:20" ht="18.75" customHeight="1" x14ac:dyDescent="0.35">
      <c r="A17" s="325">
        <v>3</v>
      </c>
      <c r="B17" s="363">
        <f>EDATE(B16,1)</f>
        <v>44652</v>
      </c>
      <c r="C17" s="363"/>
      <c r="D17" s="315" t="str">
        <f>D15</f>
        <v>2021-00458</v>
      </c>
      <c r="E17" s="444">
        <f>E15</f>
        <v>0.16980000000000001</v>
      </c>
      <c r="F17" s="445">
        <f>'FT Data'!L7</f>
        <v>0</v>
      </c>
      <c r="G17" s="436">
        <f>'FT Data'!M7</f>
        <v>0</v>
      </c>
      <c r="H17" s="445">
        <f>'FT Data'!U7</f>
        <v>0</v>
      </c>
      <c r="I17" s="436">
        <f>'FT Data'!V7</f>
        <v>0</v>
      </c>
      <c r="J17" s="437">
        <f>'FT Data'!AK7</f>
        <v>54190</v>
      </c>
      <c r="K17" s="436">
        <f>ROUND(E17*J17,2)</f>
        <v>9201.4599999999991</v>
      </c>
      <c r="L17" s="436">
        <f>'FT Data'!Z7</f>
        <v>0</v>
      </c>
      <c r="M17" s="436">
        <f>'FT Data'!X7</f>
        <v>2800.09</v>
      </c>
      <c r="N17" s="439">
        <f t="shared" si="0"/>
        <v>12002</v>
      </c>
    </row>
    <row r="18" spans="1:20" ht="16.5" customHeight="1" x14ac:dyDescent="0.35">
      <c r="B18" s="357"/>
      <c r="C18" s="357"/>
      <c r="D18" s="325"/>
      <c r="E18" s="325"/>
      <c r="F18" s="440"/>
      <c r="G18" s="441"/>
      <c r="H18" s="440"/>
      <c r="I18" s="442"/>
      <c r="J18" s="440"/>
      <c r="K18" s="441"/>
      <c r="L18" s="101"/>
      <c r="M18" s="314"/>
      <c r="N18" s="254"/>
    </row>
    <row r="19" spans="1:20" x14ac:dyDescent="0.35">
      <c r="A19" s="325">
        <v>4</v>
      </c>
      <c r="B19" s="325"/>
      <c r="C19" s="325"/>
      <c r="D19" s="325"/>
      <c r="E19" s="325"/>
      <c r="F19" s="440"/>
      <c r="G19" s="441"/>
      <c r="H19" s="440"/>
      <c r="I19" s="442"/>
      <c r="J19" s="440"/>
      <c r="K19" s="441"/>
      <c r="L19" s="162" t="s">
        <v>380</v>
      </c>
      <c r="M19" s="156"/>
      <c r="N19" s="254">
        <f>SUM(N15:N17)</f>
        <v>142828</v>
      </c>
    </row>
    <row r="20" spans="1:20" x14ac:dyDescent="0.35">
      <c r="A20" s="325"/>
      <c r="B20" s="325"/>
      <c r="C20" s="325"/>
      <c r="D20" s="325"/>
      <c r="E20" s="325"/>
      <c r="F20" s="440"/>
      <c r="G20" s="441"/>
      <c r="H20" s="440"/>
      <c r="I20" s="442"/>
      <c r="J20" s="440"/>
      <c r="K20" s="441"/>
      <c r="L20" s="162"/>
      <c r="M20" s="156"/>
      <c r="N20" s="254"/>
    </row>
    <row r="21" spans="1:20" x14ac:dyDescent="0.35">
      <c r="A21" s="325"/>
      <c r="B21" s="325"/>
      <c r="C21" s="325"/>
      <c r="D21" s="325"/>
      <c r="E21" s="325"/>
      <c r="F21" s="440"/>
      <c r="G21" s="441"/>
      <c r="H21" s="440"/>
      <c r="I21" s="442"/>
      <c r="J21" s="440"/>
      <c r="K21" s="441"/>
      <c r="L21" s="162"/>
      <c r="M21" s="156"/>
      <c r="N21" s="254"/>
    </row>
    <row r="22" spans="1:20" x14ac:dyDescent="0.35">
      <c r="A22" s="688"/>
      <c r="B22" s="687"/>
      <c r="C22" s="167"/>
      <c r="E22" s="163"/>
      <c r="F22" s="164"/>
      <c r="G22" s="165"/>
      <c r="H22" s="164"/>
      <c r="I22" s="166"/>
      <c r="J22" s="164"/>
      <c r="K22" s="165"/>
      <c r="L22" s="39"/>
      <c r="M22" s="39"/>
      <c r="N22" s="20"/>
    </row>
    <row r="23" spans="1:20" x14ac:dyDescent="0.35">
      <c r="B23" s="167"/>
      <c r="C23" s="167"/>
      <c r="E23" s="163"/>
      <c r="F23" s="164"/>
      <c r="G23" s="165"/>
      <c r="H23" s="164"/>
      <c r="I23" s="166"/>
      <c r="K23" s="119"/>
      <c r="L23" s="119"/>
      <c r="M23" s="119"/>
      <c r="N23" s="119"/>
      <c r="O23" s="119"/>
      <c r="P23" s="119"/>
      <c r="Q23" s="119"/>
      <c r="R23" s="119"/>
      <c r="S23" s="119"/>
      <c r="T23" s="119"/>
    </row>
    <row r="24" spans="1:20" x14ac:dyDescent="0.35">
      <c r="B24" s="167"/>
      <c r="C24" s="167"/>
      <c r="E24" s="163"/>
      <c r="F24" s="164"/>
      <c r="G24" s="165"/>
      <c r="H24" s="164"/>
      <c r="I24" s="166"/>
      <c r="K24" s="119"/>
      <c r="L24" s="119"/>
      <c r="M24" s="119"/>
      <c r="N24" s="685"/>
      <c r="O24" s="119"/>
      <c r="P24" s="119"/>
      <c r="Q24" s="119"/>
      <c r="R24" s="119"/>
      <c r="S24" s="119"/>
      <c r="T24" s="119"/>
    </row>
    <row r="25" spans="1:20" x14ac:dyDescent="0.35">
      <c r="B25" s="168" t="s">
        <v>86</v>
      </c>
      <c r="C25" s="168"/>
    </row>
    <row r="26" spans="1:20" x14ac:dyDescent="0.35">
      <c r="D26" s="168" t="s">
        <v>87</v>
      </c>
      <c r="J26" s="169"/>
      <c r="K26" s="19"/>
      <c r="L26" s="683"/>
      <c r="N26" s="686"/>
    </row>
    <row r="27" spans="1:20" x14ac:dyDescent="0.35">
      <c r="J27" s="169"/>
      <c r="K27" s="19"/>
      <c r="N27" s="18"/>
    </row>
    <row r="28" spans="1:20" x14ac:dyDescent="0.35">
      <c r="B28" s="168" t="s">
        <v>88</v>
      </c>
      <c r="C28" s="168"/>
      <c r="J28" s="169"/>
      <c r="K28" s="19"/>
      <c r="L28" s="684"/>
      <c r="N28" s="18"/>
    </row>
    <row r="29" spans="1:20" x14ac:dyDescent="0.35">
      <c r="D29" s="168" t="s">
        <v>89</v>
      </c>
      <c r="J29" s="169"/>
      <c r="K29" s="19"/>
      <c r="N29" s="20"/>
    </row>
    <row r="30" spans="1:20" x14ac:dyDescent="0.35">
      <c r="B30" s="168"/>
      <c r="C30" s="168"/>
      <c r="J30" s="169"/>
      <c r="K30" s="19"/>
      <c r="M30" s="684"/>
      <c r="N30" s="20"/>
    </row>
    <row r="31" spans="1:20" x14ac:dyDescent="0.35">
      <c r="B31" s="168"/>
      <c r="C31" s="168"/>
      <c r="J31" s="169"/>
      <c r="K31" s="19"/>
      <c r="M31" s="684"/>
      <c r="N31" s="20"/>
    </row>
    <row r="32" spans="1:20" x14ac:dyDescent="0.35">
      <c r="B32" s="168"/>
      <c r="C32" s="168"/>
      <c r="J32" s="169"/>
      <c r="K32" s="19"/>
      <c r="N32" s="20"/>
    </row>
    <row r="33" spans="2:14" x14ac:dyDescent="0.35">
      <c r="B33" s="168"/>
      <c r="C33" s="168"/>
      <c r="J33" s="169"/>
      <c r="K33" s="19"/>
      <c r="N33" s="20"/>
    </row>
    <row r="34" spans="2:14" x14ac:dyDescent="0.35">
      <c r="B34" s="168"/>
      <c r="C34" s="168"/>
      <c r="J34" s="169"/>
      <c r="K34" s="19"/>
    </row>
    <row r="35" spans="2:14" x14ac:dyDescent="0.35">
      <c r="B35" s="8"/>
      <c r="C35" s="8"/>
      <c r="D35" s="8"/>
      <c r="E35" s="8"/>
      <c r="F35" s="8"/>
      <c r="G35" s="8"/>
      <c r="H35" s="8"/>
      <c r="I35" s="8"/>
      <c r="J35" s="21"/>
      <c r="K35" s="22"/>
      <c r="L35" s="8"/>
      <c r="M35" s="8"/>
      <c r="N35" s="8"/>
    </row>
    <row r="36" spans="2:14" ht="17.5" x14ac:dyDescent="0.35">
      <c r="E36" s="8"/>
      <c r="J36" s="21"/>
      <c r="K36" s="22"/>
      <c r="L36" s="8"/>
      <c r="M36" s="8"/>
      <c r="N36" s="17"/>
    </row>
    <row r="37" spans="2:14" ht="17.5" x14ac:dyDescent="0.35">
      <c r="B37" s="8"/>
      <c r="C37" s="8"/>
      <c r="D37" s="8"/>
      <c r="E37" s="8"/>
      <c r="F37" s="8"/>
      <c r="G37" s="8"/>
      <c r="H37" s="8"/>
      <c r="I37" s="8"/>
      <c r="J37" s="21"/>
      <c r="K37" s="22"/>
      <c r="L37" s="8"/>
      <c r="M37" s="8"/>
      <c r="N37" s="17"/>
    </row>
    <row r="38" spans="2:14" x14ac:dyDescent="0.35">
      <c r="B38" s="8"/>
      <c r="C38" s="8"/>
      <c r="D38" s="8"/>
      <c r="E38" s="8"/>
      <c r="F38" s="8"/>
      <c r="G38" s="8"/>
      <c r="H38" s="8"/>
      <c r="I38" s="8"/>
      <c r="J38" s="8"/>
      <c r="K38" s="22"/>
      <c r="L38" s="8"/>
      <c r="M38" s="8"/>
    </row>
    <row r="39" spans="2:14" x14ac:dyDescent="0.35">
      <c r="I39" s="8"/>
    </row>
    <row r="50" spans="2:14" x14ac:dyDescent="0.35">
      <c r="B50" s="8"/>
      <c r="C50" s="8"/>
      <c r="D50" s="8"/>
      <c r="E50" s="8"/>
      <c r="F50" s="8"/>
      <c r="G50" s="8"/>
      <c r="H50" s="8"/>
      <c r="I50" s="8"/>
    </row>
    <row r="56" spans="2:14" ht="18" x14ac:dyDescent="0.4">
      <c r="L56" s="9"/>
      <c r="M56" s="9"/>
      <c r="N56" s="9"/>
    </row>
    <row r="57" spans="2:14" ht="23" x14ac:dyDescent="0.5">
      <c r="L57" s="9"/>
      <c r="M57" s="9"/>
      <c r="N57" s="10"/>
    </row>
    <row r="58" spans="2:14" ht="23" x14ac:dyDescent="0.5">
      <c r="L58" s="9"/>
      <c r="M58" s="9"/>
      <c r="N58" s="10"/>
    </row>
    <row r="59" spans="2:14" ht="23" x14ac:dyDescent="0.5">
      <c r="L59" s="9"/>
      <c r="M59" s="9"/>
      <c r="N59" s="10"/>
    </row>
    <row r="60" spans="2:14" ht="23" x14ac:dyDescent="0.5">
      <c r="L60" s="9"/>
      <c r="M60" s="9"/>
      <c r="N60" s="10"/>
    </row>
    <row r="61" spans="2:14" ht="23" x14ac:dyDescent="0.5">
      <c r="L61" s="9"/>
      <c r="M61" s="9"/>
      <c r="N61" s="10"/>
    </row>
    <row r="62" spans="2:14" ht="23" x14ac:dyDescent="0.5">
      <c r="L62" s="9"/>
      <c r="M62" s="9"/>
      <c r="N62" s="10"/>
    </row>
    <row r="63" spans="2:14" ht="23" x14ac:dyDescent="0.5">
      <c r="L63" s="9"/>
      <c r="M63" s="9"/>
      <c r="N63" s="10"/>
    </row>
    <row r="64" spans="2:14" ht="23" x14ac:dyDescent="0.5">
      <c r="L64" s="9"/>
      <c r="M64" s="9"/>
      <c r="N64"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0" max="16383" man="1"/>
  </rowBreaks>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65625" defaultRowHeight="15.5" x14ac:dyDescent="0.35"/>
  <cols>
    <col min="1" max="1" width="5.4609375" style="5" customWidth="1"/>
    <col min="2" max="2" width="11.4609375" style="5" customWidth="1"/>
    <col min="3" max="3" width="13.3046875" style="5" customWidth="1"/>
    <col min="4" max="4" width="9.4609375" style="5" customWidth="1"/>
    <col min="5" max="5" width="12.84375" style="5" customWidth="1"/>
    <col min="6" max="6" width="12.4609375" style="5" customWidth="1"/>
    <col min="7" max="7" width="11.53515625" style="5" customWidth="1"/>
    <col min="8" max="8" width="13.3046875" style="5" customWidth="1"/>
    <col min="9" max="9" width="17.3046875" style="5" customWidth="1"/>
    <col min="10" max="10" width="5.3046875" style="5" customWidth="1"/>
    <col min="11" max="11" width="12.84375" style="5" customWidth="1"/>
    <col min="12" max="12" width="11.84375" style="5" customWidth="1"/>
    <col min="13" max="13" width="15.84375" style="5" customWidth="1"/>
    <col min="14" max="14" width="12.69140625" style="5" customWidth="1"/>
    <col min="15" max="15" width="11.69140625" style="5" customWidth="1"/>
    <col min="16" max="16" width="11.53515625" style="5" customWidth="1"/>
    <col min="17" max="17" width="13.765625" style="5" customWidth="1"/>
    <col min="18" max="18" width="12.84375" style="5" bestFit="1" customWidth="1"/>
    <col min="19" max="16384" width="9.765625" style="5"/>
  </cols>
  <sheetData>
    <row r="1" spans="1:19" ht="17.5" x14ac:dyDescent="0.35">
      <c r="B1" s="805" t="s">
        <v>5</v>
      </c>
      <c r="C1" s="805"/>
      <c r="D1" s="805"/>
      <c r="E1" s="805"/>
      <c r="F1" s="805"/>
      <c r="G1" s="805"/>
      <c r="H1" s="805"/>
      <c r="I1" s="805"/>
      <c r="J1" s="24"/>
      <c r="K1" s="24"/>
      <c r="L1" s="24"/>
      <c r="M1" s="24"/>
      <c r="N1" s="24"/>
      <c r="O1" s="24"/>
      <c r="P1" s="24"/>
      <c r="Q1" s="24"/>
      <c r="R1" s="24"/>
    </row>
    <row r="2" spans="1:19" ht="18" x14ac:dyDescent="0.4">
      <c r="B2" s="806" t="s">
        <v>311</v>
      </c>
      <c r="C2" s="806"/>
      <c r="D2" s="806"/>
      <c r="E2" s="806"/>
      <c r="F2" s="806"/>
      <c r="G2" s="806"/>
      <c r="H2" s="806"/>
      <c r="I2" s="806"/>
    </row>
    <row r="3" spans="1:19" ht="18" x14ac:dyDescent="0.4">
      <c r="B3" s="806" t="str">
        <f>CONCATENATE("For Service Rendered On and After ",'Input Data'!$D$4)</f>
        <v>For Service Rendered On and After August 1, 2022</v>
      </c>
      <c r="C3" s="806"/>
      <c r="D3" s="806"/>
      <c r="E3" s="806"/>
      <c r="F3" s="806"/>
      <c r="G3" s="806"/>
      <c r="H3" s="806"/>
      <c r="I3" s="806"/>
    </row>
    <row r="4" spans="1:19" x14ac:dyDescent="0.35">
      <c r="B4" s="327"/>
      <c r="C4" s="327"/>
      <c r="D4" s="327"/>
      <c r="E4" s="327"/>
      <c r="F4" s="327"/>
      <c r="G4" s="327"/>
      <c r="H4" s="327"/>
      <c r="I4" s="327"/>
      <c r="J4" s="327"/>
      <c r="N4" s="170"/>
      <c r="O4" s="170"/>
      <c r="P4" s="170"/>
      <c r="R4" s="24"/>
    </row>
    <row r="5" spans="1:19" x14ac:dyDescent="0.35">
      <c r="B5" s="327"/>
      <c r="C5" s="327"/>
      <c r="D5" s="327"/>
      <c r="E5" s="327"/>
      <c r="F5" s="327"/>
      <c r="G5" s="327"/>
      <c r="H5" s="327"/>
      <c r="I5" s="327"/>
      <c r="J5" s="327"/>
      <c r="N5" s="170"/>
      <c r="O5" s="170"/>
      <c r="P5" s="170"/>
      <c r="R5" s="24"/>
    </row>
    <row r="6" spans="1:19" x14ac:dyDescent="0.35">
      <c r="D6" s="170"/>
      <c r="E6" s="170"/>
      <c r="F6" s="170"/>
      <c r="I6" s="24"/>
      <c r="J6" s="24"/>
      <c r="N6" s="170"/>
      <c r="O6" s="170"/>
      <c r="P6" s="170"/>
      <c r="R6" s="24"/>
    </row>
    <row r="7" spans="1:19" x14ac:dyDescent="0.35">
      <c r="B7" s="170"/>
      <c r="C7" s="170"/>
      <c r="D7" s="170"/>
      <c r="E7" s="170"/>
      <c r="F7" s="170"/>
      <c r="G7" s="170"/>
      <c r="H7" s="170"/>
      <c r="I7" s="170"/>
      <c r="J7" s="170"/>
      <c r="K7" s="170"/>
      <c r="L7" s="170"/>
      <c r="M7" s="171"/>
      <c r="N7" s="170"/>
      <c r="O7" s="170"/>
      <c r="P7" s="170"/>
    </row>
    <row r="8" spans="1:19" x14ac:dyDescent="0.35">
      <c r="B8" s="170"/>
      <c r="C8" s="170"/>
      <c r="D8" s="170"/>
      <c r="E8" s="170"/>
      <c r="F8" s="170"/>
      <c r="G8" s="170"/>
      <c r="H8" s="170"/>
      <c r="I8" s="170"/>
      <c r="J8" s="3"/>
      <c r="K8" s="170"/>
      <c r="L8" s="170"/>
      <c r="M8" s="170"/>
      <c r="N8" s="170"/>
      <c r="O8" s="170"/>
      <c r="P8" s="170"/>
      <c r="Q8" s="170"/>
    </row>
    <row r="9" spans="1:19" ht="16" thickBot="1" x14ac:dyDescent="0.4">
      <c r="B9" s="804" t="s">
        <v>90</v>
      </c>
      <c r="C9" s="804"/>
      <c r="D9" s="804"/>
      <c r="E9" s="804"/>
      <c r="F9" s="804"/>
      <c r="G9" s="804"/>
      <c r="H9" s="804"/>
      <c r="I9" s="804"/>
      <c r="J9" s="3"/>
    </row>
    <row r="10" spans="1:19" x14ac:dyDescent="0.35">
      <c r="B10" s="170"/>
      <c r="C10" s="170"/>
      <c r="D10" s="170"/>
      <c r="E10" s="172" t="s">
        <v>92</v>
      </c>
      <c r="F10" s="172" t="s">
        <v>92</v>
      </c>
      <c r="G10" s="172" t="s">
        <v>93</v>
      </c>
      <c r="H10" s="170"/>
      <c r="I10" s="170"/>
      <c r="J10" s="3"/>
    </row>
    <row r="11" spans="1:19" x14ac:dyDescent="0.35">
      <c r="B11" s="170"/>
      <c r="C11" s="170"/>
      <c r="D11" s="170"/>
      <c r="E11" s="172" t="s">
        <v>94</v>
      </c>
      <c r="F11" s="172" t="s">
        <v>94</v>
      </c>
      <c r="G11" s="172" t="s">
        <v>11</v>
      </c>
      <c r="H11" s="170"/>
      <c r="I11" s="170"/>
      <c r="J11" s="3"/>
    </row>
    <row r="12" spans="1:19" x14ac:dyDescent="0.35">
      <c r="B12" s="170"/>
      <c r="C12" s="170"/>
      <c r="D12" s="170"/>
      <c r="E12" s="172" t="s">
        <v>96</v>
      </c>
      <c r="F12" s="172" t="s">
        <v>97</v>
      </c>
      <c r="G12" s="172" t="s">
        <v>98</v>
      </c>
      <c r="H12" s="172" t="s">
        <v>93</v>
      </c>
      <c r="I12" s="172" t="s">
        <v>11</v>
      </c>
      <c r="J12" s="172"/>
      <c r="K12" s="119"/>
      <c r="L12" s="119"/>
      <c r="M12" s="119"/>
      <c r="N12" s="119"/>
      <c r="O12" s="119"/>
      <c r="P12" s="119"/>
      <c r="Q12" s="119"/>
      <c r="R12" s="119"/>
      <c r="S12" s="119"/>
    </row>
    <row r="13" spans="1:19" x14ac:dyDescent="0.35">
      <c r="A13" s="325" t="s">
        <v>321</v>
      </c>
      <c r="B13" s="172" t="s">
        <v>372</v>
      </c>
      <c r="C13" s="172" t="s">
        <v>11</v>
      </c>
      <c r="D13" s="172" t="s">
        <v>94</v>
      </c>
      <c r="E13" s="172" t="s">
        <v>100</v>
      </c>
      <c r="F13" s="172" t="s">
        <v>101</v>
      </c>
      <c r="G13" s="172" t="s">
        <v>102</v>
      </c>
      <c r="H13" s="172" t="s">
        <v>103</v>
      </c>
      <c r="I13" s="172" t="s">
        <v>104</v>
      </c>
      <c r="J13" s="172"/>
      <c r="K13" s="119"/>
      <c r="L13" s="119"/>
      <c r="M13" s="119"/>
      <c r="N13" s="119"/>
      <c r="O13" s="119"/>
      <c r="P13" s="119"/>
      <c r="Q13" s="119"/>
      <c r="R13" s="119"/>
      <c r="S13" s="119"/>
    </row>
    <row r="14" spans="1:19" ht="15" customHeight="1" x14ac:dyDescent="0.35">
      <c r="A14" s="160" t="s">
        <v>322</v>
      </c>
      <c r="B14" s="446" t="s">
        <v>263</v>
      </c>
      <c r="C14" s="447" t="s">
        <v>94</v>
      </c>
      <c r="D14" s="446" t="s">
        <v>107</v>
      </c>
      <c r="E14" s="447" t="s">
        <v>108</v>
      </c>
      <c r="F14" s="447" t="s">
        <v>103</v>
      </c>
      <c r="G14" s="447" t="s">
        <v>103</v>
      </c>
      <c r="H14" s="446" t="s">
        <v>109</v>
      </c>
      <c r="I14" s="447" t="s">
        <v>485</v>
      </c>
      <c r="J14" s="173"/>
      <c r="K14" s="119"/>
      <c r="L14" s="119"/>
      <c r="M14" s="119"/>
      <c r="N14" s="119"/>
      <c r="O14" s="119"/>
      <c r="P14" s="119"/>
      <c r="Q14" s="119"/>
      <c r="R14" s="119"/>
      <c r="S14" s="119"/>
    </row>
    <row r="15" spans="1:19" ht="28.5" x14ac:dyDescent="0.35">
      <c r="A15" s="174"/>
      <c r="B15" s="448" t="s">
        <v>60</v>
      </c>
      <c r="C15" s="448" t="s">
        <v>61</v>
      </c>
      <c r="D15" s="448" t="s">
        <v>62</v>
      </c>
      <c r="E15" s="448" t="s">
        <v>63</v>
      </c>
      <c r="F15" s="448" t="s">
        <v>64</v>
      </c>
      <c r="G15" s="448" t="s">
        <v>65</v>
      </c>
      <c r="H15" s="448" t="s">
        <v>66</v>
      </c>
      <c r="I15" s="449" t="s">
        <v>442</v>
      </c>
      <c r="J15" s="173"/>
      <c r="K15" s="119"/>
      <c r="L15" s="119"/>
      <c r="M15" s="119"/>
      <c r="N15" s="119"/>
      <c r="O15" s="119"/>
      <c r="P15" s="119"/>
      <c r="Q15" s="119"/>
      <c r="R15" s="119"/>
      <c r="S15" s="119"/>
    </row>
    <row r="16" spans="1:19" ht="18.75" customHeight="1" x14ac:dyDescent="0.35">
      <c r="A16" s="4"/>
      <c r="B16" s="24"/>
      <c r="K16" s="119"/>
      <c r="L16" s="119"/>
      <c r="M16" s="119"/>
      <c r="N16" s="119"/>
      <c r="O16" s="119"/>
      <c r="P16" s="119"/>
      <c r="Q16" s="119"/>
      <c r="R16" s="119"/>
      <c r="S16" s="119"/>
    </row>
    <row r="17" spans="1:19" ht="18.75" customHeight="1" x14ac:dyDescent="0.35">
      <c r="A17" s="325">
        <v>1</v>
      </c>
      <c r="B17" s="450">
        <f>'Input Data'!C7</f>
        <v>44593</v>
      </c>
      <c r="C17" s="5">
        <f>'Input Data'!C96</f>
        <v>2656486</v>
      </c>
      <c r="D17" s="5">
        <f>'Input Data'!C97</f>
        <v>0</v>
      </c>
      <c r="E17" s="5">
        <f>'Input Data'!C103</f>
        <v>-5961</v>
      </c>
      <c r="F17" s="5">
        <f>'Input Data'!C104</f>
        <v>0</v>
      </c>
      <c r="G17" s="5">
        <f>'Input Data'!C105</f>
        <v>2678549</v>
      </c>
      <c r="H17" s="5">
        <f>'Input Data'!C106</f>
        <v>737541</v>
      </c>
      <c r="I17" s="175">
        <f>SUM(C17:H17)</f>
        <v>6066615</v>
      </c>
      <c r="J17" s="175"/>
      <c r="K17" s="119"/>
      <c r="L17" s="119"/>
      <c r="M17" s="119"/>
      <c r="N17" s="119"/>
      <c r="O17" s="119"/>
      <c r="P17" s="119"/>
      <c r="Q17" s="119"/>
      <c r="R17" s="119"/>
      <c r="S17" s="119"/>
    </row>
    <row r="18" spans="1:19" ht="18.75" customHeight="1" x14ac:dyDescent="0.35">
      <c r="A18" s="325">
        <v>2</v>
      </c>
      <c r="B18" s="450">
        <f>EDATE(B17,1)</f>
        <v>44621</v>
      </c>
      <c r="C18" s="5">
        <f>'Input Data'!D96</f>
        <v>1842942</v>
      </c>
      <c r="D18" s="5">
        <f>'Input Data'!D97</f>
        <v>0</v>
      </c>
      <c r="E18" s="5">
        <f>'Input Data'!D103</f>
        <v>-5233</v>
      </c>
      <c r="F18" s="5">
        <f>'Input Data'!D104</f>
        <v>0</v>
      </c>
      <c r="G18" s="5">
        <f>'Input Data'!D105</f>
        <v>1431084</v>
      </c>
      <c r="H18" s="5">
        <f>'Input Data'!D106</f>
        <v>50837</v>
      </c>
      <c r="I18" s="175">
        <f>SUM(C18:H18)</f>
        <v>3319630</v>
      </c>
      <c r="J18" s="175"/>
      <c r="K18" s="119"/>
      <c r="L18" s="119"/>
      <c r="M18" s="119"/>
      <c r="N18" s="119"/>
      <c r="O18" s="119"/>
      <c r="P18" s="119"/>
      <c r="Q18" s="119"/>
      <c r="R18" s="119"/>
      <c r="S18" s="119"/>
    </row>
    <row r="19" spans="1:19" ht="18.75" customHeight="1" x14ac:dyDescent="0.35">
      <c r="A19" s="325">
        <v>3</v>
      </c>
      <c r="B19" s="450">
        <f>EDATE(B18,1)</f>
        <v>44652</v>
      </c>
      <c r="C19" s="5">
        <f>'Input Data'!E96</f>
        <v>1308050</v>
      </c>
      <c r="D19" s="5">
        <f>'Input Data'!E97</f>
        <v>0</v>
      </c>
      <c r="E19" s="5">
        <f>'Input Data'!E103</f>
        <v>-3761</v>
      </c>
      <c r="F19" s="5">
        <f>'Input Data'!E104</f>
        <v>0</v>
      </c>
      <c r="G19" s="5">
        <f>'Input Data'!E105</f>
        <v>866302</v>
      </c>
      <c r="H19" s="5">
        <f>'Input Data'!E106</f>
        <v>50837</v>
      </c>
      <c r="I19" s="451">
        <f>SUM(C19:H19)</f>
        <v>2221428</v>
      </c>
      <c r="J19" s="175"/>
      <c r="K19" s="119"/>
      <c r="L19" s="119"/>
      <c r="M19" s="119"/>
      <c r="N19" s="119"/>
      <c r="O19" s="119"/>
      <c r="P19" s="119"/>
      <c r="Q19" s="119"/>
      <c r="R19" s="119"/>
      <c r="S19" s="119"/>
    </row>
    <row r="20" spans="1:19" ht="18.75" customHeight="1" x14ac:dyDescent="0.35">
      <c r="A20" s="4"/>
      <c r="B20" s="24"/>
      <c r="K20" s="119"/>
      <c r="L20" s="119"/>
      <c r="M20" s="119"/>
      <c r="N20" s="119"/>
      <c r="O20" s="119"/>
      <c r="P20" s="119"/>
      <c r="Q20" s="119"/>
      <c r="R20" s="119"/>
      <c r="S20" s="119"/>
    </row>
    <row r="21" spans="1:19" ht="18.75" customHeight="1" x14ac:dyDescent="0.35">
      <c r="A21" s="325">
        <v>4</v>
      </c>
      <c r="B21" s="24"/>
      <c r="I21" s="175">
        <f>SUM(I17:I20)</f>
        <v>11607673</v>
      </c>
      <c r="K21" s="119"/>
      <c r="L21" s="119"/>
      <c r="M21" s="119"/>
      <c r="N21" s="119"/>
      <c r="O21" s="119"/>
      <c r="P21" s="119"/>
      <c r="Q21" s="119"/>
      <c r="R21" s="119"/>
      <c r="S21" s="119"/>
    </row>
    <row r="22" spans="1:19" ht="18.75" customHeight="1" x14ac:dyDescent="0.35">
      <c r="B22" s="24"/>
      <c r="I22" s="24"/>
      <c r="J22" s="24"/>
      <c r="K22" s="119"/>
      <c r="L22" s="119"/>
      <c r="M22" s="119"/>
      <c r="N22" s="119"/>
      <c r="O22" s="119"/>
      <c r="P22" s="119"/>
      <c r="Q22" s="119"/>
      <c r="R22" s="119"/>
      <c r="S22" s="119"/>
    </row>
    <row r="23" spans="1:19" ht="18.75" customHeight="1" thickBot="1" x14ac:dyDescent="0.4">
      <c r="B23" s="804" t="s">
        <v>91</v>
      </c>
      <c r="C23" s="804"/>
      <c r="D23" s="804"/>
      <c r="E23" s="804"/>
      <c r="F23" s="804"/>
      <c r="G23" s="804"/>
      <c r="H23" s="804"/>
      <c r="I23" s="804"/>
      <c r="K23" s="119"/>
      <c r="L23" s="119"/>
      <c r="M23" s="119"/>
      <c r="N23" s="119"/>
      <c r="O23" s="119"/>
      <c r="P23" s="119"/>
      <c r="Q23" s="119"/>
      <c r="R23" s="119"/>
      <c r="S23" s="119"/>
    </row>
    <row r="24" spans="1:19" x14ac:dyDescent="0.35">
      <c r="B24" s="170"/>
      <c r="C24" s="170"/>
      <c r="D24" s="173"/>
      <c r="E24" s="172" t="s">
        <v>92</v>
      </c>
      <c r="F24" s="172" t="s">
        <v>93</v>
      </c>
      <c r="G24" s="173"/>
      <c r="H24" s="172"/>
      <c r="I24" s="172"/>
      <c r="K24" s="119"/>
      <c r="L24" s="119"/>
      <c r="M24" s="119"/>
      <c r="N24" s="119"/>
      <c r="O24" s="119"/>
      <c r="P24" s="119"/>
      <c r="Q24" s="119"/>
      <c r="R24" s="119"/>
      <c r="S24" s="119"/>
    </row>
    <row r="25" spans="1:19" x14ac:dyDescent="0.35">
      <c r="B25" s="170"/>
      <c r="C25" s="173"/>
      <c r="D25" s="172" t="s">
        <v>92</v>
      </c>
      <c r="E25" s="172" t="s">
        <v>94</v>
      </c>
      <c r="F25" s="172" t="s">
        <v>95</v>
      </c>
      <c r="G25" s="172"/>
      <c r="H25" s="172" t="s">
        <v>93</v>
      </c>
      <c r="I25" s="172"/>
      <c r="K25" s="119"/>
      <c r="L25" s="119"/>
      <c r="M25" s="119"/>
      <c r="N25" s="119"/>
      <c r="O25" s="119"/>
      <c r="P25" s="119"/>
      <c r="Q25" s="119"/>
      <c r="R25" s="119"/>
      <c r="S25" s="119"/>
    </row>
    <row r="26" spans="1:19" x14ac:dyDescent="0.35">
      <c r="B26" s="172"/>
      <c r="C26" s="172" t="s">
        <v>99</v>
      </c>
      <c r="D26" s="172" t="s">
        <v>94</v>
      </c>
      <c r="E26" s="172" t="s">
        <v>97</v>
      </c>
      <c r="F26" s="172" t="s">
        <v>98</v>
      </c>
      <c r="G26" s="172" t="s">
        <v>93</v>
      </c>
      <c r="H26" s="172" t="s">
        <v>355</v>
      </c>
      <c r="I26" s="172" t="s">
        <v>30</v>
      </c>
      <c r="K26" s="119"/>
      <c r="L26" s="119"/>
      <c r="M26" s="119"/>
      <c r="N26" s="119"/>
      <c r="O26" s="119"/>
      <c r="P26" s="119"/>
      <c r="Q26" s="119"/>
      <c r="R26" s="119"/>
      <c r="S26" s="119"/>
    </row>
    <row r="27" spans="1:19" x14ac:dyDescent="0.35">
      <c r="B27" s="172" t="s">
        <v>99</v>
      </c>
      <c r="C27" s="173" t="s">
        <v>105</v>
      </c>
      <c r="D27" s="172" t="s">
        <v>106</v>
      </c>
      <c r="E27" s="172" t="s">
        <v>101</v>
      </c>
      <c r="F27" s="172" t="s">
        <v>102</v>
      </c>
      <c r="G27" s="172" t="s">
        <v>103</v>
      </c>
      <c r="H27" s="172" t="s">
        <v>356</v>
      </c>
      <c r="I27" s="172" t="s">
        <v>67</v>
      </c>
      <c r="K27" s="119"/>
      <c r="L27" s="119"/>
      <c r="M27" s="119"/>
      <c r="N27" s="119"/>
      <c r="O27" s="119"/>
      <c r="P27" s="119"/>
      <c r="Q27" s="119"/>
      <c r="R27" s="119"/>
      <c r="S27" s="119"/>
    </row>
    <row r="28" spans="1:19" x14ac:dyDescent="0.35">
      <c r="B28" s="447" t="s">
        <v>105</v>
      </c>
      <c r="C28" s="447" t="s">
        <v>107</v>
      </c>
      <c r="D28" s="447" t="s">
        <v>484</v>
      </c>
      <c r="E28" s="447" t="s">
        <v>103</v>
      </c>
      <c r="F28" s="447" t="s">
        <v>103</v>
      </c>
      <c r="G28" s="446" t="s">
        <v>109</v>
      </c>
      <c r="H28" s="446" t="s">
        <v>357</v>
      </c>
      <c r="I28" s="447" t="s">
        <v>110</v>
      </c>
      <c r="K28" s="119"/>
      <c r="L28" s="119"/>
      <c r="M28" s="119"/>
      <c r="N28" s="119"/>
      <c r="O28" s="119"/>
      <c r="P28" s="119"/>
      <c r="Q28" s="119"/>
      <c r="R28" s="119"/>
      <c r="S28" s="119"/>
    </row>
    <row r="29" spans="1:19" ht="38.25" customHeight="1" x14ac:dyDescent="0.35">
      <c r="B29" s="448" t="s">
        <v>112</v>
      </c>
      <c r="C29" s="448" t="s">
        <v>113</v>
      </c>
      <c r="D29" s="448" t="s">
        <v>375</v>
      </c>
      <c r="E29" s="448" t="s">
        <v>365</v>
      </c>
      <c r="F29" s="448" t="s">
        <v>370</v>
      </c>
      <c r="G29" s="448" t="s">
        <v>376</v>
      </c>
      <c r="H29" s="448" t="s">
        <v>377</v>
      </c>
      <c r="I29" s="449" t="s">
        <v>443</v>
      </c>
      <c r="K29" s="119"/>
      <c r="L29" s="119"/>
      <c r="M29" s="119"/>
      <c r="N29" s="119"/>
      <c r="O29" s="119"/>
      <c r="P29" s="119"/>
      <c r="Q29" s="119"/>
      <c r="R29" s="119"/>
      <c r="S29" s="119"/>
    </row>
    <row r="30" spans="1:19" x14ac:dyDescent="0.35">
      <c r="K30" s="119"/>
      <c r="L30" s="119"/>
      <c r="M30" s="119"/>
      <c r="N30" s="119"/>
      <c r="O30" s="119"/>
      <c r="P30" s="119"/>
      <c r="Q30" s="119"/>
      <c r="R30" s="119"/>
      <c r="S30" s="119"/>
    </row>
    <row r="31" spans="1:19" x14ac:dyDescent="0.35">
      <c r="A31" s="5">
        <v>5</v>
      </c>
      <c r="B31" s="628">
        <f>'Input Data'!C109</f>
        <v>16300903.630000001</v>
      </c>
      <c r="C31" s="628">
        <f>'Input Data'!C110</f>
        <v>0</v>
      </c>
      <c r="D31" s="628">
        <f>'Input Data'!C111</f>
        <v>-20884.080000000002</v>
      </c>
      <c r="E31" s="628">
        <f>'Input Data'!C112</f>
        <v>0</v>
      </c>
      <c r="F31" s="628">
        <f>'Input Data'!C113</f>
        <v>11741687.4</v>
      </c>
      <c r="G31" s="628">
        <f>'Input Data'!C114</f>
        <v>3233084.73</v>
      </c>
      <c r="H31" s="628">
        <f>'Input Data'!C115</f>
        <v>58524.6</v>
      </c>
      <c r="I31" s="452">
        <f>ROUND(SUM(B31:H31),0)</f>
        <v>31313316</v>
      </c>
      <c r="K31" s="119"/>
      <c r="L31" s="119"/>
      <c r="M31" s="119"/>
      <c r="N31" s="119"/>
      <c r="O31" s="119"/>
      <c r="P31" s="119"/>
      <c r="Q31" s="119"/>
      <c r="R31" s="119"/>
      <c r="S31" s="119"/>
    </row>
    <row r="32" spans="1:19" x14ac:dyDescent="0.35">
      <c r="A32" s="5">
        <v>6</v>
      </c>
      <c r="B32" s="628">
        <f>'Input Data'!D109</f>
        <v>11927113.74</v>
      </c>
      <c r="C32" s="628">
        <f>'Input Data'!D110</f>
        <v>0</v>
      </c>
      <c r="D32" s="628">
        <f>'Input Data'!D111</f>
        <v>-16807.349999999999</v>
      </c>
      <c r="E32" s="628">
        <f>'Input Data'!D112</f>
        <v>0</v>
      </c>
      <c r="F32" s="628">
        <f>'Input Data'!D113</f>
        <v>6273299.8200000003</v>
      </c>
      <c r="G32" s="628">
        <f>'Input Data'!D114</f>
        <v>222849.07</v>
      </c>
      <c r="H32" s="628">
        <f>'Input Data'!D115</f>
        <v>44743.79</v>
      </c>
      <c r="I32" s="452">
        <f>ROUND(SUM(B32:H32),0)</f>
        <v>18451199</v>
      </c>
      <c r="K32" s="119"/>
      <c r="L32" s="119"/>
      <c r="M32" s="119"/>
      <c r="N32" s="119"/>
      <c r="O32" s="119"/>
      <c r="P32" s="119"/>
      <c r="Q32" s="119"/>
      <c r="R32" s="119"/>
      <c r="S32" s="119"/>
    </row>
    <row r="33" spans="1:19" x14ac:dyDescent="0.35">
      <c r="A33" s="5">
        <v>7</v>
      </c>
      <c r="B33" s="628">
        <f>'Input Data'!E109</f>
        <v>6580678.8899999997</v>
      </c>
      <c r="C33" s="628">
        <f>'Input Data'!E110</f>
        <v>0</v>
      </c>
      <c r="D33" s="628">
        <f>'Input Data'!E111</f>
        <v>-9927.57</v>
      </c>
      <c r="E33" s="628">
        <f>'Input Data'!E112</f>
        <v>0</v>
      </c>
      <c r="F33" s="628">
        <f>'Input Data'!E113</f>
        <v>3797521.44</v>
      </c>
      <c r="G33" s="628">
        <f>'Input Data'!E114</f>
        <v>222849.07</v>
      </c>
      <c r="H33" s="628">
        <f>'Input Data'!E115</f>
        <v>24117.63</v>
      </c>
      <c r="I33" s="453">
        <f>ROUND(SUM(B33:H33),0)</f>
        <v>10615239</v>
      </c>
      <c r="K33" s="119"/>
      <c r="L33" s="119"/>
      <c r="M33" s="119"/>
      <c r="N33" s="119"/>
      <c r="O33" s="119"/>
      <c r="P33" s="119"/>
      <c r="Q33" s="119"/>
      <c r="R33" s="119"/>
      <c r="S33" s="119"/>
    </row>
    <row r="34" spans="1:19" x14ac:dyDescent="0.35">
      <c r="B34" s="74"/>
      <c r="C34" s="74"/>
      <c r="D34" s="74"/>
      <c r="E34" s="74"/>
      <c r="F34" s="74"/>
      <c r="G34" s="74"/>
      <c r="H34" s="74"/>
      <c r="I34" s="74"/>
      <c r="K34" s="119"/>
      <c r="L34" s="119"/>
      <c r="M34" s="119"/>
      <c r="N34" s="119"/>
      <c r="O34" s="119"/>
      <c r="P34" s="119"/>
      <c r="Q34" s="119"/>
      <c r="R34" s="119"/>
      <c r="S34" s="119"/>
    </row>
    <row r="35" spans="1:19" x14ac:dyDescent="0.35">
      <c r="A35" s="5">
        <v>8</v>
      </c>
      <c r="B35" s="74"/>
      <c r="C35" s="74"/>
      <c r="D35" s="74"/>
      <c r="E35" s="74"/>
      <c r="F35" s="74"/>
      <c r="G35" s="74"/>
      <c r="H35" s="454"/>
      <c r="I35" s="74">
        <f>I31+I32+I33</f>
        <v>60379754</v>
      </c>
      <c r="J35" s="74"/>
      <c r="K35" s="119"/>
      <c r="L35" s="119"/>
      <c r="M35" s="119"/>
      <c r="N35" s="119"/>
      <c r="O35" s="119"/>
      <c r="P35" s="119"/>
      <c r="Q35" s="119"/>
      <c r="R35" s="119"/>
      <c r="S35" s="119"/>
    </row>
    <row r="36" spans="1:19" x14ac:dyDescent="0.35">
      <c r="K36" s="119"/>
      <c r="L36" s="119"/>
      <c r="M36" s="119"/>
      <c r="N36" s="119"/>
      <c r="O36" s="119"/>
      <c r="P36" s="119"/>
      <c r="Q36" s="119"/>
      <c r="R36" s="119"/>
      <c r="S36" s="119"/>
    </row>
    <row r="37" spans="1:19" x14ac:dyDescent="0.35">
      <c r="K37" s="119"/>
      <c r="L37" s="119"/>
      <c r="M37" s="119"/>
      <c r="N37" s="119"/>
      <c r="O37" s="119"/>
      <c r="P37" s="119"/>
      <c r="Q37" s="119"/>
      <c r="R37" s="119"/>
      <c r="S37" s="119"/>
    </row>
    <row r="38" spans="1:19" x14ac:dyDescent="0.35">
      <c r="K38" s="119"/>
      <c r="L38" s="119"/>
      <c r="M38" s="119"/>
      <c r="N38" s="119"/>
      <c r="O38" s="119"/>
      <c r="P38" s="119"/>
      <c r="Q38" s="119"/>
      <c r="R38" s="119"/>
      <c r="S38" s="119"/>
    </row>
  </sheetData>
  <mergeCells count="5">
    <mergeCell ref="B23:I23"/>
    <mergeCell ref="B1:I1"/>
    <mergeCell ref="B2:I2"/>
    <mergeCell ref="B3:I3"/>
    <mergeCell ref="B9:I9"/>
  </mergeCells>
  <phoneticPr fontId="3" type="noConversion"/>
  <pageMargins left="0.72" right="0.78" top="1.47" bottom="1.25" header="0.64" footer="0.5"/>
  <pageSetup scale="69" orientation="portrait" r:id="rId1"/>
  <headerFooter alignWithMargins="0">
    <oddHeader>&amp;R&amp;"Times New Roman,Bold"Exhibit B-1
Page 5 of 7</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zoomScaleNormal="100" workbookViewId="0"/>
  </sheetViews>
  <sheetFormatPr defaultRowHeight="15.5" x14ac:dyDescent="0.35"/>
  <cols>
    <col min="15" max="15" width="8.84375" style="90"/>
  </cols>
  <sheetData>
    <row r="4" spans="1:1" x14ac:dyDescent="0.35">
      <c r="A4" s="460" t="s">
        <v>1047</v>
      </c>
    </row>
    <row r="23" spans="7:7" x14ac:dyDescent="0.35">
      <c r="G23" s="90"/>
    </row>
  </sheetData>
  <pageMargins left="0.7" right="0.7" top="0.75" bottom="0.75" header="0.3" footer="0.3"/>
  <pageSetup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zoomScaleNormal="100" workbookViewId="0"/>
  </sheetViews>
  <sheetFormatPr defaultRowHeight="15.5" x14ac:dyDescent="0.35"/>
  <cols>
    <col min="15" max="15" width="8.84375" style="90"/>
  </cols>
  <sheetData>
    <row r="4" spans="1:1" x14ac:dyDescent="0.35">
      <c r="A4" s="460" t="s">
        <v>1046</v>
      </c>
    </row>
    <row r="23" spans="7:7" x14ac:dyDescent="0.35">
      <c r="G23" s="90"/>
    </row>
  </sheetData>
  <pageMargins left="0.7" right="0.7" top="0.75" bottom="0.75" header="0.3" footer="0.3"/>
  <pageSetup orientation="portrait"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zoomScaleNormal="100" workbookViewId="0"/>
  </sheetViews>
  <sheetFormatPr defaultColWidth="8.765625" defaultRowHeight="15.5" x14ac:dyDescent="0.35"/>
  <cols>
    <col min="1" max="1" width="1.07421875" style="6" customWidth="1"/>
    <col min="2" max="4" width="8.765625" style="6"/>
    <col min="5" max="5" width="10.765625" style="6" bestFit="1" customWidth="1"/>
    <col min="6" max="8" width="8.765625" style="6"/>
    <col min="9" max="9" width="9.765625" style="6" customWidth="1"/>
    <col min="10" max="10" width="1.07421875" style="6" customWidth="1"/>
    <col min="11" max="16384" width="8.765625" style="6"/>
  </cols>
  <sheetData>
    <row r="1" spans="2:9" x14ac:dyDescent="0.35">
      <c r="B1" s="787" t="s">
        <v>5</v>
      </c>
      <c r="C1" s="787"/>
      <c r="D1" s="787"/>
      <c r="E1" s="787"/>
      <c r="F1" s="787"/>
      <c r="G1" s="787"/>
      <c r="H1" s="787"/>
      <c r="I1" s="787"/>
    </row>
    <row r="2" spans="2:9" x14ac:dyDescent="0.35">
      <c r="B2" s="574"/>
      <c r="C2" s="574"/>
      <c r="D2" s="574"/>
      <c r="E2" s="574"/>
      <c r="F2" s="574"/>
      <c r="G2" s="574"/>
      <c r="H2" s="574"/>
      <c r="I2" s="574"/>
    </row>
    <row r="3" spans="2:9" x14ac:dyDescent="0.35">
      <c r="B3" s="787" t="str">
        <f>'Exhibit F Write-Up'!B3:N3</f>
        <v>Gas Supply Clause: 2022-00180</v>
      </c>
      <c r="C3" s="787"/>
      <c r="D3" s="787"/>
      <c r="E3" s="787"/>
      <c r="F3" s="787"/>
      <c r="G3" s="787"/>
      <c r="H3" s="787"/>
      <c r="I3" s="787"/>
    </row>
    <row r="4" spans="2:9" x14ac:dyDescent="0.35">
      <c r="B4" s="574"/>
      <c r="C4" s="574"/>
      <c r="D4" s="574"/>
      <c r="E4" s="574"/>
      <c r="F4" s="574"/>
      <c r="G4" s="574"/>
      <c r="H4" s="574"/>
      <c r="I4" s="574"/>
    </row>
    <row r="5" spans="2:9" x14ac:dyDescent="0.35">
      <c r="B5" s="787" t="s">
        <v>673</v>
      </c>
      <c r="C5" s="787"/>
      <c r="D5" s="787"/>
      <c r="E5" s="787"/>
      <c r="F5" s="787"/>
      <c r="G5" s="787"/>
      <c r="H5" s="787"/>
      <c r="I5" s="787"/>
    </row>
    <row r="8" spans="2:9" ht="31.5" customHeight="1" x14ac:dyDescent="0.35">
      <c r="B8" s="776" t="s">
        <v>674</v>
      </c>
      <c r="C8" s="776"/>
      <c r="D8" s="776"/>
      <c r="E8" s="776"/>
      <c r="F8" s="776"/>
      <c r="G8" s="776"/>
      <c r="H8" s="776"/>
      <c r="I8" s="776"/>
    </row>
    <row r="9" spans="2:9" ht="15.65" customHeight="1" x14ac:dyDescent="0.35">
      <c r="B9" s="675"/>
      <c r="C9" s="675"/>
      <c r="D9" s="675"/>
      <c r="E9" s="675"/>
      <c r="F9" s="675"/>
      <c r="G9" s="675"/>
      <c r="H9" s="675"/>
      <c r="I9" s="675"/>
    </row>
    <row r="10" spans="2:9" ht="31.5" customHeight="1" x14ac:dyDescent="0.35">
      <c r="B10" s="776"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August 1, 2022 through October 31, 2022 set forth on Page 1 of Exhibit C-1:</v>
      </c>
      <c r="C10" s="776"/>
      <c r="D10" s="776"/>
      <c r="E10" s="776"/>
      <c r="F10" s="776"/>
      <c r="G10" s="776"/>
      <c r="H10" s="776"/>
      <c r="I10" s="776"/>
    </row>
    <row r="11" spans="2:9" ht="15.65" customHeight="1" x14ac:dyDescent="0.35">
      <c r="B11" s="675"/>
      <c r="C11" s="675"/>
      <c r="D11" s="675"/>
      <c r="E11" s="675"/>
      <c r="F11" s="675"/>
      <c r="G11" s="675"/>
      <c r="H11" s="675"/>
      <c r="I11" s="675"/>
    </row>
    <row r="12" spans="2:9" ht="15.65" customHeight="1" x14ac:dyDescent="0.35">
      <c r="B12" s="783" t="s">
        <v>675</v>
      </c>
      <c r="C12" s="783"/>
      <c r="D12" s="783"/>
      <c r="E12" s="582">
        <f>'Ex C-1 1 of 3'!D13</f>
        <v>4101.5799999996379</v>
      </c>
      <c r="F12" s="675"/>
      <c r="G12" s="675"/>
      <c r="H12" s="675"/>
      <c r="I12" s="675"/>
    </row>
    <row r="13" spans="2:9" ht="15.65" customHeight="1" x14ac:dyDescent="0.35">
      <c r="B13" s="675"/>
      <c r="C13" s="675"/>
      <c r="D13" s="675"/>
      <c r="E13" s="675"/>
      <c r="F13" s="675"/>
      <c r="G13" s="675"/>
      <c r="H13" s="675"/>
      <c r="I13" s="675"/>
    </row>
    <row r="14" spans="2:9" ht="31.5" customHeight="1" x14ac:dyDescent="0.35">
      <c r="B14" s="776" t="str">
        <f>CONCATENATE("The GCBA factor required to collect the recovery balance will be in effect ", 'Input Data'!B147, " with service rendered on and after ", 'Input Data'!D4, " and continue for three months:")</f>
        <v>The GCBA factor required to collect the recovery balance will be in effect as a debit with service rendered on and after August 1, 2022 and continue for three months:</v>
      </c>
      <c r="C14" s="776"/>
      <c r="D14" s="776"/>
      <c r="E14" s="776"/>
      <c r="F14" s="776"/>
      <c r="G14" s="776"/>
      <c r="H14" s="776"/>
      <c r="I14" s="776"/>
    </row>
    <row r="15" spans="2:9" ht="15.65" customHeight="1" x14ac:dyDescent="0.35">
      <c r="B15" s="675"/>
      <c r="C15" s="675"/>
      <c r="D15" s="675"/>
      <c r="E15" s="675"/>
      <c r="F15" s="675"/>
      <c r="G15" s="675"/>
      <c r="H15" s="675"/>
      <c r="I15" s="675"/>
    </row>
    <row r="16" spans="2:9" ht="15.65" customHeight="1" x14ac:dyDescent="0.35">
      <c r="B16" s="808" t="s">
        <v>676</v>
      </c>
      <c r="C16" s="808"/>
      <c r="D16" s="808"/>
      <c r="E16" s="583">
        <f>'Ex C-1 1 of 3'!D19</f>
        <v>1.2E-4</v>
      </c>
      <c r="F16" s="675"/>
      <c r="G16" s="675"/>
      <c r="H16" s="675"/>
      <c r="I16" s="675"/>
    </row>
    <row r="17" spans="2:12" ht="15.65" customHeight="1" x14ac:dyDescent="0.35">
      <c r="B17" s="675"/>
      <c r="C17" s="675"/>
      <c r="D17" s="675"/>
      <c r="E17" s="675"/>
      <c r="F17" s="675"/>
      <c r="G17" s="675"/>
      <c r="H17" s="675"/>
      <c r="I17" s="675"/>
    </row>
    <row r="18" spans="2:12" ht="63" customHeight="1" x14ac:dyDescent="0.35">
      <c r="B18" s="807"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Data'!B146)</f>
        <v>In this filing, LG&amp;E will eliminate the GCBA from Case No. 2022-00083 as it will have been in effect for three months.  Any over- or under-recovery of the amount originally established will be transferred to the GCBA which will be implemented in LG&amp;E's next Gas Supply Clause filing with service rendered on and after November 1, 2022.</v>
      </c>
      <c r="C18" s="807"/>
      <c r="D18" s="807"/>
      <c r="E18" s="807"/>
      <c r="F18" s="807"/>
      <c r="G18" s="807"/>
      <c r="H18" s="807"/>
      <c r="I18" s="807"/>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65625" defaultRowHeight="18" x14ac:dyDescent="0.4"/>
  <cols>
    <col min="1" max="1" width="9.765625" style="176"/>
    <col min="2" max="2" width="25.69140625" style="176" customWidth="1"/>
    <col min="3" max="3" width="27" style="176" customWidth="1"/>
    <col min="4" max="4" width="15.3046875" style="176" customWidth="1"/>
    <col min="5" max="11" width="22.3046875" style="176" customWidth="1"/>
    <col min="12" max="12" width="8.07421875" style="176" customWidth="1"/>
    <col min="13" max="16384" width="9.765625" style="176"/>
  </cols>
  <sheetData>
    <row r="1" spans="1:12" x14ac:dyDescent="0.4">
      <c r="B1" s="769" t="s">
        <v>5</v>
      </c>
      <c r="C1" s="769"/>
      <c r="D1" s="769"/>
      <c r="E1" s="177"/>
      <c r="F1" s="177"/>
      <c r="G1" s="177"/>
      <c r="H1" s="177"/>
      <c r="I1" s="177"/>
      <c r="J1" s="177"/>
      <c r="K1" s="177"/>
      <c r="L1" s="178"/>
    </row>
    <row r="2" spans="1:12" x14ac:dyDescent="0.4">
      <c r="B2" s="756" t="s">
        <v>305</v>
      </c>
      <c r="C2" s="756"/>
      <c r="D2" s="756"/>
      <c r="E2" s="177"/>
      <c r="F2" s="177"/>
      <c r="G2" s="177"/>
      <c r="H2" s="177"/>
      <c r="I2" s="177"/>
      <c r="J2" s="177"/>
      <c r="K2" s="177"/>
      <c r="L2" s="88"/>
    </row>
    <row r="3" spans="1:12" x14ac:dyDescent="0.4">
      <c r="B3" s="756" t="str">
        <f>CONCATENATE("For Service Rendered On and After ",'Input Data'!$D$4)</f>
        <v>For Service Rendered On and After August 1, 2022</v>
      </c>
      <c r="C3" s="756"/>
      <c r="D3" s="756"/>
      <c r="E3" s="177"/>
      <c r="F3" s="177"/>
      <c r="G3" s="177"/>
      <c r="H3" s="177"/>
      <c r="I3" s="177"/>
      <c r="J3" s="177"/>
      <c r="K3" s="177"/>
      <c r="L3" s="88"/>
    </row>
    <row r="4" spans="1:12" x14ac:dyDescent="0.4">
      <c r="B4" s="712"/>
      <c r="C4" s="712"/>
      <c r="D4" s="712"/>
      <c r="E4" s="177"/>
      <c r="F4" s="177"/>
      <c r="G4" s="177"/>
      <c r="H4" s="177"/>
      <c r="I4" s="177"/>
      <c r="J4" s="177"/>
      <c r="K4" s="177"/>
      <c r="L4" s="88"/>
    </row>
    <row r="5" spans="1:12" x14ac:dyDescent="0.4">
      <c r="B5" s="712"/>
      <c r="C5" s="712"/>
      <c r="D5" s="712"/>
      <c r="E5" s="177"/>
      <c r="F5" s="177"/>
      <c r="G5" s="177"/>
      <c r="H5" s="177"/>
      <c r="I5" s="177"/>
      <c r="J5" s="177"/>
      <c r="K5" s="177"/>
      <c r="L5" s="88"/>
    </row>
    <row r="6" spans="1:12" x14ac:dyDescent="0.4">
      <c r="L6" s="88"/>
    </row>
    <row r="7" spans="1:12" x14ac:dyDescent="0.4">
      <c r="A7" s="711" t="s">
        <v>321</v>
      </c>
      <c r="B7" s="3"/>
      <c r="C7" s="3"/>
      <c r="D7" s="711" t="s">
        <v>424</v>
      </c>
      <c r="L7" s="88"/>
    </row>
    <row r="8" spans="1:12" x14ac:dyDescent="0.4">
      <c r="A8" s="713" t="s">
        <v>322</v>
      </c>
      <c r="B8" s="809" t="s">
        <v>323</v>
      </c>
      <c r="C8" s="809"/>
      <c r="D8" s="713" t="s">
        <v>302</v>
      </c>
      <c r="L8" s="88"/>
    </row>
    <row r="9" spans="1:12" ht="22" customHeight="1" x14ac:dyDescent="0.4">
      <c r="A9" s="711">
        <v>1</v>
      </c>
      <c r="B9" s="3" t="s">
        <v>428</v>
      </c>
      <c r="C9" s="3"/>
      <c r="D9" s="271">
        <f>'Ex C-1 2 of 3'!G29</f>
        <v>-92312</v>
      </c>
      <c r="L9" s="88"/>
    </row>
    <row r="10" spans="1:12" ht="22" customHeight="1" x14ac:dyDescent="0.4">
      <c r="A10" s="711">
        <v>2</v>
      </c>
      <c r="B10" s="3" t="s">
        <v>429</v>
      </c>
      <c r="C10" s="3"/>
      <c r="D10" s="271">
        <f>'Ex C-1 3 of 3'!G27</f>
        <v>536</v>
      </c>
      <c r="L10" s="88"/>
    </row>
    <row r="11" spans="1:12" ht="22" customHeight="1" x14ac:dyDescent="0.4">
      <c r="A11" s="711">
        <v>3</v>
      </c>
      <c r="B11" s="3" t="s">
        <v>430</v>
      </c>
      <c r="C11" s="3"/>
      <c r="D11" s="271">
        <f>'Ex D-1 2 of 2'!G31</f>
        <v>0</v>
      </c>
      <c r="L11" s="88"/>
    </row>
    <row r="12" spans="1:12" ht="22" customHeight="1" x14ac:dyDescent="0.4">
      <c r="A12" s="711">
        <v>4</v>
      </c>
      <c r="B12" s="3" t="s">
        <v>431</v>
      </c>
      <c r="C12" s="3"/>
      <c r="D12" s="629">
        <f>'Input Data'!D131</f>
        <v>95877.579999999638</v>
      </c>
      <c r="L12" s="88"/>
    </row>
    <row r="13" spans="1:12" ht="22" customHeight="1" x14ac:dyDescent="0.4">
      <c r="A13" s="711">
        <v>5</v>
      </c>
      <c r="B13" s="3" t="s">
        <v>306</v>
      </c>
      <c r="C13" s="3"/>
      <c r="D13" s="316">
        <f>SUM(D9:D12)</f>
        <v>4101.5799999996379</v>
      </c>
      <c r="L13" s="88"/>
    </row>
    <row r="14" spans="1:12" ht="22" customHeight="1" x14ac:dyDescent="0.4">
      <c r="A14" s="711"/>
      <c r="B14" s="3"/>
      <c r="C14" s="3"/>
      <c r="D14" s="3"/>
    </row>
    <row r="15" spans="1:12" ht="22" customHeight="1" x14ac:dyDescent="0.4">
      <c r="A15" s="711">
        <v>6</v>
      </c>
      <c r="B15" s="3" t="s">
        <v>432</v>
      </c>
      <c r="C15" s="3"/>
      <c r="D15" s="328">
        <f>'Ex A 1 of 2'!F74</f>
        <v>3300269.0147000002</v>
      </c>
    </row>
    <row r="16" spans="1:12" ht="22" customHeight="1" x14ac:dyDescent="0.4">
      <c r="A16" s="711"/>
      <c r="B16" s="3"/>
      <c r="C16" s="3"/>
      <c r="D16" s="3"/>
    </row>
    <row r="17" spans="1:15" ht="22" customHeight="1" x14ac:dyDescent="0.4">
      <c r="A17" s="711">
        <v>7</v>
      </c>
      <c r="B17" s="3" t="s">
        <v>307</v>
      </c>
      <c r="C17" s="3"/>
      <c r="D17" s="190">
        <f>ROUND(D13/D15,4)</f>
        <v>1.1999999999999999E-3</v>
      </c>
    </row>
    <row r="18" spans="1:15" ht="22" customHeight="1" x14ac:dyDescent="0.4">
      <c r="A18" s="711"/>
      <c r="B18" s="3"/>
      <c r="C18" s="3"/>
      <c r="D18" s="3"/>
    </row>
    <row r="19" spans="1:15" ht="22" customHeight="1" x14ac:dyDescent="0.4">
      <c r="A19" s="711">
        <v>8</v>
      </c>
      <c r="B19" s="3" t="s">
        <v>308</v>
      </c>
      <c r="C19" s="3"/>
      <c r="D19" s="272">
        <f>ROUND(D17/10,5)</f>
        <v>1.2E-4</v>
      </c>
    </row>
    <row r="20" spans="1:15" ht="22" customHeight="1" x14ac:dyDescent="0.4">
      <c r="A20" s="3"/>
      <c r="B20" s="3"/>
      <c r="C20" s="3"/>
      <c r="D20" s="3"/>
    </row>
    <row r="21" spans="1:15" x14ac:dyDescent="0.4">
      <c r="A21" s="3"/>
      <c r="B21" s="3"/>
      <c r="C21" s="3"/>
      <c r="D21" s="3"/>
    </row>
    <row r="22" spans="1:15" x14ac:dyDescent="0.4">
      <c r="A22" s="3"/>
      <c r="B22" s="3"/>
      <c r="C22" s="3"/>
      <c r="D22" s="3"/>
    </row>
    <row r="23" spans="1:15" x14ac:dyDescent="0.4">
      <c r="A23" s="3"/>
      <c r="B23" s="273"/>
      <c r="C23" s="55"/>
      <c r="D23" s="55"/>
      <c r="E23" s="179"/>
    </row>
    <row r="24" spans="1:15" x14ac:dyDescent="0.4">
      <c r="A24" s="3"/>
      <c r="B24" s="273"/>
      <c r="C24" s="55"/>
      <c r="D24" s="55"/>
      <c r="F24" s="49"/>
    </row>
    <row r="25" spans="1:15" ht="19" x14ac:dyDescent="0.4">
      <c r="A25" s="274">
        <v>1</v>
      </c>
      <c r="B25" s="13" t="s">
        <v>115</v>
      </c>
      <c r="C25" s="3"/>
      <c r="D25" s="3"/>
    </row>
    <row r="26" spans="1:15" ht="19" x14ac:dyDescent="0.4">
      <c r="A26" s="274">
        <v>2</v>
      </c>
      <c r="B26" s="13" t="s">
        <v>304</v>
      </c>
      <c r="C26" s="3"/>
      <c r="D26" s="3"/>
    </row>
    <row r="27" spans="1:15" ht="19" x14ac:dyDescent="0.4">
      <c r="A27" s="274">
        <v>3</v>
      </c>
      <c r="B27" s="13" t="s">
        <v>627</v>
      </c>
      <c r="C27" s="3"/>
      <c r="D27" s="3"/>
    </row>
    <row r="28" spans="1:15" ht="19" x14ac:dyDescent="0.4">
      <c r="A28" s="274">
        <v>4</v>
      </c>
      <c r="B28" s="13" t="s">
        <v>643</v>
      </c>
      <c r="C28" s="3"/>
      <c r="D28" s="3"/>
    </row>
    <row r="29" spans="1:15" ht="19" x14ac:dyDescent="0.4">
      <c r="A29" s="274">
        <v>5</v>
      </c>
      <c r="B29" s="13" t="s">
        <v>427</v>
      </c>
      <c r="C29" s="3"/>
      <c r="D29" s="3"/>
      <c r="G29" s="49"/>
      <c r="H29" s="49"/>
      <c r="J29" s="179"/>
      <c r="N29" s="630"/>
      <c r="O29" s="180"/>
    </row>
    <row r="30" spans="1:15" x14ac:dyDescent="0.4">
      <c r="A30" s="3"/>
      <c r="B30" s="3"/>
      <c r="C30" s="3"/>
      <c r="D30" s="3"/>
      <c r="N30" s="630"/>
      <c r="O30" s="180"/>
    </row>
    <row r="31" spans="1:15" hidden="1" x14ac:dyDescent="0.4">
      <c r="A31" s="3"/>
      <c r="B31" s="3"/>
      <c r="C31" s="3"/>
      <c r="D31" s="3"/>
      <c r="K31" s="181"/>
    </row>
    <row r="32" spans="1:15" hidden="1" x14ac:dyDescent="0.4">
      <c r="A32" s="3"/>
      <c r="B32" s="3"/>
      <c r="C32" s="3"/>
      <c r="D32" s="3"/>
    </row>
    <row r="33" spans="1:11" ht="19" hidden="1" x14ac:dyDescent="0.4">
      <c r="A33" s="274"/>
      <c r="B33" s="3"/>
      <c r="C33" s="3"/>
      <c r="D33" s="3"/>
    </row>
    <row r="34" spans="1:11" x14ac:dyDescent="0.4">
      <c r="K34" s="182"/>
    </row>
    <row r="38" spans="1:11" ht="14.25" customHeight="1" x14ac:dyDescent="0.4"/>
    <row r="39" spans="1:11" ht="14.25" customHeight="1" x14ac:dyDescent="0.4"/>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65625" defaultRowHeight="15.5" x14ac:dyDescent="0.35"/>
  <cols>
    <col min="1" max="1" width="5.84375" style="3" customWidth="1"/>
    <col min="2" max="2" width="12.69140625" style="3" customWidth="1"/>
    <col min="3" max="3" width="15.4609375" style="3" customWidth="1"/>
    <col min="4" max="4" width="14.4609375" style="3" customWidth="1"/>
    <col min="5" max="5" width="13.53515625" style="3" customWidth="1"/>
    <col min="6" max="6" width="14" style="3" customWidth="1"/>
    <col min="7" max="7" width="14.53515625" style="3" customWidth="1"/>
    <col min="8" max="8" width="18.07421875" style="3" customWidth="1"/>
    <col min="9" max="12" width="11.07421875" style="3" customWidth="1"/>
    <col min="13" max="13" width="10.23046875" style="3" customWidth="1"/>
    <col min="14" max="14" width="17.69140625" style="79" customWidth="1"/>
    <col min="15" max="15" width="13.69140625" style="3" customWidth="1"/>
    <col min="16" max="16" width="16.84375" style="3" customWidth="1"/>
    <col min="17" max="16384" width="9.765625" style="3"/>
  </cols>
  <sheetData>
    <row r="1" spans="1:16" ht="17.5" x14ac:dyDescent="0.35">
      <c r="B1" s="769" t="s">
        <v>5</v>
      </c>
      <c r="C1" s="769"/>
      <c r="D1" s="769"/>
      <c r="E1" s="769"/>
      <c r="F1" s="769"/>
      <c r="G1" s="769"/>
      <c r="H1" s="769"/>
    </row>
    <row r="2" spans="1:16" ht="18" x14ac:dyDescent="0.4">
      <c r="B2" s="756" t="s">
        <v>425</v>
      </c>
      <c r="C2" s="756"/>
      <c r="D2" s="756"/>
      <c r="E2" s="756"/>
      <c r="F2" s="756"/>
      <c r="G2" s="756"/>
      <c r="H2" s="756"/>
    </row>
    <row r="3" spans="1:16" ht="18" x14ac:dyDescent="0.4">
      <c r="B3" s="756" t="str">
        <f>CONCATENATE("For Service Rendered On and After ",'Input Data'!$D$4)</f>
        <v>For Service Rendered On and After August 1, 2022</v>
      </c>
      <c r="C3" s="756"/>
      <c r="D3" s="756"/>
      <c r="E3" s="756"/>
      <c r="F3" s="756"/>
      <c r="G3" s="756"/>
      <c r="H3" s="756"/>
      <c r="I3" s="104"/>
      <c r="J3" s="104"/>
      <c r="K3" s="104"/>
      <c r="L3" s="104"/>
      <c r="M3" s="104"/>
    </row>
    <row r="4" spans="1:16" ht="18" x14ac:dyDescent="0.4">
      <c r="A4" s="710"/>
      <c r="B4" s="710"/>
      <c r="C4" s="710"/>
      <c r="D4" s="710"/>
      <c r="E4" s="710"/>
      <c r="F4" s="710"/>
      <c r="G4" s="710"/>
      <c r="H4" s="710"/>
    </row>
    <row r="5" spans="1:16" x14ac:dyDescent="0.35">
      <c r="B5" s="13" t="s">
        <v>352</v>
      </c>
      <c r="C5" s="13" t="str">
        <f>VLOOKUP($B$13,'Case Database'!$A$2:$G$200,6,FALSE)</f>
        <v>2020-00309</v>
      </c>
    </row>
    <row r="7" spans="1:16" x14ac:dyDescent="0.35">
      <c r="I7" s="185"/>
      <c r="J7" s="185"/>
      <c r="K7" s="185"/>
      <c r="L7" s="185"/>
      <c r="M7" s="185"/>
      <c r="N7" s="186"/>
    </row>
    <row r="8" spans="1:16" ht="46.5" x14ac:dyDescent="0.35">
      <c r="A8" s="714" t="s">
        <v>247</v>
      </c>
      <c r="B8" s="455" t="s">
        <v>348</v>
      </c>
      <c r="C8" s="183" t="s">
        <v>310</v>
      </c>
      <c r="D8" s="714" t="s">
        <v>369</v>
      </c>
      <c r="E8" s="110" t="s">
        <v>273</v>
      </c>
      <c r="F8" s="184" t="s">
        <v>272</v>
      </c>
      <c r="G8" s="184" t="s">
        <v>353</v>
      </c>
      <c r="H8" s="184" t="s">
        <v>271</v>
      </c>
      <c r="I8" s="185"/>
      <c r="J8" s="258"/>
      <c r="K8" s="258"/>
      <c r="L8" s="258"/>
      <c r="M8" s="258"/>
      <c r="N8" s="258"/>
      <c r="O8" s="258"/>
      <c r="P8" s="258"/>
    </row>
    <row r="9" spans="1:16" ht="18" customHeight="1" x14ac:dyDescent="0.35">
      <c r="A9" s="711"/>
      <c r="B9" s="187" t="s">
        <v>60</v>
      </c>
      <c r="C9" s="187" t="s">
        <v>61</v>
      </c>
      <c r="D9" s="187" t="s">
        <v>62</v>
      </c>
      <c r="E9" s="187" t="s">
        <v>63</v>
      </c>
      <c r="F9" s="187" t="s">
        <v>64</v>
      </c>
      <c r="G9" s="187" t="s">
        <v>490</v>
      </c>
      <c r="H9" s="187" t="s">
        <v>328</v>
      </c>
      <c r="I9" s="185"/>
      <c r="J9" s="258"/>
      <c r="K9" s="258"/>
      <c r="L9" s="258"/>
      <c r="M9" s="258"/>
      <c r="N9" s="258"/>
      <c r="O9" s="258"/>
      <c r="P9" s="258"/>
    </row>
    <row r="10" spans="1:16" x14ac:dyDescent="0.35">
      <c r="A10" s="711"/>
      <c r="B10" s="118"/>
      <c r="C10" s="118"/>
      <c r="D10" s="118"/>
      <c r="E10" s="102"/>
      <c r="G10" s="188"/>
      <c r="H10" s="188"/>
      <c r="I10" s="185"/>
      <c r="J10" s="258"/>
      <c r="K10" s="258"/>
      <c r="L10" s="258"/>
      <c r="M10" s="258"/>
      <c r="N10" s="258"/>
      <c r="O10" s="258"/>
      <c r="P10" s="258"/>
    </row>
    <row r="11" spans="1:16" ht="18" customHeight="1" x14ac:dyDescent="0.35">
      <c r="A11" s="711">
        <v>1</v>
      </c>
      <c r="E11" s="102"/>
      <c r="G11" s="156" t="s">
        <v>270</v>
      </c>
      <c r="H11" s="84">
        <f>'Input Data'!D137</f>
        <v>-1667638.6999999993</v>
      </c>
      <c r="I11" s="185"/>
      <c r="J11" s="258"/>
      <c r="K11" s="258"/>
      <c r="L11" s="258"/>
      <c r="M11" s="258"/>
      <c r="N11" s="258"/>
      <c r="O11" s="258"/>
      <c r="P11" s="258"/>
    </row>
    <row r="12" spans="1:16" x14ac:dyDescent="0.35">
      <c r="A12" s="711"/>
      <c r="E12" s="102"/>
      <c r="G12" s="84"/>
      <c r="H12" s="84"/>
      <c r="I12" s="185"/>
      <c r="J12" s="258"/>
      <c r="K12" s="258"/>
      <c r="L12" s="258"/>
      <c r="M12" s="258"/>
      <c r="N12" s="258"/>
      <c r="O12" s="258"/>
      <c r="P12" s="258"/>
    </row>
    <row r="13" spans="1:16" x14ac:dyDescent="0.35">
      <c r="A13" s="711">
        <v>2</v>
      </c>
      <c r="B13" s="118">
        <f>'Input Data'!C6</f>
        <v>44317</v>
      </c>
      <c r="C13" s="189" t="s">
        <v>364</v>
      </c>
      <c r="D13" s="356">
        <f>VLOOKUP(B13,'Sales Volumes'!$A$1:$H$200,2,FALSE)</f>
        <v>1429557.8</v>
      </c>
      <c r="E13" s="356">
        <f>VLOOKUP(B13,'Sales Volumes'!$A$1:$H$100,4,FALSE)</f>
        <v>634604</v>
      </c>
      <c r="F13" s="190">
        <f>VLOOKUP($B$13,'Case Database'!$A$2:$G$200,7,FALSE)</f>
        <v>-5.3400000000000003E-2</v>
      </c>
      <c r="G13" s="84">
        <f t="shared" ref="G13:G25" si="0">ROUND(E13*F13,0)</f>
        <v>-33888</v>
      </c>
      <c r="H13" s="84">
        <f>+H11-G13</f>
        <v>-1633750.6999999993</v>
      </c>
      <c r="I13" s="185"/>
      <c r="J13" s="258"/>
      <c r="K13" s="258"/>
      <c r="L13" s="258"/>
      <c r="M13" s="258"/>
      <c r="N13" s="258"/>
      <c r="O13" s="258"/>
      <c r="P13" s="258"/>
    </row>
    <row r="14" spans="1:16" x14ac:dyDescent="0.35">
      <c r="A14" s="711">
        <v>3</v>
      </c>
      <c r="B14" s="118">
        <f>EDATE(B13,1)</f>
        <v>44348</v>
      </c>
      <c r="C14" s="189"/>
      <c r="D14" s="356">
        <f>VLOOKUP(B14,'Sales Volumes'!$A$1:$H$200,2,FALSE)</f>
        <v>905633.5</v>
      </c>
      <c r="E14" s="356">
        <f>D14</f>
        <v>905633.5</v>
      </c>
      <c r="F14" s="190">
        <f t="shared" ref="F14:F25" si="1">$F$13</f>
        <v>-5.3400000000000003E-2</v>
      </c>
      <c r="G14" s="84">
        <f t="shared" si="0"/>
        <v>-48361</v>
      </c>
      <c r="H14" s="84">
        <f t="shared" ref="H14:H25" si="2">+H13-G14</f>
        <v>-1585389.6999999993</v>
      </c>
      <c r="I14" s="185"/>
      <c r="J14" s="258"/>
      <c r="K14" s="258"/>
      <c r="L14" s="258"/>
      <c r="M14" s="258"/>
      <c r="N14" s="258"/>
      <c r="O14" s="258"/>
      <c r="P14" s="258"/>
    </row>
    <row r="15" spans="1:16" x14ac:dyDescent="0.35">
      <c r="A15" s="711">
        <v>4</v>
      </c>
      <c r="B15" s="118">
        <f t="shared" ref="B15:B25" si="3">EDATE(B14,1)</f>
        <v>44378</v>
      </c>
      <c r="C15" s="189"/>
      <c r="D15" s="356">
        <f>VLOOKUP(B15,'Sales Volumes'!$A$1:$H$200,2,FALSE)</f>
        <v>669470.69999999995</v>
      </c>
      <c r="E15" s="356">
        <f t="shared" ref="E15:E24" si="4">D15</f>
        <v>669470.69999999995</v>
      </c>
      <c r="F15" s="190">
        <f t="shared" si="1"/>
        <v>-5.3400000000000003E-2</v>
      </c>
      <c r="G15" s="84">
        <f t="shared" si="0"/>
        <v>-35750</v>
      </c>
      <c r="H15" s="84">
        <f t="shared" si="2"/>
        <v>-1549639.6999999993</v>
      </c>
      <c r="I15" s="185"/>
      <c r="J15" s="258"/>
      <c r="K15" s="258"/>
      <c r="L15" s="258"/>
      <c r="M15" s="258"/>
      <c r="N15" s="258"/>
      <c r="O15" s="258"/>
      <c r="P15" s="258"/>
    </row>
    <row r="16" spans="1:16" x14ac:dyDescent="0.35">
      <c r="A16" s="711">
        <v>5</v>
      </c>
      <c r="B16" s="118">
        <f t="shared" si="3"/>
        <v>44409</v>
      </c>
      <c r="C16" s="189"/>
      <c r="D16" s="356">
        <f>VLOOKUP(B16,'Sales Volumes'!$A$1:$H$200,2,FALSE)</f>
        <v>663187.69999999995</v>
      </c>
      <c r="E16" s="356">
        <f t="shared" si="4"/>
        <v>663187.69999999995</v>
      </c>
      <c r="F16" s="190">
        <f t="shared" si="1"/>
        <v>-5.3400000000000003E-2</v>
      </c>
      <c r="G16" s="84">
        <f t="shared" si="0"/>
        <v>-35414</v>
      </c>
      <c r="H16" s="84">
        <f t="shared" si="2"/>
        <v>-1514225.6999999993</v>
      </c>
      <c r="I16" s="185"/>
      <c r="J16" s="258"/>
      <c r="K16" s="258"/>
      <c r="L16" s="258"/>
      <c r="M16" s="258"/>
      <c r="N16" s="258"/>
      <c r="O16" s="258"/>
      <c r="P16" s="258"/>
    </row>
    <row r="17" spans="1:16" x14ac:dyDescent="0.35">
      <c r="A17" s="711">
        <v>6</v>
      </c>
      <c r="B17" s="118">
        <f t="shared" si="3"/>
        <v>44440</v>
      </c>
      <c r="C17" s="189"/>
      <c r="D17" s="356">
        <f>VLOOKUP(B17,'Sales Volumes'!$A$1:$H$200,2,FALSE)</f>
        <v>687871.9</v>
      </c>
      <c r="E17" s="356">
        <f t="shared" si="4"/>
        <v>687871.9</v>
      </c>
      <c r="F17" s="190">
        <f t="shared" si="1"/>
        <v>-5.3400000000000003E-2</v>
      </c>
      <c r="G17" s="84">
        <f t="shared" si="0"/>
        <v>-36732</v>
      </c>
      <c r="H17" s="84">
        <f t="shared" si="2"/>
        <v>-1477493.6999999993</v>
      </c>
      <c r="I17" s="185"/>
      <c r="J17" s="258"/>
      <c r="K17" s="258"/>
      <c r="L17" s="258"/>
      <c r="M17" s="258"/>
      <c r="N17" s="258"/>
      <c r="O17" s="258"/>
      <c r="P17" s="258"/>
    </row>
    <row r="18" spans="1:16" x14ac:dyDescent="0.35">
      <c r="A18" s="711">
        <v>7</v>
      </c>
      <c r="B18" s="118">
        <f t="shared" si="3"/>
        <v>44470</v>
      </c>
      <c r="C18" s="189"/>
      <c r="D18" s="356">
        <f>VLOOKUP(B18,'Sales Volumes'!$A$1:$H$200,2,FALSE)</f>
        <v>836296.1</v>
      </c>
      <c r="E18" s="356">
        <f t="shared" si="4"/>
        <v>836296.1</v>
      </c>
      <c r="F18" s="190">
        <f t="shared" si="1"/>
        <v>-5.3400000000000003E-2</v>
      </c>
      <c r="G18" s="84">
        <f t="shared" si="0"/>
        <v>-44658</v>
      </c>
      <c r="H18" s="84">
        <f t="shared" si="2"/>
        <v>-1432835.6999999993</v>
      </c>
      <c r="I18" s="185"/>
      <c r="J18" s="258"/>
      <c r="K18" s="258"/>
      <c r="L18" s="258"/>
      <c r="M18" s="258"/>
      <c r="N18" s="258"/>
      <c r="O18" s="258"/>
      <c r="P18" s="258"/>
    </row>
    <row r="19" spans="1:16" x14ac:dyDescent="0.35">
      <c r="A19" s="711">
        <v>8</v>
      </c>
      <c r="B19" s="118">
        <f t="shared" si="3"/>
        <v>44501</v>
      </c>
      <c r="C19" s="189"/>
      <c r="D19" s="356">
        <f>VLOOKUP(B19,'Sales Volumes'!$A$1:$H$200,2,FALSE)</f>
        <v>2112663.9</v>
      </c>
      <c r="E19" s="356">
        <f t="shared" si="4"/>
        <v>2112663.9</v>
      </c>
      <c r="F19" s="190">
        <f t="shared" si="1"/>
        <v>-5.3400000000000003E-2</v>
      </c>
      <c r="G19" s="84">
        <f t="shared" si="0"/>
        <v>-112816</v>
      </c>
      <c r="H19" s="84">
        <f t="shared" si="2"/>
        <v>-1320019.6999999993</v>
      </c>
      <c r="I19" s="185"/>
      <c r="J19" s="258"/>
      <c r="K19" s="258"/>
      <c r="L19" s="258"/>
      <c r="M19" s="258"/>
      <c r="N19" s="258"/>
      <c r="O19" s="258"/>
      <c r="P19" s="258"/>
    </row>
    <row r="20" spans="1:16" x14ac:dyDescent="0.35">
      <c r="A20" s="711">
        <v>9</v>
      </c>
      <c r="B20" s="118">
        <f t="shared" si="3"/>
        <v>44531</v>
      </c>
      <c r="C20" s="189"/>
      <c r="D20" s="356">
        <f>VLOOKUP(B20,'Sales Volumes'!$A$1:$H$200,2,FALSE)</f>
        <v>3990717.4</v>
      </c>
      <c r="E20" s="356">
        <f t="shared" si="4"/>
        <v>3990717.4</v>
      </c>
      <c r="F20" s="190">
        <f t="shared" si="1"/>
        <v>-5.3400000000000003E-2</v>
      </c>
      <c r="G20" s="84">
        <f t="shared" si="0"/>
        <v>-213104</v>
      </c>
      <c r="H20" s="84">
        <f t="shared" si="2"/>
        <v>-1106915.6999999993</v>
      </c>
      <c r="I20" s="185"/>
      <c r="J20" s="258"/>
      <c r="K20" s="258"/>
      <c r="L20" s="258"/>
      <c r="M20" s="258"/>
      <c r="N20" s="258"/>
    </row>
    <row r="21" spans="1:16" x14ac:dyDescent="0.35">
      <c r="A21" s="711">
        <v>10</v>
      </c>
      <c r="B21" s="118">
        <f t="shared" si="3"/>
        <v>44562</v>
      </c>
      <c r="C21" s="189"/>
      <c r="D21" s="356">
        <f>VLOOKUP(B21,'Sales Volumes'!$A$1:$H$200,2,FALSE)</f>
        <v>5236357</v>
      </c>
      <c r="E21" s="356">
        <f t="shared" si="4"/>
        <v>5236357</v>
      </c>
      <c r="F21" s="190">
        <f t="shared" si="1"/>
        <v>-5.3400000000000003E-2</v>
      </c>
      <c r="G21" s="84">
        <f>ROUND(E21*F21,0)</f>
        <v>-279621</v>
      </c>
      <c r="H21" s="84">
        <f t="shared" si="2"/>
        <v>-827294.69999999925</v>
      </c>
      <c r="I21" s="185"/>
      <c r="J21" s="258"/>
      <c r="K21" s="258"/>
      <c r="L21" s="258"/>
      <c r="M21" s="258"/>
      <c r="N21" s="258"/>
    </row>
    <row r="22" spans="1:16" x14ac:dyDescent="0.35">
      <c r="A22" s="711">
        <v>11</v>
      </c>
      <c r="B22" s="118">
        <f t="shared" si="3"/>
        <v>44593</v>
      </c>
      <c r="C22" s="189"/>
      <c r="D22" s="356">
        <f>VLOOKUP(B22,'Sales Volumes'!$A$1:$H$200,2,FALSE)</f>
        <v>5840316.2000000002</v>
      </c>
      <c r="E22" s="356">
        <f t="shared" si="4"/>
        <v>5840316.2000000002</v>
      </c>
      <c r="F22" s="190">
        <f t="shared" si="1"/>
        <v>-5.3400000000000003E-2</v>
      </c>
      <c r="G22" s="84">
        <f t="shared" si="0"/>
        <v>-311873</v>
      </c>
      <c r="H22" s="84">
        <f t="shared" si="2"/>
        <v>-515421.69999999925</v>
      </c>
      <c r="I22" s="185"/>
      <c r="J22" s="258"/>
      <c r="K22" s="258"/>
      <c r="L22" s="258"/>
      <c r="M22" s="258"/>
      <c r="N22" s="258"/>
    </row>
    <row r="23" spans="1:16" x14ac:dyDescent="0.35">
      <c r="A23" s="711">
        <v>12</v>
      </c>
      <c r="B23" s="118">
        <f t="shared" si="3"/>
        <v>44621</v>
      </c>
      <c r="C23" s="189"/>
      <c r="D23" s="356">
        <f>VLOOKUP(B23,'Sales Volumes'!$A$1:$H$200,2,FALSE)</f>
        <v>4334416.8</v>
      </c>
      <c r="E23" s="356">
        <f t="shared" si="4"/>
        <v>4334416.8</v>
      </c>
      <c r="F23" s="190">
        <f t="shared" si="1"/>
        <v>-5.3400000000000003E-2</v>
      </c>
      <c r="G23" s="84">
        <f t="shared" si="0"/>
        <v>-231458</v>
      </c>
      <c r="H23" s="84">
        <f t="shared" si="2"/>
        <v>-283963.69999999925</v>
      </c>
      <c r="I23" s="185"/>
      <c r="J23" s="258"/>
      <c r="K23" s="258"/>
      <c r="L23" s="258"/>
      <c r="M23" s="258"/>
      <c r="N23" s="258"/>
    </row>
    <row r="24" spans="1:16" x14ac:dyDescent="0.35">
      <c r="A24" s="711">
        <v>13</v>
      </c>
      <c r="B24" s="118">
        <f t="shared" si="3"/>
        <v>44652</v>
      </c>
      <c r="C24" s="189"/>
      <c r="D24" s="356">
        <f>VLOOKUP(B24,'Sales Volumes'!$A$1:$H$200,2,FALSE)</f>
        <v>2797541.7</v>
      </c>
      <c r="E24" s="356">
        <f t="shared" si="4"/>
        <v>2797541.7</v>
      </c>
      <c r="F24" s="190">
        <f t="shared" si="1"/>
        <v>-5.3400000000000003E-2</v>
      </c>
      <c r="G24" s="84">
        <f t="shared" si="0"/>
        <v>-149389</v>
      </c>
      <c r="H24" s="84">
        <f t="shared" si="2"/>
        <v>-134574.69999999925</v>
      </c>
      <c r="I24" s="185"/>
      <c r="J24" s="258"/>
      <c r="K24" s="258"/>
      <c r="L24" s="258"/>
      <c r="M24" s="258"/>
      <c r="N24" s="258"/>
    </row>
    <row r="25" spans="1:16" x14ac:dyDescent="0.35">
      <c r="A25" s="711">
        <v>14</v>
      </c>
      <c r="B25" s="118">
        <f t="shared" si="3"/>
        <v>44682</v>
      </c>
      <c r="C25" s="189" t="str">
        <f>$C$13</f>
        <v>Prorated</v>
      </c>
      <c r="D25" s="356">
        <f>VLOOKUP(B25,'Sales Volumes'!$A$1:$H$1000,2,FALSE)</f>
        <v>1353023.2</v>
      </c>
      <c r="E25" s="356">
        <f>VLOOKUP(B25,'Sales Volumes'!$A$1:$H$1000,3,FALSE)</f>
        <v>791440.7</v>
      </c>
      <c r="F25" s="190">
        <f t="shared" si="1"/>
        <v>-5.3400000000000003E-2</v>
      </c>
      <c r="G25" s="147">
        <f t="shared" si="0"/>
        <v>-42263</v>
      </c>
      <c r="H25" s="84">
        <f t="shared" si="2"/>
        <v>-92311.699999999255</v>
      </c>
      <c r="I25" s="185"/>
      <c r="J25" s="258"/>
      <c r="K25" s="258"/>
      <c r="L25" s="258"/>
      <c r="M25" s="258"/>
      <c r="N25" s="258"/>
    </row>
    <row r="26" spans="1:16" x14ac:dyDescent="0.35">
      <c r="A26" s="711"/>
      <c r="B26" s="118"/>
      <c r="C26" s="189"/>
      <c r="E26" s="102"/>
      <c r="F26" s="102"/>
      <c r="H26" s="188"/>
      <c r="I26" s="185"/>
      <c r="J26" s="258"/>
      <c r="K26" s="258"/>
      <c r="L26" s="258"/>
      <c r="M26" s="258"/>
      <c r="N26" s="258"/>
    </row>
    <row r="27" spans="1:16" ht="20.25" customHeight="1" x14ac:dyDescent="0.35">
      <c r="A27" s="711">
        <v>15</v>
      </c>
      <c r="E27" s="102"/>
      <c r="F27" s="191" t="s">
        <v>548</v>
      </c>
      <c r="G27" s="84">
        <f>SUM(G13:G25)</f>
        <v>-1575327</v>
      </c>
      <c r="H27" s="188"/>
      <c r="I27" s="185"/>
      <c r="J27" s="258"/>
      <c r="K27" s="258"/>
      <c r="L27" s="258"/>
      <c r="M27" s="258"/>
      <c r="N27" s="258"/>
    </row>
    <row r="28" spans="1:16" ht="20.25" customHeight="1" x14ac:dyDescent="0.35">
      <c r="E28" s="102"/>
      <c r="F28" s="102"/>
      <c r="G28" s="84"/>
      <c r="I28" s="185"/>
      <c r="J28" s="258"/>
      <c r="K28" s="258"/>
      <c r="L28" s="258"/>
      <c r="M28" s="258"/>
      <c r="N28" s="258"/>
    </row>
    <row r="29" spans="1:16" x14ac:dyDescent="0.35">
      <c r="A29" s="711">
        <v>16</v>
      </c>
      <c r="F29" s="54" t="s">
        <v>303</v>
      </c>
      <c r="G29" s="84">
        <f>ROUND(H25,0)</f>
        <v>-92312</v>
      </c>
      <c r="J29" s="258"/>
      <c r="K29" s="258"/>
      <c r="L29" s="258"/>
      <c r="M29" s="258"/>
      <c r="N29" s="258"/>
    </row>
    <row r="30" spans="1:16" x14ac:dyDescent="0.35">
      <c r="J30" s="258"/>
      <c r="K30" s="258"/>
      <c r="L30" s="258"/>
      <c r="M30" s="258"/>
      <c r="N30" s="258"/>
    </row>
    <row r="31" spans="1:16" x14ac:dyDescent="0.35">
      <c r="A31" s="711"/>
      <c r="J31" s="258"/>
      <c r="K31" s="258"/>
      <c r="L31" s="258"/>
      <c r="M31" s="258"/>
      <c r="N31" s="258"/>
    </row>
    <row r="32" spans="1:16" x14ac:dyDescent="0.35">
      <c r="J32" s="258"/>
      <c r="K32" s="258"/>
      <c r="L32" s="258"/>
      <c r="M32" s="258"/>
      <c r="N32" s="258"/>
    </row>
    <row r="33" spans="2:14" x14ac:dyDescent="0.35">
      <c r="J33" s="258"/>
      <c r="K33" s="258"/>
      <c r="L33" s="258"/>
      <c r="M33" s="258"/>
      <c r="N33" s="258"/>
    </row>
    <row r="34" spans="2:14" x14ac:dyDescent="0.35">
      <c r="D34" s="54"/>
      <c r="E34" s="13"/>
      <c r="J34" s="258"/>
      <c r="K34" s="258"/>
      <c r="L34" s="258"/>
      <c r="M34" s="258"/>
      <c r="N34" s="258"/>
    </row>
    <row r="35" spans="2:14" x14ac:dyDescent="0.35">
      <c r="B35" s="54"/>
      <c r="C35" s="54"/>
      <c r="D35" s="54"/>
      <c r="E35" s="193"/>
    </row>
    <row r="36" spans="2:14" x14ac:dyDescent="0.35">
      <c r="B36" s="54"/>
      <c r="C36" s="54"/>
      <c r="D36" s="54"/>
      <c r="E36" s="13"/>
    </row>
    <row r="37" spans="2:14" x14ac:dyDescent="0.35">
      <c r="B37" s="54"/>
      <c r="C37" s="54"/>
      <c r="D37" s="194"/>
      <c r="E37" s="13"/>
      <c r="H37" s="16"/>
      <c r="I37" s="16"/>
      <c r="J37" s="16"/>
      <c r="K37" s="16"/>
      <c r="L37" s="16"/>
      <c r="M37" s="16"/>
    </row>
    <row r="38" spans="2:14" x14ac:dyDescent="0.35">
      <c r="B38" s="194"/>
      <c r="C38" s="194"/>
    </row>
    <row r="39" spans="2:14" x14ac:dyDescent="0.35">
      <c r="D39" s="13"/>
    </row>
    <row r="40" spans="2:14" x14ac:dyDescent="0.3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customProperties>
    <customPr name="_pios_id" r:id="rId2"/>
  </customProperties>
  <ignoredErrors>
    <ignoredError sqref="B9:H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4375" defaultRowHeight="15.5" x14ac:dyDescent="0.35"/>
  <cols>
    <col min="1" max="1" width="8.84375" style="3"/>
    <col min="2" max="2" width="11.07421875" style="3" customWidth="1"/>
    <col min="3" max="4" width="13.53515625" style="3" customWidth="1"/>
    <col min="5" max="5" width="13.84375" style="3" customWidth="1"/>
    <col min="6" max="6" width="11.84375" style="3" customWidth="1"/>
    <col min="7" max="7" width="15.765625" style="3" bestFit="1" customWidth="1"/>
    <col min="8" max="8" width="14.765625" style="3" bestFit="1" customWidth="1"/>
    <col min="9" max="9" width="13.53515625" style="3" bestFit="1" customWidth="1"/>
    <col min="10" max="10" width="13.69140625" style="3" customWidth="1"/>
    <col min="11" max="11" width="16.07421875" style="3" customWidth="1"/>
    <col min="12" max="12" width="14.3046875" style="3" customWidth="1"/>
    <col min="13" max="16384" width="8.84375" style="3"/>
  </cols>
  <sheetData>
    <row r="6" spans="1:13" ht="17.5" x14ac:dyDescent="0.35">
      <c r="B6" s="769" t="s">
        <v>5</v>
      </c>
      <c r="C6" s="769"/>
      <c r="D6" s="769"/>
      <c r="E6" s="769"/>
      <c r="F6" s="769"/>
      <c r="G6" s="769"/>
      <c r="H6" s="769"/>
    </row>
    <row r="7" spans="1:13" ht="18" x14ac:dyDescent="0.4">
      <c r="B7" s="756" t="s">
        <v>312</v>
      </c>
      <c r="C7" s="756"/>
      <c r="D7" s="756"/>
      <c r="E7" s="756"/>
      <c r="F7" s="756"/>
      <c r="G7" s="756"/>
      <c r="H7" s="756"/>
    </row>
    <row r="8" spans="1:13" ht="18" x14ac:dyDescent="0.4">
      <c r="B8" s="756" t="str">
        <f>CONCATENATE("For Service Rendered On and After ",'Input Data'!$D$4)</f>
        <v>For Service Rendered On and After August 1, 2022</v>
      </c>
      <c r="C8" s="756"/>
      <c r="D8" s="756"/>
      <c r="E8" s="756"/>
      <c r="F8" s="756"/>
      <c r="G8" s="756"/>
      <c r="H8" s="756"/>
    </row>
    <row r="9" spans="1:13" x14ac:dyDescent="0.35">
      <c r="A9" s="157"/>
      <c r="B9" s="195"/>
      <c r="C9" s="715"/>
      <c r="D9" s="715"/>
      <c r="E9" s="715"/>
      <c r="F9" s="715"/>
      <c r="G9" s="715"/>
      <c r="H9" s="715"/>
    </row>
    <row r="10" spans="1:13" x14ac:dyDescent="0.35">
      <c r="A10" s="157"/>
      <c r="B10" s="195"/>
      <c r="C10" s="715"/>
      <c r="D10" s="715"/>
      <c r="E10" s="715"/>
      <c r="F10" s="715"/>
      <c r="G10" s="715"/>
      <c r="H10" s="715"/>
    </row>
    <row r="11" spans="1:13" x14ac:dyDescent="0.35">
      <c r="A11" s="157"/>
      <c r="B11" s="195"/>
      <c r="C11" s="715"/>
      <c r="D11" s="715"/>
      <c r="E11" s="715"/>
      <c r="F11" s="715"/>
      <c r="G11" s="715"/>
      <c r="H11" s="715"/>
    </row>
    <row r="12" spans="1:13" x14ac:dyDescent="0.35">
      <c r="A12" s="157"/>
      <c r="B12" s="195"/>
      <c r="C12" s="715"/>
      <c r="D12" s="715"/>
      <c r="E12" s="715"/>
      <c r="F12" s="715"/>
      <c r="G12" s="715"/>
      <c r="H12" s="715"/>
    </row>
    <row r="13" spans="1:13" x14ac:dyDescent="0.35">
      <c r="A13" s="16" t="s">
        <v>116</v>
      </c>
      <c r="B13" s="711" t="str">
        <f>VLOOKUP(B20,'Case Database'!$A$2:$F$200,3,FALSE)</f>
        <v>2021-00458</v>
      </c>
      <c r="C13" s="715"/>
      <c r="D13" s="715"/>
      <c r="E13" s="715"/>
      <c r="F13" s="715"/>
      <c r="G13" s="715"/>
      <c r="H13" s="715"/>
    </row>
    <row r="14" spans="1:13" x14ac:dyDescent="0.35">
      <c r="J14" s="258"/>
      <c r="K14" s="258"/>
      <c r="L14" s="258"/>
      <c r="M14" s="258"/>
    </row>
    <row r="15" spans="1:13" ht="46.5" x14ac:dyDescent="0.35">
      <c r="A15" s="184" t="s">
        <v>247</v>
      </c>
      <c r="B15" s="184" t="s">
        <v>348</v>
      </c>
      <c r="C15" s="184" t="s">
        <v>310</v>
      </c>
      <c r="D15" s="714" t="s">
        <v>369</v>
      </c>
      <c r="E15" s="184" t="s">
        <v>299</v>
      </c>
      <c r="F15" s="184" t="s">
        <v>300</v>
      </c>
      <c r="G15" s="184" t="s">
        <v>353</v>
      </c>
      <c r="H15" s="184" t="s">
        <v>271</v>
      </c>
      <c r="J15" s="258"/>
      <c r="K15" s="258"/>
      <c r="L15" s="258"/>
      <c r="M15" s="258"/>
    </row>
    <row r="16" spans="1:13" x14ac:dyDescent="0.35">
      <c r="A16" s="711"/>
      <c r="B16" s="189" t="s">
        <v>60</v>
      </c>
      <c r="C16" s="189" t="s">
        <v>61</v>
      </c>
      <c r="D16" s="189" t="s">
        <v>62</v>
      </c>
      <c r="E16" s="189" t="s">
        <v>63</v>
      </c>
      <c r="F16" s="196" t="s">
        <v>64</v>
      </c>
      <c r="G16" s="189" t="s">
        <v>490</v>
      </c>
      <c r="H16" s="187" t="s">
        <v>328</v>
      </c>
      <c r="J16" s="258"/>
      <c r="K16" s="258"/>
      <c r="L16" s="258"/>
      <c r="M16" s="258"/>
    </row>
    <row r="17" spans="1:13" x14ac:dyDescent="0.35">
      <c r="A17" s="711"/>
      <c r="B17" s="118"/>
      <c r="C17" s="118"/>
      <c r="D17" s="118"/>
      <c r="E17" s="197"/>
      <c r="J17" s="258"/>
      <c r="K17" s="258"/>
      <c r="L17" s="258"/>
      <c r="M17" s="258"/>
    </row>
    <row r="18" spans="1:13" x14ac:dyDescent="0.35">
      <c r="A18" s="711">
        <v>1</v>
      </c>
      <c r="E18" s="197"/>
      <c r="G18" s="198" t="s">
        <v>270</v>
      </c>
      <c r="H18" s="159">
        <f>'Input Data'!D143</f>
        <v>6871</v>
      </c>
      <c r="J18" s="258"/>
      <c r="K18" s="258"/>
      <c r="L18" s="258"/>
      <c r="M18" s="258"/>
    </row>
    <row r="19" spans="1:13" x14ac:dyDescent="0.35">
      <c r="A19" s="711"/>
      <c r="E19" s="197"/>
      <c r="G19" s="118"/>
      <c r="H19" s="188"/>
      <c r="J19" s="258"/>
      <c r="K19" s="258"/>
      <c r="L19" s="258"/>
      <c r="M19" s="258"/>
    </row>
    <row r="20" spans="1:13" x14ac:dyDescent="0.35">
      <c r="A20" s="711">
        <v>2</v>
      </c>
      <c r="B20" s="146">
        <f>'Input Data'!C7</f>
        <v>44593</v>
      </c>
      <c r="C20" s="189" t="s">
        <v>364</v>
      </c>
      <c r="D20" s="412">
        <f>VLOOKUP($B20,'Sales Volumes'!$A$1:$H$200,2,FALSE)</f>
        <v>5840316.2000000002</v>
      </c>
      <c r="E20" s="412">
        <f>VLOOKUP($B20,'Sales Volumes'!$A$1:$H$200,4,FALSE)</f>
        <v>2633655.2000000002</v>
      </c>
      <c r="F20" s="158">
        <f>VLOOKUP(B13,'Case Database'!C3:M200,10)</f>
        <v>5.9999999999999995E-4</v>
      </c>
      <c r="G20" s="156">
        <f>ROUND(E20*F20,0)</f>
        <v>1580</v>
      </c>
      <c r="H20" s="159">
        <f>+H18-G20</f>
        <v>5291</v>
      </c>
      <c r="J20" s="258"/>
      <c r="K20" s="258"/>
      <c r="L20" s="258"/>
      <c r="M20" s="258"/>
    </row>
    <row r="21" spans="1:13" x14ac:dyDescent="0.35">
      <c r="A21" s="711">
        <v>3</v>
      </c>
      <c r="B21" s="146">
        <f>EDATE(B20,1)</f>
        <v>44621</v>
      </c>
      <c r="C21" s="189"/>
      <c r="D21" s="412">
        <f>VLOOKUP($B21,'Sales Volumes'!$A$1:$H$200,2,FALSE)</f>
        <v>4334416.8</v>
      </c>
      <c r="E21" s="412">
        <f>D21</f>
        <v>4334416.8</v>
      </c>
      <c r="F21" s="158">
        <f>F20</f>
        <v>5.9999999999999995E-4</v>
      </c>
      <c r="G21" s="156">
        <f>ROUND(E21*F21,0)</f>
        <v>2601</v>
      </c>
      <c r="H21" s="159">
        <f>+H20-G21</f>
        <v>2690</v>
      </c>
      <c r="J21" s="258"/>
      <c r="K21" s="258"/>
      <c r="L21" s="258"/>
      <c r="M21" s="258"/>
    </row>
    <row r="22" spans="1:13" x14ac:dyDescent="0.35">
      <c r="A22" s="711">
        <v>4</v>
      </c>
      <c r="B22" s="146">
        <f>EDATE(B21,1)</f>
        <v>44652</v>
      </c>
      <c r="C22" s="189"/>
      <c r="D22" s="412">
        <f>VLOOKUP($B22,'Sales Volumes'!$A$1:$H$200,2,FALSE)</f>
        <v>2797541.7</v>
      </c>
      <c r="E22" s="412">
        <f>D22</f>
        <v>2797541.7</v>
      </c>
      <c r="F22" s="158">
        <f>F20</f>
        <v>5.9999999999999995E-4</v>
      </c>
      <c r="G22" s="156">
        <f>ROUND(E22*F22,0)</f>
        <v>1679</v>
      </c>
      <c r="H22" s="159">
        <f>+H21-G22</f>
        <v>1011</v>
      </c>
      <c r="J22" s="258"/>
      <c r="K22" s="258"/>
      <c r="L22" s="258"/>
      <c r="M22" s="258"/>
    </row>
    <row r="23" spans="1:13" x14ac:dyDescent="0.35">
      <c r="A23" s="711">
        <v>5</v>
      </c>
      <c r="B23" s="146">
        <f>EDATE(B22,1)</f>
        <v>44682</v>
      </c>
      <c r="C23" s="189" t="s">
        <v>364</v>
      </c>
      <c r="D23" s="412">
        <f>VLOOKUP($B23,'Sales Volumes'!$A$1:$H$1000,2,FALSE)</f>
        <v>1353023.2</v>
      </c>
      <c r="E23" s="412">
        <f>VLOOKUP($B23,'Sales Volumes'!$A$1:$H$1000,3,FALSE)</f>
        <v>791440.7</v>
      </c>
      <c r="F23" s="158">
        <f>F20</f>
        <v>5.9999999999999995E-4</v>
      </c>
      <c r="G23" s="156">
        <f>ROUND(E23*F23,0)</f>
        <v>475</v>
      </c>
      <c r="H23" s="159">
        <f>+H22-G23</f>
        <v>536</v>
      </c>
      <c r="J23" s="258"/>
      <c r="K23" s="258"/>
      <c r="L23" s="258"/>
      <c r="M23" s="258"/>
    </row>
    <row r="24" spans="1:13" x14ac:dyDescent="0.35">
      <c r="A24" s="711"/>
      <c r="E24" s="188"/>
      <c r="F24" s="195"/>
      <c r="H24" s="195"/>
      <c r="J24" s="258"/>
      <c r="K24" s="258"/>
      <c r="L24" s="258"/>
      <c r="M24" s="258"/>
    </row>
    <row r="25" spans="1:13" x14ac:dyDescent="0.35">
      <c r="A25" s="711">
        <v>6</v>
      </c>
      <c r="E25" s="197"/>
      <c r="F25" s="191" t="s">
        <v>548</v>
      </c>
      <c r="G25" s="159">
        <f>SUM(G20:G23)</f>
        <v>6335</v>
      </c>
      <c r="H25" s="188"/>
      <c r="J25" s="258"/>
      <c r="K25" s="258"/>
      <c r="L25" s="258"/>
      <c r="M25" s="258"/>
    </row>
    <row r="26" spans="1:13" x14ac:dyDescent="0.35">
      <c r="A26" s="711"/>
      <c r="E26" s="197"/>
      <c r="F26" s="197"/>
      <c r="J26" s="258"/>
      <c r="K26" s="258"/>
      <c r="L26" s="258"/>
      <c r="M26" s="258"/>
    </row>
    <row r="27" spans="1:13" ht="18" customHeight="1" x14ac:dyDescent="0.5">
      <c r="A27" s="711">
        <v>7</v>
      </c>
      <c r="F27" s="54" t="s">
        <v>303</v>
      </c>
      <c r="G27" s="159">
        <f>ROUND(H23,0)</f>
        <v>536</v>
      </c>
      <c r="H27" s="75"/>
      <c r="J27" s="258"/>
      <c r="K27" s="258"/>
      <c r="L27" s="258"/>
      <c r="M27" s="258"/>
    </row>
    <row r="28" spans="1:13" x14ac:dyDescent="0.35">
      <c r="J28" s="258"/>
      <c r="K28" s="258"/>
      <c r="L28" s="258"/>
      <c r="M28" s="258"/>
    </row>
    <row r="29" spans="1:13" x14ac:dyDescent="0.35">
      <c r="J29" s="258"/>
      <c r="K29" s="258"/>
      <c r="L29" s="258"/>
      <c r="M29" s="258"/>
    </row>
    <row r="30" spans="1:13" x14ac:dyDescent="0.35">
      <c r="J30" s="258"/>
      <c r="K30" s="258"/>
      <c r="L30" s="258"/>
      <c r="M30" s="258"/>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heetViews>
  <sheetFormatPr defaultColWidth="8.765625" defaultRowHeight="15.5" x14ac:dyDescent="0.35"/>
  <cols>
    <col min="1" max="1" width="1.07421875" style="6" customWidth="1"/>
    <col min="2" max="9" width="8.765625" style="6"/>
    <col min="10" max="10" width="1.07421875" style="6" customWidth="1"/>
    <col min="11" max="16384" width="8.765625" style="6"/>
  </cols>
  <sheetData>
    <row r="1" spans="2:14" x14ac:dyDescent="0.35">
      <c r="B1" s="787" t="s">
        <v>5</v>
      </c>
      <c r="C1" s="787"/>
      <c r="D1" s="787"/>
      <c r="E1" s="787"/>
      <c r="F1" s="787"/>
      <c r="G1" s="787"/>
      <c r="H1" s="787"/>
      <c r="I1" s="787"/>
      <c r="K1" s="578"/>
      <c r="L1" s="578"/>
      <c r="M1" s="578"/>
      <c r="N1" s="578"/>
    </row>
    <row r="2" spans="2:14" x14ac:dyDescent="0.35">
      <c r="B2" s="574"/>
      <c r="C2" s="574"/>
      <c r="D2" s="574"/>
      <c r="E2" s="574"/>
      <c r="F2" s="574"/>
      <c r="G2" s="574"/>
      <c r="H2" s="574"/>
      <c r="I2" s="574"/>
    </row>
    <row r="3" spans="2:14" x14ac:dyDescent="0.35">
      <c r="B3" s="787" t="str">
        <f>'Exhibit F Write-Up'!B3:N3</f>
        <v>Gas Supply Clause: 2022-00180</v>
      </c>
      <c r="C3" s="787"/>
      <c r="D3" s="787"/>
      <c r="E3" s="787"/>
      <c r="F3" s="787"/>
      <c r="G3" s="787"/>
      <c r="H3" s="787"/>
      <c r="I3" s="787"/>
    </row>
    <row r="5" spans="2:14" ht="30.65" customHeight="1" x14ac:dyDescent="0.35">
      <c r="B5" s="776" t="s">
        <v>670</v>
      </c>
      <c r="C5" s="776"/>
      <c r="D5" s="776"/>
      <c r="E5" s="776"/>
      <c r="F5" s="776"/>
      <c r="G5" s="776"/>
      <c r="H5" s="776"/>
      <c r="I5" s="776"/>
    </row>
    <row r="7" spans="2:14" x14ac:dyDescent="0.35">
      <c r="B7" s="810" t="s">
        <v>671</v>
      </c>
      <c r="C7" s="810"/>
      <c r="D7" s="810"/>
      <c r="E7" s="810"/>
      <c r="F7" s="810"/>
      <c r="G7" s="810"/>
      <c r="H7" s="810"/>
      <c r="I7" s="810"/>
    </row>
    <row r="9" spans="2:14" x14ac:dyDescent="0.35">
      <c r="C9" s="6" t="s">
        <v>672</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view="pageBreakPreview" zoomScale="50" zoomScaleNormal="70" zoomScaleSheetLayoutView="50" workbookViewId="0"/>
  </sheetViews>
  <sheetFormatPr defaultColWidth="8.84375" defaultRowHeight="18" x14ac:dyDescent="0.4"/>
  <cols>
    <col min="1" max="1" width="10.84375" style="278" customWidth="1"/>
    <col min="2" max="2" width="17.765625" style="278" customWidth="1"/>
    <col min="3" max="3" width="10.765625" style="278" customWidth="1"/>
    <col min="4" max="4" width="4.765625" style="278" customWidth="1"/>
    <col min="5" max="5" width="9.07421875" style="278" customWidth="1"/>
    <col min="6" max="6" width="5" style="278" customWidth="1"/>
    <col min="7" max="7" width="9.07421875" style="278" bestFit="1" customWidth="1"/>
    <col min="8" max="8" width="8.84375" style="278"/>
    <col min="9" max="9" width="17.765625" style="278" customWidth="1"/>
    <col min="10" max="10" width="10.765625" style="278" customWidth="1"/>
    <col min="11" max="11" width="4.69140625" style="278" customWidth="1"/>
    <col min="12" max="12" width="9.07421875" style="278" customWidth="1"/>
    <col min="13" max="13" width="4.765625" style="278" customWidth="1"/>
    <col min="14" max="14" width="9.07421875" style="278" bestFit="1" customWidth="1"/>
    <col min="15" max="15" width="8.84375" style="278"/>
    <col min="16" max="16" width="17.765625" style="278" customWidth="1"/>
    <col min="17" max="17" width="10.765625" style="278" customWidth="1"/>
    <col min="18" max="18" width="4.69140625" style="278" customWidth="1"/>
    <col min="19" max="19" width="10" style="278" customWidth="1"/>
    <col min="20" max="20" width="4.765625" style="278" customWidth="1"/>
    <col min="21" max="21" width="9.07421875" style="278" bestFit="1" customWidth="1"/>
    <col min="22" max="16384" width="8.84375" style="278"/>
  </cols>
  <sheetData>
    <row r="1" spans="2:23 16383:16383" x14ac:dyDescent="0.4">
      <c r="B1" s="182" t="s">
        <v>500</v>
      </c>
      <c r="D1" s="176"/>
      <c r="E1" s="176"/>
      <c r="F1" s="176"/>
      <c r="G1" s="176"/>
      <c r="H1" s="176"/>
      <c r="I1" s="176"/>
      <c r="J1" s="176"/>
      <c r="K1" s="176"/>
      <c r="L1" s="176"/>
      <c r="M1" s="176"/>
      <c r="N1" s="176"/>
      <c r="O1" s="176"/>
    </row>
    <row r="2" spans="2:23 16383:16383" x14ac:dyDescent="0.4">
      <c r="B2" s="176"/>
      <c r="C2" s="176"/>
      <c r="D2" s="176"/>
      <c r="E2" s="176"/>
      <c r="F2" s="176"/>
      <c r="G2" s="176"/>
      <c r="H2" s="279"/>
      <c r="I2" s="279"/>
      <c r="J2" s="176"/>
      <c r="K2"/>
      <c r="L2"/>
      <c r="M2"/>
      <c r="N2"/>
      <c r="O2" s="176"/>
      <c r="XFC2" s="746"/>
    </row>
    <row r="3" spans="2:23 16383:16383" x14ac:dyDescent="0.4">
      <c r="B3" s="176" t="s">
        <v>397</v>
      </c>
      <c r="C3" s="176"/>
      <c r="D3" s="176"/>
      <c r="E3" s="176"/>
      <c r="F3" s="176"/>
      <c r="G3" s="176"/>
      <c r="H3" s="176"/>
      <c r="I3" s="176"/>
      <c r="J3" s="176"/>
      <c r="K3" s="176"/>
      <c r="L3" s="176"/>
      <c r="M3" s="176"/>
      <c r="N3" s="176"/>
      <c r="O3" s="176"/>
      <c r="Q3" s="338"/>
    </row>
    <row r="4" spans="2:23 16383:16383" x14ac:dyDescent="0.4">
      <c r="B4" s="176"/>
      <c r="C4" s="176"/>
      <c r="D4" s="176"/>
      <c r="E4" s="176"/>
      <c r="F4" s="176"/>
      <c r="G4" s="176"/>
      <c r="H4" s="176"/>
      <c r="I4" s="176"/>
      <c r="J4" s="176"/>
      <c r="K4" s="176"/>
      <c r="L4" s="176"/>
      <c r="M4" s="176"/>
      <c r="N4" s="176"/>
      <c r="O4" s="176"/>
      <c r="P4" s="176"/>
      <c r="Q4" s="176"/>
      <c r="R4" s="176"/>
      <c r="S4" s="176"/>
      <c r="T4" s="176"/>
      <c r="U4" s="176"/>
    </row>
    <row r="5" spans="2:23 16383:16383" x14ac:dyDescent="0.4">
      <c r="B5" s="176"/>
      <c r="C5" s="292">
        <f>EOMONTH(J5,-3)</f>
        <v>44712</v>
      </c>
      <c r="D5" s="176"/>
      <c r="E5" s="176"/>
      <c r="F5" s="176"/>
      <c r="G5" s="176"/>
      <c r="H5" s="176"/>
      <c r="I5" s="176"/>
      <c r="J5" s="292">
        <f>'Input Data'!C4</f>
        <v>44774</v>
      </c>
      <c r="K5" s="176" t="s">
        <v>398</v>
      </c>
      <c r="L5" s="176"/>
      <c r="M5" s="176"/>
      <c r="N5" s="176"/>
      <c r="O5" s="176"/>
      <c r="P5" s="176"/>
      <c r="Q5" s="292">
        <f>EOMONTH(J5,-12)</f>
        <v>44439</v>
      </c>
      <c r="R5" s="176" t="s">
        <v>399</v>
      </c>
      <c r="S5" s="176"/>
      <c r="T5" s="176"/>
      <c r="U5" s="176"/>
    </row>
    <row r="6" spans="2:23 16383:16383" ht="6.75" customHeight="1" x14ac:dyDescent="0.4">
      <c r="B6" s="176"/>
      <c r="C6" s="176"/>
      <c r="D6" s="176"/>
      <c r="E6" s="176"/>
      <c r="F6" s="176"/>
      <c r="G6" s="176"/>
      <c r="H6" s="176"/>
      <c r="I6" s="176"/>
      <c r="J6" s="176"/>
      <c r="K6" s="176"/>
      <c r="L6" s="176"/>
      <c r="M6" s="176"/>
      <c r="N6" s="176"/>
      <c r="O6" s="176"/>
      <c r="P6" s="176"/>
      <c r="Q6" s="176"/>
      <c r="R6" s="176"/>
      <c r="S6" s="176"/>
      <c r="T6" s="176"/>
      <c r="U6" s="176"/>
    </row>
    <row r="7" spans="2:23 16383:16383" x14ac:dyDescent="0.4">
      <c r="B7" s="176"/>
      <c r="C7" s="176" t="s">
        <v>400</v>
      </c>
      <c r="D7" s="176"/>
      <c r="E7" s="176"/>
      <c r="F7" s="176"/>
      <c r="G7" s="733">
        <f>0.65*365/12</f>
        <v>19.770833333333332</v>
      </c>
      <c r="H7" s="176"/>
      <c r="I7" s="176"/>
      <c r="J7" s="176" t="s">
        <v>400</v>
      </c>
      <c r="K7" s="176"/>
      <c r="L7" s="176"/>
      <c r="M7" s="176"/>
      <c r="N7" s="733">
        <f>0.65*365/12</f>
        <v>19.770833333333332</v>
      </c>
      <c r="O7" s="176"/>
      <c r="P7" s="176"/>
      <c r="Q7" s="176" t="s">
        <v>400</v>
      </c>
      <c r="R7" s="176"/>
      <c r="S7" s="176"/>
      <c r="T7" s="176"/>
      <c r="U7" s="733">
        <f>0.65*365/12</f>
        <v>19.770833333333332</v>
      </c>
    </row>
    <row r="8" spans="2:23 16383:16383" x14ac:dyDescent="0.4">
      <c r="B8" s="176"/>
      <c r="C8" s="176"/>
      <c r="D8" s="176"/>
      <c r="E8" s="176"/>
      <c r="F8" s="176"/>
      <c r="G8" s="176"/>
      <c r="H8" s="176"/>
      <c r="I8" s="176"/>
      <c r="J8" s="176"/>
      <c r="K8" s="176"/>
      <c r="L8" s="176"/>
      <c r="M8" s="176"/>
      <c r="N8" s="176"/>
      <c r="O8" s="176"/>
      <c r="P8" s="176"/>
      <c r="Q8" s="176"/>
      <c r="R8" s="176"/>
      <c r="S8" s="176"/>
      <c r="T8" s="176"/>
      <c r="U8" s="176"/>
    </row>
    <row r="9" spans="2:23 16383:16383" x14ac:dyDescent="0.4">
      <c r="B9" s="176" t="s">
        <v>401</v>
      </c>
      <c r="C9" s="461">
        <v>60</v>
      </c>
      <c r="D9" s="503" t="s">
        <v>402</v>
      </c>
      <c r="E9" s="734">
        <v>0.51809000000000005</v>
      </c>
      <c r="F9" s="567" t="s">
        <v>403</v>
      </c>
      <c r="G9" s="282">
        <f>ROUND(C9*E9,2)</f>
        <v>31.09</v>
      </c>
      <c r="H9" s="176"/>
      <c r="I9" s="176" t="s">
        <v>401</v>
      </c>
      <c r="J9" s="176">
        <f>$C$9</f>
        <v>60</v>
      </c>
      <c r="K9" s="567" t="s">
        <v>402</v>
      </c>
      <c r="L9" s="734">
        <v>0.51809000000000005</v>
      </c>
      <c r="M9" s="567" t="s">
        <v>403</v>
      </c>
      <c r="N9" s="282">
        <f>ROUND(J9*L9,2)</f>
        <v>31.09</v>
      </c>
      <c r="O9" s="176"/>
      <c r="P9" s="176" t="s">
        <v>401</v>
      </c>
      <c r="Q9" s="176">
        <f>$C$9</f>
        <v>60</v>
      </c>
      <c r="R9" s="567" t="s">
        <v>402</v>
      </c>
      <c r="S9" s="734">
        <v>0.50883</v>
      </c>
      <c r="T9" s="567" t="s">
        <v>403</v>
      </c>
      <c r="U9" s="282">
        <f>ROUND(Q9*S9,2)</f>
        <v>30.53</v>
      </c>
    </row>
    <row r="10" spans="2:23 16383:16383" x14ac:dyDescent="0.4">
      <c r="B10" s="176"/>
      <c r="C10" s="176"/>
      <c r="D10" s="176"/>
      <c r="E10" s="283"/>
      <c r="F10" s="176"/>
      <c r="G10" s="282"/>
      <c r="H10" s="176"/>
      <c r="I10" s="176"/>
      <c r="J10" s="176"/>
      <c r="K10" s="176"/>
      <c r="L10" s="283"/>
      <c r="M10" s="176"/>
      <c r="N10" s="282"/>
      <c r="O10" s="176"/>
      <c r="P10" s="176"/>
      <c r="Q10" s="176"/>
      <c r="R10" s="176"/>
      <c r="S10" s="283"/>
      <c r="T10" s="176"/>
      <c r="U10" s="282"/>
    </row>
    <row r="11" spans="2:23 16383:16383" x14ac:dyDescent="0.4">
      <c r="B11" s="176" t="s">
        <v>213</v>
      </c>
      <c r="C11" s="176">
        <f>$C$9</f>
        <v>60</v>
      </c>
      <c r="D11" s="503" t="s">
        <v>402</v>
      </c>
      <c r="E11" s="734">
        <v>0.73192999999999997</v>
      </c>
      <c r="F11" s="567" t="s">
        <v>403</v>
      </c>
      <c r="G11" s="282">
        <f>ROUND(C11*E11,2)</f>
        <v>43.92</v>
      </c>
      <c r="H11" s="176"/>
      <c r="I11" s="176" t="s">
        <v>213</v>
      </c>
      <c r="J11" s="176">
        <f>$C$9</f>
        <v>60</v>
      </c>
      <c r="K11" s="567" t="s">
        <v>402</v>
      </c>
      <c r="L11" s="293">
        <f>'Summary Sheet'!K59</f>
        <v>0.89017000000000002</v>
      </c>
      <c r="M11" s="567" t="s">
        <v>403</v>
      </c>
      <c r="N11" s="282">
        <f>ROUND(J11*L11,2)</f>
        <v>53.41</v>
      </c>
      <c r="O11" s="176"/>
      <c r="P11" s="176" t="s">
        <v>213</v>
      </c>
      <c r="Q11" s="176">
        <f>$C$9</f>
        <v>60</v>
      </c>
      <c r="R11" s="567" t="s">
        <v>402</v>
      </c>
      <c r="S11" s="734">
        <v>0.46033000000000002</v>
      </c>
      <c r="T11" s="567" t="s">
        <v>403</v>
      </c>
      <c r="U11" s="282">
        <f>ROUND(Q11*S11,2)</f>
        <v>27.62</v>
      </c>
      <c r="V11" s="284"/>
      <c r="W11" s="285"/>
    </row>
    <row r="12" spans="2:23 16383:16383" x14ac:dyDescent="0.4">
      <c r="B12" s="176"/>
      <c r="C12" s="176"/>
      <c r="D12" s="176"/>
      <c r="E12" s="283"/>
      <c r="F12" s="176"/>
      <c r="G12" s="176"/>
      <c r="H12" s="176"/>
      <c r="I12" s="176"/>
      <c r="J12" s="176"/>
      <c r="K12" s="176"/>
      <c r="L12" s="283"/>
      <c r="M12" s="176"/>
      <c r="N12" s="176"/>
      <c r="O12" s="176"/>
      <c r="P12" s="176"/>
      <c r="Q12" s="176"/>
      <c r="R12" s="176"/>
      <c r="S12" s="283"/>
      <c r="T12" s="176"/>
      <c r="U12" s="176"/>
      <c r="V12" s="284"/>
      <c r="W12" s="285"/>
    </row>
    <row r="13" spans="2:23 16383:16383" x14ac:dyDescent="0.4">
      <c r="B13" s="176" t="s">
        <v>404</v>
      </c>
      <c r="C13" s="176">
        <f>$C$9</f>
        <v>60</v>
      </c>
      <c r="D13" s="503" t="s">
        <v>405</v>
      </c>
      <c r="E13" s="734">
        <v>4.1200000000000004E-3</v>
      </c>
      <c r="F13" s="567" t="s">
        <v>403</v>
      </c>
      <c r="G13" s="282">
        <f>ROUND(C13*E13,2)</f>
        <v>0.25</v>
      </c>
      <c r="H13" s="176"/>
      <c r="I13" s="176" t="s">
        <v>404</v>
      </c>
      <c r="J13" s="176">
        <f>$C$9</f>
        <v>60</v>
      </c>
      <c r="K13" s="567" t="s">
        <v>405</v>
      </c>
      <c r="L13" s="734">
        <v>4.1200000000000004E-3</v>
      </c>
      <c r="M13" s="567" t="s">
        <v>403</v>
      </c>
      <c r="N13" s="282">
        <f>ROUND(J13*L13,2)</f>
        <v>0.25</v>
      </c>
      <c r="O13" s="176"/>
      <c r="P13" s="176" t="s">
        <v>404</v>
      </c>
      <c r="Q13" s="176">
        <f>$C$9</f>
        <v>60</v>
      </c>
      <c r="R13" s="567" t="s">
        <v>405</v>
      </c>
      <c r="S13" s="734">
        <v>2.0400000000000001E-3</v>
      </c>
      <c r="T13" s="567" t="s">
        <v>403</v>
      </c>
      <c r="U13" s="282">
        <f>ROUND(Q13*S13,2)</f>
        <v>0.12</v>
      </c>
    </row>
    <row r="14" spans="2:23 16383:16383" x14ac:dyDescent="0.4">
      <c r="B14" s="176"/>
      <c r="C14" s="176"/>
      <c r="D14" s="176"/>
      <c r="E14" s="283"/>
      <c r="F14" s="176"/>
      <c r="G14" s="280"/>
      <c r="H14" s="176"/>
      <c r="I14" s="176"/>
      <c r="J14" s="176"/>
      <c r="K14" s="176"/>
      <c r="L14" s="283"/>
      <c r="M14" s="176"/>
      <c r="N14" s="280"/>
      <c r="O14" s="176"/>
      <c r="P14" s="176"/>
      <c r="Q14" s="176"/>
      <c r="R14" s="176"/>
      <c r="S14" s="176"/>
      <c r="T14" s="176"/>
      <c r="U14" s="280"/>
    </row>
    <row r="15" spans="2:23 16383:16383" ht="36" x14ac:dyDescent="0.4">
      <c r="B15" s="485" t="s">
        <v>637</v>
      </c>
      <c r="C15" s="176">
        <v>60</v>
      </c>
      <c r="D15" s="503" t="s">
        <v>402</v>
      </c>
      <c r="E15" s="734">
        <v>2.5600000000000002E-3</v>
      </c>
      <c r="F15" s="567" t="s">
        <v>403</v>
      </c>
      <c r="G15" s="282">
        <f>ROUND(C15*E15,2)</f>
        <v>0.15</v>
      </c>
      <c r="H15" s="176"/>
      <c r="I15" s="485" t="s">
        <v>637</v>
      </c>
      <c r="J15" s="176">
        <v>60</v>
      </c>
      <c r="K15" s="567" t="s">
        <v>402</v>
      </c>
      <c r="L15" s="734">
        <v>2.5600000000000002E-3</v>
      </c>
      <c r="M15" s="567" t="s">
        <v>403</v>
      </c>
      <c r="N15" s="282">
        <f>ROUND(J15*L15,2)</f>
        <v>0.15</v>
      </c>
      <c r="O15" s="176"/>
      <c r="P15" s="485" t="s">
        <v>637</v>
      </c>
      <c r="Q15" s="176">
        <v>60</v>
      </c>
      <c r="R15" s="567" t="s">
        <v>402</v>
      </c>
      <c r="S15" s="734">
        <v>1.7000000000000001E-4</v>
      </c>
      <c r="T15" s="567" t="s">
        <v>403</v>
      </c>
      <c r="U15" s="282">
        <f>ROUND(Q15*S15,2)</f>
        <v>0.01</v>
      </c>
    </row>
    <row r="16" spans="2:23 16383:16383" hidden="1" x14ac:dyDescent="0.4">
      <c r="B16" s="176"/>
      <c r="C16" s="176"/>
      <c r="D16" s="176"/>
      <c r="E16" s="283"/>
      <c r="F16" s="176"/>
      <c r="G16" s="280"/>
      <c r="H16" s="176"/>
      <c r="I16" s="176"/>
      <c r="J16" s="176"/>
      <c r="K16" s="176"/>
      <c r="L16" s="283"/>
      <c r="M16" s="176"/>
      <c r="N16" s="280"/>
      <c r="O16" s="176"/>
      <c r="P16" s="176"/>
      <c r="Q16" s="176"/>
      <c r="R16" s="176"/>
      <c r="S16" s="176"/>
      <c r="T16" s="176"/>
      <c r="U16" s="280"/>
    </row>
    <row r="17" spans="1:21" hidden="1" x14ac:dyDescent="0.4">
      <c r="B17" s="176" t="s">
        <v>620</v>
      </c>
      <c r="C17" s="176">
        <v>60</v>
      </c>
      <c r="D17" s="503" t="s">
        <v>402</v>
      </c>
      <c r="E17" s="281">
        <v>0</v>
      </c>
      <c r="F17" s="567" t="s">
        <v>403</v>
      </c>
      <c r="G17" s="282">
        <f>ROUND(C17*E17,2)</f>
        <v>0</v>
      </c>
      <c r="H17" s="176"/>
      <c r="I17" s="176" t="s">
        <v>620</v>
      </c>
      <c r="J17" s="176">
        <v>60</v>
      </c>
      <c r="K17" s="567" t="s">
        <v>402</v>
      </c>
      <c r="L17" s="281">
        <v>0</v>
      </c>
      <c r="M17" s="567" t="s">
        <v>403</v>
      </c>
      <c r="N17" s="282">
        <f>ROUND(J17*L17,2)</f>
        <v>0</v>
      </c>
      <c r="O17" s="176"/>
      <c r="P17" s="176" t="s">
        <v>620</v>
      </c>
      <c r="Q17" s="176">
        <v>60</v>
      </c>
      <c r="R17" s="567" t="s">
        <v>402</v>
      </c>
      <c r="S17" s="281">
        <v>0</v>
      </c>
      <c r="T17" s="567" t="s">
        <v>403</v>
      </c>
      <c r="U17" s="282">
        <f>ROUND(Q17*S17,2)</f>
        <v>0</v>
      </c>
    </row>
    <row r="18" spans="1:21" x14ac:dyDescent="0.4">
      <c r="B18" s="176"/>
      <c r="C18" s="176"/>
      <c r="D18" s="176"/>
      <c r="E18" s="283"/>
      <c r="F18" s="176"/>
      <c r="G18" s="280"/>
      <c r="H18" s="176"/>
      <c r="I18" s="176"/>
      <c r="J18" s="176"/>
      <c r="K18" s="176"/>
      <c r="L18" s="283"/>
      <c r="M18" s="176"/>
      <c r="N18" s="280"/>
      <c r="O18" s="176"/>
      <c r="P18" s="176"/>
      <c r="Q18" s="176"/>
      <c r="R18" s="176"/>
      <c r="S18" s="176"/>
      <c r="T18" s="176"/>
      <c r="U18" s="280"/>
    </row>
    <row r="19" spans="1:21" ht="36" x14ac:dyDescent="0.4">
      <c r="B19" s="485" t="s">
        <v>1035</v>
      </c>
      <c r="C19" s="176">
        <v>60</v>
      </c>
      <c r="D19" s="699" t="s">
        <v>402</v>
      </c>
      <c r="E19" s="736">
        <v>-6.1900000000000002E-3</v>
      </c>
      <c r="F19" s="699" t="s">
        <v>403</v>
      </c>
      <c r="G19" s="282">
        <f>ROUND(C19*E19,2)</f>
        <v>-0.37</v>
      </c>
      <c r="H19" s="176"/>
      <c r="I19" s="485" t="s">
        <v>1035</v>
      </c>
      <c r="J19" s="176">
        <v>60</v>
      </c>
      <c r="K19" s="699" t="s">
        <v>402</v>
      </c>
      <c r="L19" s="736">
        <v>0</v>
      </c>
      <c r="M19" s="699" t="s">
        <v>403</v>
      </c>
      <c r="N19" s="282">
        <f>ROUND(J19*L19,2)</f>
        <v>0</v>
      </c>
      <c r="O19" s="176"/>
      <c r="P19" s="485" t="s">
        <v>1035</v>
      </c>
      <c r="Q19" s="176">
        <v>60</v>
      </c>
      <c r="R19" s="749" t="s">
        <v>402</v>
      </c>
      <c r="S19" s="736">
        <v>-6.1900000000000002E-3</v>
      </c>
      <c r="T19" s="749" t="s">
        <v>403</v>
      </c>
      <c r="U19" s="282">
        <f>ROUND(Q19*S19,2)</f>
        <v>-0.37</v>
      </c>
    </row>
    <row r="20" spans="1:21" x14ac:dyDescent="0.4">
      <c r="B20" s="176"/>
      <c r="C20" s="176"/>
      <c r="D20" s="176"/>
      <c r="E20" s="283"/>
      <c r="F20" s="176"/>
      <c r="G20" s="280"/>
      <c r="H20" s="176"/>
      <c r="I20" s="176"/>
      <c r="J20" s="176"/>
      <c r="K20" s="176"/>
      <c r="L20" s="283"/>
      <c r="M20" s="176"/>
      <c r="N20" s="280"/>
      <c r="O20" s="176"/>
      <c r="P20" s="176"/>
      <c r="Q20" s="176"/>
      <c r="R20" s="176"/>
      <c r="S20" s="176"/>
      <c r="T20" s="176"/>
      <c r="U20" s="280"/>
    </row>
    <row r="21" spans="1:21" x14ac:dyDescent="0.4">
      <c r="B21" s="176"/>
      <c r="C21" s="176" t="s">
        <v>406</v>
      </c>
      <c r="D21" s="176"/>
      <c r="E21" s="176"/>
      <c r="F21" s="176"/>
      <c r="G21" s="282">
        <f>ROUND(SUM(G7:G19),2)</f>
        <v>94.81</v>
      </c>
      <c r="H21" s="176"/>
      <c r="I21" s="176"/>
      <c r="J21" s="176" t="s">
        <v>406</v>
      </c>
      <c r="K21" s="176"/>
      <c r="L21" s="176"/>
      <c r="M21" s="176"/>
      <c r="N21" s="282">
        <f>ROUND(SUM(N7:N19),2)</f>
        <v>104.67</v>
      </c>
      <c r="O21" s="176"/>
      <c r="P21" s="176"/>
      <c r="Q21" s="176" t="s">
        <v>406</v>
      </c>
      <c r="R21" s="176"/>
      <c r="S21" s="176"/>
      <c r="T21" s="176"/>
      <c r="U21" s="282">
        <f>ROUND(SUM(U7:U19),2)</f>
        <v>77.680000000000007</v>
      </c>
    </row>
    <row r="22" spans="1:21" x14ac:dyDescent="0.4">
      <c r="B22" s="176"/>
      <c r="C22" s="176"/>
      <c r="D22" s="176"/>
      <c r="E22" s="176"/>
      <c r="F22" s="176"/>
      <c r="G22" s="282"/>
      <c r="H22" s="176"/>
      <c r="I22" s="176"/>
      <c r="J22" s="176"/>
      <c r="K22" s="176"/>
      <c r="L22" s="176"/>
      <c r="M22" s="176"/>
      <c r="N22" s="282"/>
      <c r="O22" s="176"/>
      <c r="P22" s="176"/>
      <c r="Q22" s="176"/>
      <c r="R22" s="176"/>
      <c r="S22" s="176"/>
      <c r="T22" s="176"/>
      <c r="U22" s="282"/>
    </row>
    <row r="23" spans="1:21" x14ac:dyDescent="0.4">
      <c r="B23" s="176" t="s">
        <v>636</v>
      </c>
      <c r="C23" s="282"/>
      <c r="D23" s="176"/>
      <c r="E23" s="176"/>
      <c r="F23" s="176"/>
      <c r="G23" s="735">
        <v>1.39</v>
      </c>
      <c r="H23" s="176"/>
      <c r="I23" s="176" t="s">
        <v>636</v>
      </c>
      <c r="J23" s="282"/>
      <c r="K23" s="176"/>
      <c r="L23" s="176"/>
      <c r="M23" s="176"/>
      <c r="N23" s="735">
        <v>1.39</v>
      </c>
      <c r="O23" s="176"/>
      <c r="P23" s="176" t="s">
        <v>636</v>
      </c>
      <c r="Q23" s="286"/>
      <c r="R23" s="176"/>
      <c r="S23" s="176"/>
      <c r="T23" s="176"/>
      <c r="U23" s="735">
        <v>1.01</v>
      </c>
    </row>
    <row r="24" spans="1:21" x14ac:dyDescent="0.4">
      <c r="B24" s="176"/>
      <c r="C24" s="287"/>
      <c r="D24" s="176"/>
      <c r="E24" s="176"/>
      <c r="F24" s="176"/>
      <c r="G24" s="282"/>
      <c r="H24" s="176"/>
      <c r="I24" s="176"/>
      <c r="J24" s="287"/>
      <c r="K24" s="176"/>
      <c r="L24" s="176"/>
      <c r="M24" s="176"/>
      <c r="N24" s="282"/>
      <c r="O24" s="176"/>
      <c r="P24" s="176"/>
      <c r="Q24" s="287"/>
      <c r="R24" s="176"/>
      <c r="S24" s="176"/>
      <c r="T24" s="176"/>
      <c r="U24" s="282"/>
    </row>
    <row r="25" spans="1:21" x14ac:dyDescent="0.4">
      <c r="B25" s="176" t="s">
        <v>408</v>
      </c>
      <c r="C25" s="287"/>
      <c r="D25" s="176"/>
      <c r="E25" s="176"/>
      <c r="F25" s="176"/>
      <c r="G25" s="735">
        <v>0.3</v>
      </c>
      <c r="H25" s="176"/>
      <c r="I25" s="176" t="s">
        <v>408</v>
      </c>
      <c r="J25" s="287"/>
      <c r="K25" s="176"/>
      <c r="L25" s="176"/>
      <c r="M25" s="176"/>
      <c r="N25" s="735">
        <v>0.3</v>
      </c>
      <c r="O25" s="176"/>
      <c r="P25" s="176" t="s">
        <v>408</v>
      </c>
      <c r="Q25" s="287"/>
      <c r="R25" s="176"/>
      <c r="S25" s="176"/>
      <c r="T25" s="176"/>
      <c r="U25" s="735">
        <v>0.3</v>
      </c>
    </row>
    <row r="26" spans="1:21" ht="18.5" thickBot="1" x14ac:dyDescent="0.45">
      <c r="B26" s="176"/>
      <c r="C26" s="287"/>
      <c r="D26" s="176"/>
      <c r="E26" s="176"/>
      <c r="F26" s="176"/>
      <c r="G26" s="282"/>
      <c r="H26" s="176"/>
      <c r="I26" s="176"/>
      <c r="J26" s="287"/>
      <c r="K26" s="176"/>
      <c r="L26" s="176"/>
      <c r="M26" s="176"/>
      <c r="N26" s="282"/>
      <c r="O26" s="176"/>
      <c r="P26" s="176"/>
      <c r="Q26" s="287"/>
      <c r="R26" s="176"/>
      <c r="S26" s="176"/>
      <c r="T26" s="176"/>
      <c r="U26" s="282"/>
    </row>
    <row r="27" spans="1:21" ht="18.5" thickBot="1" x14ac:dyDescent="0.45">
      <c r="B27" s="176"/>
      <c r="C27" s="176" t="s">
        <v>30</v>
      </c>
      <c r="D27" s="176"/>
      <c r="E27" s="176"/>
      <c r="F27" s="176"/>
      <c r="G27" s="288">
        <f>ROUND(G21+G23+G25,4)</f>
        <v>96.5</v>
      </c>
      <c r="H27" s="176"/>
      <c r="I27" s="176"/>
      <c r="J27" s="176" t="s">
        <v>30</v>
      </c>
      <c r="K27" s="176"/>
      <c r="L27" s="176"/>
      <c r="M27" s="176"/>
      <c r="N27" s="288">
        <f>ROUND(N21+N23+N25,4)</f>
        <v>106.36</v>
      </c>
      <c r="O27" s="176"/>
      <c r="P27" s="176"/>
      <c r="Q27" s="176" t="s">
        <v>30</v>
      </c>
      <c r="R27" s="176"/>
      <c r="S27" s="176"/>
      <c r="T27" s="176"/>
      <c r="U27" s="288">
        <f>ROUND(U21+U23+U25,2)</f>
        <v>78.989999999999995</v>
      </c>
    </row>
    <row r="28" spans="1:21" ht="18.5" thickBot="1" x14ac:dyDescent="0.45">
      <c r="B28" s="176"/>
      <c r="C28" s="176"/>
      <c r="D28" s="176"/>
      <c r="E28" s="176"/>
      <c r="F28" s="176"/>
      <c r="G28" s="176"/>
      <c r="H28" s="176"/>
      <c r="I28" s="176"/>
      <c r="J28" s="176"/>
      <c r="K28" s="176"/>
      <c r="L28" s="176"/>
      <c r="M28" s="176"/>
      <c r="N28" s="176"/>
      <c r="O28" s="176"/>
      <c r="P28" s="176"/>
      <c r="Q28" s="176"/>
      <c r="R28" s="176"/>
      <c r="S28" s="176"/>
      <c r="T28" s="176"/>
      <c r="U28" s="176"/>
    </row>
    <row r="29" spans="1:21" ht="18.5" thickBot="1" x14ac:dyDescent="0.45">
      <c r="B29" s="176"/>
      <c r="C29" s="176"/>
      <c r="D29" s="176"/>
      <c r="E29" s="176"/>
      <c r="F29" s="176"/>
      <c r="G29" s="176"/>
      <c r="H29" s="176"/>
      <c r="I29" s="176"/>
      <c r="J29" s="176" t="s">
        <v>409</v>
      </c>
      <c r="L29" s="176"/>
      <c r="M29" s="176"/>
      <c r="N29" s="289">
        <f>ROUND(N27-G27,4)</f>
        <v>9.86</v>
      </c>
      <c r="O29" s="176"/>
      <c r="P29" s="176"/>
      <c r="Q29" s="176" t="s">
        <v>410</v>
      </c>
      <c r="S29" s="176"/>
      <c r="T29" s="176"/>
      <c r="U29" s="290">
        <f>(N27/U27)-1</f>
        <v>0.34649955690593748</v>
      </c>
    </row>
    <row r="30" spans="1:21" ht="18.5" thickBot="1" x14ac:dyDescent="0.45">
      <c r="B30" s="176"/>
      <c r="C30" s="176"/>
      <c r="D30" s="176"/>
      <c r="E30" s="176"/>
      <c r="F30" s="176"/>
      <c r="G30" s="176"/>
      <c r="H30" s="176"/>
      <c r="I30" s="176"/>
      <c r="J30" s="176"/>
      <c r="L30" s="176"/>
      <c r="M30" s="176"/>
      <c r="N30" s="176"/>
      <c r="O30" s="176"/>
      <c r="P30" s="176"/>
      <c r="Q30" s="176"/>
      <c r="R30" s="176"/>
      <c r="S30" s="176"/>
      <c r="T30" s="176"/>
      <c r="U30" s="176"/>
    </row>
    <row r="31" spans="1:21" ht="18.5" thickBot="1" x14ac:dyDescent="0.45">
      <c r="H31" s="176"/>
      <c r="I31" s="176"/>
      <c r="J31" s="176" t="s">
        <v>409</v>
      </c>
      <c r="L31" s="176"/>
      <c r="M31" s="176"/>
      <c r="N31" s="291">
        <f>ROUND(N27/G27-1,4)</f>
        <v>0.1022</v>
      </c>
      <c r="O31" s="176"/>
    </row>
    <row r="32" spans="1:21" x14ac:dyDescent="0.4">
      <c r="A32" s="278" t="s">
        <v>411</v>
      </c>
      <c r="B32" s="292">
        <f>J5</f>
        <v>44774</v>
      </c>
      <c r="C32" s="558">
        <f>L11</f>
        <v>0.89017000000000002</v>
      </c>
      <c r="D32" s="176" t="s">
        <v>412</v>
      </c>
      <c r="E32" s="282"/>
      <c r="F32" s="176"/>
      <c r="G32" s="176"/>
      <c r="H32" s="292"/>
      <c r="I32" s="293"/>
      <c r="J32" s="293"/>
      <c r="K32" s="282"/>
      <c r="L32" s="176"/>
      <c r="M32" s="176"/>
      <c r="N32" s="292"/>
      <c r="O32" s="281"/>
      <c r="P32" s="176"/>
      <c r="R32" s="282"/>
      <c r="S32" s="176"/>
    </row>
    <row r="33" spans="1:19" x14ac:dyDescent="0.4">
      <c r="B33" s="292">
        <f>C5</f>
        <v>44712</v>
      </c>
      <c r="C33" s="558">
        <f>E11</f>
        <v>0.73192999999999997</v>
      </c>
      <c r="D33" s="176"/>
      <c r="E33" s="282"/>
      <c r="F33" s="176"/>
      <c r="G33" s="176"/>
      <c r="H33" s="292"/>
      <c r="I33" s="176"/>
      <c r="J33" s="293"/>
      <c r="K33" s="282"/>
      <c r="L33" s="176"/>
      <c r="M33" s="176"/>
      <c r="N33" s="292"/>
      <c r="O33" s="283"/>
      <c r="P33" s="682"/>
      <c r="R33" s="282"/>
      <c r="S33" s="176"/>
    </row>
    <row r="34" spans="1:19" x14ac:dyDescent="0.4">
      <c r="B34" s="292"/>
      <c r="C34" s="294"/>
      <c r="D34" s="176"/>
      <c r="E34" s="295"/>
      <c r="F34" s="176"/>
      <c r="G34" s="176"/>
      <c r="H34" s="176"/>
      <c r="I34" s="681"/>
      <c r="J34" s="295"/>
      <c r="K34" s="295"/>
      <c r="L34" s="176"/>
      <c r="M34" s="176"/>
      <c r="N34" s="176"/>
      <c r="O34" s="295"/>
      <c r="P34" s="176"/>
      <c r="R34" s="295"/>
      <c r="S34" s="176"/>
    </row>
    <row r="35" spans="1:19" x14ac:dyDescent="0.4">
      <c r="B35" s="178" t="s">
        <v>413</v>
      </c>
      <c r="C35" s="558">
        <f>+C32-C33</f>
        <v>0.15824000000000005</v>
      </c>
      <c r="D35" s="176" t="s">
        <v>414</v>
      </c>
      <c r="E35" s="295"/>
      <c r="F35" s="176"/>
      <c r="G35" s="176"/>
      <c r="H35" s="176"/>
      <c r="I35" s="682"/>
      <c r="J35" s="176"/>
      <c r="K35" s="176"/>
      <c r="L35" s="176"/>
      <c r="M35" s="176"/>
      <c r="N35" s="176"/>
      <c r="O35" s="176"/>
      <c r="P35" s="176"/>
      <c r="R35" s="176"/>
      <c r="S35" s="176"/>
    </row>
    <row r="36" spans="1:19" x14ac:dyDescent="0.4">
      <c r="B36" s="178" t="s">
        <v>415</v>
      </c>
      <c r="C36" s="296">
        <f>(C32-C33)/C33</f>
        <v>0.21619553782465545</v>
      </c>
      <c r="D36" s="176"/>
      <c r="E36" s="295"/>
      <c r="F36" s="176"/>
      <c r="G36" s="297"/>
      <c r="H36" s="176"/>
      <c r="I36" s="176"/>
      <c r="J36" s="176"/>
      <c r="K36" s="298"/>
      <c r="L36" s="176"/>
      <c r="M36" s="176"/>
      <c r="N36" s="176"/>
      <c r="O36" s="176"/>
      <c r="P36" s="176"/>
      <c r="R36" s="298"/>
      <c r="S36" s="176"/>
    </row>
    <row r="37" spans="1:19" x14ac:dyDescent="0.4">
      <c r="B37" s="292">
        <f>+B33</f>
        <v>44712</v>
      </c>
      <c r="C37" s="299">
        <f>+ROUND(G27,2)</f>
        <v>96.5</v>
      </c>
      <c r="D37" s="176"/>
      <c r="E37" s="295"/>
      <c r="F37" s="176"/>
      <c r="G37" s="176"/>
      <c r="H37" s="176"/>
      <c r="I37" s="176"/>
      <c r="J37" s="176"/>
      <c r="K37" s="176"/>
      <c r="L37" s="176"/>
      <c r="M37" s="176"/>
      <c r="N37" s="176"/>
      <c r="O37" s="176"/>
      <c r="P37" s="176"/>
      <c r="R37" s="176"/>
      <c r="S37" s="176"/>
    </row>
    <row r="38" spans="1:19" x14ac:dyDescent="0.4">
      <c r="A38" s="278" t="s">
        <v>416</v>
      </c>
      <c r="B38" s="292">
        <f>+B32</f>
        <v>44774</v>
      </c>
      <c r="C38" s="299">
        <f>+ROUND(N27,2)</f>
        <v>106.36</v>
      </c>
      <c r="D38" s="176"/>
      <c r="E38" s="295"/>
      <c r="F38" s="176"/>
      <c r="G38" s="176"/>
      <c r="H38" s="176"/>
      <c r="I38" s="176"/>
      <c r="J38" s="176"/>
      <c r="K38" s="176"/>
      <c r="L38" s="176"/>
      <c r="M38" s="176"/>
      <c r="N38" s="176">
        <f>L11-S11</f>
        <v>0.42984</v>
      </c>
      <c r="O38" s="176"/>
      <c r="P38" s="176"/>
      <c r="R38" s="176"/>
      <c r="S38" s="176"/>
    </row>
    <row r="39" spans="1:19" x14ac:dyDescent="0.4">
      <c r="A39" s="278" t="s">
        <v>417</v>
      </c>
      <c r="B39" s="176"/>
      <c r="C39" s="296">
        <f>+ROUND((C38-C37)/C37,4)</f>
        <v>0.1022</v>
      </c>
      <c r="D39" s="176"/>
      <c r="E39" s="295"/>
      <c r="F39" s="176"/>
      <c r="H39" s="176"/>
      <c r="I39" s="176"/>
      <c r="J39" s="293"/>
      <c r="K39" s="176"/>
      <c r="L39" s="176"/>
      <c r="M39" s="176"/>
      <c r="N39" s="176">
        <f>N38/S11</f>
        <v>0.93376490778354659</v>
      </c>
      <c r="O39" s="176"/>
    </row>
    <row r="40" spans="1:19" x14ac:dyDescent="0.4">
      <c r="B40" s="176"/>
      <c r="C40" s="295"/>
      <c r="D40" s="176"/>
      <c r="E40" s="295"/>
      <c r="F40" s="298"/>
      <c r="H40" s="176"/>
      <c r="I40" s="176"/>
      <c r="J40" s="293"/>
      <c r="K40" s="176"/>
      <c r="L40" s="176"/>
      <c r="M40" s="176"/>
      <c r="N40" s="176"/>
      <c r="O40" s="176"/>
    </row>
    <row r="41" spans="1:19" x14ac:dyDescent="0.4">
      <c r="A41" s="278" t="s">
        <v>418</v>
      </c>
      <c r="B41" s="176"/>
      <c r="C41" s="558">
        <f>+L11</f>
        <v>0.89017000000000002</v>
      </c>
      <c r="D41" s="176" t="s">
        <v>419</v>
      </c>
      <c r="E41" s="295"/>
      <c r="F41" s="176"/>
      <c r="H41" s="176"/>
      <c r="I41" s="176"/>
      <c r="J41" s="295"/>
      <c r="K41" s="176"/>
      <c r="L41" s="176"/>
      <c r="M41" s="176"/>
      <c r="N41" s="176"/>
      <c r="O41" s="176"/>
    </row>
    <row r="42" spans="1:19" x14ac:dyDescent="0.4">
      <c r="A42" s="278" t="s">
        <v>417</v>
      </c>
      <c r="B42" s="176"/>
      <c r="C42" s="296">
        <f>+(C41-C43)/C43</f>
        <v>0.93376490778354659</v>
      </c>
      <c r="E42" s="176"/>
      <c r="H42" s="176"/>
      <c r="I42" s="176"/>
      <c r="J42" s="287"/>
      <c r="K42" s="176"/>
      <c r="L42" s="176"/>
      <c r="M42" s="176"/>
      <c r="N42" s="176"/>
      <c r="O42" s="176"/>
    </row>
    <row r="43" spans="1:19" x14ac:dyDescent="0.4">
      <c r="A43" s="278" t="s">
        <v>420</v>
      </c>
      <c r="B43" s="176"/>
      <c r="C43" s="558">
        <f>+S11</f>
        <v>0.46033000000000002</v>
      </c>
      <c r="D43" s="176"/>
      <c r="E43" s="295"/>
      <c r="F43" s="176"/>
      <c r="H43" s="176"/>
      <c r="I43" s="176"/>
      <c r="J43" s="287"/>
      <c r="K43" s="176"/>
      <c r="L43" s="176"/>
      <c r="M43" s="176"/>
      <c r="N43" s="176"/>
      <c r="O43" s="176"/>
    </row>
    <row r="44" spans="1:19" x14ac:dyDescent="0.4">
      <c r="A44" s="278" t="s">
        <v>421</v>
      </c>
      <c r="B44" s="176"/>
      <c r="C44" s="299">
        <f>+ROUND(N27,2)</f>
        <v>106.36</v>
      </c>
      <c r="D44" s="176"/>
      <c r="E44" s="176"/>
      <c r="H44" s="176"/>
      <c r="I44" s="176"/>
      <c r="J44" s="287"/>
      <c r="K44" s="176"/>
      <c r="L44" s="176"/>
      <c r="M44" s="176"/>
      <c r="N44" s="176"/>
      <c r="O44" s="176"/>
    </row>
    <row r="45" spans="1:19" x14ac:dyDescent="0.4">
      <c r="A45" s="278" t="s">
        <v>422</v>
      </c>
      <c r="B45" s="176"/>
      <c r="C45" s="299">
        <f>+ROUND(U27,2)</f>
        <v>78.989999999999995</v>
      </c>
      <c r="D45" s="176"/>
      <c r="E45" s="176"/>
      <c r="H45" s="176"/>
      <c r="I45" s="176"/>
      <c r="J45" s="287"/>
      <c r="K45" s="176"/>
      <c r="L45" s="176"/>
      <c r="M45" s="176"/>
      <c r="N45" s="176"/>
      <c r="O45" s="176"/>
    </row>
    <row r="46" spans="1:19" x14ac:dyDescent="0.4">
      <c r="A46" s="278" t="s">
        <v>417</v>
      </c>
      <c r="B46" s="176"/>
      <c r="C46" s="296">
        <f>+(C44-C45)/C45</f>
        <v>0.34649955690593753</v>
      </c>
      <c r="D46" s="176"/>
      <c r="E46" s="176"/>
      <c r="H46" s="176"/>
      <c r="I46" s="176"/>
      <c r="J46" s="287"/>
      <c r="K46" s="176"/>
      <c r="L46" s="176"/>
      <c r="M46" s="176"/>
      <c r="N46" s="176"/>
      <c r="O46" s="176"/>
    </row>
    <row r="47" spans="1:19" x14ac:dyDescent="0.4">
      <c r="B47" s="176"/>
      <c r="C47" s="295"/>
      <c r="D47" s="176"/>
      <c r="E47" s="176"/>
      <c r="H47" s="176"/>
      <c r="I47" s="176"/>
      <c r="J47" s="287"/>
      <c r="K47" s="176"/>
      <c r="L47" s="176"/>
      <c r="M47" s="176"/>
      <c r="N47" s="176"/>
      <c r="O47" s="176"/>
    </row>
    <row r="48" spans="1:19" s="176" customFormat="1" x14ac:dyDescent="0.4">
      <c r="A48" s="278"/>
      <c r="J48" s="287"/>
    </row>
    <row r="49" spans="2:15" x14ac:dyDescent="0.4">
      <c r="B49" s="176"/>
      <c r="C49" s="176"/>
      <c r="D49" s="176"/>
      <c r="E49" s="176"/>
      <c r="H49" s="176"/>
      <c r="I49" s="176"/>
      <c r="J49" s="287"/>
      <c r="K49" s="176"/>
      <c r="L49" s="176"/>
      <c r="M49" s="176"/>
      <c r="N49" s="176"/>
      <c r="O49" s="176"/>
    </row>
    <row r="50" spans="2:15" x14ac:dyDescent="0.4">
      <c r="B50" s="176"/>
      <c r="C50" s="293"/>
      <c r="D50" s="176"/>
      <c r="E50" s="176"/>
      <c r="H50" s="176"/>
      <c r="I50" s="176"/>
      <c r="J50" s="287"/>
      <c r="K50" s="176"/>
      <c r="L50" s="176"/>
      <c r="M50" s="176"/>
      <c r="N50" s="176"/>
      <c r="O50" s="176"/>
    </row>
    <row r="51" spans="2:15" x14ac:dyDescent="0.4">
      <c r="D51" s="176"/>
      <c r="E51" s="176"/>
      <c r="H51" s="176"/>
      <c r="I51" s="176"/>
      <c r="J51" s="287"/>
      <c r="K51" s="176"/>
      <c r="L51" s="176"/>
      <c r="M51" s="176"/>
      <c r="N51" s="176"/>
      <c r="O51" s="176"/>
    </row>
    <row r="52" spans="2:15" x14ac:dyDescent="0.4">
      <c r="D52" s="176"/>
      <c r="E52" s="176"/>
      <c r="H52" s="176"/>
      <c r="I52" s="176"/>
      <c r="J52" s="287"/>
      <c r="K52" s="176"/>
      <c r="L52" s="176"/>
      <c r="M52" s="176"/>
      <c r="N52" s="176"/>
      <c r="O52" s="176"/>
    </row>
    <row r="53" spans="2:15" x14ac:dyDescent="0.4">
      <c r="D53" s="176"/>
      <c r="E53" s="298"/>
      <c r="H53" s="176"/>
      <c r="I53" s="176"/>
      <c r="J53" s="287"/>
      <c r="K53" s="176"/>
      <c r="L53" s="176"/>
      <c r="M53" s="176"/>
      <c r="N53" s="176"/>
      <c r="O53" s="176"/>
    </row>
    <row r="54" spans="2:15" x14ac:dyDescent="0.4">
      <c r="D54" s="176"/>
      <c r="E54" s="176"/>
      <c r="H54" s="176"/>
      <c r="I54" s="176"/>
      <c r="J54" s="176"/>
      <c r="K54" s="176"/>
      <c r="L54" s="176"/>
      <c r="M54" s="176"/>
      <c r="N54" s="176"/>
      <c r="O54" s="176"/>
    </row>
    <row r="55" spans="2:15" x14ac:dyDescent="0.4">
      <c r="D55" s="176"/>
      <c r="E55" s="300"/>
      <c r="H55" s="176"/>
      <c r="I55" s="176"/>
      <c r="J55" s="176"/>
      <c r="K55" s="176"/>
      <c r="L55" s="176"/>
      <c r="M55" s="176"/>
      <c r="N55" s="176"/>
      <c r="O55" s="176"/>
    </row>
    <row r="56" spans="2:15" x14ac:dyDescent="0.4">
      <c r="H56" s="176"/>
      <c r="I56" s="176"/>
      <c r="J56" s="176"/>
      <c r="K56" s="176"/>
      <c r="L56" s="176"/>
      <c r="M56" s="176"/>
      <c r="N56" s="176"/>
      <c r="O56" s="176"/>
    </row>
    <row r="57" spans="2:15" x14ac:dyDescent="0.4">
      <c r="H57" s="176"/>
      <c r="I57" s="176"/>
      <c r="J57" s="176"/>
      <c r="K57" s="176"/>
      <c r="L57" s="176"/>
      <c r="M57" s="176"/>
      <c r="N57" s="176"/>
      <c r="O57" s="176"/>
    </row>
    <row r="58" spans="2:15" x14ac:dyDescent="0.4">
      <c r="H58" s="176"/>
      <c r="I58" s="176"/>
      <c r="J58" s="176"/>
      <c r="K58" s="176"/>
      <c r="L58" s="176"/>
      <c r="M58" s="176"/>
      <c r="N58" s="176"/>
      <c r="O58" s="176"/>
    </row>
    <row r="59" spans="2:15" x14ac:dyDescent="0.4">
      <c r="G59" s="176"/>
      <c r="H59" s="176"/>
      <c r="I59" s="176"/>
      <c r="J59" s="176"/>
      <c r="K59" s="176"/>
      <c r="L59" s="176"/>
      <c r="M59" s="176"/>
      <c r="N59" s="176"/>
      <c r="O59" s="176"/>
    </row>
    <row r="60" spans="2:15" x14ac:dyDescent="0.4">
      <c r="G60" s="176"/>
      <c r="H60" s="176"/>
      <c r="I60" s="176"/>
      <c r="J60" s="176"/>
      <c r="K60" s="176"/>
      <c r="L60" s="176"/>
      <c r="M60" s="176"/>
      <c r="N60" s="176"/>
      <c r="O60" s="176"/>
    </row>
    <row r="61" spans="2:15" x14ac:dyDescent="0.4">
      <c r="G61" s="176"/>
      <c r="H61" s="176"/>
      <c r="I61" s="176"/>
      <c r="J61" s="176"/>
      <c r="K61" s="176"/>
      <c r="L61" s="176"/>
      <c r="M61" s="176"/>
      <c r="N61" s="176"/>
      <c r="O61" s="176"/>
    </row>
    <row r="62" spans="2:15" x14ac:dyDescent="0.4">
      <c r="B62" s="176"/>
      <c r="C62" s="176"/>
      <c r="H62" s="176"/>
      <c r="I62" s="176"/>
      <c r="J62" s="292"/>
      <c r="K62" s="176"/>
      <c r="L62" s="176"/>
      <c r="M62" s="176"/>
      <c r="N62" s="176"/>
      <c r="O62" s="176"/>
    </row>
    <row r="63" spans="2:15" x14ac:dyDescent="0.4">
      <c r="B63" s="176"/>
      <c r="C63" s="176"/>
      <c r="F63" s="176"/>
      <c r="H63" s="176"/>
      <c r="I63" s="176"/>
      <c r="J63" s="176"/>
      <c r="K63" s="176"/>
      <c r="L63" s="176"/>
      <c r="M63" s="176"/>
      <c r="N63" s="176"/>
      <c r="O63" s="176"/>
    </row>
    <row r="64" spans="2:15" x14ac:dyDescent="0.4">
      <c r="B64" s="176"/>
      <c r="C64" s="176"/>
      <c r="F64" s="176"/>
      <c r="H64" s="176"/>
      <c r="I64" s="176"/>
      <c r="J64" s="176"/>
      <c r="K64" s="176"/>
      <c r="L64" s="176"/>
      <c r="M64" s="176"/>
      <c r="N64" s="176"/>
      <c r="O64" s="176"/>
    </row>
    <row r="65" spans="4:15" x14ac:dyDescent="0.4">
      <c r="F65" s="176"/>
      <c r="H65" s="176"/>
      <c r="I65" s="176"/>
      <c r="J65" s="176"/>
      <c r="K65" s="176"/>
      <c r="L65" s="176"/>
      <c r="M65" s="176"/>
      <c r="N65" s="176"/>
      <c r="O65" s="176"/>
    </row>
    <row r="66" spans="4:15" x14ac:dyDescent="0.4">
      <c r="H66" s="176"/>
      <c r="I66" s="176"/>
      <c r="J66" s="176"/>
      <c r="K66" s="176"/>
      <c r="L66" s="293"/>
      <c r="M66" s="176"/>
      <c r="N66" s="176"/>
      <c r="O66" s="176"/>
    </row>
    <row r="67" spans="4:15" x14ac:dyDescent="0.4">
      <c r="D67" s="176"/>
      <c r="E67" s="176"/>
      <c r="H67" s="176"/>
      <c r="I67" s="176"/>
      <c r="J67" s="176"/>
      <c r="K67" s="176"/>
      <c r="L67" s="176"/>
      <c r="M67" s="176"/>
      <c r="N67" s="176"/>
      <c r="O67" s="176"/>
    </row>
    <row r="68" spans="4:15" x14ac:dyDescent="0.4">
      <c r="D68" s="176"/>
      <c r="E68" s="176"/>
      <c r="H68" s="176"/>
      <c r="I68" s="176"/>
      <c r="J68" s="176"/>
      <c r="K68" s="176"/>
      <c r="L68" s="176"/>
      <c r="M68" s="176"/>
      <c r="N68" s="176"/>
      <c r="O68" s="176"/>
    </row>
    <row r="69" spans="4:15" x14ac:dyDescent="0.4">
      <c r="D69" s="176"/>
      <c r="E69" s="176"/>
      <c r="H69" s="176"/>
      <c r="I69" s="176"/>
      <c r="J69" s="176"/>
      <c r="K69" s="176"/>
      <c r="L69" s="176"/>
      <c r="M69" s="176"/>
      <c r="N69" s="176"/>
      <c r="O69" s="176"/>
    </row>
    <row r="70" spans="4:15" x14ac:dyDescent="0.4">
      <c r="H70" s="176"/>
      <c r="I70" s="176"/>
      <c r="J70" s="176"/>
      <c r="K70" s="176"/>
      <c r="L70" s="176"/>
      <c r="M70" s="176"/>
      <c r="N70" s="176"/>
      <c r="O70" s="176"/>
    </row>
    <row r="71" spans="4:15" x14ac:dyDescent="0.4">
      <c r="H71" s="176"/>
      <c r="I71" s="176"/>
      <c r="J71" s="176"/>
      <c r="K71" s="176"/>
      <c r="L71" s="176"/>
      <c r="M71" s="176"/>
      <c r="N71" s="176"/>
      <c r="O71" s="176"/>
    </row>
    <row r="72" spans="4:15" x14ac:dyDescent="0.4">
      <c r="H72" s="176"/>
      <c r="I72" s="176"/>
      <c r="J72" s="176"/>
      <c r="K72" s="176"/>
      <c r="L72" s="176"/>
      <c r="M72" s="176"/>
      <c r="N72" s="176"/>
      <c r="O72" s="176"/>
    </row>
    <row r="73" spans="4:15" x14ac:dyDescent="0.4">
      <c r="H73" s="176"/>
      <c r="I73" s="176"/>
      <c r="J73" s="176"/>
      <c r="K73" s="176"/>
      <c r="L73" s="176"/>
      <c r="M73" s="176"/>
      <c r="N73" s="176"/>
      <c r="O73" s="176"/>
    </row>
    <row r="74" spans="4:15" x14ac:dyDescent="0.4">
      <c r="H74" s="176"/>
      <c r="I74" s="176"/>
      <c r="J74" s="301"/>
      <c r="K74" s="176"/>
      <c r="L74" s="176"/>
      <c r="M74" s="176"/>
      <c r="N74" s="176"/>
      <c r="O74" s="176"/>
    </row>
    <row r="75" spans="4:15" x14ac:dyDescent="0.4">
      <c r="H75" s="176"/>
      <c r="I75" s="176"/>
      <c r="J75" s="287"/>
      <c r="K75" s="176"/>
      <c r="L75" s="176"/>
      <c r="M75" s="176"/>
      <c r="N75" s="176"/>
      <c r="O75" s="176"/>
    </row>
    <row r="76" spans="4:15" x14ac:dyDescent="0.4">
      <c r="H76" s="176"/>
      <c r="I76" s="176"/>
      <c r="J76" s="287"/>
      <c r="K76" s="176"/>
      <c r="L76" s="176"/>
      <c r="M76" s="176"/>
      <c r="N76" s="176"/>
      <c r="O76" s="176"/>
    </row>
    <row r="77" spans="4:15" x14ac:dyDescent="0.4">
      <c r="H77" s="176"/>
      <c r="I77" s="176"/>
      <c r="J77" s="287"/>
      <c r="K77" s="176"/>
      <c r="L77" s="176"/>
      <c r="M77" s="176"/>
      <c r="N77" s="176"/>
      <c r="O77" s="176"/>
    </row>
    <row r="78" spans="4:15" x14ac:dyDescent="0.4">
      <c r="H78" s="176"/>
      <c r="I78" s="176"/>
      <c r="J78" s="176"/>
      <c r="K78" s="176"/>
      <c r="L78" s="176"/>
      <c r="M78" s="176"/>
      <c r="N78" s="176"/>
      <c r="O78" s="176"/>
    </row>
    <row r="79" spans="4:15" x14ac:dyDescent="0.4">
      <c r="H79" s="176"/>
      <c r="I79" s="176"/>
      <c r="J79" s="176"/>
      <c r="K79" s="176"/>
      <c r="L79" s="176"/>
      <c r="M79" s="176"/>
      <c r="N79" s="176"/>
      <c r="O79" s="176"/>
    </row>
    <row r="80" spans="4:15" x14ac:dyDescent="0.4">
      <c r="H80" s="176"/>
      <c r="I80" s="176"/>
      <c r="J80" s="176"/>
      <c r="K80" s="176"/>
      <c r="L80" s="176"/>
      <c r="M80" s="176"/>
      <c r="N80" s="176"/>
      <c r="O80" s="176"/>
    </row>
    <row r="81" spans="2:17" x14ac:dyDescent="0.4">
      <c r="G81" s="176"/>
      <c r="H81" s="176"/>
      <c r="I81" s="176"/>
      <c r="J81" s="176"/>
      <c r="K81" s="176"/>
      <c r="L81" s="176"/>
      <c r="M81" s="176"/>
      <c r="N81" s="176"/>
      <c r="O81" s="176"/>
    </row>
    <row r="82" spans="2:17" x14ac:dyDescent="0.4">
      <c r="G82" s="176"/>
      <c r="H82" s="176"/>
      <c r="I82" s="176"/>
      <c r="J82" s="176"/>
      <c r="K82" s="176"/>
      <c r="L82" s="176"/>
      <c r="M82" s="176"/>
      <c r="N82" s="176"/>
      <c r="O82" s="176"/>
      <c r="P82" s="176"/>
      <c r="Q82" s="176"/>
    </row>
    <row r="83" spans="2:17" x14ac:dyDescent="0.4">
      <c r="G83" s="176"/>
      <c r="H83" s="176"/>
      <c r="I83" s="176"/>
      <c r="J83" s="176"/>
      <c r="K83" s="176"/>
      <c r="L83" s="176"/>
      <c r="M83" s="176"/>
      <c r="N83" s="176"/>
      <c r="O83" s="176"/>
      <c r="P83" s="176"/>
      <c r="Q83" s="176"/>
    </row>
    <row r="84" spans="2:17" x14ac:dyDescent="0.4">
      <c r="B84" s="176"/>
      <c r="C84" s="176"/>
      <c r="G84" s="176"/>
      <c r="H84" s="176"/>
      <c r="I84" s="176"/>
      <c r="J84" s="176"/>
      <c r="K84" s="176"/>
      <c r="L84" s="176"/>
      <c r="M84" s="176"/>
      <c r="N84" s="176"/>
      <c r="O84" s="176"/>
      <c r="P84" s="176"/>
      <c r="Q84" s="176"/>
    </row>
    <row r="85" spans="2:17" x14ac:dyDescent="0.4">
      <c r="B85" s="176"/>
      <c r="C85" s="176"/>
      <c r="F85" s="176"/>
      <c r="Q85" s="176"/>
    </row>
    <row r="86" spans="2:17" x14ac:dyDescent="0.4">
      <c r="B86" s="176"/>
      <c r="C86" s="176"/>
      <c r="F86" s="176"/>
      <c r="Q86" s="176"/>
    </row>
    <row r="87" spans="2:17" x14ac:dyDescent="0.4">
      <c r="B87" s="176"/>
      <c r="C87" s="176"/>
      <c r="F87" s="176"/>
      <c r="Q87" s="176"/>
    </row>
    <row r="88" spans="2:17" x14ac:dyDescent="0.4">
      <c r="F88" s="176"/>
      <c r="Q88" s="176"/>
    </row>
    <row r="89" spans="2:17" x14ac:dyDescent="0.4">
      <c r="D89" s="176"/>
      <c r="E89" s="176"/>
      <c r="Q89" s="176"/>
    </row>
    <row r="90" spans="2:17" x14ac:dyDescent="0.4">
      <c r="D90" s="176"/>
      <c r="E90" s="176"/>
      <c r="Q90" s="176"/>
    </row>
    <row r="91" spans="2:17" x14ac:dyDescent="0.4">
      <c r="D91" s="176"/>
      <c r="E91" s="176"/>
      <c r="Q91" s="176"/>
    </row>
    <row r="92" spans="2:17" x14ac:dyDescent="0.4">
      <c r="D92" s="176"/>
      <c r="E92" s="176"/>
      <c r="G92" s="176"/>
      <c r="H92" s="176"/>
      <c r="I92" s="176"/>
      <c r="J92" s="176"/>
      <c r="K92" s="176"/>
      <c r="L92" s="176"/>
      <c r="M92" s="176"/>
      <c r="N92" s="176"/>
      <c r="O92" s="176"/>
    </row>
    <row r="93" spans="2:17" x14ac:dyDescent="0.4">
      <c r="G93" s="176"/>
      <c r="H93" s="176"/>
      <c r="I93" s="176"/>
      <c r="J93" s="176"/>
      <c r="K93" s="176"/>
      <c r="L93" s="176"/>
      <c r="M93" s="176"/>
      <c r="N93" s="176"/>
      <c r="O93" s="176"/>
    </row>
    <row r="94" spans="2:17" x14ac:dyDescent="0.4">
      <c r="G94" s="176"/>
      <c r="H94" s="176"/>
      <c r="I94" s="176"/>
      <c r="J94" s="176"/>
      <c r="K94" s="176"/>
      <c r="L94" s="176"/>
      <c r="M94" s="176"/>
      <c r="N94" s="176"/>
      <c r="O94" s="176"/>
    </row>
    <row r="95" spans="2:17" x14ac:dyDescent="0.4">
      <c r="B95" s="176"/>
      <c r="C95" s="176"/>
      <c r="G95" s="176"/>
      <c r="H95" s="176"/>
      <c r="I95" s="176"/>
      <c r="J95" s="176"/>
      <c r="K95" s="176"/>
      <c r="L95" s="176"/>
      <c r="M95" s="176"/>
      <c r="N95" s="176"/>
      <c r="O95" s="176"/>
    </row>
    <row r="96" spans="2:17" x14ac:dyDescent="0.4">
      <c r="B96" s="176"/>
      <c r="C96" s="176"/>
      <c r="F96" s="176"/>
      <c r="G96" s="176"/>
      <c r="H96" s="176"/>
      <c r="I96" s="176"/>
      <c r="J96" s="176"/>
      <c r="K96" s="176"/>
      <c r="L96" s="176"/>
      <c r="M96" s="176"/>
      <c r="N96" s="176"/>
      <c r="O96" s="176"/>
    </row>
    <row r="97" spans="2:15" x14ac:dyDescent="0.4">
      <c r="B97" s="176"/>
      <c r="C97" s="176"/>
      <c r="F97" s="176"/>
      <c r="G97" s="176"/>
      <c r="H97" s="176"/>
      <c r="I97" s="176"/>
      <c r="J97" s="176"/>
      <c r="K97" s="176"/>
      <c r="L97" s="176"/>
      <c r="M97" s="176"/>
      <c r="N97" s="176"/>
      <c r="O97" s="176"/>
    </row>
    <row r="98" spans="2:15" x14ac:dyDescent="0.4">
      <c r="B98" s="176"/>
      <c r="C98" s="176"/>
      <c r="F98" s="176"/>
    </row>
    <row r="99" spans="2:15" x14ac:dyDescent="0.4">
      <c r="B99" s="176"/>
      <c r="C99" s="176"/>
      <c r="F99" s="176"/>
    </row>
    <row r="100" spans="2:15" x14ac:dyDescent="0.4">
      <c r="B100" s="176"/>
      <c r="C100" s="176"/>
      <c r="D100" s="176"/>
      <c r="E100" s="176"/>
      <c r="F100" s="176"/>
    </row>
    <row r="101" spans="2:15" x14ac:dyDescent="0.4">
      <c r="D101" s="176"/>
      <c r="E101" s="176"/>
      <c r="F101" s="176"/>
    </row>
    <row r="102" spans="2:15" x14ac:dyDescent="0.4">
      <c r="D102" s="176"/>
      <c r="E102" s="176"/>
    </row>
    <row r="103" spans="2:15" x14ac:dyDescent="0.4">
      <c r="D103" s="176"/>
      <c r="E103" s="176"/>
    </row>
    <row r="104" spans="2:15" x14ac:dyDescent="0.4">
      <c r="D104" s="176"/>
      <c r="E104" s="176"/>
    </row>
    <row r="105" spans="2:15" x14ac:dyDescent="0.4">
      <c r="D105" s="176"/>
      <c r="E105" s="176"/>
    </row>
  </sheetData>
  <pageMargins left="0.7" right="0.7" top="0.75" bottom="0.75" header="0.3" footer="0.3"/>
  <pageSetup scale="51"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4375" defaultRowHeight="15.5" x14ac:dyDescent="0.35"/>
  <cols>
    <col min="1" max="1" width="8.84375" style="3"/>
    <col min="2" max="2" width="10.765625" style="3" customWidth="1"/>
    <col min="3" max="3" width="20.53515625" style="3" customWidth="1"/>
    <col min="4" max="4" width="16.765625" style="3" customWidth="1"/>
    <col min="5" max="5" width="15.3046875" style="3" customWidth="1"/>
    <col min="6" max="6" width="13.3046875" style="3" customWidth="1"/>
    <col min="7" max="7" width="12.4609375" style="102" customWidth="1"/>
    <col min="8" max="8" width="13.765625" style="3" customWidth="1"/>
    <col min="9" max="9" width="12.53515625" style="3" customWidth="1"/>
    <col min="10" max="10" width="1.69140625" style="3" hidden="1" customWidth="1"/>
    <col min="11" max="11" width="10.23046875" style="3" hidden="1" customWidth="1"/>
    <col min="12" max="12" width="15.4609375" style="3" hidden="1" customWidth="1"/>
    <col min="13" max="13" width="14.07421875" style="3" hidden="1" customWidth="1"/>
    <col min="14" max="14" width="14.765625" style="3" hidden="1" customWidth="1"/>
    <col min="15" max="15" width="20.84375" style="3" hidden="1" customWidth="1"/>
    <col min="16" max="16" width="12.4609375" style="3" hidden="1" customWidth="1"/>
    <col min="17" max="17" width="14.23046875" style="3" hidden="1" customWidth="1"/>
    <col min="18" max="18" width="10.23046875" style="3" customWidth="1"/>
    <col min="19" max="19" width="6.84375" style="3" customWidth="1"/>
    <col min="20" max="20" width="8.84375" style="3"/>
    <col min="21" max="21" width="7.765625" style="3" customWidth="1"/>
    <col min="22" max="16384" width="8.84375" style="3"/>
  </cols>
  <sheetData>
    <row r="2" spans="1:22" ht="18.75" customHeight="1" x14ac:dyDescent="0.35">
      <c r="B2" s="815" t="s">
        <v>5</v>
      </c>
      <c r="C2" s="815"/>
      <c r="D2" s="815"/>
      <c r="E2" s="815"/>
      <c r="F2" s="815"/>
      <c r="G2" s="815"/>
      <c r="H2" s="815"/>
      <c r="I2" s="815"/>
      <c r="J2" s="815"/>
    </row>
    <row r="3" spans="1:22" ht="18.75" customHeight="1" x14ac:dyDescent="0.35">
      <c r="B3" s="815" t="s">
        <v>117</v>
      </c>
      <c r="C3" s="815"/>
      <c r="D3" s="815"/>
      <c r="E3" s="815"/>
      <c r="F3" s="815"/>
      <c r="G3" s="815"/>
      <c r="H3" s="815"/>
      <c r="I3" s="815"/>
      <c r="J3" s="815"/>
    </row>
    <row r="4" spans="1:22" ht="18" x14ac:dyDescent="0.4">
      <c r="B4" s="756" t="str">
        <f>CONCATENATE("For Service Rendered On and After ",'Input Data'!$D$4)</f>
        <v>For Service Rendered On and After August 1, 2022</v>
      </c>
      <c r="C4" s="756"/>
      <c r="D4" s="756"/>
      <c r="E4" s="756"/>
      <c r="F4" s="756"/>
      <c r="G4" s="756"/>
      <c r="H4" s="756"/>
      <c r="I4" s="756"/>
      <c r="J4" s="259"/>
    </row>
    <row r="5" spans="1:22" ht="18" x14ac:dyDescent="0.4">
      <c r="B5" s="88"/>
      <c r="D5" s="88"/>
      <c r="E5" s="88"/>
      <c r="F5" s="88"/>
      <c r="G5" s="103"/>
      <c r="H5" s="88"/>
      <c r="I5" s="88"/>
      <c r="J5" s="88"/>
      <c r="L5" s="264" t="s">
        <v>275</v>
      </c>
      <c r="M5" s="34"/>
      <c r="N5" s="34"/>
      <c r="O5" s="34"/>
      <c r="P5" s="34"/>
    </row>
    <row r="6" spans="1:22" ht="18" x14ac:dyDescent="0.4">
      <c r="C6" s="104"/>
      <c r="D6" s="104"/>
      <c r="E6" s="104"/>
      <c r="F6" s="104"/>
      <c r="G6" s="105"/>
      <c r="H6" s="104"/>
      <c r="I6" s="104"/>
      <c r="J6" s="104"/>
      <c r="L6" s="264" t="s">
        <v>230</v>
      </c>
      <c r="M6" s="32"/>
      <c r="N6" s="32"/>
      <c r="O6" s="32"/>
      <c r="P6" s="32"/>
      <c r="Q6" s="34"/>
      <c r="R6" s="34"/>
    </row>
    <row r="7" spans="1:22" ht="25" x14ac:dyDescent="0.5">
      <c r="C7" s="3" t="s">
        <v>547</v>
      </c>
      <c r="F7" s="106"/>
      <c r="G7" s="106"/>
      <c r="H7" s="106"/>
      <c r="I7" s="106"/>
      <c r="J7" s="107"/>
      <c r="L7" s="812" t="s">
        <v>211</v>
      </c>
      <c r="M7" s="813"/>
      <c r="N7" s="813"/>
      <c r="O7" s="813"/>
      <c r="P7" s="814"/>
    </row>
    <row r="8" spans="1:22" x14ac:dyDescent="0.35">
      <c r="B8" s="108"/>
      <c r="C8" s="108"/>
      <c r="D8" s="108"/>
      <c r="E8" s="108"/>
      <c r="F8" s="108"/>
      <c r="G8" s="109"/>
      <c r="H8" s="108"/>
      <c r="I8" s="108"/>
      <c r="J8" s="107"/>
      <c r="L8" s="816" t="s">
        <v>245</v>
      </c>
      <c r="M8" s="817"/>
      <c r="N8" s="817"/>
      <c r="O8" s="817"/>
      <c r="P8" s="818"/>
    </row>
    <row r="9" spans="1:22" ht="77.5" x14ac:dyDescent="0.35">
      <c r="A9" s="714" t="s">
        <v>247</v>
      </c>
      <c r="B9" s="714" t="s">
        <v>371</v>
      </c>
      <c r="C9" s="714" t="s">
        <v>0</v>
      </c>
      <c r="D9" s="714" t="s">
        <v>217</v>
      </c>
      <c r="E9" s="714" t="s">
        <v>218</v>
      </c>
      <c r="F9" s="714" t="s">
        <v>219</v>
      </c>
      <c r="G9" s="110" t="s">
        <v>220</v>
      </c>
      <c r="H9" s="714" t="s">
        <v>232</v>
      </c>
      <c r="I9" s="811" t="s">
        <v>613</v>
      </c>
      <c r="J9" s="811"/>
      <c r="L9" s="83"/>
      <c r="M9" s="319" t="s">
        <v>210</v>
      </c>
      <c r="N9" s="320" t="s">
        <v>642</v>
      </c>
      <c r="O9" s="319" t="s">
        <v>212</v>
      </c>
      <c r="P9" s="265" t="s">
        <v>30</v>
      </c>
    </row>
    <row r="10" spans="1:22" ht="21.75" customHeight="1" x14ac:dyDescent="0.4">
      <c r="A10" s="200"/>
      <c r="B10" s="108" t="s">
        <v>60</v>
      </c>
      <c r="C10" s="106" t="s">
        <v>61</v>
      </c>
      <c r="D10" s="106" t="s">
        <v>62</v>
      </c>
      <c r="E10" s="106" t="s">
        <v>63</v>
      </c>
      <c r="F10" s="106" t="s">
        <v>495</v>
      </c>
      <c r="G10" s="111" t="s">
        <v>65</v>
      </c>
      <c r="H10" s="106" t="s">
        <v>491</v>
      </c>
      <c r="I10" s="106" t="s">
        <v>111</v>
      </c>
      <c r="L10" s="304">
        <f>'Input Data'!C4</f>
        <v>44774</v>
      </c>
      <c r="M10" s="81">
        <f>VLOOKUP(L10,Forecast!A$1:K$200,9)</f>
        <v>671507</v>
      </c>
      <c r="N10" s="81">
        <f>VLOOKUP(L10,Forecast!A$19:$K$200,10)</f>
        <v>17490</v>
      </c>
      <c r="O10" s="81">
        <f>VLOOKUP(L10,Forecast!A$1:K$200,3)</f>
        <v>73156</v>
      </c>
      <c r="P10" s="305">
        <f>SUM(M10:O10)</f>
        <v>762153</v>
      </c>
      <c r="R10" s="47"/>
      <c r="T10" s="47"/>
      <c r="V10" s="47"/>
    </row>
    <row r="11" spans="1:22" ht="18" x14ac:dyDescent="0.4">
      <c r="A11" s="710"/>
      <c r="B11" s="108"/>
      <c r="C11" s="108"/>
      <c r="D11" s="108"/>
      <c r="E11" s="108"/>
      <c r="F11" s="108"/>
      <c r="G11" s="109"/>
      <c r="H11" s="108"/>
      <c r="I11" s="108"/>
      <c r="L11" s="117">
        <f>EDATE(L10,1)</f>
        <v>44805</v>
      </c>
      <c r="M11" s="81">
        <f>VLOOKUP(L11,Forecast!A$1:K$200,9)</f>
        <v>783136</v>
      </c>
      <c r="N11" s="81">
        <f>VLOOKUP(L11,Forecast!A$19:$K$200,10)</f>
        <v>15683</v>
      </c>
      <c r="O11" s="81">
        <f>VLOOKUP(L11,Forecast!A$1:K$200,3)</f>
        <v>74365</v>
      </c>
      <c r="P11" s="306">
        <f t="shared" ref="P11:P21" si="0">SUM(M11:O11)</f>
        <v>873184</v>
      </c>
      <c r="R11" s="47"/>
      <c r="T11" s="47"/>
      <c r="V11" s="47"/>
    </row>
    <row r="12" spans="1:22" x14ac:dyDescent="0.35">
      <c r="A12" s="711">
        <v>1</v>
      </c>
      <c r="B12" s="112">
        <f>'Input Data'!C4</f>
        <v>44774</v>
      </c>
      <c r="C12" s="329" t="str">
        <f>VLOOKUP(B12,'Case Database'!$A$2:$H$200,3,FALSE)</f>
        <v>2022-00180</v>
      </c>
      <c r="D12" s="19">
        <f>'Input Data'!D152</f>
        <v>0</v>
      </c>
      <c r="E12" s="19">
        <f>'Input Data'!D153</f>
        <v>0</v>
      </c>
      <c r="F12" s="19">
        <f>+D12+E12</f>
        <v>0</v>
      </c>
      <c r="G12" s="102">
        <f>P23</f>
        <v>32218232</v>
      </c>
      <c r="H12" s="113">
        <f>+ROUND(F12/G12,4)</f>
        <v>0</v>
      </c>
      <c r="I12" s="555">
        <f>H12/10</f>
        <v>0</v>
      </c>
      <c r="J12" s="13" t="s">
        <v>216</v>
      </c>
      <c r="L12" s="117">
        <f t="shared" ref="L12:L20" si="1">EDATE(L11,1)</f>
        <v>44835</v>
      </c>
      <c r="M12" s="81">
        <f>VLOOKUP(L12,Forecast!A$1:K$200,9)</f>
        <v>1580455</v>
      </c>
      <c r="N12" s="81">
        <f>VLOOKUP(L12,Forecast!A$19:$K$200,10)</f>
        <v>16417</v>
      </c>
      <c r="O12" s="81">
        <f>VLOOKUP(L12,Forecast!A$1:K$200,3)</f>
        <v>80684</v>
      </c>
      <c r="P12" s="306">
        <f t="shared" si="0"/>
        <v>1677556</v>
      </c>
      <c r="R12" s="47"/>
      <c r="T12" s="47"/>
      <c r="V12" s="47"/>
    </row>
    <row r="13" spans="1:22" ht="14.25" customHeight="1" x14ac:dyDescent="0.35">
      <c r="A13" s="711">
        <v>2</v>
      </c>
      <c r="B13" s="112">
        <f>EDATE(B12,-3)</f>
        <v>44682</v>
      </c>
      <c r="C13" s="329" t="str">
        <f>VLOOKUP(B13,'Case Database'!$A$2:$H$200,3,FALSE)</f>
        <v>2022-00083</v>
      </c>
      <c r="D13" s="19">
        <f>VLOOKUP($C13,'Case Database'!$C$3:$O$200,12)</f>
        <v>0</v>
      </c>
      <c r="E13" s="19">
        <f>VLOOKUP($C13,'Case Database'!$C$3:$O$200,13)</f>
        <v>0</v>
      </c>
      <c r="F13" s="19">
        <f>+D13+E13</f>
        <v>0</v>
      </c>
      <c r="G13" s="674">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32226794</v>
      </c>
      <c r="H13" s="113">
        <f>+ROUND(F13/G13,4)</f>
        <v>0</v>
      </c>
      <c r="I13" s="555">
        <f>H13/10</f>
        <v>0</v>
      </c>
      <c r="J13" s="13" t="s">
        <v>216</v>
      </c>
      <c r="L13" s="117">
        <f>EDATE(L12,1)</f>
        <v>44866</v>
      </c>
      <c r="M13" s="81">
        <f>VLOOKUP(L13,Forecast!A$1:K$200,9)</f>
        <v>3214920</v>
      </c>
      <c r="N13" s="81">
        <f>VLOOKUP(L13,Forecast!A$19:$K$200,10)</f>
        <v>24254</v>
      </c>
      <c r="O13" s="81">
        <f>VLOOKUP(L13,Forecast!A$1:K$200,3)</f>
        <v>67937</v>
      </c>
      <c r="P13" s="306">
        <f t="shared" si="0"/>
        <v>3307111</v>
      </c>
      <c r="R13" s="47"/>
      <c r="T13" s="47"/>
      <c r="V13" s="47"/>
    </row>
    <row r="14" spans="1:22" x14ac:dyDescent="0.35">
      <c r="A14" s="711">
        <v>3</v>
      </c>
      <c r="B14" s="112">
        <f>EDATE(B13,-3)</f>
        <v>44593</v>
      </c>
      <c r="C14" s="329" t="str">
        <f>VLOOKUP(B14,'Case Database'!$A$2:$H$200,3,FALSE)</f>
        <v>2021-00458</v>
      </c>
      <c r="D14" s="19">
        <f>VLOOKUP($C14,'Case Database'!$C$3:$O$200,12)</f>
        <v>0</v>
      </c>
      <c r="E14" s="19">
        <f>VLOOKUP($C14,'Case Database'!$C$3:$O$200,13)</f>
        <v>0</v>
      </c>
      <c r="F14" s="19">
        <f>+D14+E14</f>
        <v>0</v>
      </c>
      <c r="G14" s="674">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32232564</v>
      </c>
      <c r="H14" s="113">
        <f>+ROUND(F14/G14,4)</f>
        <v>0</v>
      </c>
      <c r="I14" s="555">
        <f>H14/10</f>
        <v>0</v>
      </c>
      <c r="J14" s="13" t="s">
        <v>216</v>
      </c>
      <c r="L14" s="117">
        <f t="shared" si="1"/>
        <v>44896</v>
      </c>
      <c r="M14" s="81">
        <f>VLOOKUP(L14,Forecast!A$1:K$200,9)</f>
        <v>5107593</v>
      </c>
      <c r="N14" s="81">
        <f>VLOOKUP(L14,Forecast!A$19:$K$200,10)</f>
        <v>12496</v>
      </c>
      <c r="O14" s="81">
        <f>VLOOKUP(L14,Forecast!A$1:K$200,3)</f>
        <v>53759</v>
      </c>
      <c r="P14" s="306">
        <f t="shared" si="0"/>
        <v>5173848</v>
      </c>
      <c r="R14" s="47"/>
      <c r="T14" s="47"/>
      <c r="V14" s="47"/>
    </row>
    <row r="15" spans="1:22" ht="15" customHeight="1" x14ac:dyDescent="0.35">
      <c r="A15" s="711">
        <v>4</v>
      </c>
      <c r="B15" s="112">
        <f>EDATE(B14,-3)</f>
        <v>44501</v>
      </c>
      <c r="C15" s="329" t="str">
        <f>VLOOKUP(B15,'Case Database'!$A$2:$H$200,3,FALSE)</f>
        <v>2021-00368</v>
      </c>
      <c r="D15" s="19">
        <f>VLOOKUP($C15,'Case Database'!$C$3:$O$200,12)</f>
        <v>0</v>
      </c>
      <c r="E15" s="19">
        <f>VLOOKUP($C15,'Case Database'!$C$3:$O$200,13)</f>
        <v>0</v>
      </c>
      <c r="F15" s="19">
        <f>+D15+E15</f>
        <v>0</v>
      </c>
      <c r="G15" s="674">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32260172</v>
      </c>
      <c r="H15" s="114">
        <f>+ROUND(F15/G15,4)</f>
        <v>0</v>
      </c>
      <c r="I15" s="555">
        <f>H15/10</f>
        <v>0</v>
      </c>
      <c r="J15" s="13" t="s">
        <v>216</v>
      </c>
      <c r="L15" s="117">
        <f t="shared" si="1"/>
        <v>44927</v>
      </c>
      <c r="M15" s="81">
        <f>VLOOKUP(L15,Forecast!A$1:K$200,9)</f>
        <v>6068873</v>
      </c>
      <c r="N15" s="81">
        <f>VLOOKUP(L15,Forecast!A$19:$K$200,10)</f>
        <v>19723</v>
      </c>
      <c r="O15" s="81">
        <f>VLOOKUP(L15,Forecast!A$1:K$200,3)</f>
        <v>42327</v>
      </c>
      <c r="P15" s="306">
        <f t="shared" si="0"/>
        <v>6130923</v>
      </c>
      <c r="R15" s="47"/>
      <c r="T15" s="47"/>
      <c r="V15" s="47"/>
    </row>
    <row r="16" spans="1:22" ht="15" customHeight="1" x14ac:dyDescent="0.35">
      <c r="A16" s="711"/>
      <c r="L16" s="117">
        <f t="shared" si="1"/>
        <v>44958</v>
      </c>
      <c r="M16" s="81">
        <f>VLOOKUP(L16,Forecast!A$1:K$200,9)</f>
        <v>5101927</v>
      </c>
      <c r="N16" s="81">
        <f>VLOOKUP(L16,Forecast!A$19:$K$200,10)</f>
        <v>21039</v>
      </c>
      <c r="O16" s="81">
        <f>VLOOKUP(L16,Forecast!A$1:K$200,3)</f>
        <v>43450</v>
      </c>
      <c r="P16" s="306">
        <f t="shared" si="0"/>
        <v>5166416</v>
      </c>
      <c r="R16" s="47"/>
      <c r="T16" s="47"/>
      <c r="V16" s="47"/>
    </row>
    <row r="17" spans="1:85" x14ac:dyDescent="0.35">
      <c r="A17" s="711">
        <v>5</v>
      </c>
      <c r="G17" s="54" t="s">
        <v>314</v>
      </c>
      <c r="H17" s="556">
        <f>SUM(H12:H15)</f>
        <v>0</v>
      </c>
      <c r="L17" s="117">
        <f t="shared" si="1"/>
        <v>44986</v>
      </c>
      <c r="M17" s="81">
        <f>VLOOKUP(L17,Forecast!A$1:K$200,9)</f>
        <v>4021998</v>
      </c>
      <c r="N17" s="81">
        <f>VLOOKUP(L17,Forecast!A$19:$K$200,10)</f>
        <v>17380</v>
      </c>
      <c r="O17" s="81">
        <f>VLOOKUP(L17,Forecast!A$1:K$200,3)</f>
        <v>61771</v>
      </c>
      <c r="P17" s="306">
        <f t="shared" si="0"/>
        <v>4101149</v>
      </c>
      <c r="R17" s="47"/>
      <c r="T17" s="47"/>
      <c r="V17" s="47"/>
    </row>
    <row r="18" spans="1:85" ht="18" x14ac:dyDescent="0.4">
      <c r="A18" s="710"/>
      <c r="L18" s="117">
        <f t="shared" si="1"/>
        <v>45017</v>
      </c>
      <c r="M18" s="81">
        <f>VLOOKUP(L18,Forecast!A$1:K$200,9)</f>
        <v>2103412</v>
      </c>
      <c r="N18" s="81">
        <f>VLOOKUP(L18,Forecast!A$19:$K$200,10)</f>
        <v>23937</v>
      </c>
      <c r="O18" s="81">
        <f>VLOOKUP(L18,Forecast!A$1:K$200,3)</f>
        <v>69194</v>
      </c>
      <c r="P18" s="306">
        <f t="shared" si="0"/>
        <v>2196543</v>
      </c>
      <c r="R18" s="47"/>
      <c r="T18" s="47"/>
      <c r="V18" s="47"/>
    </row>
    <row r="19" spans="1:85" ht="18" x14ac:dyDescent="0.4">
      <c r="A19" s="710"/>
      <c r="L19" s="117">
        <f t="shared" si="1"/>
        <v>45047</v>
      </c>
      <c r="M19" s="81">
        <f>VLOOKUP(L19,Forecast!A$1:K$200,9)</f>
        <v>1192115</v>
      </c>
      <c r="N19" s="81">
        <f>VLOOKUP(L19,Forecast!A$19:$K$200,10)</f>
        <v>19297</v>
      </c>
      <c r="O19" s="81">
        <f>VLOOKUP(L19,Forecast!A$1:K$200,3)</f>
        <v>74775</v>
      </c>
      <c r="P19" s="306">
        <f t="shared" si="0"/>
        <v>1286187</v>
      </c>
      <c r="R19" s="47"/>
      <c r="T19" s="47"/>
      <c r="V19" s="47"/>
    </row>
    <row r="20" spans="1:85" ht="18" x14ac:dyDescent="0.4">
      <c r="A20" s="710"/>
      <c r="L20" s="117">
        <f t="shared" si="1"/>
        <v>45078</v>
      </c>
      <c r="M20" s="81">
        <f>VLOOKUP(L20,Forecast!A$1:K$200,9)</f>
        <v>729943</v>
      </c>
      <c r="N20" s="81">
        <f>VLOOKUP(L20,Forecast!A$19:$K$200,10)</f>
        <v>17980</v>
      </c>
      <c r="O20" s="81">
        <f>VLOOKUP(L20,Forecast!A$1:K$200,3)</f>
        <v>58490</v>
      </c>
      <c r="P20" s="306">
        <f t="shared" si="0"/>
        <v>806413</v>
      </c>
      <c r="R20" s="47"/>
      <c r="T20" s="47"/>
      <c r="V20" s="47"/>
    </row>
    <row r="21" spans="1:85" ht="18" x14ac:dyDescent="0.4">
      <c r="A21" s="710"/>
      <c r="F21" s="115"/>
      <c r="H21" s="115"/>
      <c r="L21" s="117">
        <f>EDATE(L20,1)</f>
        <v>45108</v>
      </c>
      <c r="M21" s="81">
        <f>VLOOKUP(L21,Forecast!A$1:K$200,9)</f>
        <v>664044</v>
      </c>
      <c r="N21" s="81">
        <f>VLOOKUP(L21,Forecast!A$19:$K$200,10)</f>
        <v>17490</v>
      </c>
      <c r="O21" s="81">
        <f>VLOOKUP(L21,Forecast!A$1:K$200,3)</f>
        <v>55215</v>
      </c>
      <c r="P21" s="306">
        <f t="shared" si="0"/>
        <v>736749</v>
      </c>
      <c r="R21" s="47"/>
      <c r="T21" s="47"/>
      <c r="V21" s="47"/>
    </row>
    <row r="22" spans="1:85" ht="18.5" thickBot="1" x14ac:dyDescent="0.45">
      <c r="A22" s="710"/>
      <c r="B22" s="112"/>
      <c r="D22" s="19"/>
      <c r="E22" s="19"/>
      <c r="F22" s="19"/>
      <c r="K22" s="29"/>
      <c r="L22" s="307"/>
      <c r="M22" s="308"/>
      <c r="N22" s="308"/>
      <c r="O22" s="308"/>
      <c r="P22" s="309"/>
      <c r="T22" s="47"/>
      <c r="V22" s="47"/>
    </row>
    <row r="23" spans="1:85" ht="16" thickBot="1" x14ac:dyDescent="0.4">
      <c r="B23" s="112"/>
      <c r="D23" s="19"/>
      <c r="E23" s="19"/>
      <c r="F23" s="19"/>
      <c r="L23" s="310"/>
      <c r="M23" s="311"/>
      <c r="N23" s="311"/>
      <c r="O23" s="739"/>
      <c r="P23" s="312">
        <f>SUM(P10:P22)</f>
        <v>32218232</v>
      </c>
      <c r="R23" s="47"/>
      <c r="T23" s="47"/>
      <c r="V23" s="47"/>
      <c r="W23" s="47"/>
    </row>
    <row r="24" spans="1:85" x14ac:dyDescent="0.35">
      <c r="B24" s="112"/>
      <c r="D24" s="19"/>
      <c r="E24" s="19"/>
      <c r="F24" s="19"/>
      <c r="L24" s="35"/>
      <c r="M24" s="35"/>
      <c r="N24" s="35"/>
      <c r="O24" s="35"/>
      <c r="P24" s="35"/>
      <c r="Q24" s="35"/>
      <c r="R24" s="35"/>
    </row>
    <row r="25" spans="1:85" x14ac:dyDescent="0.35">
      <c r="D25" s="602"/>
      <c r="E25" s="602"/>
      <c r="F25" s="602"/>
      <c r="M25" s="35"/>
      <c r="N25" s="35"/>
      <c r="O25" s="35"/>
      <c r="P25" s="35"/>
      <c r="Q25" s="35"/>
      <c r="R25" s="35"/>
    </row>
    <row r="26" spans="1:85" x14ac:dyDescent="0.35">
      <c r="D26" s="602"/>
      <c r="E26" s="602"/>
      <c r="F26" s="602"/>
    </row>
    <row r="27" spans="1:85" x14ac:dyDescent="0.35">
      <c r="D27" s="602"/>
      <c r="E27" s="602"/>
      <c r="F27" s="602"/>
    </row>
    <row r="28" spans="1:85" x14ac:dyDescent="0.35">
      <c r="D28" s="19"/>
      <c r="E28" s="19"/>
      <c r="F28" s="19"/>
    </row>
    <row r="29" spans="1:85" x14ac:dyDescent="0.35">
      <c r="D29" s="19"/>
      <c r="E29" s="19"/>
      <c r="F29" s="19"/>
      <c r="CG29" s="3" t="s">
        <v>271</v>
      </c>
    </row>
    <row r="30" spans="1:85" x14ac:dyDescent="0.35">
      <c r="D30" s="19"/>
      <c r="E30" s="19"/>
      <c r="F30" s="19"/>
      <c r="CG30" s="3" t="s">
        <v>274</v>
      </c>
    </row>
    <row r="31" spans="1:85" x14ac:dyDescent="0.35">
      <c r="D31" s="19"/>
      <c r="E31" s="19"/>
      <c r="F31" s="19"/>
    </row>
    <row r="32" spans="1:85" x14ac:dyDescent="0.35">
      <c r="D32" s="19"/>
      <c r="E32" s="19"/>
      <c r="F32" s="19"/>
      <c r="CG32" s="3">
        <v>-411623</v>
      </c>
    </row>
    <row r="33" spans="7:85" x14ac:dyDescent="0.35">
      <c r="G33" s="3"/>
    </row>
    <row r="34" spans="7:85" x14ac:dyDescent="0.35">
      <c r="G34" s="3"/>
      <c r="CA34" s="3" t="e">
        <v>#REF!</v>
      </c>
      <c r="CB34" s="3" t="s">
        <v>61</v>
      </c>
      <c r="CC34" s="3" t="e">
        <v>#REF!</v>
      </c>
      <c r="CD34" s="3" t="s">
        <v>60</v>
      </c>
      <c r="CE34" s="3" t="e">
        <v>#REF!</v>
      </c>
      <c r="CF34" s="3" t="s">
        <v>60</v>
      </c>
      <c r="CG34" s="3">
        <v>-402587.94319999998</v>
      </c>
    </row>
    <row r="35" spans="7:85" x14ac:dyDescent="0.35">
      <c r="G35" s="3"/>
      <c r="CC35" s="3" t="e">
        <v>#REF!</v>
      </c>
      <c r="CD35" s="3" t="s">
        <v>60</v>
      </c>
      <c r="CE35" s="3" t="e">
        <v>#REF!</v>
      </c>
      <c r="CF35" s="3" t="s">
        <v>60</v>
      </c>
      <c r="CG35" s="3">
        <v>-389209.51574</v>
      </c>
    </row>
    <row r="36" spans="7:85" x14ac:dyDescent="0.35">
      <c r="G36" s="3"/>
      <c r="CC36" s="3" t="e">
        <v>#REF!</v>
      </c>
      <c r="CD36" s="3" t="s">
        <v>60</v>
      </c>
      <c r="CE36" s="3" t="e">
        <v>#REF!</v>
      </c>
      <c r="CF36" s="3" t="s">
        <v>60</v>
      </c>
      <c r="CG36" s="3">
        <v>-379257.88942999998</v>
      </c>
    </row>
    <row r="37" spans="7:85" x14ac:dyDescent="0.35">
      <c r="G37" s="3"/>
      <c r="CC37" s="3" t="e">
        <v>#REF!</v>
      </c>
      <c r="CD37" s="3" t="s">
        <v>61</v>
      </c>
      <c r="CE37" s="3" t="e">
        <v>#REF!</v>
      </c>
      <c r="CF37" s="3" t="s">
        <v>60</v>
      </c>
      <c r="CG37" s="3">
        <v>-369315.90457999997</v>
      </c>
    </row>
    <row r="38" spans="7:85" x14ac:dyDescent="0.35">
      <c r="G38" s="3"/>
      <c r="CE38" s="3" t="e">
        <v>#REF!</v>
      </c>
      <c r="CF38" s="3" t="s">
        <v>60</v>
      </c>
      <c r="CG38" s="3">
        <v>-359018.76595999999</v>
      </c>
    </row>
    <row r="39" spans="7:85" x14ac:dyDescent="0.35">
      <c r="G39" s="3"/>
      <c r="CE39" s="3" t="e">
        <v>#REF!</v>
      </c>
      <c r="CF39" s="3" t="s">
        <v>60</v>
      </c>
      <c r="CG39" s="3">
        <v>-345075.15596</v>
      </c>
    </row>
    <row r="40" spans="7:85" x14ac:dyDescent="0.35">
      <c r="G40" s="3"/>
      <c r="CE40" s="3" t="e">
        <v>#REF!</v>
      </c>
      <c r="CF40" s="3" t="s">
        <v>61</v>
      </c>
      <c r="CG40" s="3">
        <v>-318552.39218000002</v>
      </c>
    </row>
    <row r="41" spans="7:85" x14ac:dyDescent="0.35">
      <c r="G41" s="3"/>
      <c r="CG41" s="3">
        <v>-272826.39557000005</v>
      </c>
    </row>
    <row r="42" spans="7:85" x14ac:dyDescent="0.35">
      <c r="G42" s="3"/>
      <c r="CG42" s="3">
        <v>-205104.66959000006</v>
      </c>
    </row>
    <row r="43" spans="7:85" x14ac:dyDescent="0.35">
      <c r="G43" s="3"/>
      <c r="CG43" s="3">
        <v>-140806.26692000008</v>
      </c>
    </row>
    <row r="44" spans="7:85" x14ac:dyDescent="0.35">
      <c r="G44" s="3"/>
      <c r="CG44" s="3">
        <v>-95338.527020000081</v>
      </c>
    </row>
    <row r="45" spans="7:85" x14ac:dyDescent="0.35">
      <c r="G45" s="3"/>
      <c r="CG45" s="3">
        <v>-76782.608450000087</v>
      </c>
    </row>
    <row r="46" spans="7:85" x14ac:dyDescent="0.35">
      <c r="G46" s="3"/>
      <c r="CG46" s="3">
        <v>-68418.687050000095</v>
      </c>
    </row>
    <row r="47" spans="7:85" x14ac:dyDescent="0.35">
      <c r="G47" s="3"/>
    </row>
    <row r="48" spans="7:85" x14ac:dyDescent="0.35">
      <c r="G48" s="3"/>
    </row>
    <row r="49" spans="7:85" x14ac:dyDescent="0.35">
      <c r="G49" s="3"/>
    </row>
    <row r="50" spans="7:85" x14ac:dyDescent="0.35">
      <c r="G50" s="3"/>
      <c r="CG50" s="3">
        <v>-68418.687050000095</v>
      </c>
    </row>
    <row r="51" spans="7:85" x14ac:dyDescent="0.35">
      <c r="G51" s="3"/>
    </row>
    <row r="52" spans="7:85" x14ac:dyDescent="0.35">
      <c r="G52" s="3"/>
    </row>
    <row r="53" spans="7:85" x14ac:dyDescent="0.35">
      <c r="G53" s="3"/>
    </row>
    <row r="54" spans="7:85" x14ac:dyDescent="0.35">
      <c r="G54" s="3"/>
    </row>
    <row r="55" spans="7:85" x14ac:dyDescent="0.35">
      <c r="G55" s="3"/>
    </row>
    <row r="56" spans="7:85" x14ac:dyDescent="0.35">
      <c r="G56" s="3"/>
    </row>
    <row r="57" spans="7:85" x14ac:dyDescent="0.35">
      <c r="G57" s="3"/>
    </row>
    <row r="58" spans="7:85" x14ac:dyDescent="0.35">
      <c r="G58" s="3"/>
      <c r="L58" s="35"/>
      <c r="M58" s="35"/>
      <c r="N58" s="29"/>
      <c r="O58" s="29"/>
      <c r="P58" s="29"/>
      <c r="Q58" s="29"/>
      <c r="R58" s="29"/>
      <c r="S58" s="29"/>
      <c r="T58" s="29"/>
      <c r="U58" s="29"/>
      <c r="V58" s="29"/>
      <c r="W58" s="29"/>
    </row>
    <row r="59" spans="7:85" x14ac:dyDescent="0.35">
      <c r="G59" s="3"/>
      <c r="L59" s="266"/>
      <c r="M59" s="266"/>
      <c r="N59" s="29"/>
      <c r="O59" s="29"/>
      <c r="P59" s="29"/>
      <c r="Q59" s="29"/>
      <c r="R59" s="29"/>
      <c r="S59" s="29"/>
      <c r="T59" s="29"/>
      <c r="U59" s="29"/>
      <c r="V59" s="29"/>
      <c r="W59" s="29"/>
    </row>
    <row r="60" spans="7:85" ht="15.75" customHeight="1" x14ac:dyDescent="0.35">
      <c r="G60" s="3"/>
      <c r="L60" s="29"/>
      <c r="M60" s="266"/>
      <c r="N60" s="29"/>
      <c r="O60" s="29"/>
      <c r="P60" s="29"/>
      <c r="Q60" s="29"/>
      <c r="R60" s="29"/>
      <c r="S60" s="29"/>
      <c r="T60" s="29"/>
      <c r="U60" s="29"/>
      <c r="V60" s="29"/>
      <c r="W60" s="29"/>
    </row>
    <row r="61" spans="7:85" x14ac:dyDescent="0.35">
      <c r="G61" s="3"/>
      <c r="L61" s="267"/>
      <c r="M61" s="35"/>
      <c r="N61" s="29"/>
      <c r="O61" s="29"/>
      <c r="P61" s="29"/>
      <c r="Q61" s="29"/>
      <c r="R61" s="29"/>
      <c r="S61" s="29"/>
      <c r="T61" s="29"/>
      <c r="U61" s="29"/>
      <c r="V61" s="29"/>
      <c r="W61" s="29"/>
    </row>
    <row r="62" spans="7:85" x14ac:dyDescent="0.35">
      <c r="G62" s="3"/>
      <c r="L62" s="267"/>
      <c r="M62" s="35"/>
      <c r="N62" s="29"/>
      <c r="O62" s="29"/>
      <c r="P62" s="29"/>
      <c r="Q62" s="29"/>
      <c r="R62" s="29"/>
      <c r="S62" s="29"/>
      <c r="T62" s="29"/>
      <c r="U62" s="29"/>
      <c r="V62" s="29"/>
      <c r="W62" s="29"/>
    </row>
    <row r="63" spans="7:85" x14ac:dyDescent="0.35">
      <c r="G63" s="3"/>
      <c r="L63" s="267"/>
      <c r="M63" s="35"/>
      <c r="N63" s="29"/>
      <c r="O63" s="29"/>
      <c r="P63" s="29"/>
      <c r="Q63" s="29"/>
      <c r="R63" s="29"/>
      <c r="S63" s="29"/>
      <c r="T63" s="29"/>
      <c r="U63" s="29"/>
      <c r="V63" s="29"/>
      <c r="W63" s="29"/>
    </row>
    <row r="64" spans="7:85" x14ac:dyDescent="0.35">
      <c r="G64" s="3"/>
      <c r="L64" s="267"/>
      <c r="M64" s="35"/>
      <c r="N64" s="29"/>
      <c r="O64" s="29"/>
      <c r="P64" s="29"/>
      <c r="Q64" s="29"/>
      <c r="R64" s="29"/>
      <c r="S64" s="29"/>
      <c r="T64" s="29"/>
      <c r="U64" s="29"/>
      <c r="V64" s="29"/>
      <c r="W64" s="29"/>
    </row>
    <row r="65" spans="7:23" x14ac:dyDescent="0.35">
      <c r="G65" s="3"/>
      <c r="L65" s="267"/>
      <c r="M65" s="35"/>
      <c r="N65" s="29"/>
      <c r="O65" s="29"/>
      <c r="P65" s="29"/>
      <c r="Q65" s="29"/>
      <c r="R65" s="29"/>
      <c r="S65" s="29"/>
      <c r="T65" s="29"/>
      <c r="U65" s="29"/>
      <c r="V65" s="29"/>
      <c r="W65" s="29"/>
    </row>
    <row r="66" spans="7:23" x14ac:dyDescent="0.35">
      <c r="G66" s="3"/>
      <c r="L66" s="267"/>
      <c r="M66" s="35"/>
      <c r="N66" s="29"/>
      <c r="O66" s="29"/>
      <c r="P66" s="29"/>
      <c r="Q66" s="29"/>
      <c r="R66" s="29"/>
      <c r="S66" s="29"/>
      <c r="T66" s="29"/>
      <c r="U66" s="29"/>
      <c r="V66" s="29"/>
      <c r="W66" s="29"/>
    </row>
    <row r="67" spans="7:23" x14ac:dyDescent="0.35">
      <c r="G67" s="3"/>
      <c r="L67" s="267"/>
      <c r="M67" s="35"/>
      <c r="N67" s="29"/>
      <c r="O67" s="29"/>
      <c r="P67" s="29"/>
      <c r="Q67" s="29"/>
      <c r="R67" s="29"/>
      <c r="S67" s="29"/>
      <c r="T67" s="29"/>
      <c r="U67" s="29"/>
      <c r="V67" s="29"/>
      <c r="W67" s="29"/>
    </row>
    <row r="68" spans="7:23" x14ac:dyDescent="0.35">
      <c r="G68" s="3"/>
      <c r="L68" s="267"/>
      <c r="M68" s="35"/>
      <c r="N68" s="29"/>
      <c r="O68" s="29"/>
      <c r="P68" s="29"/>
      <c r="Q68" s="29"/>
      <c r="R68" s="29"/>
      <c r="S68" s="29"/>
      <c r="T68" s="29"/>
      <c r="U68" s="29"/>
      <c r="V68" s="29"/>
      <c r="W68" s="29"/>
    </row>
    <row r="69" spans="7:23" x14ac:dyDescent="0.35">
      <c r="G69" s="3"/>
      <c r="L69" s="267"/>
      <c r="M69" s="35"/>
      <c r="N69" s="29"/>
      <c r="O69" s="29"/>
      <c r="P69" s="29"/>
      <c r="Q69" s="29"/>
      <c r="R69" s="29"/>
      <c r="S69" s="29"/>
      <c r="T69" s="29"/>
      <c r="U69" s="29"/>
      <c r="V69" s="29"/>
      <c r="W69" s="29"/>
    </row>
    <row r="70" spans="7:23" x14ac:dyDescent="0.35">
      <c r="G70" s="3"/>
      <c r="L70" s="267"/>
      <c r="M70" s="35"/>
      <c r="N70" s="29"/>
      <c r="O70" s="29"/>
      <c r="P70" s="29"/>
      <c r="Q70" s="29"/>
      <c r="R70" s="29"/>
      <c r="S70" s="29"/>
      <c r="T70" s="29"/>
      <c r="U70" s="29"/>
      <c r="V70" s="29"/>
      <c r="W70" s="29"/>
    </row>
    <row r="71" spans="7:23" x14ac:dyDescent="0.35">
      <c r="G71" s="3"/>
      <c r="L71" s="267"/>
      <c r="M71" s="35"/>
      <c r="N71" s="29"/>
      <c r="O71" s="29"/>
      <c r="P71" s="29"/>
      <c r="Q71" s="29"/>
      <c r="R71" s="29"/>
      <c r="S71" s="29"/>
      <c r="T71" s="29"/>
      <c r="U71" s="29"/>
      <c r="V71" s="29"/>
      <c r="W71" s="29"/>
    </row>
    <row r="72" spans="7:23" x14ac:dyDescent="0.35">
      <c r="G72" s="3"/>
      <c r="L72" s="267"/>
      <c r="M72" s="268"/>
      <c r="N72" s="35"/>
      <c r="O72" s="29"/>
      <c r="P72" s="29"/>
      <c r="Q72" s="29"/>
      <c r="R72" s="29"/>
      <c r="S72" s="29"/>
      <c r="T72" s="29"/>
      <c r="U72" s="29"/>
      <c r="V72" s="29"/>
      <c r="W72" s="29"/>
    </row>
    <row r="73" spans="7:23" x14ac:dyDescent="0.35">
      <c r="G73" s="3"/>
      <c r="L73" s="267"/>
      <c r="M73" s="268"/>
      <c r="N73" s="35"/>
      <c r="O73" s="29"/>
      <c r="P73" s="29"/>
      <c r="Q73" s="29"/>
      <c r="R73" s="29"/>
      <c r="S73" s="29"/>
      <c r="T73" s="29"/>
      <c r="U73" s="29"/>
      <c r="V73" s="29"/>
      <c r="W73" s="29"/>
    </row>
    <row r="74" spans="7:23" x14ac:dyDescent="0.35">
      <c r="G74" s="3"/>
      <c r="L74" s="267"/>
      <c r="M74" s="268"/>
      <c r="N74" s="35"/>
      <c r="O74" s="29"/>
      <c r="P74" s="29"/>
      <c r="Q74" s="29"/>
      <c r="R74" s="29"/>
      <c r="S74" s="29"/>
      <c r="T74" s="29"/>
      <c r="U74" s="29"/>
      <c r="V74" s="29"/>
      <c r="W74" s="29"/>
    </row>
    <row r="75" spans="7:23" x14ac:dyDescent="0.35">
      <c r="G75" s="3"/>
      <c r="L75" s="267"/>
      <c r="M75" s="268"/>
      <c r="N75" s="35"/>
      <c r="O75" s="29"/>
      <c r="P75" s="29"/>
      <c r="Q75" s="29"/>
      <c r="R75" s="29"/>
      <c r="S75" s="29"/>
      <c r="T75" s="29"/>
      <c r="U75" s="29"/>
      <c r="V75" s="29"/>
      <c r="W75" s="29"/>
    </row>
    <row r="76" spans="7:23" x14ac:dyDescent="0.35">
      <c r="G76" s="3"/>
      <c r="L76" s="267"/>
      <c r="M76" s="268"/>
      <c r="N76" s="35"/>
      <c r="O76" s="29"/>
      <c r="P76" s="29"/>
      <c r="Q76" s="29"/>
      <c r="R76" s="29"/>
      <c r="S76" s="29"/>
      <c r="T76" s="29"/>
      <c r="U76" s="29"/>
      <c r="V76" s="29"/>
      <c r="W76" s="29"/>
    </row>
    <row r="77" spans="7:23" x14ac:dyDescent="0.35">
      <c r="G77" s="3"/>
      <c r="L77" s="267"/>
      <c r="M77" s="268"/>
      <c r="N77" s="35"/>
      <c r="O77" s="29"/>
      <c r="P77" s="29"/>
      <c r="Q77" s="29"/>
      <c r="R77" s="29"/>
      <c r="S77" s="29"/>
      <c r="T77" s="29"/>
      <c r="U77" s="29"/>
      <c r="V77" s="29"/>
      <c r="W77" s="29"/>
    </row>
    <row r="78" spans="7:23" x14ac:dyDescent="0.35">
      <c r="G78" s="3"/>
      <c r="L78" s="267"/>
      <c r="M78" s="268"/>
      <c r="N78" s="35"/>
      <c r="O78" s="29"/>
      <c r="P78" s="29"/>
      <c r="Q78" s="29"/>
      <c r="R78" s="29"/>
      <c r="S78" s="29"/>
      <c r="T78" s="29"/>
      <c r="U78" s="29"/>
      <c r="V78" s="29"/>
      <c r="W78" s="29"/>
    </row>
    <row r="79" spans="7:23" x14ac:dyDescent="0.35">
      <c r="G79" s="3"/>
      <c r="L79" s="267"/>
      <c r="M79" s="268"/>
      <c r="N79" s="35"/>
      <c r="O79" s="29"/>
      <c r="P79" s="29"/>
      <c r="Q79" s="29"/>
      <c r="R79" s="29"/>
      <c r="S79" s="29"/>
      <c r="T79" s="29"/>
      <c r="U79" s="29"/>
      <c r="V79" s="29"/>
      <c r="W79" s="29"/>
    </row>
    <row r="80" spans="7:23" x14ac:dyDescent="0.35">
      <c r="G80" s="3"/>
      <c r="L80" s="267"/>
      <c r="M80" s="268"/>
      <c r="N80" s="35"/>
      <c r="O80" s="29"/>
      <c r="P80" s="29"/>
      <c r="Q80" s="29"/>
      <c r="R80" s="29"/>
      <c r="S80" s="29"/>
      <c r="T80" s="29"/>
      <c r="U80" s="29"/>
      <c r="V80" s="29"/>
      <c r="W80" s="29"/>
    </row>
    <row r="81" spans="7:23" x14ac:dyDescent="0.35">
      <c r="G81" s="3"/>
      <c r="L81" s="267"/>
      <c r="M81" s="268"/>
      <c r="N81" s="35"/>
      <c r="O81" s="29"/>
      <c r="P81" s="29"/>
      <c r="Q81" s="29"/>
      <c r="R81" s="29"/>
      <c r="S81" s="29"/>
      <c r="T81" s="29"/>
      <c r="U81" s="29"/>
      <c r="V81" s="29"/>
      <c r="W81" s="29"/>
    </row>
    <row r="82" spans="7:23" x14ac:dyDescent="0.35">
      <c r="G82" s="3"/>
      <c r="L82" s="267"/>
      <c r="M82" s="268"/>
      <c r="N82" s="35"/>
      <c r="O82" s="29"/>
      <c r="P82" s="29"/>
      <c r="Q82" s="29"/>
      <c r="R82" s="29"/>
      <c r="S82" s="29"/>
      <c r="T82" s="29"/>
      <c r="U82" s="29"/>
      <c r="V82" s="29"/>
      <c r="W82" s="29"/>
    </row>
    <row r="83" spans="7:23" x14ac:dyDescent="0.35">
      <c r="G83" s="3"/>
      <c r="L83" s="35"/>
      <c r="M83" s="35"/>
      <c r="N83" s="29"/>
      <c r="O83" s="29"/>
      <c r="P83" s="29"/>
      <c r="Q83" s="29"/>
      <c r="R83" s="29"/>
      <c r="S83" s="29"/>
      <c r="T83" s="29"/>
      <c r="U83" s="29"/>
      <c r="V83" s="29"/>
      <c r="W83" s="29"/>
    </row>
    <row r="84" spans="7:23" x14ac:dyDescent="0.35">
      <c r="G84" s="3"/>
      <c r="L84" s="29"/>
      <c r="M84" s="35"/>
      <c r="N84" s="29"/>
      <c r="O84" s="29"/>
      <c r="P84" s="29"/>
      <c r="Q84" s="29"/>
      <c r="R84" s="29"/>
      <c r="S84" s="29"/>
      <c r="T84" s="29"/>
      <c r="U84" s="29"/>
      <c r="V84" s="29"/>
      <c r="W84" s="29"/>
    </row>
    <row r="85" spans="7:23" x14ac:dyDescent="0.35">
      <c r="G85" s="3"/>
      <c r="L85" s="35"/>
      <c r="M85" s="35"/>
      <c r="N85" s="29"/>
      <c r="O85" s="29"/>
      <c r="P85" s="29"/>
      <c r="Q85" s="29"/>
      <c r="R85" s="29"/>
      <c r="S85" s="29"/>
      <c r="T85" s="29"/>
      <c r="U85" s="29"/>
      <c r="V85" s="29"/>
      <c r="W85" s="29"/>
    </row>
    <row r="86" spans="7:23" x14ac:dyDescent="0.35">
      <c r="G86" s="3"/>
      <c r="L86" s="29"/>
      <c r="M86" s="29"/>
      <c r="N86" s="29"/>
      <c r="O86" s="29"/>
      <c r="P86" s="29"/>
      <c r="Q86" s="29"/>
      <c r="R86" s="29"/>
      <c r="S86" s="29"/>
      <c r="T86" s="29"/>
      <c r="U86" s="29"/>
      <c r="V86" s="29"/>
      <c r="W86" s="29"/>
    </row>
    <row r="87" spans="7:23" x14ac:dyDescent="0.35">
      <c r="G87" s="3"/>
      <c r="L87" s="29"/>
      <c r="M87" s="29"/>
      <c r="N87" s="29"/>
      <c r="O87" s="29"/>
      <c r="P87" s="29"/>
      <c r="Q87" s="29"/>
      <c r="R87" s="29"/>
      <c r="S87" s="29"/>
      <c r="T87" s="29"/>
      <c r="U87" s="29"/>
      <c r="V87" s="29"/>
      <c r="W87" s="29"/>
    </row>
    <row r="88" spans="7:23" x14ac:dyDescent="0.35">
      <c r="G88" s="3"/>
      <c r="L88" s="29"/>
      <c r="M88" s="29"/>
      <c r="N88" s="29"/>
      <c r="O88" s="29"/>
      <c r="P88" s="29"/>
      <c r="Q88" s="29"/>
      <c r="R88" s="29"/>
      <c r="S88" s="29"/>
      <c r="T88" s="29"/>
      <c r="U88" s="29"/>
      <c r="V88" s="29"/>
      <c r="W88" s="29"/>
    </row>
    <row r="89" spans="7:23" x14ac:dyDescent="0.35">
      <c r="G89" s="3"/>
      <c r="L89" s="29"/>
      <c r="M89" s="29"/>
      <c r="N89" s="29"/>
      <c r="O89" s="29"/>
      <c r="P89" s="29"/>
      <c r="Q89" s="29"/>
      <c r="R89" s="29"/>
      <c r="S89" s="29"/>
      <c r="T89" s="29"/>
      <c r="U89" s="29"/>
      <c r="V89" s="29"/>
      <c r="W89" s="29"/>
    </row>
    <row r="90" spans="7:23" x14ac:dyDescent="0.35">
      <c r="G90" s="3"/>
      <c r="L90" s="29"/>
      <c r="M90" s="29"/>
      <c r="N90" s="29"/>
      <c r="O90" s="29"/>
      <c r="P90" s="29"/>
      <c r="Q90" s="29"/>
      <c r="R90" s="29"/>
      <c r="S90" s="29"/>
      <c r="T90" s="29"/>
      <c r="U90" s="29"/>
      <c r="V90" s="29"/>
      <c r="W90" s="29"/>
    </row>
    <row r="91" spans="7:23" x14ac:dyDescent="0.35">
      <c r="G91" s="3"/>
    </row>
    <row r="92" spans="7:23" x14ac:dyDescent="0.35">
      <c r="G92" s="3"/>
    </row>
    <row r="93" spans="7:23" x14ac:dyDescent="0.35">
      <c r="G93" s="3"/>
    </row>
    <row r="94" spans="7:23" x14ac:dyDescent="0.35">
      <c r="G94" s="3"/>
    </row>
    <row r="95" spans="7:23" x14ac:dyDescent="0.35">
      <c r="G95" s="3"/>
    </row>
    <row r="96" spans="7:23" x14ac:dyDescent="0.35">
      <c r="G96" s="3"/>
    </row>
    <row r="97" spans="7:7" x14ac:dyDescent="0.35">
      <c r="G97" s="3"/>
    </row>
    <row r="98" spans="7:7" x14ac:dyDescent="0.35">
      <c r="G98" s="3"/>
    </row>
    <row r="99" spans="7:7" x14ac:dyDescent="0.35">
      <c r="G99" s="3"/>
    </row>
    <row r="100" spans="7:7" x14ac:dyDescent="0.35">
      <c r="G100" s="3"/>
    </row>
    <row r="101" spans="7:7" x14ac:dyDescent="0.35">
      <c r="G101" s="3"/>
    </row>
    <row r="102" spans="7:7" x14ac:dyDescent="0.35">
      <c r="G102" s="3"/>
    </row>
    <row r="103" spans="7:7" x14ac:dyDescent="0.35">
      <c r="G103" s="3"/>
    </row>
    <row r="104" spans="7:7" x14ac:dyDescent="0.35">
      <c r="G104" s="3"/>
    </row>
    <row r="105" spans="7:7" x14ac:dyDescent="0.35">
      <c r="G105" s="3"/>
    </row>
    <row r="106" spans="7:7" x14ac:dyDescent="0.35">
      <c r="G106" s="3"/>
    </row>
    <row r="107" spans="7:7" x14ac:dyDescent="0.35">
      <c r="G107" s="3"/>
    </row>
    <row r="108" spans="7:7" x14ac:dyDescent="0.35">
      <c r="G108" s="3"/>
    </row>
    <row r="109" spans="7:7" x14ac:dyDescent="0.35">
      <c r="G109" s="3"/>
    </row>
    <row r="110" spans="7:7" x14ac:dyDescent="0.35">
      <c r="G110" s="3"/>
    </row>
    <row r="111" spans="7:7" x14ac:dyDescent="0.35">
      <c r="G111" s="3"/>
    </row>
    <row r="112" spans="7:7" x14ac:dyDescent="0.35">
      <c r="G112" s="3"/>
    </row>
    <row r="113" spans="7:7" x14ac:dyDescent="0.35">
      <c r="G113" s="3"/>
    </row>
    <row r="114" spans="7:7" x14ac:dyDescent="0.35">
      <c r="G114" s="3"/>
    </row>
    <row r="115" spans="7:7" x14ac:dyDescent="0.35">
      <c r="G115" s="3"/>
    </row>
    <row r="116" spans="7:7" x14ac:dyDescent="0.35">
      <c r="G116" s="3"/>
    </row>
    <row r="117" spans="7:7" x14ac:dyDescent="0.35">
      <c r="G117" s="3"/>
    </row>
    <row r="118" spans="7:7" x14ac:dyDescent="0.35">
      <c r="G118" s="3"/>
    </row>
    <row r="119" spans="7:7" x14ac:dyDescent="0.35">
      <c r="G119" s="3"/>
    </row>
    <row r="120" spans="7:7" x14ac:dyDescent="0.35">
      <c r="G120" s="3"/>
    </row>
    <row r="121" spans="7:7" x14ac:dyDescent="0.35">
      <c r="G121" s="3"/>
    </row>
    <row r="122" spans="7:7" x14ac:dyDescent="0.35">
      <c r="G122" s="3"/>
    </row>
    <row r="123" spans="7:7" x14ac:dyDescent="0.35">
      <c r="G123" s="3"/>
    </row>
    <row r="124" spans="7:7" x14ac:dyDescent="0.35">
      <c r="G124" s="3"/>
    </row>
    <row r="125" spans="7:7" x14ac:dyDescent="0.35">
      <c r="G125" s="3"/>
    </row>
    <row r="126" spans="7:7" x14ac:dyDescent="0.35">
      <c r="G126" s="3"/>
    </row>
    <row r="127" spans="7:7" x14ac:dyDescent="0.35">
      <c r="G127" s="3"/>
    </row>
    <row r="128" spans="7:7" x14ac:dyDescent="0.35">
      <c r="G128" s="3"/>
    </row>
    <row r="129" spans="7:7" x14ac:dyDescent="0.35">
      <c r="G129" s="3"/>
    </row>
    <row r="130" spans="7:7" x14ac:dyDescent="0.35">
      <c r="G130" s="3"/>
    </row>
    <row r="131" spans="7:7" x14ac:dyDescent="0.35">
      <c r="G131" s="3"/>
    </row>
    <row r="132" spans="7:7" x14ac:dyDescent="0.35">
      <c r="G132" s="3"/>
    </row>
    <row r="133" spans="7:7" x14ac:dyDescent="0.35">
      <c r="G133" s="3"/>
    </row>
    <row r="134" spans="7:7" x14ac:dyDescent="0.35">
      <c r="G134" s="3"/>
    </row>
    <row r="135" spans="7:7" x14ac:dyDescent="0.35">
      <c r="G135" s="3"/>
    </row>
    <row r="136" spans="7:7" x14ac:dyDescent="0.35">
      <c r="G136" s="3"/>
    </row>
    <row r="137" spans="7:7" x14ac:dyDescent="0.35">
      <c r="G137" s="3"/>
    </row>
    <row r="138" spans="7:7" x14ac:dyDescent="0.35">
      <c r="G138" s="3"/>
    </row>
    <row r="139" spans="7:7" x14ac:dyDescent="0.35">
      <c r="G139" s="3"/>
    </row>
    <row r="140" spans="7:7" x14ac:dyDescent="0.35">
      <c r="G140" s="3"/>
    </row>
    <row r="141" spans="7:7" x14ac:dyDescent="0.35">
      <c r="G141" s="3"/>
    </row>
    <row r="142" spans="7:7" x14ac:dyDescent="0.35">
      <c r="G142" s="3"/>
    </row>
    <row r="143" spans="7:7" x14ac:dyDescent="0.35">
      <c r="G143" s="3"/>
    </row>
    <row r="144" spans="7:7" x14ac:dyDescent="0.35">
      <c r="G144" s="3"/>
    </row>
    <row r="145" spans="7:7" x14ac:dyDescent="0.35">
      <c r="G145" s="3"/>
    </row>
    <row r="146" spans="7:7" x14ac:dyDescent="0.35">
      <c r="G146" s="3"/>
    </row>
    <row r="147" spans="7:7" x14ac:dyDescent="0.35">
      <c r="G147" s="3"/>
    </row>
    <row r="148" spans="7:7" x14ac:dyDescent="0.35">
      <c r="G148" s="3"/>
    </row>
    <row r="149" spans="7:7" x14ac:dyDescent="0.35">
      <c r="G149" s="3"/>
    </row>
    <row r="150" spans="7:7" x14ac:dyDescent="0.35">
      <c r="G150" s="3"/>
    </row>
    <row r="151" spans="7:7" x14ac:dyDescent="0.35">
      <c r="G151" s="3"/>
    </row>
    <row r="152" spans="7:7" x14ac:dyDescent="0.35">
      <c r="G152" s="3"/>
    </row>
    <row r="153" spans="7:7" x14ac:dyDescent="0.35">
      <c r="G153" s="3"/>
    </row>
    <row r="154" spans="7:7" x14ac:dyDescent="0.35">
      <c r="G154" s="3"/>
    </row>
    <row r="155" spans="7:7" x14ac:dyDescent="0.35">
      <c r="G155" s="3"/>
    </row>
    <row r="156" spans="7:7" x14ac:dyDescent="0.35">
      <c r="G156" s="3"/>
    </row>
    <row r="157" spans="7:7" x14ac:dyDescent="0.35">
      <c r="G157" s="3"/>
    </row>
    <row r="158" spans="7:7" x14ac:dyDescent="0.35">
      <c r="G158" s="3"/>
    </row>
    <row r="159" spans="7:7" x14ac:dyDescent="0.35">
      <c r="G159" s="3"/>
    </row>
    <row r="160" spans="7:7" x14ac:dyDescent="0.35">
      <c r="G160" s="3"/>
    </row>
    <row r="161" spans="7:7" x14ac:dyDescent="0.35">
      <c r="G161" s="3"/>
    </row>
    <row r="162" spans="7:7" x14ac:dyDescent="0.35">
      <c r="G162" s="3"/>
    </row>
    <row r="163" spans="7:7" x14ac:dyDescent="0.35">
      <c r="G163" s="3"/>
    </row>
    <row r="164" spans="7:7" x14ac:dyDescent="0.3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4375" defaultRowHeight="23" x14ac:dyDescent="0.5"/>
  <cols>
    <col min="1" max="1" width="9.07421875" style="3" bestFit="1" customWidth="1"/>
    <col min="2" max="2" width="12" style="3" customWidth="1"/>
    <col min="3" max="3" width="12.4609375" style="3" customWidth="1"/>
    <col min="4" max="4" width="14.3046875" style="3" customWidth="1"/>
    <col min="5" max="5" width="15.53515625" style="3" customWidth="1"/>
    <col min="6" max="6" width="14.4609375" style="3" customWidth="1"/>
    <col min="7" max="7" width="16.53515625" style="3" customWidth="1"/>
    <col min="8" max="8" width="16.07421875" style="75" customWidth="1"/>
    <col min="9" max="70" width="8.84375" style="3"/>
    <col min="71" max="71" width="9.07421875" style="3" bestFit="1" customWidth="1"/>
    <col min="72" max="72" width="8.84375" style="3"/>
    <col min="73" max="73" width="9.07421875" style="3" bestFit="1" customWidth="1"/>
    <col min="74" max="74" width="8.84375" style="3"/>
    <col min="75" max="75" width="9.07421875" style="3" bestFit="1" customWidth="1"/>
    <col min="76" max="76" width="8.84375" style="3"/>
    <col min="77" max="77" width="11.23046875" style="3" bestFit="1" customWidth="1"/>
    <col min="78" max="16384" width="8.84375" style="3"/>
  </cols>
  <sheetData>
    <row r="1" spans="1:77" ht="15.75" customHeight="1" x14ac:dyDescent="0.5"/>
    <row r="2" spans="1:77" ht="17.5" x14ac:dyDescent="0.35">
      <c r="B2" s="815" t="s">
        <v>5</v>
      </c>
      <c r="C2" s="815"/>
      <c r="D2" s="815"/>
      <c r="E2" s="815"/>
      <c r="F2" s="815"/>
      <c r="G2" s="815"/>
      <c r="H2" s="815"/>
      <c r="I2" s="201"/>
      <c r="J2" s="201"/>
      <c r="K2" s="201"/>
      <c r="L2" s="201"/>
      <c r="M2" s="201"/>
      <c r="N2" s="201"/>
      <c r="O2" s="201"/>
      <c r="P2" s="201"/>
      <c r="Q2" s="201"/>
      <c r="R2" s="201"/>
      <c r="S2" s="201"/>
      <c r="T2" s="201"/>
      <c r="U2" s="201"/>
      <c r="V2" s="201"/>
    </row>
    <row r="3" spans="1:77" ht="18.75" customHeight="1" x14ac:dyDescent="0.4">
      <c r="B3" s="819" t="s">
        <v>378</v>
      </c>
      <c r="C3" s="819"/>
      <c r="D3" s="819"/>
      <c r="E3" s="819"/>
      <c r="F3" s="819"/>
      <c r="G3" s="819"/>
      <c r="H3" s="819"/>
    </row>
    <row r="4" spans="1:77" ht="15.75" customHeight="1" x14ac:dyDescent="0.4">
      <c r="B4" s="756" t="str">
        <f>CONCATENATE("For Service Rendered On and After ",'Input Data'!$D$4)</f>
        <v>For Service Rendered On and After August 1, 2022</v>
      </c>
      <c r="C4" s="756"/>
      <c r="D4" s="756"/>
      <c r="E4" s="756"/>
      <c r="F4" s="756"/>
      <c r="G4" s="756"/>
      <c r="H4" s="756"/>
    </row>
    <row r="5" spans="1:77" ht="15.75" customHeight="1" x14ac:dyDescent="0.5"/>
    <row r="6" spans="1:77" ht="15.75" customHeight="1" x14ac:dyDescent="0.5">
      <c r="I6" s="631"/>
    </row>
    <row r="7" spans="1:77" x14ac:dyDescent="0.5">
      <c r="A7" s="16" t="s">
        <v>116</v>
      </c>
      <c r="B7" s="715" t="str">
        <f>VLOOKUP(B15,'Case Database'!$A$2:$F$200,3,FALSE)</f>
        <v>2021-00130</v>
      </c>
    </row>
    <row r="8" spans="1:77" ht="15.75" customHeight="1" x14ac:dyDescent="0.5"/>
    <row r="9" spans="1:77" ht="15.75" customHeight="1" x14ac:dyDescent="0.5"/>
    <row r="10" spans="1:77" ht="31" x14ac:dyDescent="0.35">
      <c r="A10" s="713" t="s">
        <v>247</v>
      </c>
      <c r="B10" s="184" t="s">
        <v>348</v>
      </c>
      <c r="C10" s="184" t="s">
        <v>310</v>
      </c>
      <c r="D10" s="184" t="s">
        <v>326</v>
      </c>
      <c r="E10" s="184" t="s">
        <v>327</v>
      </c>
      <c r="F10" s="184" t="s">
        <v>277</v>
      </c>
      <c r="G10" s="184" t="s">
        <v>301</v>
      </c>
      <c r="H10" s="184" t="s">
        <v>302</v>
      </c>
      <c r="I10" s="78"/>
      <c r="J10" s="202"/>
      <c r="K10" s="78"/>
      <c r="N10" s="203"/>
      <c r="Q10" s="203"/>
      <c r="R10" s="203"/>
      <c r="S10" s="185"/>
      <c r="T10" s="185"/>
      <c r="W10" s="203"/>
      <c r="X10" s="203"/>
      <c r="Y10" s="203"/>
      <c r="Z10" s="203"/>
      <c r="AA10" s="185"/>
      <c r="AB10" s="185"/>
      <c r="AC10" s="185"/>
      <c r="AY10" s="203"/>
      <c r="AZ10" s="203"/>
      <c r="BA10" s="203"/>
      <c r="BB10" s="203"/>
      <c r="BC10" s="203"/>
      <c r="BD10" s="203"/>
      <c r="BE10" s="203"/>
      <c r="BF10" s="203"/>
      <c r="BG10" s="203"/>
      <c r="BH10" s="203"/>
      <c r="BI10" s="203"/>
      <c r="BJ10" s="203"/>
      <c r="BK10" s="203"/>
      <c r="BL10" s="203"/>
      <c r="BM10" s="203"/>
      <c r="BN10" s="203"/>
      <c r="BO10" s="203"/>
      <c r="BP10" s="203"/>
      <c r="BQ10" s="203"/>
      <c r="BR10" s="185"/>
      <c r="BS10" s="203"/>
      <c r="BT10" s="185"/>
      <c r="BU10" s="203"/>
      <c r="BV10" s="185"/>
      <c r="BW10" s="203"/>
      <c r="BX10" s="185"/>
      <c r="BY10" s="188" t="s">
        <v>271</v>
      </c>
    </row>
    <row r="11" spans="1:77" ht="15.5" x14ac:dyDescent="0.35">
      <c r="A11" s="711"/>
      <c r="B11" s="189" t="s">
        <v>60</v>
      </c>
      <c r="C11" s="189" t="s">
        <v>61</v>
      </c>
      <c r="D11" s="189" t="s">
        <v>62</v>
      </c>
      <c r="E11" s="189" t="s">
        <v>63</v>
      </c>
      <c r="F11" s="196" t="s">
        <v>64</v>
      </c>
      <c r="G11" s="189" t="s">
        <v>492</v>
      </c>
      <c r="H11" s="187" t="s">
        <v>328</v>
      </c>
      <c r="I11" s="78"/>
      <c r="J11" s="202"/>
      <c r="K11" s="78"/>
      <c r="N11" s="203"/>
      <c r="Q11" s="203"/>
      <c r="R11" s="203"/>
      <c r="S11" s="185"/>
      <c r="T11" s="185"/>
      <c r="W11" s="203"/>
      <c r="X11" s="203"/>
      <c r="Y11" s="203"/>
      <c r="Z11" s="203"/>
      <c r="AA11" s="185"/>
      <c r="AB11" s="185"/>
      <c r="AC11" s="185"/>
      <c r="AY11" s="203"/>
      <c r="AZ11" s="203"/>
      <c r="BA11" s="203"/>
      <c r="BB11" s="203"/>
      <c r="BC11" s="203"/>
      <c r="BD11" s="203"/>
      <c r="BE11" s="203"/>
      <c r="BF11" s="203"/>
      <c r="BG11" s="203"/>
      <c r="BH11" s="203"/>
      <c r="BI11" s="203"/>
      <c r="BJ11" s="203"/>
      <c r="BK11" s="203"/>
      <c r="BL11" s="203"/>
      <c r="BM11" s="203"/>
      <c r="BN11" s="203"/>
      <c r="BO11" s="203"/>
      <c r="BP11" s="203"/>
      <c r="BQ11" s="203"/>
      <c r="BR11" s="185"/>
      <c r="BS11" s="203"/>
      <c r="BT11" s="185"/>
      <c r="BU11" s="203"/>
      <c r="BV11" s="185"/>
      <c r="BW11" s="203"/>
      <c r="BX11" s="185"/>
      <c r="BY11" s="118" t="s">
        <v>274</v>
      </c>
    </row>
    <row r="12" spans="1:77" x14ac:dyDescent="0.5">
      <c r="A12" s="711"/>
      <c r="B12" s="118"/>
      <c r="C12" s="118"/>
      <c r="D12" s="197"/>
      <c r="E12" s="197"/>
      <c r="G12" s="188"/>
      <c r="H12" s="251"/>
      <c r="I12" s="78"/>
      <c r="J12" s="202"/>
      <c r="K12" s="78"/>
      <c r="N12" s="203"/>
      <c r="Q12" s="203"/>
      <c r="R12" s="203"/>
      <c r="S12" s="185"/>
      <c r="T12" s="185"/>
      <c r="W12" s="203"/>
      <c r="X12" s="203"/>
      <c r="Y12" s="203"/>
      <c r="Z12" s="203"/>
      <c r="AA12" s="185"/>
      <c r="AB12" s="185"/>
      <c r="AC12" s="185"/>
      <c r="AY12" s="203"/>
      <c r="AZ12" s="203"/>
      <c r="BA12" s="203"/>
      <c r="BB12" s="203"/>
      <c r="BC12" s="203"/>
      <c r="BD12" s="203"/>
      <c r="BE12" s="203"/>
      <c r="BF12" s="203"/>
      <c r="BG12" s="203"/>
      <c r="BH12" s="203"/>
      <c r="BI12" s="203"/>
      <c r="BJ12" s="203"/>
      <c r="BK12" s="203"/>
      <c r="BL12" s="203"/>
      <c r="BM12" s="203"/>
      <c r="BN12" s="203"/>
      <c r="BO12" s="203"/>
      <c r="BP12" s="203"/>
      <c r="BQ12" s="203"/>
      <c r="BR12" s="185"/>
      <c r="BS12" s="203"/>
      <c r="BT12" s="185"/>
      <c r="BU12" s="203"/>
      <c r="BV12" s="185"/>
      <c r="BW12" s="203"/>
      <c r="BX12" s="185"/>
      <c r="BY12" s="188"/>
    </row>
    <row r="13" spans="1:77" ht="15.5" x14ac:dyDescent="0.35">
      <c r="A13" s="711">
        <v>1</v>
      </c>
      <c r="D13" s="197"/>
      <c r="E13" s="197"/>
      <c r="G13" s="198" t="s">
        <v>270</v>
      </c>
      <c r="H13" s="195">
        <f>'Input Data'!D159</f>
        <v>0</v>
      </c>
      <c r="I13" s="78"/>
      <c r="J13" s="202"/>
      <c r="K13" s="78"/>
      <c r="N13" s="203"/>
      <c r="Q13" s="203"/>
      <c r="R13" s="203"/>
      <c r="S13" s="185"/>
      <c r="T13" s="185"/>
      <c r="W13" s="203"/>
      <c r="X13" s="203"/>
      <c r="Y13" s="203"/>
      <c r="Z13" s="203"/>
      <c r="AA13" s="185"/>
      <c r="AB13" s="185"/>
      <c r="AC13" s="185"/>
      <c r="AY13" s="203"/>
      <c r="AZ13" s="203"/>
      <c r="BA13" s="203"/>
      <c r="BB13" s="203"/>
      <c r="BC13" s="203"/>
      <c r="BD13" s="203"/>
      <c r="BE13" s="203"/>
      <c r="BF13" s="203"/>
      <c r="BG13" s="203"/>
      <c r="BH13" s="203"/>
      <c r="BI13" s="203"/>
      <c r="BJ13" s="203"/>
      <c r="BK13" s="203"/>
      <c r="BL13" s="203"/>
      <c r="BM13" s="203"/>
      <c r="BN13" s="203"/>
      <c r="BO13" s="203"/>
      <c r="BP13" s="203"/>
      <c r="BQ13" s="203"/>
      <c r="BR13" s="185"/>
      <c r="BS13" s="203"/>
      <c r="BT13" s="185"/>
      <c r="BU13" s="203"/>
      <c r="BV13" s="185"/>
      <c r="BW13" s="203"/>
      <c r="BX13" s="185"/>
      <c r="BY13" s="188">
        <v>-411623</v>
      </c>
    </row>
    <row r="14" spans="1:77" ht="15.5" x14ac:dyDescent="0.35">
      <c r="A14" s="711"/>
      <c r="D14" s="197"/>
      <c r="E14" s="197"/>
      <c r="G14" s="118"/>
      <c r="H14" s="188"/>
      <c r="I14" s="78"/>
      <c r="J14" s="202"/>
      <c r="K14" s="78"/>
      <c r="N14" s="203"/>
      <c r="Q14" s="203"/>
      <c r="R14" s="203"/>
      <c r="S14" s="185"/>
      <c r="T14" s="185"/>
      <c r="W14" s="203"/>
      <c r="X14" s="203"/>
      <c r="Y14" s="203"/>
      <c r="Z14" s="203"/>
      <c r="AA14" s="185"/>
      <c r="AB14" s="185"/>
      <c r="AC14" s="185"/>
      <c r="AY14" s="203"/>
      <c r="AZ14" s="203"/>
      <c r="BA14" s="203"/>
      <c r="BB14" s="203"/>
      <c r="BC14" s="203"/>
      <c r="BD14" s="203"/>
      <c r="BE14" s="203"/>
      <c r="BF14" s="203"/>
      <c r="BG14" s="203"/>
      <c r="BH14" s="203"/>
      <c r="BI14" s="203"/>
      <c r="BJ14" s="203"/>
      <c r="BK14" s="203"/>
      <c r="BL14" s="203"/>
      <c r="BM14" s="203"/>
      <c r="BN14" s="203"/>
      <c r="BO14" s="203"/>
      <c r="BP14" s="203"/>
      <c r="BQ14" s="203"/>
      <c r="BR14" s="185"/>
      <c r="BS14" s="203"/>
      <c r="BT14" s="185"/>
      <c r="BU14" s="203"/>
      <c r="BV14" s="185"/>
      <c r="BW14" s="203"/>
      <c r="BX14" s="185"/>
      <c r="BY14" s="188"/>
    </row>
    <row r="15" spans="1:77" ht="15.5" x14ac:dyDescent="0.35">
      <c r="A15" s="711">
        <v>2</v>
      </c>
      <c r="B15" s="189">
        <f>'Input Data'!C8</f>
        <v>44317</v>
      </c>
      <c r="C15" s="189" t="s">
        <v>364</v>
      </c>
      <c r="D15" s="47">
        <f>VLOOKUP($B15,'Sales Volumes'!$A$1:$H$100,4,FALSE)</f>
        <v>634604</v>
      </c>
      <c r="E15" s="47">
        <f>VLOOKUP($B15,'Sales Volumes'!$A$1:$H$100,5,FALSE)</f>
        <v>64697.2</v>
      </c>
      <c r="F15" s="158">
        <f>VLOOKUP($B$7,'Case Database'!$C$2:$P$200,14,FALSE)</f>
        <v>0</v>
      </c>
      <c r="G15" s="159">
        <f t="shared" ref="G15:G27" si="0">ROUND((D15+E15)*F15,2)</f>
        <v>0</v>
      </c>
      <c r="H15" s="159">
        <f>+H13-G15</f>
        <v>0</v>
      </c>
      <c r="I15" s="78"/>
      <c r="J15" s="202"/>
      <c r="K15" s="78"/>
      <c r="N15" s="203"/>
      <c r="Q15" s="203"/>
      <c r="R15" s="203"/>
      <c r="S15" s="185"/>
      <c r="T15" s="185"/>
      <c r="W15" s="203"/>
      <c r="X15" s="203"/>
      <c r="Y15" s="203"/>
      <c r="Z15" s="203"/>
      <c r="AA15" s="185"/>
      <c r="AB15" s="185"/>
      <c r="AC15" s="185"/>
      <c r="AY15" s="203"/>
      <c r="AZ15" s="203"/>
      <c r="BA15" s="203"/>
      <c r="BB15" s="203"/>
      <c r="BC15" s="203"/>
      <c r="BD15" s="203"/>
      <c r="BE15" s="203"/>
      <c r="BF15" s="203"/>
      <c r="BG15" s="203"/>
      <c r="BH15" s="203"/>
      <c r="BI15" s="203"/>
      <c r="BJ15" s="203"/>
      <c r="BK15" s="203"/>
      <c r="BL15" s="203"/>
      <c r="BM15" s="203"/>
      <c r="BN15" s="203"/>
      <c r="BO15" s="203"/>
      <c r="BP15" s="203"/>
      <c r="BQ15" s="203"/>
      <c r="BR15" s="185"/>
      <c r="BS15" s="203" t="e">
        <v>#REF!</v>
      </c>
      <c r="BT15" s="185" t="s">
        <v>61</v>
      </c>
      <c r="BU15" s="203" t="e">
        <v>#REF!</v>
      </c>
      <c r="BV15" s="185" t="s">
        <v>60</v>
      </c>
      <c r="BW15" s="203" t="e">
        <v>#REF!</v>
      </c>
      <c r="BX15" s="185" t="s">
        <v>60</v>
      </c>
      <c r="BY15" s="188">
        <v>-402587.94319999998</v>
      </c>
    </row>
    <row r="16" spans="1:77" ht="15.5" x14ac:dyDescent="0.35">
      <c r="A16" s="711">
        <v>3</v>
      </c>
      <c r="B16" s="189">
        <f>EDATE(B15,1)</f>
        <v>44348</v>
      </c>
      <c r="C16" s="189"/>
      <c r="D16" s="47">
        <f>VLOOKUP($B16,'Sales Volumes'!$A$1:$H$100,4,FALSE)</f>
        <v>906156.9</v>
      </c>
      <c r="E16" s="47">
        <f>VLOOKUP($B16,'Sales Volumes'!$A$1:$H$100,5,FALSE)</f>
        <v>63211.8</v>
      </c>
      <c r="F16" s="158">
        <f>$F$15</f>
        <v>0</v>
      </c>
      <c r="G16" s="159">
        <f t="shared" si="0"/>
        <v>0</v>
      </c>
      <c r="H16" s="159">
        <f>H15-G16</f>
        <v>0</v>
      </c>
      <c r="I16" s="78"/>
      <c r="J16" s="202"/>
      <c r="K16" s="78"/>
      <c r="N16" s="203"/>
      <c r="Q16" s="203"/>
      <c r="R16" s="203"/>
      <c r="S16" s="185"/>
      <c r="T16" s="185"/>
      <c r="W16" s="203"/>
      <c r="X16" s="203"/>
      <c r="Y16" s="203"/>
      <c r="Z16" s="203"/>
      <c r="AA16" s="185"/>
      <c r="AB16" s="185"/>
      <c r="AC16" s="185"/>
      <c r="AY16" s="203"/>
      <c r="AZ16" s="203"/>
      <c r="BA16" s="203"/>
      <c r="BB16" s="203"/>
      <c r="BC16" s="203"/>
      <c r="BD16" s="203"/>
      <c r="BE16" s="203"/>
      <c r="BF16" s="203"/>
      <c r="BG16" s="203"/>
      <c r="BH16" s="203"/>
      <c r="BI16" s="203"/>
      <c r="BJ16" s="203"/>
      <c r="BK16" s="203"/>
      <c r="BL16" s="203"/>
      <c r="BM16" s="203"/>
      <c r="BN16" s="203"/>
      <c r="BO16" s="203"/>
      <c r="BP16" s="203"/>
      <c r="BQ16" s="203"/>
      <c r="BR16" s="185"/>
      <c r="BS16" s="203"/>
      <c r="BT16" s="203"/>
      <c r="BU16" s="203" t="e">
        <v>#REF!</v>
      </c>
      <c r="BV16" s="185" t="s">
        <v>60</v>
      </c>
      <c r="BW16" s="203" t="e">
        <v>#REF!</v>
      </c>
      <c r="BX16" s="185" t="s">
        <v>60</v>
      </c>
      <c r="BY16" s="188">
        <v>-389209.51574</v>
      </c>
    </row>
    <row r="17" spans="1:77" ht="15.5" x14ac:dyDescent="0.35">
      <c r="A17" s="711">
        <v>4</v>
      </c>
      <c r="B17" s="189">
        <f t="shared" ref="B17:B27" si="1">EDATE(B16,1)</f>
        <v>44378</v>
      </c>
      <c r="C17" s="189"/>
      <c r="D17" s="47">
        <f>VLOOKUP($B17,'Sales Volumes'!$A$1:$H$100,4,FALSE)</f>
        <v>659592.9</v>
      </c>
      <c r="E17" s="47">
        <f>VLOOKUP($B17,'Sales Volumes'!$A$1:$H$100,5,FALSE)</f>
        <v>57936.4</v>
      </c>
      <c r="F17" s="158">
        <f t="shared" ref="F17:F27" si="2">$F$15</f>
        <v>0</v>
      </c>
      <c r="G17" s="159">
        <f t="shared" si="0"/>
        <v>0</v>
      </c>
      <c r="H17" s="159">
        <f t="shared" ref="H17:H27" si="3">H16-G17</f>
        <v>0</v>
      </c>
      <c r="I17" s="78"/>
      <c r="J17" s="202"/>
      <c r="K17" s="78"/>
      <c r="N17" s="203"/>
      <c r="Q17" s="203"/>
      <c r="R17" s="203"/>
      <c r="S17" s="185"/>
      <c r="T17" s="185"/>
      <c r="W17" s="203"/>
      <c r="X17" s="203"/>
      <c r="Y17" s="203"/>
      <c r="Z17" s="203"/>
      <c r="AA17" s="185"/>
      <c r="AB17" s="185"/>
      <c r="AC17" s="185"/>
      <c r="AY17" s="203"/>
      <c r="AZ17" s="203"/>
      <c r="BA17" s="203"/>
      <c r="BB17" s="203"/>
      <c r="BC17" s="203"/>
      <c r="BD17" s="203"/>
      <c r="BE17" s="203"/>
      <c r="BF17" s="203"/>
      <c r="BG17" s="203"/>
      <c r="BH17" s="203"/>
      <c r="BI17" s="203"/>
      <c r="BJ17" s="203"/>
      <c r="BK17" s="203"/>
      <c r="BL17" s="203"/>
      <c r="BM17" s="203"/>
      <c r="BN17" s="203"/>
      <c r="BO17" s="203"/>
      <c r="BP17" s="203"/>
      <c r="BQ17" s="203"/>
      <c r="BR17" s="185"/>
      <c r="BS17" s="203"/>
      <c r="BT17" s="203"/>
      <c r="BU17" s="203" t="e">
        <v>#REF!</v>
      </c>
      <c r="BV17" s="185" t="s">
        <v>60</v>
      </c>
      <c r="BW17" s="203" t="e">
        <v>#REF!</v>
      </c>
      <c r="BX17" s="185" t="s">
        <v>60</v>
      </c>
      <c r="BY17" s="188">
        <v>-379257.88942999998</v>
      </c>
    </row>
    <row r="18" spans="1:77" ht="15.5" x14ac:dyDescent="0.35">
      <c r="A18" s="711">
        <v>5</v>
      </c>
      <c r="B18" s="189">
        <f t="shared" si="1"/>
        <v>44409</v>
      </c>
      <c r="C18" s="189"/>
      <c r="D18" s="47">
        <f>VLOOKUP($B18,'Sales Volumes'!$A$1:$H$100,4,FALSE)</f>
        <v>327979.7</v>
      </c>
      <c r="E18" s="47">
        <f>VLOOKUP($B18,'Sales Volumes'!$A$1:$H$100,5,FALSE)</f>
        <v>48256.7</v>
      </c>
      <c r="F18" s="158">
        <f t="shared" si="2"/>
        <v>0</v>
      </c>
      <c r="G18" s="159">
        <f t="shared" si="0"/>
        <v>0</v>
      </c>
      <c r="H18" s="159">
        <f t="shared" si="3"/>
        <v>0</v>
      </c>
      <c r="I18" s="78"/>
      <c r="J18" s="202"/>
      <c r="K18" s="78"/>
      <c r="N18" s="203"/>
      <c r="Q18" s="203"/>
      <c r="R18" s="203"/>
      <c r="S18" s="185"/>
      <c r="T18" s="185"/>
      <c r="W18" s="203"/>
      <c r="X18" s="203"/>
      <c r="Y18" s="203"/>
      <c r="Z18" s="203"/>
      <c r="AA18" s="185"/>
      <c r="AB18" s="185"/>
      <c r="AC18" s="185"/>
      <c r="AY18" s="203"/>
      <c r="AZ18" s="203"/>
      <c r="BA18" s="203"/>
      <c r="BB18" s="203"/>
      <c r="BC18" s="203"/>
      <c r="BD18" s="203"/>
      <c r="BE18" s="203"/>
      <c r="BF18" s="203"/>
      <c r="BG18" s="203"/>
      <c r="BH18" s="203"/>
      <c r="BI18" s="203"/>
      <c r="BJ18" s="203"/>
      <c r="BK18" s="203"/>
      <c r="BL18" s="203"/>
      <c r="BM18" s="203"/>
      <c r="BN18" s="203"/>
      <c r="BO18" s="203"/>
      <c r="BP18" s="203"/>
      <c r="BQ18" s="203"/>
      <c r="BR18" s="185"/>
      <c r="BS18" s="203"/>
      <c r="BT18" s="203"/>
      <c r="BU18" s="203" t="e">
        <v>#REF!</v>
      </c>
      <c r="BV18" s="185" t="s">
        <v>61</v>
      </c>
      <c r="BW18" s="203" t="e">
        <v>#REF!</v>
      </c>
      <c r="BX18" s="185" t="s">
        <v>60</v>
      </c>
      <c r="BY18" s="188">
        <v>-369315.90457999997</v>
      </c>
    </row>
    <row r="19" spans="1:77" ht="15.5" x14ac:dyDescent="0.35">
      <c r="A19" s="711">
        <v>6</v>
      </c>
      <c r="B19" s="189">
        <f t="shared" si="1"/>
        <v>44440</v>
      </c>
      <c r="C19" s="189"/>
      <c r="D19" s="47">
        <f>VLOOKUP($B19,'Sales Volumes'!$A$1:$H$100,4,FALSE)</f>
        <v>690762.6</v>
      </c>
      <c r="E19" s="47">
        <f>VLOOKUP($B19,'Sales Volumes'!$A$1:$H$100,5,FALSE)</f>
        <v>55443.4</v>
      </c>
      <c r="F19" s="158">
        <f t="shared" si="2"/>
        <v>0</v>
      </c>
      <c r="G19" s="159">
        <f t="shared" si="0"/>
        <v>0</v>
      </c>
      <c r="H19" s="159">
        <f t="shared" si="3"/>
        <v>0</v>
      </c>
      <c r="I19" s="78"/>
      <c r="J19" s="202"/>
      <c r="K19" s="78"/>
      <c r="N19" s="203"/>
      <c r="Q19" s="203"/>
      <c r="R19" s="203"/>
      <c r="S19" s="185"/>
      <c r="T19" s="185"/>
      <c r="W19" s="203"/>
      <c r="X19" s="203"/>
      <c r="Y19" s="203"/>
      <c r="Z19" s="203"/>
      <c r="AA19" s="185"/>
      <c r="AB19" s="185"/>
      <c r="AC19" s="185"/>
      <c r="AY19" s="203"/>
      <c r="AZ19" s="203"/>
      <c r="BA19" s="203"/>
      <c r="BB19" s="203"/>
      <c r="BC19" s="203"/>
      <c r="BD19" s="203"/>
      <c r="BE19" s="203"/>
      <c r="BF19" s="203"/>
      <c r="BG19" s="203"/>
      <c r="BH19" s="203"/>
      <c r="BI19" s="203"/>
      <c r="BJ19" s="203"/>
      <c r="BK19" s="203"/>
      <c r="BL19" s="203"/>
      <c r="BM19" s="203"/>
      <c r="BN19" s="203"/>
      <c r="BO19" s="203"/>
      <c r="BP19" s="203"/>
      <c r="BQ19" s="203"/>
      <c r="BR19" s="185"/>
      <c r="BS19" s="203"/>
      <c r="BT19" s="203"/>
      <c r="BU19" s="203"/>
      <c r="BV19" s="203"/>
      <c r="BW19" s="203" t="e">
        <v>#REF!</v>
      </c>
      <c r="BX19" s="185" t="s">
        <v>60</v>
      </c>
      <c r="BY19" s="188">
        <v>-359018.76595999999</v>
      </c>
    </row>
    <row r="20" spans="1:77" ht="15.5" x14ac:dyDescent="0.35">
      <c r="A20" s="711">
        <v>7</v>
      </c>
      <c r="B20" s="189">
        <f t="shared" si="1"/>
        <v>44470</v>
      </c>
      <c r="C20" s="189"/>
      <c r="D20" s="47">
        <f>VLOOKUP($B20,'Sales Volumes'!$A$1:$H$100,4,FALSE)</f>
        <v>837961.7</v>
      </c>
      <c r="E20" s="47">
        <f>VLOOKUP($B20,'Sales Volumes'!$A$1:$H$100,5,FALSE)</f>
        <v>74420.2</v>
      </c>
      <c r="F20" s="158">
        <f t="shared" si="2"/>
        <v>0</v>
      </c>
      <c r="G20" s="159">
        <f t="shared" si="0"/>
        <v>0</v>
      </c>
      <c r="H20" s="159">
        <f t="shared" si="3"/>
        <v>0</v>
      </c>
      <c r="I20" s="78"/>
      <c r="J20" s="202"/>
      <c r="K20" s="78"/>
      <c r="N20" s="203"/>
      <c r="Q20" s="203"/>
      <c r="R20" s="203"/>
      <c r="S20" s="185"/>
      <c r="T20" s="185"/>
      <c r="W20" s="203"/>
      <c r="X20" s="203"/>
      <c r="Y20" s="203"/>
      <c r="Z20" s="203"/>
      <c r="AA20" s="185"/>
      <c r="AB20" s="185"/>
      <c r="AC20" s="185"/>
      <c r="AY20" s="203"/>
      <c r="AZ20" s="203"/>
      <c r="BA20" s="203"/>
      <c r="BB20" s="203"/>
      <c r="BC20" s="203"/>
      <c r="BD20" s="203"/>
      <c r="BE20" s="203"/>
      <c r="BF20" s="203"/>
      <c r="BG20" s="203"/>
      <c r="BH20" s="203"/>
      <c r="BI20" s="203"/>
      <c r="BJ20" s="203"/>
      <c r="BK20" s="203"/>
      <c r="BL20" s="203"/>
      <c r="BM20" s="203"/>
      <c r="BN20" s="203"/>
      <c r="BO20" s="203"/>
      <c r="BP20" s="203"/>
      <c r="BQ20" s="203"/>
      <c r="BR20" s="185"/>
      <c r="BS20" s="203"/>
      <c r="BT20" s="203"/>
      <c r="BU20" s="203"/>
      <c r="BV20" s="203"/>
      <c r="BW20" s="203" t="e">
        <v>#REF!</v>
      </c>
      <c r="BX20" s="185" t="s">
        <v>60</v>
      </c>
      <c r="BY20" s="188">
        <v>-345075.15596</v>
      </c>
    </row>
    <row r="21" spans="1:77" ht="15.5" x14ac:dyDescent="0.35">
      <c r="A21" s="711">
        <v>8</v>
      </c>
      <c r="B21" s="189">
        <f t="shared" si="1"/>
        <v>44501</v>
      </c>
      <c r="C21" s="189"/>
      <c r="D21" s="47">
        <f>VLOOKUP($B21,'Sales Volumes'!$A$1:$H$100,4,FALSE)</f>
        <v>1086455.3</v>
      </c>
      <c r="E21" s="47">
        <f>VLOOKUP($B21,'Sales Volumes'!$A$1:$H$100,5,FALSE)</f>
        <v>74117</v>
      </c>
      <c r="F21" s="158">
        <f t="shared" si="2"/>
        <v>0</v>
      </c>
      <c r="G21" s="159">
        <f t="shared" si="0"/>
        <v>0</v>
      </c>
      <c r="H21" s="159">
        <f t="shared" si="3"/>
        <v>0</v>
      </c>
      <c r="I21" s="78"/>
      <c r="J21" s="202"/>
      <c r="K21" s="78"/>
      <c r="N21" s="203"/>
      <c r="Q21" s="203"/>
      <c r="R21" s="203"/>
      <c r="S21" s="185"/>
      <c r="T21" s="185"/>
      <c r="W21" s="203"/>
      <c r="X21" s="203"/>
      <c r="Y21" s="203"/>
      <c r="Z21" s="203"/>
      <c r="AA21" s="185"/>
      <c r="AB21" s="185"/>
      <c r="AC21" s="185"/>
      <c r="AY21" s="203"/>
      <c r="AZ21" s="203"/>
      <c r="BA21" s="203"/>
      <c r="BB21" s="203"/>
      <c r="BC21" s="203"/>
      <c r="BD21" s="203"/>
      <c r="BE21" s="203"/>
      <c r="BF21" s="203"/>
      <c r="BG21" s="203"/>
      <c r="BH21" s="203"/>
      <c r="BI21" s="203"/>
      <c r="BJ21" s="203"/>
      <c r="BK21" s="203"/>
      <c r="BL21" s="203"/>
      <c r="BM21" s="203"/>
      <c r="BN21" s="203"/>
      <c r="BO21" s="203"/>
      <c r="BP21" s="203"/>
      <c r="BQ21" s="203"/>
      <c r="BR21" s="185"/>
      <c r="BS21" s="203"/>
      <c r="BT21" s="203"/>
      <c r="BU21" s="203"/>
      <c r="BV21" s="203"/>
      <c r="BW21" s="203" t="e">
        <v>#REF!</v>
      </c>
      <c r="BX21" s="185" t="s">
        <v>61</v>
      </c>
      <c r="BY21" s="188">
        <v>-318552.39218000002</v>
      </c>
    </row>
    <row r="22" spans="1:77" ht="15.5" x14ac:dyDescent="0.35">
      <c r="A22" s="711">
        <v>9</v>
      </c>
      <c r="B22" s="189">
        <f t="shared" si="1"/>
        <v>44531</v>
      </c>
      <c r="C22" s="189"/>
      <c r="D22" s="47">
        <f>VLOOKUP($B22,'Sales Volumes'!$A$1:$H$100,4,FALSE)</f>
        <v>3822191.1</v>
      </c>
      <c r="E22" s="47">
        <f>VLOOKUP($B22,'Sales Volumes'!$A$1:$H$100,5,FALSE)</f>
        <v>65082.8</v>
      </c>
      <c r="F22" s="158">
        <f t="shared" si="2"/>
        <v>0</v>
      </c>
      <c r="G22" s="159">
        <f t="shared" si="0"/>
        <v>0</v>
      </c>
      <c r="H22" s="159">
        <f t="shared" si="3"/>
        <v>0</v>
      </c>
      <c r="I22" s="78"/>
      <c r="J22" s="202"/>
      <c r="K22" s="78"/>
      <c r="N22" s="203"/>
      <c r="Q22" s="203"/>
      <c r="R22" s="203"/>
      <c r="S22" s="185"/>
      <c r="T22" s="185"/>
      <c r="W22" s="203"/>
      <c r="X22" s="203"/>
      <c r="Y22" s="203"/>
      <c r="Z22" s="203"/>
      <c r="AA22" s="185"/>
      <c r="AB22" s="185"/>
      <c r="AC22" s="185"/>
      <c r="AY22" s="203"/>
      <c r="AZ22" s="203"/>
      <c r="BA22" s="203"/>
      <c r="BB22" s="203"/>
      <c r="BC22" s="203"/>
      <c r="BD22" s="203"/>
      <c r="BE22" s="203"/>
      <c r="BF22" s="203"/>
      <c r="BG22" s="203"/>
      <c r="BH22" s="203"/>
      <c r="BI22" s="203"/>
      <c r="BJ22" s="203"/>
      <c r="BK22" s="203"/>
      <c r="BL22" s="203"/>
      <c r="BM22" s="203"/>
      <c r="BN22" s="203"/>
      <c r="BO22" s="203"/>
      <c r="BP22" s="203"/>
      <c r="BQ22" s="203"/>
      <c r="BR22" s="185"/>
      <c r="BS22" s="203"/>
      <c r="BT22" s="203"/>
      <c r="BU22" s="203"/>
      <c r="BV22" s="203"/>
      <c r="BW22" s="203"/>
      <c r="BX22" s="185"/>
      <c r="BY22" s="188">
        <v>-272826.39557000005</v>
      </c>
    </row>
    <row r="23" spans="1:77" ht="15.5" x14ac:dyDescent="0.35">
      <c r="A23" s="711">
        <v>10</v>
      </c>
      <c r="B23" s="189">
        <f t="shared" si="1"/>
        <v>44562</v>
      </c>
      <c r="C23" s="189"/>
      <c r="D23" s="47">
        <f>VLOOKUP($B23,'Sales Volumes'!$A$1:$H$100,4,FALSE)</f>
        <v>4992587.2</v>
      </c>
      <c r="E23" s="47">
        <f>VLOOKUP($B23,'Sales Volumes'!$A$1:$H$100,5,FALSE)</f>
        <v>48783.3</v>
      </c>
      <c r="F23" s="158">
        <f t="shared" si="2"/>
        <v>0</v>
      </c>
      <c r="G23" s="159">
        <f t="shared" si="0"/>
        <v>0</v>
      </c>
      <c r="H23" s="159">
        <f t="shared" si="3"/>
        <v>0</v>
      </c>
      <c r="I23" s="78"/>
      <c r="J23" s="202"/>
      <c r="K23" s="78"/>
      <c r="N23" s="203"/>
      <c r="Q23" s="203"/>
      <c r="R23" s="203"/>
      <c r="S23" s="185"/>
      <c r="T23" s="185"/>
      <c r="W23" s="203"/>
      <c r="X23" s="203"/>
      <c r="Y23" s="203"/>
      <c r="Z23" s="203"/>
      <c r="AA23" s="185"/>
      <c r="AB23" s="185"/>
      <c r="AC23" s="185"/>
      <c r="AY23" s="203"/>
      <c r="AZ23" s="203"/>
      <c r="BA23" s="203"/>
      <c r="BB23" s="203"/>
      <c r="BC23" s="203"/>
      <c r="BD23" s="203"/>
      <c r="BE23" s="203"/>
      <c r="BF23" s="203"/>
      <c r="BG23" s="203"/>
      <c r="BH23" s="203"/>
      <c r="BI23" s="203"/>
      <c r="BJ23" s="203"/>
      <c r="BK23" s="203"/>
      <c r="BL23" s="203"/>
      <c r="BM23" s="203"/>
      <c r="BN23" s="203"/>
      <c r="BO23" s="203"/>
      <c r="BP23" s="203"/>
      <c r="BQ23" s="203"/>
      <c r="BR23" s="185"/>
      <c r="BS23" s="203"/>
      <c r="BT23" s="203"/>
      <c r="BU23" s="203"/>
      <c r="BV23" s="203"/>
      <c r="BW23" s="203"/>
      <c r="BX23" s="185"/>
      <c r="BY23" s="188">
        <v>-205104.66959000006</v>
      </c>
    </row>
    <row r="24" spans="1:77" ht="15.5" x14ac:dyDescent="0.35">
      <c r="A24" s="711">
        <v>11</v>
      </c>
      <c r="B24" s="189">
        <f t="shared" si="1"/>
        <v>44593</v>
      </c>
      <c r="C24" s="189"/>
      <c r="D24" s="47">
        <f>VLOOKUP($B24,'Sales Volumes'!$A$1:$H$200,4,FALSE)</f>
        <v>2633655.2000000002</v>
      </c>
      <c r="E24" s="47">
        <f>VLOOKUP($B24,'Sales Volumes'!$A$1:$H$200,5,FALSE)</f>
        <v>54563.3</v>
      </c>
      <c r="F24" s="158">
        <f t="shared" si="2"/>
        <v>0</v>
      </c>
      <c r="G24" s="159">
        <f t="shared" si="0"/>
        <v>0</v>
      </c>
      <c r="H24" s="159">
        <f t="shared" si="3"/>
        <v>0</v>
      </c>
      <c r="I24" s="78"/>
      <c r="J24" s="202"/>
      <c r="K24" s="78"/>
      <c r="N24" s="203"/>
      <c r="Q24" s="203"/>
      <c r="R24" s="203"/>
      <c r="S24" s="185"/>
      <c r="T24" s="185"/>
      <c r="W24" s="203"/>
      <c r="X24" s="203"/>
      <c r="Y24" s="203"/>
      <c r="Z24" s="203"/>
      <c r="AA24" s="185"/>
      <c r="AB24" s="185"/>
      <c r="AC24" s="185"/>
      <c r="AY24" s="203"/>
      <c r="AZ24" s="203"/>
      <c r="BA24" s="203"/>
      <c r="BB24" s="203"/>
      <c r="BC24" s="203"/>
      <c r="BD24" s="203"/>
      <c r="BE24" s="203"/>
      <c r="BF24" s="203"/>
      <c r="BG24" s="203"/>
      <c r="BH24" s="203"/>
      <c r="BI24" s="203"/>
      <c r="BJ24" s="203"/>
      <c r="BK24" s="203"/>
      <c r="BL24" s="203"/>
      <c r="BM24" s="203"/>
      <c r="BN24" s="203"/>
      <c r="BO24" s="203"/>
      <c r="BP24" s="203"/>
      <c r="BQ24" s="203"/>
      <c r="BR24" s="185"/>
      <c r="BS24" s="203"/>
      <c r="BT24" s="203"/>
      <c r="BU24" s="203"/>
      <c r="BV24" s="203"/>
      <c r="BW24" s="203"/>
      <c r="BX24" s="185"/>
      <c r="BY24" s="188">
        <v>-140806.26692000008</v>
      </c>
    </row>
    <row r="25" spans="1:77" ht="15.5" x14ac:dyDescent="0.35">
      <c r="A25" s="711">
        <v>12</v>
      </c>
      <c r="B25" s="189">
        <f t="shared" si="1"/>
        <v>44621</v>
      </c>
      <c r="C25" s="189"/>
      <c r="D25" s="47">
        <f>VLOOKUP($B25,'Sales Volumes'!$A$1:$H$200,4,FALSE)</f>
        <v>4327109.8</v>
      </c>
      <c r="E25" s="47">
        <f>VLOOKUP($B25,'Sales Volumes'!$A$1:$H$200,5,FALSE)</f>
        <v>68708.7</v>
      </c>
      <c r="F25" s="158">
        <f t="shared" si="2"/>
        <v>0</v>
      </c>
      <c r="G25" s="159">
        <f t="shared" si="0"/>
        <v>0</v>
      </c>
      <c r="H25" s="159">
        <f t="shared" si="3"/>
        <v>0</v>
      </c>
      <c r="I25" s="78"/>
      <c r="J25" s="202"/>
      <c r="K25" s="78"/>
      <c r="N25" s="203"/>
      <c r="Q25" s="203"/>
      <c r="R25" s="203"/>
      <c r="S25" s="185"/>
      <c r="T25" s="185"/>
      <c r="W25" s="203"/>
      <c r="X25" s="203"/>
      <c r="Y25" s="203"/>
      <c r="Z25" s="203"/>
      <c r="AA25" s="185"/>
      <c r="AB25" s="185"/>
      <c r="AC25" s="185"/>
      <c r="AY25" s="203"/>
      <c r="AZ25" s="203"/>
      <c r="BA25" s="203"/>
      <c r="BB25" s="203"/>
      <c r="BC25" s="203"/>
      <c r="BD25" s="203"/>
      <c r="BE25" s="203"/>
      <c r="BF25" s="203"/>
      <c r="BG25" s="203"/>
      <c r="BH25" s="203"/>
      <c r="BI25" s="203"/>
      <c r="BJ25" s="203"/>
      <c r="BK25" s="203"/>
      <c r="BL25" s="203"/>
      <c r="BM25" s="203"/>
      <c r="BN25" s="203"/>
      <c r="BO25" s="203"/>
      <c r="BP25" s="203"/>
      <c r="BQ25" s="203"/>
      <c r="BR25" s="185"/>
      <c r="BS25" s="203"/>
      <c r="BT25" s="203"/>
      <c r="BU25" s="203"/>
      <c r="BV25" s="203"/>
      <c r="BW25" s="203"/>
      <c r="BX25" s="185"/>
      <c r="BY25" s="188">
        <v>-95338.527020000081</v>
      </c>
    </row>
    <row r="26" spans="1:77" ht="15.5" x14ac:dyDescent="0.35">
      <c r="A26" s="711">
        <v>13</v>
      </c>
      <c r="B26" s="189">
        <f t="shared" si="1"/>
        <v>44652</v>
      </c>
      <c r="C26" s="189"/>
      <c r="D26" s="47">
        <f>VLOOKUP($B26,'Sales Volumes'!$A$1:$H$200,4,FALSE)</f>
        <v>2784306.4</v>
      </c>
      <c r="E26" s="47">
        <f>VLOOKUP($B26,'Sales Volumes'!$A$1:$H$200,5,FALSE)</f>
        <v>71265.7</v>
      </c>
      <c r="F26" s="158">
        <f t="shared" si="2"/>
        <v>0</v>
      </c>
      <c r="G26" s="159">
        <f t="shared" si="0"/>
        <v>0</v>
      </c>
      <c r="H26" s="159">
        <f t="shared" si="3"/>
        <v>0</v>
      </c>
      <c r="I26" s="78"/>
      <c r="J26" s="202"/>
      <c r="K26" s="78"/>
      <c r="N26" s="203"/>
      <c r="Q26" s="203"/>
      <c r="R26" s="203"/>
      <c r="S26" s="185"/>
      <c r="T26" s="185"/>
      <c r="W26" s="203"/>
      <c r="X26" s="203"/>
      <c r="Y26" s="203"/>
      <c r="Z26" s="203"/>
      <c r="AA26" s="185"/>
      <c r="AB26" s="185"/>
      <c r="AC26" s="185"/>
      <c r="AY26" s="203"/>
      <c r="AZ26" s="203"/>
      <c r="BA26" s="203"/>
      <c r="BB26" s="203"/>
      <c r="BC26" s="203"/>
      <c r="BD26" s="203"/>
      <c r="BE26" s="203"/>
      <c r="BF26" s="203"/>
      <c r="BG26" s="203"/>
      <c r="BH26" s="203"/>
      <c r="BI26" s="203"/>
      <c r="BJ26" s="203"/>
      <c r="BK26" s="203"/>
      <c r="BL26" s="203"/>
      <c r="BM26" s="203"/>
      <c r="BN26" s="203"/>
      <c r="BO26" s="203"/>
      <c r="BP26" s="203"/>
      <c r="BQ26" s="203"/>
      <c r="BR26" s="185"/>
      <c r="BS26" s="203"/>
      <c r="BT26" s="203"/>
      <c r="BU26" s="203"/>
      <c r="BV26" s="203"/>
      <c r="BW26" s="203"/>
      <c r="BX26" s="185"/>
      <c r="BY26" s="188">
        <v>-76782.608450000087</v>
      </c>
    </row>
    <row r="27" spans="1:77" ht="16.149999999999999" customHeight="1" x14ac:dyDescent="0.35">
      <c r="A27" s="711">
        <v>14</v>
      </c>
      <c r="B27" s="189">
        <f t="shared" si="1"/>
        <v>44682</v>
      </c>
      <c r="C27" s="189" t="s">
        <v>364</v>
      </c>
      <c r="D27" s="47">
        <f>VLOOKUP($B27,'Sales Volumes'!$A$1:$H$1000,4,FALSE)</f>
        <v>561582.5</v>
      </c>
      <c r="E27" s="47">
        <f>VLOOKUP($B27,'Sales Volumes'!$A$1:$H$1000,5,FALSE)</f>
        <v>0</v>
      </c>
      <c r="F27" s="158">
        <f t="shared" si="2"/>
        <v>0</v>
      </c>
      <c r="G27" s="159">
        <f t="shared" si="0"/>
        <v>0</v>
      </c>
      <c r="H27" s="159">
        <f t="shared" si="3"/>
        <v>0</v>
      </c>
      <c r="I27" s="78"/>
      <c r="J27" s="202"/>
      <c r="K27" s="78"/>
      <c r="N27" s="203"/>
      <c r="Q27" s="203"/>
      <c r="R27" s="203"/>
      <c r="S27" s="185"/>
      <c r="T27" s="185"/>
      <c r="W27" s="203"/>
      <c r="X27" s="203"/>
      <c r="Y27" s="203"/>
      <c r="Z27" s="203"/>
      <c r="AA27" s="185"/>
      <c r="AB27" s="185"/>
      <c r="AC27" s="185"/>
      <c r="AY27" s="203"/>
      <c r="AZ27" s="203"/>
      <c r="BA27" s="203"/>
      <c r="BB27" s="203"/>
      <c r="BC27" s="203"/>
      <c r="BD27" s="203"/>
      <c r="BE27" s="203"/>
      <c r="BF27" s="203"/>
      <c r="BG27" s="203"/>
      <c r="BH27" s="203"/>
      <c r="BI27" s="203"/>
      <c r="BJ27" s="203"/>
      <c r="BK27" s="203"/>
      <c r="BL27" s="203"/>
      <c r="BM27" s="203"/>
      <c r="BN27" s="203"/>
      <c r="BO27" s="203"/>
      <c r="BP27" s="203"/>
      <c r="BQ27" s="203"/>
      <c r="BR27" s="185"/>
      <c r="BS27" s="203"/>
      <c r="BT27" s="203"/>
      <c r="BU27" s="203"/>
      <c r="BV27" s="203"/>
      <c r="BW27" s="203"/>
      <c r="BX27" s="185"/>
      <c r="BY27" s="188">
        <v>-68418.687050000095</v>
      </c>
    </row>
    <row r="28" spans="1:77" ht="15.5" x14ac:dyDescent="0.35">
      <c r="A28" s="711"/>
      <c r="D28" s="188"/>
      <c r="E28" s="188"/>
      <c r="F28" s="195"/>
      <c r="H28" s="195"/>
      <c r="I28" s="78"/>
      <c r="J28" s="202"/>
      <c r="K28" s="78"/>
      <c r="N28" s="203"/>
      <c r="Q28" s="203"/>
      <c r="R28" s="203"/>
      <c r="S28" s="185"/>
      <c r="T28" s="185"/>
      <c r="W28" s="203"/>
      <c r="X28" s="203"/>
      <c r="Y28" s="203"/>
      <c r="Z28" s="203"/>
      <c r="AA28" s="185"/>
      <c r="AB28" s="185"/>
      <c r="AC28" s="185"/>
      <c r="AY28" s="203"/>
      <c r="AZ28" s="203"/>
      <c r="BA28" s="203"/>
      <c r="BB28" s="203"/>
      <c r="BC28" s="203"/>
      <c r="BD28" s="203"/>
      <c r="BE28" s="203"/>
      <c r="BF28" s="203"/>
      <c r="BG28" s="203"/>
      <c r="BH28" s="203"/>
      <c r="BI28" s="203"/>
      <c r="BJ28" s="203"/>
      <c r="BK28" s="203"/>
      <c r="BL28" s="203"/>
      <c r="BM28" s="203"/>
      <c r="BN28" s="203"/>
      <c r="BO28" s="203"/>
      <c r="BP28" s="203"/>
      <c r="BQ28" s="203"/>
      <c r="BR28" s="185"/>
      <c r="BS28" s="203"/>
      <c r="BT28" s="203"/>
      <c r="BU28" s="203"/>
      <c r="BV28" s="203"/>
      <c r="BW28" s="203"/>
      <c r="BX28" s="185"/>
      <c r="BY28" s="188"/>
    </row>
    <row r="29" spans="1:77" ht="15.5" x14ac:dyDescent="0.35">
      <c r="A29" s="711"/>
      <c r="D29" s="188"/>
      <c r="E29" s="188"/>
      <c r="F29" s="195" t="s">
        <v>362</v>
      </c>
      <c r="G29" s="159">
        <f>SUM(G15:G28)</f>
        <v>0</v>
      </c>
      <c r="H29" s="195"/>
      <c r="I29" s="78"/>
      <c r="J29" s="202"/>
      <c r="K29" s="78"/>
      <c r="N29" s="203"/>
      <c r="Q29" s="203"/>
      <c r="R29" s="203"/>
      <c r="S29" s="185"/>
      <c r="T29" s="185"/>
      <c r="W29" s="203"/>
      <c r="X29" s="203"/>
      <c r="Y29" s="203"/>
      <c r="Z29" s="203"/>
      <c r="AA29" s="185"/>
      <c r="AB29" s="185"/>
      <c r="AC29" s="185"/>
      <c r="AY29" s="203"/>
      <c r="AZ29" s="203"/>
      <c r="BA29" s="203"/>
      <c r="BB29" s="203"/>
      <c r="BC29" s="203"/>
      <c r="BD29" s="203"/>
      <c r="BE29" s="203"/>
      <c r="BF29" s="203"/>
      <c r="BG29" s="203"/>
      <c r="BH29" s="203"/>
      <c r="BI29" s="203"/>
      <c r="BJ29" s="203"/>
      <c r="BK29" s="203"/>
      <c r="BL29" s="203"/>
      <c r="BM29" s="203"/>
      <c r="BN29" s="203"/>
      <c r="BO29" s="203"/>
      <c r="BP29" s="203"/>
      <c r="BQ29" s="203"/>
      <c r="BR29" s="185"/>
      <c r="BS29" s="203"/>
      <c r="BT29" s="203"/>
      <c r="BU29" s="203"/>
      <c r="BV29" s="203"/>
      <c r="BW29" s="203"/>
      <c r="BX29" s="185"/>
      <c r="BY29" s="188"/>
    </row>
    <row r="30" spans="1:77" ht="15.5" x14ac:dyDescent="0.35">
      <c r="A30" s="711"/>
      <c r="D30" s="188"/>
      <c r="E30" s="188"/>
      <c r="F30" s="195"/>
      <c r="G30" s="84"/>
      <c r="H30" s="195"/>
      <c r="I30" s="78"/>
      <c r="J30" s="202"/>
      <c r="K30" s="78"/>
      <c r="N30" s="203"/>
      <c r="Q30" s="203"/>
      <c r="R30" s="203"/>
      <c r="S30" s="185"/>
      <c r="T30" s="185"/>
      <c r="W30" s="203"/>
      <c r="X30" s="203"/>
      <c r="Y30" s="203"/>
      <c r="Z30" s="203"/>
      <c r="AA30" s="185"/>
      <c r="AB30" s="185"/>
      <c r="AC30" s="185"/>
      <c r="AY30" s="203"/>
      <c r="AZ30" s="203"/>
      <c r="BA30" s="203"/>
      <c r="BB30" s="203"/>
      <c r="BC30" s="203"/>
      <c r="BD30" s="203"/>
      <c r="BE30" s="203"/>
      <c r="BF30" s="203"/>
      <c r="BG30" s="203"/>
      <c r="BH30" s="203"/>
      <c r="BI30" s="203"/>
      <c r="BJ30" s="203"/>
      <c r="BK30" s="203"/>
      <c r="BL30" s="203"/>
      <c r="BM30" s="203"/>
      <c r="BN30" s="203"/>
      <c r="BO30" s="203"/>
      <c r="BP30" s="203"/>
      <c r="BQ30" s="203"/>
      <c r="BR30" s="185"/>
      <c r="BS30" s="203"/>
      <c r="BT30" s="203"/>
      <c r="BU30" s="203"/>
      <c r="BV30" s="203"/>
      <c r="BW30" s="203"/>
      <c r="BX30" s="185"/>
      <c r="BY30" s="188"/>
    </row>
    <row r="31" spans="1:77" ht="15.5" x14ac:dyDescent="0.35">
      <c r="A31" s="711">
        <v>15</v>
      </c>
      <c r="D31" s="188"/>
      <c r="E31" s="188"/>
      <c r="F31" s="54" t="s">
        <v>303</v>
      </c>
      <c r="G31" s="159">
        <f>ROUND(H27,0)</f>
        <v>0</v>
      </c>
      <c r="H31" s="195"/>
      <c r="I31" s="78"/>
      <c r="J31" s="202"/>
      <c r="K31" s="78"/>
      <c r="N31" s="203"/>
      <c r="Q31" s="203"/>
      <c r="R31" s="203"/>
      <c r="S31" s="185"/>
      <c r="T31" s="185"/>
      <c r="W31" s="203"/>
      <c r="X31" s="203"/>
      <c r="Y31" s="203"/>
      <c r="Z31" s="203"/>
      <c r="AA31" s="185"/>
      <c r="AB31" s="185"/>
      <c r="AC31" s="185"/>
      <c r="AY31" s="203"/>
      <c r="AZ31" s="203"/>
      <c r="BA31" s="203"/>
      <c r="BB31" s="203"/>
      <c r="BC31" s="203"/>
      <c r="BD31" s="203"/>
      <c r="BE31" s="203"/>
      <c r="BF31" s="203"/>
      <c r="BG31" s="203"/>
      <c r="BH31" s="203"/>
      <c r="BI31" s="203"/>
      <c r="BJ31" s="203"/>
      <c r="BK31" s="203"/>
      <c r="BL31" s="203"/>
      <c r="BM31" s="203"/>
      <c r="BN31" s="203"/>
      <c r="BO31" s="203"/>
      <c r="BP31" s="203"/>
      <c r="BQ31" s="203"/>
      <c r="BR31" s="185"/>
      <c r="BS31" s="203"/>
      <c r="BT31" s="203"/>
      <c r="BU31" s="203"/>
      <c r="BV31" s="203"/>
      <c r="BW31" s="203"/>
      <c r="BX31" s="185"/>
      <c r="BY31" s="188"/>
    </row>
    <row r="32" spans="1:77" ht="15.5" x14ac:dyDescent="0.35">
      <c r="A32" s="711"/>
      <c r="D32" s="188"/>
      <c r="E32" s="188"/>
      <c r="F32" s="195"/>
      <c r="H32" s="195"/>
      <c r="I32" s="78"/>
      <c r="J32" s="202"/>
      <c r="K32" s="78"/>
      <c r="N32" s="203"/>
      <c r="Q32" s="203"/>
      <c r="R32" s="203"/>
      <c r="S32" s="185"/>
      <c r="T32" s="185"/>
      <c r="W32" s="203"/>
      <c r="X32" s="203"/>
      <c r="Y32" s="203"/>
      <c r="Z32" s="203"/>
      <c r="AA32" s="185"/>
      <c r="AB32" s="185"/>
      <c r="AC32" s="185"/>
      <c r="AY32" s="203"/>
      <c r="AZ32" s="203"/>
      <c r="BA32" s="203"/>
      <c r="BB32" s="203"/>
      <c r="BC32" s="203"/>
      <c r="BD32" s="203"/>
      <c r="BE32" s="203"/>
      <c r="BF32" s="203"/>
      <c r="BG32" s="203"/>
      <c r="BH32" s="203"/>
      <c r="BI32" s="203"/>
      <c r="BJ32" s="203"/>
      <c r="BK32" s="203"/>
      <c r="BL32" s="203"/>
      <c r="BM32" s="203"/>
      <c r="BN32" s="203"/>
      <c r="BO32" s="203"/>
      <c r="BP32" s="203"/>
      <c r="BQ32" s="203"/>
      <c r="BR32" s="185"/>
      <c r="BS32" s="203"/>
      <c r="BT32" s="203"/>
      <c r="BU32" s="203"/>
      <c r="BV32" s="203"/>
      <c r="BW32" s="203"/>
      <c r="BX32" s="185"/>
      <c r="BY32" s="188"/>
    </row>
    <row r="33" spans="1:77" ht="15.5" x14ac:dyDescent="0.35">
      <c r="A33" s="711"/>
      <c r="D33" s="197"/>
      <c r="E33" s="197"/>
      <c r="F33" s="199"/>
      <c r="G33" s="195"/>
      <c r="H33" s="188"/>
      <c r="I33" s="78"/>
      <c r="J33" s="202"/>
      <c r="K33" s="78"/>
      <c r="N33" s="203"/>
      <c r="Q33" s="203"/>
      <c r="R33" s="203"/>
      <c r="S33" s="185"/>
      <c r="T33" s="185"/>
      <c r="W33" s="203"/>
      <c r="X33" s="203"/>
      <c r="Y33" s="203"/>
      <c r="Z33" s="203"/>
      <c r="AA33" s="185"/>
      <c r="AB33" s="185"/>
      <c r="AC33" s="185"/>
      <c r="AY33" s="203"/>
      <c r="AZ33" s="203"/>
      <c r="BA33" s="203"/>
      <c r="BB33" s="203"/>
      <c r="BC33" s="203"/>
      <c r="BD33" s="203"/>
      <c r="BE33" s="203"/>
      <c r="BF33" s="203"/>
      <c r="BG33" s="203"/>
      <c r="BH33" s="203"/>
      <c r="BI33" s="203"/>
      <c r="BJ33" s="203"/>
      <c r="BK33" s="203"/>
      <c r="BL33" s="203"/>
      <c r="BM33" s="203"/>
      <c r="BN33" s="203"/>
      <c r="BO33" s="203"/>
      <c r="BP33" s="203"/>
      <c r="BQ33" s="203"/>
      <c r="BR33" s="185"/>
      <c r="BS33" s="203"/>
      <c r="BT33" s="203"/>
      <c r="BU33" s="203"/>
      <c r="BV33" s="203"/>
      <c r="BW33" s="203"/>
      <c r="BX33" s="185"/>
      <c r="BY33" s="188"/>
    </row>
    <row r="34" spans="1:77" ht="15.5" x14ac:dyDescent="0.35">
      <c r="D34" s="197"/>
      <c r="E34" s="197"/>
      <c r="H34" s="3"/>
      <c r="I34" s="78"/>
      <c r="J34" s="78"/>
      <c r="K34" s="78"/>
      <c r="L34" s="78"/>
      <c r="M34" s="78"/>
      <c r="N34" s="78"/>
      <c r="O34" s="78"/>
      <c r="BR34" s="79"/>
    </row>
    <row r="35" spans="1:77" ht="17.25" customHeight="1" x14ac:dyDescent="0.5">
      <c r="I35" s="78"/>
      <c r="J35" s="202"/>
      <c r="K35" s="78"/>
      <c r="N35" s="203"/>
      <c r="Q35" s="203"/>
      <c r="R35" s="203"/>
      <c r="S35" s="185"/>
      <c r="T35" s="185"/>
      <c r="W35" s="203"/>
      <c r="X35" s="203"/>
      <c r="Y35" s="203"/>
      <c r="Z35" s="203"/>
      <c r="AA35" s="185"/>
      <c r="AB35" s="185"/>
      <c r="AC35" s="185"/>
      <c r="AY35" s="203"/>
      <c r="AZ35" s="203"/>
      <c r="BA35" s="203"/>
      <c r="BB35" s="203"/>
      <c r="BC35" s="203"/>
      <c r="BD35" s="203"/>
      <c r="BE35" s="203"/>
      <c r="BF35" s="203"/>
      <c r="BG35" s="203"/>
      <c r="BH35" s="203"/>
      <c r="BI35" s="203"/>
      <c r="BJ35" s="203"/>
      <c r="BK35" s="203"/>
      <c r="BL35" s="203"/>
      <c r="BM35" s="203"/>
      <c r="BN35" s="203"/>
      <c r="BO35" s="203"/>
      <c r="BP35" s="203"/>
      <c r="BQ35" s="203"/>
      <c r="BR35" s="185"/>
      <c r="BS35" s="203"/>
      <c r="BT35" s="203"/>
      <c r="BU35" s="203"/>
      <c r="BV35" s="203"/>
      <c r="BW35" s="203"/>
      <c r="BX35" s="185"/>
      <c r="BY35" s="188">
        <v>-68418.687050000095</v>
      </c>
    </row>
    <row r="43" spans="1:77" ht="22.5" x14ac:dyDescent="0.45">
      <c r="H43" s="204"/>
    </row>
  </sheetData>
  <mergeCells count="3">
    <mergeCell ref="B2:H2"/>
    <mergeCell ref="B3:H3"/>
    <mergeCell ref="B4:H4"/>
  </mergeCells>
  <pageMargins left="0.7" right="0.7" top="0.75" bottom="1" header="0.3" footer="0.3"/>
  <pageSetup scale="68" orientation="portrait" r:id="rId1"/>
  <headerFooter>
    <oddFooter>&amp;R&amp;"Times New Roman,Bold"Exhibit D-1
Page 2 of 2</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zoomScaleNormal="100" workbookViewId="0"/>
  </sheetViews>
  <sheetFormatPr defaultColWidth="8.765625" defaultRowHeight="15.5" x14ac:dyDescent="0.35"/>
  <cols>
    <col min="1" max="1" width="1.07421875" style="6" customWidth="1"/>
    <col min="2" max="4" width="8.765625" style="6"/>
    <col min="5" max="5" width="9.765625" style="6" bestFit="1" customWidth="1"/>
    <col min="6" max="7" width="8.765625" style="6"/>
    <col min="8" max="8" width="9.765625" style="6" bestFit="1" customWidth="1"/>
    <col min="9" max="9" width="9.53515625" style="6" customWidth="1"/>
    <col min="10" max="10" width="1.07421875" style="6" customWidth="1"/>
    <col min="11" max="16384" width="8.765625" style="6"/>
  </cols>
  <sheetData>
    <row r="1" spans="2:14" x14ac:dyDescent="0.35">
      <c r="B1" s="787" t="s">
        <v>5</v>
      </c>
      <c r="C1" s="787"/>
      <c r="D1" s="787"/>
      <c r="E1" s="787"/>
      <c r="F1" s="787"/>
      <c r="G1" s="787"/>
      <c r="H1" s="787"/>
      <c r="I1" s="787"/>
      <c r="K1" s="578"/>
      <c r="L1" s="578"/>
      <c r="M1" s="578"/>
      <c r="N1" s="578"/>
    </row>
    <row r="2" spans="2:14" x14ac:dyDescent="0.35">
      <c r="B2" s="574"/>
      <c r="C2" s="574"/>
      <c r="D2" s="574"/>
      <c r="E2" s="574"/>
      <c r="F2" s="574"/>
      <c r="G2" s="574"/>
      <c r="H2" s="574"/>
      <c r="I2" s="574"/>
    </row>
    <row r="3" spans="2:14" x14ac:dyDescent="0.35">
      <c r="B3" s="787" t="str">
        <f>'Exhibit F Write-Up'!B3:N3</f>
        <v>Gas Supply Clause: 2022-00180</v>
      </c>
      <c r="C3" s="787"/>
      <c r="D3" s="787"/>
      <c r="E3" s="787"/>
      <c r="F3" s="787"/>
      <c r="G3" s="787"/>
      <c r="H3" s="787"/>
      <c r="I3" s="787"/>
    </row>
    <row r="4" spans="2:14" x14ac:dyDescent="0.35">
      <c r="B4" s="787" t="s">
        <v>662</v>
      </c>
      <c r="C4" s="787"/>
      <c r="D4" s="787"/>
      <c r="E4" s="787"/>
      <c r="F4" s="787"/>
      <c r="G4" s="787"/>
      <c r="H4" s="787"/>
      <c r="I4" s="787"/>
    </row>
    <row r="6" spans="2:14" ht="47.25" customHeight="1" x14ac:dyDescent="0.35">
      <c r="B6" s="820" t="s">
        <v>755</v>
      </c>
      <c r="C6" s="820"/>
      <c r="D6" s="820"/>
      <c r="E6" s="820"/>
      <c r="F6" s="820"/>
      <c r="G6" s="820"/>
      <c r="H6" s="820"/>
      <c r="I6" s="820"/>
    </row>
    <row r="7" spans="2:14" ht="15.65" customHeight="1" x14ac:dyDescent="0.35">
      <c r="B7" s="675"/>
      <c r="C7" s="675"/>
      <c r="D7" s="675"/>
      <c r="E7" s="675"/>
      <c r="F7" s="675"/>
      <c r="G7" s="675"/>
      <c r="H7" s="675"/>
      <c r="I7" s="675"/>
    </row>
    <row r="8" spans="2:14" ht="47.25" customHeight="1" x14ac:dyDescent="0.35">
      <c r="B8" s="820" t="str">
        <f>"As shown in the following table, the PBRRC amount which becomes effective with gas service rendered on and after " &amp;'Input Data'!B170 &amp;" and will remain in effect until " &amp;'Input Data'!B171 &amp;" is $" &amp;E14 &amp;" and $" &amp;H14 &amp;" per 100 cubic feet for sales and Rider TS-2 volumes, respectively:"</f>
        <v>As shown in the following table, the PBRRC amount which becomes effective with gas service rendered on and after February 1, 2022 and will remain in effect until January 31, 2023 is $0.01581 and $0.0026 per 100 cubic feet for sales and Rider TS-2 volumes, respectively:</v>
      </c>
      <c r="C8" s="820"/>
      <c r="D8" s="820"/>
      <c r="E8" s="820"/>
      <c r="F8" s="820"/>
      <c r="G8" s="820"/>
      <c r="H8" s="820"/>
      <c r="I8" s="820"/>
    </row>
    <row r="10" spans="2:14" x14ac:dyDescent="0.35">
      <c r="E10" s="822" t="s">
        <v>664</v>
      </c>
      <c r="F10" s="822"/>
      <c r="H10" s="821" t="s">
        <v>663</v>
      </c>
      <c r="I10" s="821"/>
    </row>
    <row r="12" spans="2:14" x14ac:dyDescent="0.35">
      <c r="B12" s="823" t="s">
        <v>665</v>
      </c>
      <c r="C12" s="823"/>
      <c r="D12" s="823"/>
      <c r="E12" s="580">
        <f>'Ex E-1 1 of 1'!C23</f>
        <v>1.321E-2</v>
      </c>
      <c r="F12" s="579" t="s">
        <v>668</v>
      </c>
      <c r="H12" s="581">
        <v>0</v>
      </c>
      <c r="I12" s="579" t="s">
        <v>668</v>
      </c>
    </row>
    <row r="13" spans="2:14" x14ac:dyDescent="0.35">
      <c r="B13" s="823" t="s">
        <v>666</v>
      </c>
      <c r="C13" s="823"/>
      <c r="D13" s="823"/>
      <c r="E13" s="580">
        <f>'Ex E-1 1 of 1'!D23</f>
        <v>2.5999999999999999E-3</v>
      </c>
      <c r="F13" s="579" t="s">
        <v>668</v>
      </c>
      <c r="H13" s="580">
        <f>'Ex E-1 1 of 1'!D23</f>
        <v>2.5999999999999999E-3</v>
      </c>
      <c r="I13" s="579" t="s">
        <v>668</v>
      </c>
    </row>
    <row r="14" spans="2:14" x14ac:dyDescent="0.35">
      <c r="B14" s="823" t="s">
        <v>667</v>
      </c>
      <c r="C14" s="823"/>
      <c r="D14" s="823"/>
      <c r="E14" s="580">
        <f>E12+E13</f>
        <v>1.5809999999999998E-2</v>
      </c>
      <c r="F14" s="579" t="s">
        <v>668</v>
      </c>
      <c r="H14" s="580">
        <f>H12+H13</f>
        <v>2.5999999999999999E-3</v>
      </c>
      <c r="I14" s="579" t="s">
        <v>668</v>
      </c>
    </row>
    <row r="17" spans="2:9" ht="47.25" customHeight="1" x14ac:dyDescent="0.35">
      <c r="B17" s="820" t="s">
        <v>669</v>
      </c>
      <c r="C17" s="820"/>
      <c r="D17" s="820"/>
      <c r="E17" s="820"/>
      <c r="F17" s="820"/>
      <c r="G17" s="820"/>
      <c r="H17" s="820"/>
      <c r="I17" s="820"/>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07421875" defaultRowHeight="13" x14ac:dyDescent="0.3"/>
  <cols>
    <col min="1" max="1" width="7.07421875" style="34"/>
    <col min="2" max="2" width="26.3046875" style="34" customWidth="1"/>
    <col min="3" max="3" width="14.84375" style="34" customWidth="1"/>
    <col min="4" max="4" width="16" style="34" customWidth="1"/>
    <col min="5" max="5" width="14.07421875" style="34" customWidth="1"/>
    <col min="6" max="6" width="16.23046875" style="34" customWidth="1"/>
    <col min="7" max="7" width="12.4609375" style="34" customWidth="1"/>
    <col min="8" max="8" width="17.69140625" style="34" customWidth="1"/>
    <col min="9" max="9" width="11.3046875" style="34" customWidth="1"/>
    <col min="10" max="10" width="13.07421875" style="34" customWidth="1"/>
    <col min="11" max="11" width="12.84375" style="34" customWidth="1"/>
    <col min="12" max="12" width="14.07421875" style="34" customWidth="1"/>
    <col min="13" max="13" width="14.69140625" style="34" customWidth="1"/>
    <col min="14" max="14" width="12.3046875" style="34" customWidth="1"/>
    <col min="15" max="15" width="21.23046875" style="34" customWidth="1"/>
    <col min="16" max="16" width="22.3046875" style="34" customWidth="1"/>
    <col min="17" max="17" width="13.3046875" style="34" customWidth="1"/>
    <col min="18" max="18" width="8.53515625" style="34" customWidth="1"/>
    <col min="19" max="19" width="13.765625" style="34" customWidth="1"/>
    <col min="20" max="20" width="31.69140625" style="34" customWidth="1"/>
    <col min="21" max="21" width="7.07421875" style="34" customWidth="1"/>
    <col min="22" max="22" width="14.53515625" style="34" customWidth="1"/>
    <col min="23" max="23" width="9.84375" style="34" customWidth="1"/>
    <col min="24" max="16384" width="7.07421875" style="34"/>
  </cols>
  <sheetData>
    <row r="1" spans="1:12" ht="15.5" x14ac:dyDescent="0.35">
      <c r="B1" s="32"/>
      <c r="C1" s="32"/>
      <c r="D1" s="32"/>
      <c r="E1" s="32"/>
      <c r="F1" s="32"/>
      <c r="G1" s="33"/>
      <c r="H1" s="33"/>
      <c r="I1" s="33"/>
      <c r="J1" s="33"/>
    </row>
    <row r="2" spans="1:12" ht="17.5" x14ac:dyDescent="0.35">
      <c r="B2" s="824" t="s">
        <v>5</v>
      </c>
      <c r="C2" s="824"/>
      <c r="D2" s="824"/>
      <c r="E2" s="824"/>
      <c r="F2" s="3"/>
      <c r="G2" s="3"/>
      <c r="H2" s="3"/>
      <c r="I2" s="3"/>
      <c r="J2" s="3"/>
      <c r="K2" s="3"/>
      <c r="L2" s="3"/>
    </row>
    <row r="3" spans="1:12" ht="15.5" x14ac:dyDescent="0.35">
      <c r="B3" s="3"/>
      <c r="C3" s="3"/>
      <c r="D3" s="3"/>
      <c r="E3" s="3"/>
      <c r="F3" s="3"/>
      <c r="G3" s="3"/>
      <c r="H3" s="3"/>
      <c r="I3" s="3"/>
      <c r="J3" s="3"/>
      <c r="K3" s="3"/>
      <c r="L3" s="3"/>
    </row>
    <row r="4" spans="1:12" ht="18" x14ac:dyDescent="0.4">
      <c r="B4" s="756" t="str">
        <f>CONCATENATE("Effective"," ", 'Input Data'!$D$10," ", "with Gas Supply Clause Case No."," ", 'Input Data'!C14)</f>
        <v>Effective February 1, 2022 with Gas Supply Clause Case No. 2021-00458</v>
      </c>
      <c r="C4" s="756"/>
      <c r="D4" s="756"/>
      <c r="E4" s="756"/>
      <c r="F4" s="3"/>
      <c r="G4" s="3"/>
      <c r="H4" s="3"/>
      <c r="I4" s="3"/>
      <c r="J4" s="3"/>
      <c r="K4" s="3"/>
      <c r="L4" s="3"/>
    </row>
    <row r="5" spans="1:12" ht="18" x14ac:dyDescent="0.4">
      <c r="B5" s="756" t="s">
        <v>123</v>
      </c>
      <c r="C5" s="756"/>
      <c r="D5" s="756"/>
      <c r="E5" s="756"/>
      <c r="F5" s="3"/>
      <c r="G5" s="3"/>
      <c r="H5" s="3"/>
      <c r="I5" s="3"/>
      <c r="J5" s="3"/>
      <c r="K5" s="3"/>
      <c r="L5" s="3"/>
    </row>
    <row r="6" spans="1:12" ht="15.75" customHeight="1" x14ac:dyDescent="0.45">
      <c r="B6" s="756" t="str">
        <f>CONCATENATE("PBR Year"," ", 'Input Data'!$C$9-1)</f>
        <v>PBR Year 24</v>
      </c>
      <c r="C6" s="756"/>
      <c r="D6" s="756"/>
      <c r="E6" s="756"/>
      <c r="F6" s="3"/>
      <c r="G6" s="631"/>
      <c r="H6" s="3"/>
      <c r="I6" s="3"/>
      <c r="J6" s="3"/>
      <c r="K6" s="3"/>
      <c r="L6" s="3"/>
    </row>
    <row r="7" spans="1:12" ht="18" x14ac:dyDescent="0.4">
      <c r="B7" s="756" t="s">
        <v>124</v>
      </c>
      <c r="C7" s="756"/>
      <c r="D7" s="756"/>
      <c r="E7" s="756"/>
      <c r="F7" s="3"/>
      <c r="G7" s="3"/>
      <c r="H7" s="3"/>
      <c r="I7" s="3"/>
      <c r="J7" s="3"/>
      <c r="K7" s="3"/>
      <c r="L7" s="3"/>
    </row>
    <row r="8" spans="1:12" ht="18" x14ac:dyDescent="0.4">
      <c r="B8" s="756" t="s">
        <v>574</v>
      </c>
      <c r="C8" s="756"/>
      <c r="D8" s="756"/>
      <c r="E8" s="756"/>
      <c r="F8" s="3"/>
      <c r="G8" s="3"/>
      <c r="H8" s="3"/>
      <c r="I8" s="3"/>
      <c r="J8" s="3"/>
      <c r="K8" s="3"/>
      <c r="L8" s="3"/>
    </row>
    <row r="9" spans="1:12" ht="15.5" x14ac:dyDescent="0.35">
      <c r="B9" s="3"/>
      <c r="C9" s="3"/>
      <c r="D9" s="3"/>
      <c r="E9" s="3"/>
      <c r="F9" s="3"/>
      <c r="G9" s="3"/>
      <c r="H9" s="3"/>
      <c r="I9" s="3"/>
      <c r="J9" s="3"/>
      <c r="K9" s="3"/>
      <c r="L9" s="3"/>
    </row>
    <row r="10" spans="1:12" ht="15.5" x14ac:dyDescent="0.35">
      <c r="B10" s="3"/>
      <c r="C10" s="3"/>
      <c r="D10" s="3"/>
      <c r="E10" s="3"/>
      <c r="F10" s="3"/>
      <c r="G10" s="3"/>
      <c r="H10" s="3"/>
      <c r="I10" s="3"/>
      <c r="J10" s="3"/>
      <c r="K10" s="3"/>
      <c r="L10" s="3"/>
    </row>
    <row r="11" spans="1:12" ht="15.5" x14ac:dyDescent="0.35">
      <c r="A11" s="86" t="s">
        <v>247</v>
      </c>
      <c r="B11" s="3"/>
      <c r="C11" s="116" t="s">
        <v>118</v>
      </c>
      <c r="D11" s="116" t="s">
        <v>73</v>
      </c>
      <c r="E11" s="116" t="s">
        <v>30</v>
      </c>
      <c r="G11" s="3"/>
      <c r="H11" s="3"/>
      <c r="I11" s="3"/>
      <c r="J11" s="3"/>
      <c r="K11" s="3"/>
      <c r="L11" s="3"/>
    </row>
    <row r="12" spans="1:12" ht="15.5" x14ac:dyDescent="0.35">
      <c r="B12" s="3"/>
      <c r="C12" s="3"/>
      <c r="D12" s="3"/>
      <c r="E12" s="3"/>
      <c r="G12" s="3"/>
      <c r="H12" s="3"/>
      <c r="I12" s="3"/>
      <c r="J12" s="3"/>
      <c r="K12" s="3"/>
      <c r="L12" s="3"/>
    </row>
    <row r="13" spans="1:12" ht="15.5" x14ac:dyDescent="0.35">
      <c r="A13" s="330">
        <v>1</v>
      </c>
      <c r="B13" s="54" t="s">
        <v>125</v>
      </c>
      <c r="C13" s="334">
        <f>'Input Data'!D166</f>
        <v>4159624</v>
      </c>
      <c r="D13" s="334">
        <f>'Input Data'!D167</f>
        <v>838723</v>
      </c>
      <c r="E13" s="334">
        <f>C13+D13</f>
        <v>4998347</v>
      </c>
      <c r="G13" s="3"/>
      <c r="H13" s="3"/>
      <c r="I13" s="3"/>
      <c r="J13" s="3"/>
      <c r="K13" s="3"/>
      <c r="L13" s="3"/>
    </row>
    <row r="14" spans="1:12" ht="15.5" x14ac:dyDescent="0.35">
      <c r="A14" s="330"/>
      <c r="B14" s="54" t="s">
        <v>259</v>
      </c>
      <c r="D14" s="3"/>
      <c r="E14" s="3"/>
      <c r="F14" s="3"/>
      <c r="G14" s="3"/>
      <c r="H14" s="3"/>
      <c r="I14" s="3"/>
      <c r="J14" s="3"/>
      <c r="K14" s="3"/>
      <c r="L14" s="3"/>
    </row>
    <row r="15" spans="1:12" ht="15.5" x14ac:dyDescent="0.35">
      <c r="A15" s="330"/>
      <c r="B15" s="54" t="s">
        <v>126</v>
      </c>
      <c r="D15" s="3"/>
      <c r="E15" s="3"/>
      <c r="F15" s="3"/>
      <c r="G15" s="3"/>
      <c r="H15" s="3"/>
      <c r="I15" s="3"/>
      <c r="J15" s="3"/>
      <c r="K15" s="3"/>
      <c r="L15" s="3"/>
    </row>
    <row r="16" spans="1:12" ht="15.5" x14ac:dyDescent="0.35">
      <c r="A16" s="330"/>
      <c r="B16" s="3"/>
      <c r="C16" s="54"/>
      <c r="D16" s="3"/>
      <c r="E16" s="3"/>
      <c r="F16" s="3"/>
      <c r="G16" s="3"/>
      <c r="H16" s="3"/>
      <c r="I16" s="3"/>
      <c r="J16" s="3"/>
      <c r="K16" s="3"/>
      <c r="L16" s="3"/>
    </row>
    <row r="17" spans="1:26" ht="15.75" customHeight="1" x14ac:dyDescent="0.45">
      <c r="A17" s="330">
        <v>2</v>
      </c>
      <c r="B17" s="33" t="s">
        <v>119</v>
      </c>
      <c r="C17" s="457">
        <f>'Input Data'!E187</f>
        <v>31477420</v>
      </c>
      <c r="D17" s="457">
        <f>'Input Data'!E187+'Input Data'!F187</f>
        <v>32232564</v>
      </c>
      <c r="E17" s="3"/>
      <c r="F17" s="3"/>
      <c r="G17" s="631"/>
      <c r="H17" s="3"/>
      <c r="I17" s="3"/>
      <c r="J17" s="3"/>
      <c r="K17" s="3"/>
      <c r="L17" s="3"/>
    </row>
    <row r="18" spans="1:26" ht="15.5" x14ac:dyDescent="0.35">
      <c r="A18" s="330"/>
      <c r="B18" s="68" t="s">
        <v>120</v>
      </c>
      <c r="E18" s="3"/>
      <c r="F18" s="3"/>
      <c r="G18" s="3"/>
      <c r="H18" s="3"/>
      <c r="I18" s="3"/>
      <c r="J18" s="3"/>
      <c r="K18" s="3"/>
      <c r="L18" s="3"/>
    </row>
    <row r="19" spans="1:26" ht="15.5" x14ac:dyDescent="0.35">
      <c r="A19" s="330"/>
      <c r="B19" s="69">
        <f>'Input Data'!C10</f>
        <v>44593</v>
      </c>
      <c r="C19" s="330"/>
      <c r="D19" s="330"/>
      <c r="E19" s="3"/>
      <c r="F19" s="3"/>
      <c r="G19" s="32"/>
      <c r="H19" s="32"/>
      <c r="I19" s="32"/>
      <c r="J19" s="32"/>
    </row>
    <row r="20" spans="1:26" ht="15.5" x14ac:dyDescent="0.35">
      <c r="A20" s="330"/>
      <c r="B20" s="33"/>
      <c r="C20" s="330"/>
      <c r="D20" s="330"/>
      <c r="E20" s="3"/>
      <c r="F20" s="3"/>
      <c r="G20" s="32"/>
      <c r="H20" s="32"/>
      <c r="I20" s="32"/>
      <c r="J20" s="32"/>
    </row>
    <row r="21" spans="1:26" ht="15.5" x14ac:dyDescent="0.35">
      <c r="A21" s="330">
        <v>3</v>
      </c>
      <c r="B21" s="33" t="s">
        <v>121</v>
      </c>
      <c r="C21" s="332">
        <f>ROUND(C13/C17,4)</f>
        <v>0.1321</v>
      </c>
      <c r="D21" s="332">
        <f>ROUND(D13/D17,4)</f>
        <v>2.5999999999999999E-2</v>
      </c>
      <c r="E21" s="332">
        <f>SUM(C21:D21)</f>
        <v>0.15809999999999999</v>
      </c>
      <c r="F21" s="3"/>
      <c r="G21" s="32"/>
      <c r="H21" s="32"/>
      <c r="I21" s="32"/>
      <c r="J21" s="32"/>
    </row>
    <row r="22" spans="1:26" ht="15.5" x14ac:dyDescent="0.35">
      <c r="A22" s="330"/>
      <c r="B22" s="3"/>
      <c r="C22" s="3"/>
      <c r="D22" s="3"/>
      <c r="E22" s="332"/>
      <c r="F22" s="3"/>
      <c r="G22" s="32"/>
      <c r="H22" s="32"/>
      <c r="I22" s="32"/>
      <c r="J22" s="32"/>
    </row>
    <row r="23" spans="1:26" ht="15.5" x14ac:dyDescent="0.35">
      <c r="A23" s="330">
        <v>4</v>
      </c>
      <c r="B23" s="33" t="s">
        <v>122</v>
      </c>
      <c r="C23" s="333">
        <f>C21*0.1</f>
        <v>1.321E-2</v>
      </c>
      <c r="D23" s="333">
        <f>D21*0.1</f>
        <v>2.5999999999999999E-3</v>
      </c>
      <c r="E23" s="333">
        <f>SUM(C23:D23)</f>
        <v>1.5809999999999998E-2</v>
      </c>
      <c r="F23" s="3"/>
      <c r="G23" s="32"/>
      <c r="H23" s="32"/>
      <c r="I23" s="32"/>
      <c r="J23" s="32"/>
    </row>
    <row r="24" spans="1:26" ht="15.5" x14ac:dyDescent="0.35">
      <c r="A24" s="330"/>
      <c r="E24" s="3"/>
      <c r="F24" s="3"/>
      <c r="G24" s="32"/>
      <c r="H24" s="32"/>
      <c r="I24" s="32"/>
      <c r="J24" s="32"/>
    </row>
    <row r="25" spans="1:26" ht="15.5" x14ac:dyDescent="0.35">
      <c r="E25" s="3"/>
      <c r="F25" s="3"/>
      <c r="G25" s="32"/>
      <c r="H25" s="32"/>
      <c r="I25" s="32"/>
      <c r="J25" s="32"/>
    </row>
    <row r="26" spans="1:26" ht="15.5" x14ac:dyDescent="0.35">
      <c r="E26" s="3"/>
      <c r="F26" s="3"/>
      <c r="G26" s="32"/>
      <c r="H26" s="32"/>
      <c r="I26" s="32"/>
      <c r="J26" s="32"/>
    </row>
    <row r="27" spans="1:26" ht="15.5" x14ac:dyDescent="0.35">
      <c r="G27" s="32"/>
      <c r="H27" s="32"/>
      <c r="I27" s="32"/>
      <c r="J27" s="32"/>
    </row>
    <row r="28" spans="1:26" ht="15.5" x14ac:dyDescent="0.35">
      <c r="G28" s="32"/>
      <c r="H28" s="32"/>
      <c r="I28" s="32"/>
      <c r="J28" s="32"/>
      <c r="W28" s="35"/>
      <c r="X28" s="266"/>
      <c r="Y28" s="266"/>
      <c r="Z28" s="35"/>
    </row>
    <row r="29" spans="1:26" ht="84" customHeight="1" x14ac:dyDescent="0.35">
      <c r="B29" s="90"/>
      <c r="C29" s="90"/>
      <c r="D29" s="90"/>
      <c r="E29" s="90"/>
      <c r="F29" s="90"/>
      <c r="G29" s="90"/>
      <c r="H29" s="90"/>
      <c r="J29" s="32"/>
      <c r="W29" s="35"/>
      <c r="X29" s="632"/>
      <c r="Y29" s="266"/>
      <c r="Z29" s="35"/>
    </row>
    <row r="30" spans="1:26" ht="15.5" x14ac:dyDescent="0.35">
      <c r="B30" s="90"/>
      <c r="C30" s="90"/>
      <c r="D30" s="90"/>
      <c r="E30" s="90"/>
      <c r="F30" s="90"/>
      <c r="G30" s="90"/>
      <c r="H30" s="90"/>
      <c r="I30" s="3"/>
      <c r="J30" s="32"/>
      <c r="V30" s="36"/>
      <c r="W30" s="35"/>
      <c r="X30" s="633"/>
      <c r="Y30" s="267"/>
      <c r="Z30" s="35"/>
    </row>
    <row r="31" spans="1:26" ht="15.5" x14ac:dyDescent="0.35">
      <c r="B31" s="90"/>
      <c r="C31" s="90"/>
      <c r="D31" s="90"/>
      <c r="E31" s="90"/>
      <c r="F31" s="90"/>
      <c r="G31" s="90"/>
      <c r="H31" s="90"/>
      <c r="I31" s="3"/>
      <c r="J31" s="32"/>
      <c r="K31" s="32"/>
      <c r="V31" s="36"/>
      <c r="W31" s="35"/>
      <c r="X31" s="633"/>
      <c r="Y31" s="267"/>
      <c r="Z31" s="35"/>
    </row>
    <row r="32" spans="1:26" ht="15.5" x14ac:dyDescent="0.35">
      <c r="B32" s="90"/>
      <c r="C32" s="90"/>
      <c r="D32" s="90"/>
      <c r="E32" s="90"/>
      <c r="F32" s="90"/>
      <c r="G32" s="90"/>
      <c r="H32" s="90"/>
      <c r="I32" s="3"/>
      <c r="J32" s="32"/>
      <c r="K32" s="32"/>
      <c r="V32" s="36"/>
      <c r="W32" s="35"/>
      <c r="X32" s="633"/>
      <c r="Y32" s="267"/>
      <c r="Z32" s="35"/>
    </row>
    <row r="33" spans="2:24" ht="15.5" x14ac:dyDescent="0.35">
      <c r="B33" s="90"/>
      <c r="C33" s="90"/>
      <c r="D33" s="90"/>
      <c r="E33" s="90"/>
      <c r="F33" s="90"/>
      <c r="G33" s="90"/>
      <c r="H33" s="90"/>
      <c r="I33" s="330"/>
      <c r="J33" s="330"/>
      <c r="K33" s="330"/>
      <c r="L33" s="330"/>
      <c r="M33" s="330"/>
      <c r="N33" s="330"/>
      <c r="T33" s="36"/>
      <c r="U33" s="35"/>
      <c r="V33" s="633"/>
      <c r="W33" s="267"/>
      <c r="X33" s="35"/>
    </row>
    <row r="34" spans="2:24" ht="15.5" x14ac:dyDescent="0.35">
      <c r="B34" s="90"/>
      <c r="C34" s="90"/>
      <c r="D34" s="90"/>
      <c r="E34" s="90"/>
      <c r="F34" s="90"/>
      <c r="G34" s="90"/>
      <c r="H34" s="90"/>
      <c r="I34" s="129"/>
      <c r="J34" s="129"/>
      <c r="K34" s="129"/>
      <c r="L34" s="36"/>
      <c r="M34" s="129"/>
      <c r="N34" s="36"/>
      <c r="T34" s="36"/>
      <c r="U34" s="35"/>
      <c r="V34" s="633"/>
      <c r="W34" s="267"/>
      <c r="X34" s="35"/>
    </row>
    <row r="35" spans="2:24" ht="15.5" x14ac:dyDescent="0.35">
      <c r="B35" s="90"/>
      <c r="C35" s="90"/>
      <c r="D35" s="90"/>
      <c r="E35" s="90"/>
      <c r="F35" s="90"/>
      <c r="G35" s="90"/>
      <c r="H35" s="90"/>
      <c r="I35" s="129"/>
      <c r="J35" s="129"/>
      <c r="K35" s="129"/>
      <c r="L35" s="36"/>
      <c r="M35" s="129"/>
      <c r="N35" s="36"/>
      <c r="T35" s="36"/>
      <c r="U35" s="35"/>
      <c r="V35" s="633"/>
      <c r="W35" s="267"/>
      <c r="X35" s="35"/>
    </row>
    <row r="36" spans="2:24" ht="15.5" x14ac:dyDescent="0.35">
      <c r="B36" s="90"/>
      <c r="C36" s="90"/>
      <c r="D36" s="90"/>
      <c r="E36" s="90"/>
      <c r="F36" s="90"/>
      <c r="G36" s="90"/>
      <c r="H36" s="90"/>
      <c r="I36" s="129"/>
      <c r="J36" s="129"/>
      <c r="K36" s="129"/>
      <c r="L36" s="36"/>
      <c r="M36" s="129"/>
      <c r="N36" s="36"/>
      <c r="T36" s="36"/>
      <c r="U36" s="35"/>
      <c r="V36" s="633"/>
      <c r="W36" s="267"/>
      <c r="X36" s="35"/>
    </row>
    <row r="37" spans="2:24" ht="15.5" x14ac:dyDescent="0.35">
      <c r="B37" s="90"/>
      <c r="C37" s="90"/>
      <c r="D37" s="90"/>
      <c r="E37" s="90"/>
      <c r="F37" s="90"/>
      <c r="G37" s="90"/>
      <c r="H37" s="90"/>
      <c r="I37" s="129"/>
      <c r="J37" s="129"/>
      <c r="K37" s="129"/>
      <c r="L37" s="36"/>
      <c r="M37" s="129"/>
      <c r="N37" s="36"/>
      <c r="T37" s="36"/>
      <c r="U37" s="35"/>
      <c r="V37" s="633"/>
      <c r="W37" s="267"/>
      <c r="X37" s="35"/>
    </row>
    <row r="38" spans="2:24" ht="15.5" x14ac:dyDescent="0.35">
      <c r="B38" s="90"/>
      <c r="C38" s="90"/>
      <c r="D38" s="90"/>
      <c r="E38" s="90"/>
      <c r="F38" s="90"/>
      <c r="G38" s="90"/>
      <c r="H38" s="90"/>
      <c r="I38" s="129"/>
      <c r="J38" s="129"/>
      <c r="K38" s="129"/>
      <c r="L38" s="36"/>
      <c r="M38" s="129"/>
      <c r="N38" s="36"/>
      <c r="T38" s="36"/>
      <c r="U38" s="35"/>
      <c r="V38" s="633"/>
      <c r="W38" s="267"/>
      <c r="X38" s="35"/>
    </row>
    <row r="39" spans="2:24" ht="15.5" x14ac:dyDescent="0.35">
      <c r="B39" s="90"/>
      <c r="C39" s="90"/>
      <c r="D39" s="90"/>
      <c r="E39" s="90"/>
      <c r="F39" s="90"/>
      <c r="G39" s="90"/>
      <c r="H39" s="90"/>
      <c r="I39" s="129"/>
      <c r="J39" s="129"/>
      <c r="K39" s="129"/>
      <c r="L39" s="36"/>
      <c r="M39" s="129"/>
      <c r="N39" s="36"/>
      <c r="T39" s="36"/>
      <c r="U39" s="35"/>
      <c r="V39" s="633"/>
      <c r="W39" s="267"/>
      <c r="X39" s="35"/>
    </row>
    <row r="40" spans="2:24" ht="15.5" x14ac:dyDescent="0.35">
      <c r="B40" s="90"/>
      <c r="C40" s="90"/>
      <c r="D40" s="90"/>
      <c r="E40" s="90"/>
      <c r="F40" s="90"/>
      <c r="G40" s="90"/>
      <c r="H40" s="90"/>
      <c r="I40" s="129"/>
      <c r="J40" s="129"/>
      <c r="K40" s="129"/>
      <c r="L40" s="36"/>
      <c r="M40" s="129"/>
      <c r="N40" s="36"/>
      <c r="T40" s="36"/>
      <c r="U40" s="35"/>
      <c r="V40" s="633"/>
      <c r="W40" s="267"/>
      <c r="X40" s="35"/>
    </row>
    <row r="41" spans="2:24" ht="15.5" x14ac:dyDescent="0.35">
      <c r="B41" s="90"/>
      <c r="C41" s="90"/>
      <c r="D41" s="90"/>
      <c r="E41" s="90"/>
      <c r="F41" s="90"/>
      <c r="G41" s="90"/>
      <c r="H41" s="90"/>
      <c r="I41" s="129"/>
      <c r="J41" s="129"/>
      <c r="K41" s="129"/>
      <c r="L41" s="36"/>
      <c r="M41" s="129"/>
      <c r="N41" s="36"/>
      <c r="T41" s="36"/>
      <c r="U41" s="35"/>
      <c r="V41" s="633"/>
      <c r="W41" s="267"/>
      <c r="X41" s="35"/>
    </row>
    <row r="42" spans="2:24" ht="15.5" x14ac:dyDescent="0.35">
      <c r="B42" s="90"/>
      <c r="C42" s="90"/>
      <c r="D42" s="90"/>
      <c r="E42" s="90"/>
      <c r="F42" s="90"/>
      <c r="G42" s="90"/>
      <c r="H42" s="90"/>
      <c r="I42" s="129"/>
      <c r="J42" s="129"/>
      <c r="K42" s="129"/>
      <c r="L42" s="36"/>
      <c r="M42" s="129"/>
      <c r="N42" s="36"/>
      <c r="T42" s="36"/>
      <c r="U42" s="35"/>
      <c r="V42" s="633"/>
      <c r="W42" s="267"/>
      <c r="X42" s="35"/>
    </row>
    <row r="43" spans="2:24" ht="15.5" x14ac:dyDescent="0.35">
      <c r="B43" s="90"/>
      <c r="C43" s="90"/>
      <c r="D43" s="90"/>
      <c r="E43" s="90"/>
      <c r="F43" s="90"/>
      <c r="G43" s="90"/>
      <c r="H43" s="90"/>
      <c r="I43" s="129"/>
      <c r="J43" s="129"/>
      <c r="K43" s="129"/>
      <c r="L43" s="36"/>
      <c r="M43" s="129"/>
      <c r="N43" s="36"/>
      <c r="U43" s="35"/>
      <c r="V43" s="35"/>
      <c r="W43" s="35"/>
      <c r="X43" s="35"/>
    </row>
    <row r="44" spans="2:24" ht="15.5" x14ac:dyDescent="0.35">
      <c r="B44" s="90"/>
      <c r="C44" s="90"/>
      <c r="D44" s="90"/>
      <c r="E44" s="90"/>
      <c r="F44" s="90"/>
      <c r="G44" s="90"/>
      <c r="H44" s="90"/>
      <c r="I44" s="129"/>
      <c r="J44" s="129"/>
      <c r="K44" s="129"/>
      <c r="L44" s="36"/>
      <c r="M44" s="129"/>
      <c r="N44" s="36"/>
      <c r="U44" s="35"/>
      <c r="V44" s="35"/>
      <c r="W44" s="268"/>
      <c r="X44" s="35"/>
    </row>
    <row r="45" spans="2:24" ht="15.5" x14ac:dyDescent="0.35">
      <c r="B45" s="90"/>
      <c r="C45" s="90"/>
      <c r="D45" s="90"/>
      <c r="E45" s="90"/>
      <c r="F45" s="90"/>
      <c r="G45" s="90"/>
      <c r="H45" s="90"/>
      <c r="I45" s="129"/>
      <c r="J45" s="129"/>
      <c r="K45" s="129"/>
      <c r="L45" s="36"/>
      <c r="M45" s="129"/>
      <c r="N45" s="36"/>
      <c r="U45" s="35"/>
      <c r="V45" s="35"/>
      <c r="W45" s="35"/>
      <c r="X45" s="35"/>
    </row>
    <row r="46" spans="2:24" ht="15.5" x14ac:dyDescent="0.35">
      <c r="B46" s="90"/>
      <c r="C46" s="90"/>
      <c r="D46" s="90"/>
      <c r="E46" s="90"/>
      <c r="F46" s="90"/>
      <c r="G46" s="90"/>
      <c r="H46" s="90"/>
      <c r="I46" s="129"/>
      <c r="J46" s="129"/>
      <c r="M46" s="35"/>
    </row>
    <row r="47" spans="2:24" ht="15.5" x14ac:dyDescent="0.35">
      <c r="B47" s="90"/>
      <c r="C47" s="90"/>
      <c r="D47" s="90"/>
      <c r="E47" s="90"/>
      <c r="F47" s="90"/>
      <c r="G47" s="90"/>
      <c r="H47" s="90"/>
      <c r="I47" s="129"/>
      <c r="J47" s="129"/>
      <c r="K47" s="129"/>
      <c r="M47" s="129"/>
    </row>
    <row r="48" spans="2:24" ht="15.5" x14ac:dyDescent="0.35">
      <c r="B48" s="90"/>
      <c r="C48" s="90"/>
      <c r="D48" s="90"/>
      <c r="E48" s="90"/>
      <c r="F48" s="90"/>
      <c r="G48" s="90"/>
      <c r="H48" s="90"/>
    </row>
    <row r="49" spans="2:8" ht="15.5" x14ac:dyDescent="0.35">
      <c r="B49" s="90"/>
      <c r="C49" s="90"/>
      <c r="D49" s="90"/>
      <c r="E49" s="90"/>
      <c r="F49" s="90"/>
      <c r="G49" s="90"/>
      <c r="H49" s="90"/>
    </row>
    <row r="50" spans="2:8" ht="15.5" x14ac:dyDescent="0.35">
      <c r="B50" s="90"/>
      <c r="C50" s="90"/>
      <c r="D50" s="90"/>
      <c r="E50" s="90"/>
      <c r="F50" s="90"/>
      <c r="G50" s="90"/>
      <c r="H50" s="90"/>
    </row>
    <row r="51" spans="2:8" ht="15.5" x14ac:dyDescent="0.35">
      <c r="B51" s="90"/>
      <c r="C51" s="90"/>
      <c r="D51" s="90"/>
      <c r="E51" s="90"/>
      <c r="F51" s="90"/>
      <c r="G51" s="90"/>
      <c r="H51" s="90"/>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heetViews>
  <sheetFormatPr defaultColWidth="8.84375" defaultRowHeight="15.5" x14ac:dyDescent="0.35"/>
  <cols>
    <col min="1" max="1" width="8.84375" style="3"/>
    <col min="2" max="2" width="10.69140625" style="3" customWidth="1"/>
    <col min="3" max="3" width="9.07421875" style="3" customWidth="1"/>
    <col min="4" max="4" width="17.4609375" style="3" customWidth="1"/>
    <col min="5" max="5" width="13.23046875" style="3" customWidth="1"/>
    <col min="6" max="6" width="13.4609375" style="3" bestFit="1" customWidth="1"/>
    <col min="7" max="8" width="11.23046875" style="3" customWidth="1"/>
    <col min="9" max="9" width="12.4609375" style="3" customWidth="1"/>
    <col min="10" max="10" width="13.07421875" style="3" bestFit="1" customWidth="1"/>
    <col min="11" max="11" width="14.53515625" style="3" customWidth="1"/>
    <col min="12" max="12" width="12.84375" style="3" bestFit="1" customWidth="1"/>
    <col min="13" max="16384" width="8.84375" style="3"/>
  </cols>
  <sheetData>
    <row r="1" spans="1:14" ht="17.5" x14ac:dyDescent="0.35">
      <c r="B1" s="769" t="s">
        <v>5</v>
      </c>
      <c r="C1" s="769"/>
      <c r="D1" s="769"/>
      <c r="E1" s="769"/>
      <c r="F1" s="769"/>
      <c r="G1" s="769"/>
      <c r="H1" s="769"/>
      <c r="I1" s="769"/>
      <c r="J1" s="769"/>
      <c r="K1" s="769"/>
    </row>
    <row r="2" spans="1:14" ht="18" x14ac:dyDescent="0.4">
      <c r="B2" s="756" t="s">
        <v>313</v>
      </c>
      <c r="C2" s="756"/>
      <c r="D2" s="756"/>
      <c r="E2" s="756"/>
      <c r="F2" s="756"/>
      <c r="G2" s="756"/>
      <c r="H2" s="756"/>
      <c r="I2" s="756"/>
      <c r="J2" s="756"/>
      <c r="K2" s="756"/>
    </row>
    <row r="3" spans="1:14" ht="18" x14ac:dyDescent="0.4">
      <c r="B3" s="756" t="str">
        <f>CONCATENATE("For Service Rendered On and After ",'Input Data'!$D$4)</f>
        <v>For Service Rendered On and After August 1, 2022</v>
      </c>
      <c r="C3" s="756"/>
      <c r="D3" s="756"/>
      <c r="E3" s="756"/>
      <c r="F3" s="756"/>
      <c r="G3" s="756"/>
      <c r="H3" s="756"/>
      <c r="I3" s="756"/>
      <c r="J3" s="756"/>
      <c r="K3" s="756"/>
    </row>
    <row r="5" spans="1:14" x14ac:dyDescent="0.35">
      <c r="C5" s="258"/>
      <c r="D5" s="258"/>
      <c r="E5" s="258"/>
      <c r="F5" s="456"/>
      <c r="G5" s="456"/>
      <c r="H5" s="456"/>
      <c r="I5" s="456"/>
      <c r="J5" s="456"/>
      <c r="K5" s="456"/>
      <c r="L5" s="258"/>
      <c r="M5" s="258"/>
      <c r="N5" s="258"/>
    </row>
    <row r="6" spans="1:14" x14ac:dyDescent="0.35">
      <c r="A6" s="16" t="s">
        <v>116</v>
      </c>
      <c r="B6" s="620" t="str">
        <f>VLOOKUP(B16,'Case Database'!$A$2:$F$200,3,FALSE)</f>
        <v>2020-00401</v>
      </c>
    </row>
    <row r="7" spans="1:14" ht="15.75" customHeight="1" x14ac:dyDescent="0.45">
      <c r="G7" s="631"/>
      <c r="L7" s="631"/>
    </row>
    <row r="8" spans="1:14" x14ac:dyDescent="0.35">
      <c r="B8" s="205"/>
      <c r="C8" s="205"/>
      <c r="D8" s="205"/>
      <c r="E8" s="205"/>
      <c r="F8" s="203"/>
      <c r="G8" s="205"/>
      <c r="H8" s="205"/>
      <c r="I8" s="205"/>
      <c r="J8" s="205"/>
      <c r="K8" s="205"/>
    </row>
    <row r="9" spans="1:14" x14ac:dyDescent="0.35">
      <c r="B9" s="205"/>
      <c r="C9" s="205"/>
      <c r="D9" s="825" t="s">
        <v>288</v>
      </c>
      <c r="E9" s="825"/>
      <c r="F9" s="825"/>
      <c r="G9" s="825" t="s">
        <v>289</v>
      </c>
      <c r="H9" s="825"/>
      <c r="I9" s="825"/>
      <c r="J9" s="206" t="s">
        <v>30</v>
      </c>
      <c r="K9" s="206"/>
    </row>
    <row r="10" spans="1:14" ht="16.5" customHeight="1" x14ac:dyDescent="0.35">
      <c r="A10" s="618" t="s">
        <v>321</v>
      </c>
      <c r="B10" s="205"/>
      <c r="C10" s="205"/>
      <c r="D10" s="206" t="s">
        <v>373</v>
      </c>
      <c r="E10" s="207" t="s">
        <v>114</v>
      </c>
      <c r="F10" s="207" t="s">
        <v>287</v>
      </c>
      <c r="G10" s="206" t="s">
        <v>90</v>
      </c>
      <c r="H10" s="206" t="s">
        <v>278</v>
      </c>
      <c r="I10" s="207" t="s">
        <v>287</v>
      </c>
      <c r="J10" s="206" t="s">
        <v>343</v>
      </c>
      <c r="K10" s="206"/>
    </row>
    <row r="11" spans="1:14" x14ac:dyDescent="0.35">
      <c r="A11" s="619" t="s">
        <v>322</v>
      </c>
      <c r="B11" s="208"/>
      <c r="C11" s="208"/>
      <c r="D11" s="209" t="s">
        <v>374</v>
      </c>
      <c r="E11" s="210" t="s">
        <v>285</v>
      </c>
      <c r="F11" s="210" t="s">
        <v>286</v>
      </c>
      <c r="G11" s="209" t="s">
        <v>278</v>
      </c>
      <c r="H11" s="209" t="s">
        <v>285</v>
      </c>
      <c r="I11" s="210" t="s">
        <v>286</v>
      </c>
      <c r="J11" s="209" t="s">
        <v>279</v>
      </c>
      <c r="K11" s="209" t="s">
        <v>302</v>
      </c>
    </row>
    <row r="12" spans="1:14" x14ac:dyDescent="0.35">
      <c r="A12" s="618"/>
      <c r="B12" s="205"/>
      <c r="C12" s="205"/>
      <c r="D12" s="211" t="s">
        <v>60</v>
      </c>
      <c r="E12" s="211" t="s">
        <v>61</v>
      </c>
      <c r="F12" s="211" t="s">
        <v>493</v>
      </c>
      <c r="G12" s="211" t="s">
        <v>63</v>
      </c>
      <c r="H12" s="211" t="s">
        <v>64</v>
      </c>
      <c r="I12" s="211" t="s">
        <v>490</v>
      </c>
      <c r="J12" s="211" t="s">
        <v>315</v>
      </c>
      <c r="K12" s="211" t="s">
        <v>316</v>
      </c>
    </row>
    <row r="13" spans="1:14" x14ac:dyDescent="0.35">
      <c r="A13" s="618"/>
      <c r="B13" s="205"/>
      <c r="C13" s="205"/>
    </row>
    <row r="14" spans="1:14" x14ac:dyDescent="0.35">
      <c r="A14" s="618">
        <v>1</v>
      </c>
      <c r="D14" s="212"/>
      <c r="E14" s="212"/>
      <c r="F14" s="213"/>
      <c r="G14" s="212"/>
      <c r="H14" s="212"/>
      <c r="I14" s="212"/>
      <c r="J14" s="214" t="s">
        <v>270</v>
      </c>
      <c r="K14" s="255">
        <f>'Input Data'!D195</f>
        <v>2402345</v>
      </c>
      <c r="L14" s="93"/>
    </row>
    <row r="15" spans="1:14" x14ac:dyDescent="0.35">
      <c r="A15" s="618"/>
      <c r="C15" s="214"/>
      <c r="D15" s="212"/>
      <c r="E15" s="212"/>
      <c r="F15" s="213"/>
      <c r="G15" s="212"/>
      <c r="H15" s="212"/>
      <c r="I15" s="212"/>
      <c r="J15" s="212"/>
      <c r="K15" s="215"/>
    </row>
    <row r="16" spans="1:14" x14ac:dyDescent="0.35">
      <c r="A16" s="618">
        <v>2</v>
      </c>
      <c r="B16" s="216">
        <f>'Input Data'!C11</f>
        <v>44228</v>
      </c>
      <c r="C16" s="216" t="s">
        <v>364</v>
      </c>
      <c r="D16" s="55">
        <f>VLOOKUP($B16,'Sales Volumes'!$A$1:$H$500,4,FALSE)</f>
        <v>2867714.8</v>
      </c>
      <c r="E16" s="634">
        <f>'Input Data'!D196</f>
        <v>7.6700000000000004E-2</v>
      </c>
      <c r="F16" s="255">
        <f t="shared" ref="F16:F28" si="0">ROUND(D16*E16,2)</f>
        <v>219953.73</v>
      </c>
      <c r="G16" s="217">
        <f>VLOOKUP($B16,'Sales Volumes'!$A$1:$H$500,5,FALSE)</f>
        <v>29602.1</v>
      </c>
      <c r="H16" s="218">
        <f>'Input Data'!D197</f>
        <v>2.7699999999999999E-2</v>
      </c>
      <c r="I16" s="215">
        <f t="shared" ref="I16:I28" si="1">ROUND(G16*H16,2)</f>
        <v>819.98</v>
      </c>
      <c r="J16" s="255">
        <f>+F16+I16</f>
        <v>220773.71000000002</v>
      </c>
      <c r="K16" s="255">
        <f>+K14-J16</f>
        <v>2181571.29</v>
      </c>
      <c r="L16" s="215"/>
    </row>
    <row r="17" spans="1:11" x14ac:dyDescent="0.35">
      <c r="A17" s="618">
        <v>3</v>
      </c>
      <c r="B17" s="216">
        <f>EDATE(B16,1)</f>
        <v>44256</v>
      </c>
      <c r="C17" s="216"/>
      <c r="D17" s="55">
        <f>VLOOKUP($B17,'Sales Volumes'!$A$1:$H$500,2,FALSE)</f>
        <v>4908337.5</v>
      </c>
      <c r="E17" s="218">
        <f>$E$16</f>
        <v>7.6700000000000004E-2</v>
      </c>
      <c r="F17" s="255">
        <f t="shared" si="0"/>
        <v>376469.49</v>
      </c>
      <c r="G17" s="217">
        <f>VLOOKUP($B17,'Sales Volumes'!$A$1:$H$500,5,FALSE)</f>
        <v>40091.300000000003</v>
      </c>
      <c r="H17" s="218">
        <f>$H$16</f>
        <v>2.7699999999999999E-2</v>
      </c>
      <c r="I17" s="215">
        <f t="shared" si="1"/>
        <v>1110.53</v>
      </c>
      <c r="J17" s="255">
        <f>+F17+I17</f>
        <v>377580.02</v>
      </c>
      <c r="K17" s="255">
        <f>+K16-J17</f>
        <v>1803991.27</v>
      </c>
    </row>
    <row r="18" spans="1:11" x14ac:dyDescent="0.35">
      <c r="A18" s="618">
        <v>4</v>
      </c>
      <c r="B18" s="216">
        <f t="shared" ref="B18:B28" si="2">EDATE(B17,1)</f>
        <v>44287</v>
      </c>
      <c r="C18" s="216"/>
      <c r="D18" s="55">
        <f>VLOOKUP($B18,'Sales Volumes'!$A$1:$H$500,2,FALSE)</f>
        <v>2308518.7000000002</v>
      </c>
      <c r="E18" s="218">
        <f t="shared" ref="E18:E28" si="3">$E$16</f>
        <v>7.6700000000000004E-2</v>
      </c>
      <c r="F18" s="255">
        <f t="shared" si="0"/>
        <v>177063.38</v>
      </c>
      <c r="G18" s="217">
        <f>VLOOKUP($B18,'Sales Volumes'!$A$1:$H$500,5,FALSE)</f>
        <v>65875.899999999994</v>
      </c>
      <c r="H18" s="218">
        <f t="shared" ref="H18:H28" si="4">$H$16</f>
        <v>2.7699999999999999E-2</v>
      </c>
      <c r="I18" s="215">
        <f t="shared" si="1"/>
        <v>1824.76</v>
      </c>
      <c r="J18" s="255">
        <f t="shared" ref="J18:J28" si="5">+F18+I18</f>
        <v>178888.14</v>
      </c>
      <c r="K18" s="255">
        <f>+K17-J18</f>
        <v>1625103.13</v>
      </c>
    </row>
    <row r="19" spans="1:11" x14ac:dyDescent="0.35">
      <c r="A19" s="618">
        <v>5</v>
      </c>
      <c r="B19" s="216">
        <f t="shared" si="2"/>
        <v>44317</v>
      </c>
      <c r="C19" s="216"/>
      <c r="D19" s="55">
        <f>VLOOKUP($B19,'Sales Volumes'!$A$1:$H$500,2,FALSE)</f>
        <v>1429557.8</v>
      </c>
      <c r="E19" s="218">
        <f t="shared" si="3"/>
        <v>7.6700000000000004E-2</v>
      </c>
      <c r="F19" s="255">
        <f t="shared" si="0"/>
        <v>109647.08</v>
      </c>
      <c r="G19" s="217">
        <f>VLOOKUP($B19,'Sales Volumes'!$A$1:$H$500,5,FALSE)</f>
        <v>64697.2</v>
      </c>
      <c r="H19" s="218">
        <f t="shared" si="4"/>
        <v>2.7699999999999999E-2</v>
      </c>
      <c r="I19" s="215">
        <f t="shared" si="1"/>
        <v>1792.11</v>
      </c>
      <c r="J19" s="255">
        <f t="shared" si="5"/>
        <v>111439.19</v>
      </c>
      <c r="K19" s="255">
        <f t="shared" ref="K19:K27" si="6">+K18-J19</f>
        <v>1513663.94</v>
      </c>
    </row>
    <row r="20" spans="1:11" x14ac:dyDescent="0.35">
      <c r="A20" s="618">
        <v>6</v>
      </c>
      <c r="B20" s="216">
        <f t="shared" si="2"/>
        <v>44348</v>
      </c>
      <c r="C20" s="216"/>
      <c r="D20" s="55">
        <f>VLOOKUP($B20,'Sales Volumes'!$A$1:$H$500,2,FALSE)</f>
        <v>905633.5</v>
      </c>
      <c r="E20" s="218">
        <f t="shared" si="3"/>
        <v>7.6700000000000004E-2</v>
      </c>
      <c r="F20" s="255">
        <f t="shared" si="0"/>
        <v>69462.09</v>
      </c>
      <c r="G20" s="217">
        <f>VLOOKUP($B20,'Sales Volumes'!$A$1:$H$500,5,FALSE)</f>
        <v>63211.8</v>
      </c>
      <c r="H20" s="218">
        <f t="shared" si="4"/>
        <v>2.7699999999999999E-2</v>
      </c>
      <c r="I20" s="215">
        <f t="shared" si="1"/>
        <v>1750.97</v>
      </c>
      <c r="J20" s="255">
        <f t="shared" si="5"/>
        <v>71213.06</v>
      </c>
      <c r="K20" s="255">
        <f t="shared" si="6"/>
        <v>1442450.88</v>
      </c>
    </row>
    <row r="21" spans="1:11" x14ac:dyDescent="0.35">
      <c r="A21" s="618">
        <v>7</v>
      </c>
      <c r="B21" s="216">
        <f t="shared" si="2"/>
        <v>44378</v>
      </c>
      <c r="C21" s="216"/>
      <c r="D21" s="55">
        <f>VLOOKUP($B21,'Sales Volumes'!$A$1:$H$500,2,FALSE)</f>
        <v>669470.69999999995</v>
      </c>
      <c r="E21" s="218">
        <f t="shared" si="3"/>
        <v>7.6700000000000004E-2</v>
      </c>
      <c r="F21" s="255">
        <f t="shared" si="0"/>
        <v>51348.4</v>
      </c>
      <c r="G21" s="217">
        <f>VLOOKUP($B21,'Sales Volumes'!$A$1:$H$500,5,FALSE)</f>
        <v>57936.4</v>
      </c>
      <c r="H21" s="218">
        <f t="shared" si="4"/>
        <v>2.7699999999999999E-2</v>
      </c>
      <c r="I21" s="215">
        <f t="shared" si="1"/>
        <v>1604.84</v>
      </c>
      <c r="J21" s="255">
        <f t="shared" si="5"/>
        <v>52953.24</v>
      </c>
      <c r="K21" s="255">
        <f t="shared" si="6"/>
        <v>1389497.64</v>
      </c>
    </row>
    <row r="22" spans="1:11" x14ac:dyDescent="0.35">
      <c r="A22" s="618">
        <v>8</v>
      </c>
      <c r="B22" s="216">
        <f t="shared" si="2"/>
        <v>44409</v>
      </c>
      <c r="C22" s="216"/>
      <c r="D22" s="55">
        <f>VLOOKUP($B22,'Sales Volumes'!$A$1:$H$500,2,FALSE)</f>
        <v>663187.69999999995</v>
      </c>
      <c r="E22" s="218">
        <f t="shared" si="3"/>
        <v>7.6700000000000004E-2</v>
      </c>
      <c r="F22" s="255">
        <f t="shared" si="0"/>
        <v>50866.5</v>
      </c>
      <c r="G22" s="217">
        <f>VLOOKUP($B22,'Sales Volumes'!$A$1:$H$500,5,FALSE)</f>
        <v>48256.7</v>
      </c>
      <c r="H22" s="218">
        <f t="shared" si="4"/>
        <v>2.7699999999999999E-2</v>
      </c>
      <c r="I22" s="215">
        <f t="shared" si="1"/>
        <v>1336.71</v>
      </c>
      <c r="J22" s="255">
        <f t="shared" si="5"/>
        <v>52203.21</v>
      </c>
      <c r="K22" s="255">
        <f t="shared" si="6"/>
        <v>1337294.43</v>
      </c>
    </row>
    <row r="23" spans="1:11" x14ac:dyDescent="0.35">
      <c r="A23" s="618">
        <v>9</v>
      </c>
      <c r="B23" s="216">
        <f t="shared" si="2"/>
        <v>44440</v>
      </c>
      <c r="C23" s="216"/>
      <c r="D23" s="55">
        <f>VLOOKUP($B23,'Sales Volumes'!$A$1:$H$500,2,FALSE)</f>
        <v>687871.9</v>
      </c>
      <c r="E23" s="218">
        <f t="shared" si="3"/>
        <v>7.6700000000000004E-2</v>
      </c>
      <c r="F23" s="255">
        <f t="shared" si="0"/>
        <v>52759.77</v>
      </c>
      <c r="G23" s="217">
        <f>VLOOKUP($B23,'Sales Volumes'!$A$1:$H$500,5,FALSE)</f>
        <v>55443.4</v>
      </c>
      <c r="H23" s="218">
        <f t="shared" si="4"/>
        <v>2.7699999999999999E-2</v>
      </c>
      <c r="I23" s="215">
        <f t="shared" si="1"/>
        <v>1535.78</v>
      </c>
      <c r="J23" s="255">
        <f t="shared" si="5"/>
        <v>54295.549999999996</v>
      </c>
      <c r="K23" s="255">
        <f t="shared" si="6"/>
        <v>1282998.8799999999</v>
      </c>
    </row>
    <row r="24" spans="1:11" x14ac:dyDescent="0.35">
      <c r="A24" s="618">
        <v>10</v>
      </c>
      <c r="B24" s="216">
        <f t="shared" si="2"/>
        <v>44470</v>
      </c>
      <c r="C24" s="216"/>
      <c r="D24" s="55">
        <f>VLOOKUP($B24,'Sales Volumes'!$A$1:$H$500,2,FALSE)</f>
        <v>836296.1</v>
      </c>
      <c r="E24" s="218">
        <f t="shared" si="3"/>
        <v>7.6700000000000004E-2</v>
      </c>
      <c r="F24" s="255">
        <f t="shared" si="0"/>
        <v>64143.91</v>
      </c>
      <c r="G24" s="217">
        <f>VLOOKUP($B24,'Sales Volumes'!$A$1:$H$500,5,FALSE)</f>
        <v>74420.2</v>
      </c>
      <c r="H24" s="218">
        <f t="shared" si="4"/>
        <v>2.7699999999999999E-2</v>
      </c>
      <c r="I24" s="215">
        <f t="shared" si="1"/>
        <v>2061.44</v>
      </c>
      <c r="J24" s="255">
        <f t="shared" si="5"/>
        <v>66205.350000000006</v>
      </c>
      <c r="K24" s="255">
        <f t="shared" si="6"/>
        <v>1216793.5299999998</v>
      </c>
    </row>
    <row r="25" spans="1:11" x14ac:dyDescent="0.35">
      <c r="A25" s="618">
        <v>11</v>
      </c>
      <c r="B25" s="216">
        <f t="shared" si="2"/>
        <v>44501</v>
      </c>
      <c r="C25" s="216"/>
      <c r="D25" s="55">
        <f>VLOOKUP($B25,'Sales Volumes'!$A$1:$H$500,2,FALSE)</f>
        <v>2112663.9</v>
      </c>
      <c r="E25" s="218">
        <f t="shared" si="3"/>
        <v>7.6700000000000004E-2</v>
      </c>
      <c r="F25" s="255">
        <f t="shared" si="0"/>
        <v>162041.32</v>
      </c>
      <c r="G25" s="217">
        <f>VLOOKUP($B25,'Sales Volumes'!$A$1:$H$500,5,FALSE)</f>
        <v>74117</v>
      </c>
      <c r="H25" s="218">
        <f t="shared" si="4"/>
        <v>2.7699999999999999E-2</v>
      </c>
      <c r="I25" s="215">
        <f t="shared" si="1"/>
        <v>2053.04</v>
      </c>
      <c r="J25" s="255">
        <f t="shared" si="5"/>
        <v>164094.36000000002</v>
      </c>
      <c r="K25" s="255">
        <f t="shared" si="6"/>
        <v>1052699.1699999997</v>
      </c>
    </row>
    <row r="26" spans="1:11" x14ac:dyDescent="0.35">
      <c r="A26" s="618">
        <v>12</v>
      </c>
      <c r="B26" s="216">
        <f t="shared" si="2"/>
        <v>44531</v>
      </c>
      <c r="C26" s="216"/>
      <c r="D26" s="55">
        <f>VLOOKUP($B26,'Sales Volumes'!$A$1:$H$500,2,FALSE)</f>
        <v>3990717.4</v>
      </c>
      <c r="E26" s="218">
        <f t="shared" si="3"/>
        <v>7.6700000000000004E-2</v>
      </c>
      <c r="F26" s="255">
        <f t="shared" si="0"/>
        <v>306088.02</v>
      </c>
      <c r="G26" s="217">
        <f>VLOOKUP($B26,'Sales Volumes'!$A$1:$H$500,5,FALSE)</f>
        <v>65082.8</v>
      </c>
      <c r="H26" s="218">
        <f t="shared" si="4"/>
        <v>2.7699999999999999E-2</v>
      </c>
      <c r="I26" s="215">
        <f t="shared" si="1"/>
        <v>1802.79</v>
      </c>
      <c r="J26" s="255">
        <f t="shared" si="5"/>
        <v>307890.81</v>
      </c>
      <c r="K26" s="255">
        <f t="shared" si="6"/>
        <v>744808.35999999964</v>
      </c>
    </row>
    <row r="27" spans="1:11" x14ac:dyDescent="0.35">
      <c r="A27" s="618">
        <v>13</v>
      </c>
      <c r="B27" s="216">
        <f t="shared" si="2"/>
        <v>44562</v>
      </c>
      <c r="C27" s="216"/>
      <c r="D27" s="55">
        <f>VLOOKUP($B27,'Sales Volumes'!$A$1:$H$500,2,FALSE)</f>
        <v>5236357</v>
      </c>
      <c r="E27" s="218">
        <f t="shared" si="3"/>
        <v>7.6700000000000004E-2</v>
      </c>
      <c r="F27" s="255">
        <f t="shared" si="0"/>
        <v>401628.58</v>
      </c>
      <c r="G27" s="217">
        <f>VLOOKUP($B27,'Sales Volumes'!$A$1:$H$500,5,FALSE)</f>
        <v>48783.3</v>
      </c>
      <c r="H27" s="218">
        <f t="shared" si="4"/>
        <v>2.7699999999999999E-2</v>
      </c>
      <c r="I27" s="215">
        <f t="shared" si="1"/>
        <v>1351.3</v>
      </c>
      <c r="J27" s="255">
        <f t="shared" si="5"/>
        <v>402979.88</v>
      </c>
      <c r="K27" s="156">
        <f t="shared" si="6"/>
        <v>341828.47999999963</v>
      </c>
    </row>
    <row r="28" spans="1:11" x14ac:dyDescent="0.35">
      <c r="A28" s="618">
        <v>14</v>
      </c>
      <c r="B28" s="216">
        <f t="shared" si="2"/>
        <v>44593</v>
      </c>
      <c r="C28" s="216" t="s">
        <v>364</v>
      </c>
      <c r="D28" s="55">
        <f>VLOOKUP($B28,'Sales Volumes'!$A$1:$H$500,3,FALSE)</f>
        <v>3206661</v>
      </c>
      <c r="E28" s="218">
        <f t="shared" si="3"/>
        <v>7.6700000000000004E-2</v>
      </c>
      <c r="F28" s="256">
        <f t="shared" si="0"/>
        <v>245950.9</v>
      </c>
      <c r="G28" s="217"/>
      <c r="H28" s="218">
        <f t="shared" si="4"/>
        <v>2.7699999999999999E-2</v>
      </c>
      <c r="I28" s="219">
        <f t="shared" si="1"/>
        <v>0</v>
      </c>
      <c r="J28" s="256">
        <f t="shared" si="5"/>
        <v>245950.9</v>
      </c>
      <c r="K28" s="156">
        <f>K27-J28</f>
        <v>95877.579999999638</v>
      </c>
    </row>
    <row r="29" spans="1:11" ht="16" thickBot="1" x14ac:dyDescent="0.4">
      <c r="A29" s="618"/>
      <c r="B29" s="220"/>
      <c r="C29" s="220"/>
      <c r="D29" s="221">
        <f>SUM(D16:D28)</f>
        <v>29822987.999999996</v>
      </c>
      <c r="E29" s="222"/>
      <c r="F29" s="257">
        <f>SUM(F16:F28)</f>
        <v>2287423.17</v>
      </c>
      <c r="G29" s="221">
        <f>SUM(G16:G28)</f>
        <v>687518.10000000009</v>
      </c>
      <c r="H29" s="223"/>
      <c r="I29" s="257">
        <f>SUM(I16:I28)</f>
        <v>19044.250000000004</v>
      </c>
      <c r="J29" s="257">
        <f>SUM(J16:J28)</f>
        <v>2306467.4200000004</v>
      </c>
      <c r="K29" s="257"/>
    </row>
    <row r="30" spans="1:11" ht="16" thickTop="1" x14ac:dyDescent="0.35">
      <c r="A30" s="618"/>
      <c r="B30" s="220"/>
      <c r="C30" s="220"/>
      <c r="D30" s="220"/>
      <c r="E30" s="220"/>
      <c r="F30" s="220"/>
      <c r="G30" s="220"/>
      <c r="H30" s="220"/>
    </row>
    <row r="31" spans="1:11" x14ac:dyDescent="0.35">
      <c r="A31" s="618">
        <v>15</v>
      </c>
      <c r="B31" s="220"/>
      <c r="C31" s="220"/>
      <c r="D31" s="220"/>
      <c r="E31" s="220"/>
      <c r="F31" s="220"/>
      <c r="G31" s="220"/>
      <c r="H31" s="220"/>
      <c r="I31" s="214" t="s">
        <v>445</v>
      </c>
      <c r="J31" s="156">
        <f>K28</f>
        <v>95877.579999999638</v>
      </c>
    </row>
    <row r="32" spans="1:11" x14ac:dyDescent="0.35">
      <c r="B32" s="220"/>
      <c r="C32" s="220"/>
      <c r="D32" s="220"/>
      <c r="E32" s="220"/>
      <c r="F32" s="220"/>
      <c r="G32" s="220"/>
      <c r="H32" s="220"/>
      <c r="I32" s="220"/>
      <c r="J32" s="269"/>
      <c r="K32" s="220"/>
    </row>
    <row r="33" spans="2:11" x14ac:dyDescent="0.35">
      <c r="B33" s="220"/>
      <c r="C33" s="220"/>
    </row>
    <row r="34" spans="2:11" x14ac:dyDescent="0.35">
      <c r="B34" s="220"/>
      <c r="C34" s="220"/>
      <c r="I34" s="220"/>
      <c r="J34" s="220"/>
      <c r="K34" s="220"/>
    </row>
    <row r="35" spans="2:11" x14ac:dyDescent="0.35">
      <c r="B35" s="220"/>
      <c r="C35" s="220"/>
      <c r="I35" s="220"/>
      <c r="J35" s="220"/>
      <c r="K35" s="220"/>
    </row>
    <row r="36" spans="2:11" x14ac:dyDescent="0.35">
      <c r="B36" s="220"/>
      <c r="C36" s="220"/>
      <c r="I36" s="220"/>
      <c r="J36" s="220"/>
      <c r="K36" s="220"/>
    </row>
    <row r="37" spans="2:11" x14ac:dyDescent="0.35">
      <c r="B37" s="220"/>
      <c r="C37" s="220"/>
      <c r="D37" s="205" t="s">
        <v>280</v>
      </c>
      <c r="E37" s="205"/>
      <c r="F37" s="220"/>
      <c r="G37" s="220"/>
      <c r="H37" s="220"/>
      <c r="I37" s="220"/>
      <c r="J37" s="220"/>
      <c r="K37" s="220"/>
    </row>
    <row r="38" spans="2:11" x14ac:dyDescent="0.35">
      <c r="D38" s="220" t="s">
        <v>281</v>
      </c>
      <c r="E38" s="220"/>
      <c r="F38" s="220"/>
      <c r="G38" s="220"/>
      <c r="H38" s="220"/>
    </row>
    <row r="39" spans="2:11" x14ac:dyDescent="0.35">
      <c r="D39" s="220" t="s">
        <v>282</v>
      </c>
      <c r="E39" s="220"/>
      <c r="F39" s="220"/>
      <c r="G39" s="220"/>
      <c r="H39" s="220"/>
    </row>
    <row r="40" spans="2:11" x14ac:dyDescent="0.35">
      <c r="D40" s="220" t="s">
        <v>283</v>
      </c>
      <c r="E40" s="220"/>
      <c r="F40" s="220"/>
      <c r="G40" s="220"/>
      <c r="H40" s="220"/>
    </row>
    <row r="41" spans="2:11" x14ac:dyDescent="0.35">
      <c r="D41" s="220" t="s">
        <v>284</v>
      </c>
      <c r="E41" s="220"/>
      <c r="F41" s="220"/>
      <c r="G41" s="220"/>
      <c r="H41" s="220"/>
    </row>
  </sheetData>
  <mergeCells count="5">
    <mergeCell ref="B1:K1"/>
    <mergeCell ref="B2:K2"/>
    <mergeCell ref="D9:F9"/>
    <mergeCell ref="G9:I9"/>
    <mergeCell ref="B3:K3"/>
  </mergeCells>
  <printOptions horizontalCentered="1"/>
  <pageMargins left="0.63" right="0.63" top="1.49" bottom="0.75" header="0.3" footer="0.3"/>
  <pageSetup scale="77" orientation="landscape" r:id="rId1"/>
  <headerFooter>
    <oddFooter>&amp;R&amp;"Times New Roman,Bold"Exhibit E-1
Page 2 of 2</oddFoot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7"/>
  <sheetViews>
    <sheetView zoomScaleNormal="100" workbookViewId="0"/>
  </sheetViews>
  <sheetFormatPr defaultColWidth="8.765625" defaultRowHeight="15.5" x14ac:dyDescent="0.35"/>
  <cols>
    <col min="1" max="1" width="1.07421875" style="6" customWidth="1"/>
    <col min="2" max="2" width="16.765625" style="6" customWidth="1"/>
    <col min="3" max="3" width="1.69140625" style="6" customWidth="1"/>
    <col min="4" max="4" width="12.23046875" style="6" customWidth="1"/>
    <col min="5" max="5" width="5.53515625" style="6" customWidth="1"/>
    <col min="6" max="6" width="1.69140625" style="6" customWidth="1"/>
    <col min="7" max="7" width="12.84375" style="6" customWidth="1"/>
    <col min="8" max="8" width="5.53515625" style="6" customWidth="1"/>
    <col min="9" max="9" width="1.69140625" style="6" customWidth="1"/>
    <col min="10" max="10" width="13.23046875" style="6" customWidth="1"/>
    <col min="11" max="11" width="5.53515625" style="6" customWidth="1"/>
    <col min="12" max="12" width="1.69140625" style="6" customWidth="1"/>
    <col min="13" max="13" width="13.84375" style="6" customWidth="1"/>
    <col min="14" max="14" width="9.69140625" style="6" customWidth="1"/>
    <col min="15" max="15" width="1.07421875" style="6" customWidth="1"/>
    <col min="16" max="16384" width="8.765625" style="6"/>
  </cols>
  <sheetData>
    <row r="1" spans="2:14" x14ac:dyDescent="0.35">
      <c r="B1" s="787" t="s">
        <v>5</v>
      </c>
      <c r="C1" s="787"/>
      <c r="D1" s="787"/>
      <c r="E1" s="787"/>
      <c r="F1" s="787"/>
      <c r="G1" s="787"/>
      <c r="H1" s="787"/>
      <c r="I1" s="787"/>
      <c r="J1" s="787"/>
      <c r="K1" s="787"/>
      <c r="L1" s="787"/>
      <c r="M1" s="787"/>
      <c r="N1" s="787"/>
    </row>
    <row r="2" spans="2:14" x14ac:dyDescent="0.35">
      <c r="B2" s="574"/>
      <c r="C2" s="574"/>
      <c r="D2" s="574"/>
      <c r="E2" s="574"/>
      <c r="F2" s="574"/>
      <c r="G2" s="574"/>
      <c r="H2" s="574"/>
      <c r="I2" s="574"/>
      <c r="J2" s="574"/>
      <c r="K2" s="574"/>
      <c r="L2" s="574"/>
      <c r="M2" s="574"/>
      <c r="N2" s="574"/>
    </row>
    <row r="3" spans="2:14" x14ac:dyDescent="0.35">
      <c r="B3" s="787" t="str">
        <f>"Gas Supply Clause: " &amp;'Input Data'!C12</f>
        <v>Gas Supply Clause: 2022-00180</v>
      </c>
      <c r="C3" s="787"/>
      <c r="D3" s="787"/>
      <c r="E3" s="787"/>
      <c r="F3" s="787"/>
      <c r="G3" s="787"/>
      <c r="H3" s="787"/>
      <c r="I3" s="787"/>
      <c r="J3" s="787"/>
      <c r="K3" s="787"/>
      <c r="L3" s="787"/>
      <c r="M3" s="787"/>
      <c r="N3" s="787"/>
    </row>
    <row r="4" spans="2:14" x14ac:dyDescent="0.35">
      <c r="B4" s="787" t="s">
        <v>656</v>
      </c>
      <c r="C4" s="787"/>
      <c r="D4" s="787"/>
      <c r="E4" s="787"/>
      <c r="F4" s="787"/>
      <c r="G4" s="787"/>
      <c r="H4" s="787"/>
      <c r="I4" s="787"/>
      <c r="J4" s="787"/>
      <c r="K4" s="787"/>
      <c r="L4" s="787"/>
      <c r="M4" s="787"/>
      <c r="N4" s="787"/>
    </row>
    <row r="5" spans="2:14" x14ac:dyDescent="0.35">
      <c r="B5" s="787" t="s">
        <v>657</v>
      </c>
      <c r="C5" s="787"/>
      <c r="D5" s="787"/>
      <c r="E5" s="787"/>
      <c r="F5" s="787"/>
      <c r="G5" s="787"/>
      <c r="H5" s="787"/>
      <c r="I5" s="787"/>
      <c r="J5" s="787"/>
      <c r="K5" s="787"/>
      <c r="L5" s="787"/>
      <c r="M5" s="787"/>
      <c r="N5" s="787"/>
    </row>
    <row r="7" spans="2:14" s="677" customFormat="1" ht="83.25" customHeight="1" x14ac:dyDescent="0.35">
      <c r="B7" s="820" t="s">
        <v>750</v>
      </c>
      <c r="C7" s="820"/>
      <c r="D7" s="820"/>
      <c r="E7" s="820"/>
      <c r="F7" s="820"/>
      <c r="G7" s="820"/>
      <c r="H7" s="820"/>
      <c r="I7" s="820"/>
      <c r="J7" s="820"/>
      <c r="K7" s="820"/>
      <c r="L7" s="820"/>
      <c r="M7" s="820"/>
      <c r="N7" s="820"/>
    </row>
    <row r="9" spans="2:14" ht="31.5" customHeight="1" x14ac:dyDescent="0.35">
      <c r="B9" s="776" t="str">
        <f>"As shown in the following table, the charge (or credit) which will be effective for any customers transferring from an LG&amp;E sales rate to one of its transportation rates effective " &amp;'Input Data'!B208</f>
        <v>As shown in the following table, the charge (or credit) which will be effective for any customers transferring from an LG&amp;E sales rate to one of its transportation rates effective November 1, 2020 and November 1, 2021 is:</v>
      </c>
      <c r="C9" s="776"/>
      <c r="D9" s="776"/>
      <c r="E9" s="776"/>
      <c r="F9" s="776"/>
      <c r="G9" s="776"/>
      <c r="H9" s="776"/>
      <c r="I9" s="776"/>
      <c r="J9" s="776"/>
      <c r="K9" s="776"/>
      <c r="L9" s="776"/>
      <c r="M9" s="776"/>
      <c r="N9" s="776"/>
    </row>
    <row r="10" spans="2:14" ht="15.65" customHeight="1" x14ac:dyDescent="0.35">
      <c r="B10" s="675"/>
      <c r="C10" s="675"/>
      <c r="D10" s="675"/>
      <c r="E10" s="675"/>
      <c r="F10" s="675"/>
      <c r="G10" s="675"/>
      <c r="H10" s="675"/>
      <c r="I10" s="675"/>
      <c r="J10" s="675"/>
      <c r="K10" s="675"/>
      <c r="L10" s="675"/>
      <c r="M10" s="675"/>
      <c r="N10" s="675"/>
    </row>
    <row r="11" spans="2:14" ht="15.65" customHeight="1" x14ac:dyDescent="0.35">
      <c r="B11" s="675"/>
      <c r="C11" s="675"/>
      <c r="D11" s="675"/>
      <c r="E11" s="675"/>
      <c r="F11" s="675"/>
      <c r="G11" s="675"/>
      <c r="H11" s="675"/>
      <c r="I11" s="675"/>
      <c r="J11" s="675"/>
      <c r="K11" s="675"/>
      <c r="L11" s="675"/>
      <c r="M11" s="675"/>
      <c r="N11" s="675"/>
    </row>
    <row r="12" spans="2:14" ht="15.65" customHeight="1" x14ac:dyDescent="0.35">
      <c r="B12" s="675"/>
      <c r="C12" s="675"/>
      <c r="D12" s="675"/>
      <c r="E12" s="675"/>
      <c r="F12" s="675"/>
      <c r="G12" s="675"/>
      <c r="H12" s="675"/>
      <c r="I12" s="675"/>
      <c r="J12" s="675"/>
      <c r="K12" s="675"/>
      <c r="L12" s="675"/>
      <c r="M12" s="675"/>
      <c r="N12" s="675"/>
    </row>
    <row r="13" spans="2:14" ht="36" customHeight="1" x14ac:dyDescent="0.35">
      <c r="B13" s="576" t="s">
        <v>331</v>
      </c>
      <c r="C13" s="324"/>
      <c r="D13" s="826" t="s">
        <v>658</v>
      </c>
      <c r="E13" s="826"/>
      <c r="F13" s="577"/>
      <c r="G13" s="826" t="s">
        <v>660</v>
      </c>
      <c r="H13" s="826"/>
      <c r="I13" s="577"/>
      <c r="J13" s="826" t="s">
        <v>661</v>
      </c>
      <c r="K13" s="826"/>
      <c r="L13" s="577"/>
      <c r="M13" s="827" t="s">
        <v>30</v>
      </c>
      <c r="N13" s="827"/>
    </row>
    <row r="15" spans="2:14" x14ac:dyDescent="0.35">
      <c r="B15" s="604">
        <f>'Ex F-1 1 of 1'!B15</f>
        <v>44136</v>
      </c>
      <c r="D15" s="622">
        <f>'Ex F-1 1 of 1'!C15</f>
        <v>0</v>
      </c>
      <c r="E15" s="621" t="s">
        <v>659</v>
      </c>
      <c r="F15" s="621"/>
      <c r="G15" s="622">
        <f>'Ex F-1 1 of 1'!D15</f>
        <v>0</v>
      </c>
      <c r="H15" s="621" t="s">
        <v>659</v>
      </c>
      <c r="I15" s="621"/>
      <c r="J15" s="622">
        <f>'Ex F-1 1 of 1'!E15</f>
        <v>0</v>
      </c>
      <c r="K15" s="621" t="s">
        <v>659</v>
      </c>
      <c r="L15" s="621"/>
      <c r="M15" s="622">
        <f>'Ex F-1 1 of 1'!F15</f>
        <v>0</v>
      </c>
      <c r="N15" s="621" t="s">
        <v>659</v>
      </c>
    </row>
    <row r="16" spans="2:14" x14ac:dyDescent="0.35">
      <c r="B16" s="604"/>
    </row>
    <row r="17" spans="2:14" x14ac:dyDescent="0.35">
      <c r="B17" s="604">
        <f>'Ex F-1 1 of 1'!B17</f>
        <v>44501</v>
      </c>
      <c r="D17" s="622">
        <f>'Ex F-1 1 of 1'!C17</f>
        <v>0.15889999999999999</v>
      </c>
      <c r="E17" s="621" t="s">
        <v>659</v>
      </c>
      <c r="F17" s="621"/>
      <c r="G17" s="622">
        <f>'Ex F-1 1 of 1'!D17</f>
        <v>1.1999999999999999E-3</v>
      </c>
      <c r="H17" s="621" t="s">
        <v>659</v>
      </c>
      <c r="I17" s="621"/>
      <c r="J17" s="622">
        <f>'Ex F-1 1 of 1'!E17</f>
        <v>0.15809999999999999</v>
      </c>
      <c r="K17" s="621" t="s">
        <v>659</v>
      </c>
      <c r="L17" s="621"/>
      <c r="M17" s="622">
        <f>'Ex F-1 1 of 1'!F17</f>
        <v>0.31819999999999998</v>
      </c>
      <c r="N17" s="621" t="s">
        <v>659</v>
      </c>
    </row>
  </sheetData>
  <mergeCells count="10">
    <mergeCell ref="B3:N3"/>
    <mergeCell ref="B4:N4"/>
    <mergeCell ref="B5:N5"/>
    <mergeCell ref="B1:N1"/>
    <mergeCell ref="B9:N9"/>
    <mergeCell ref="D13:E13"/>
    <mergeCell ref="G13:H13"/>
    <mergeCell ref="J13:K13"/>
    <mergeCell ref="M13:N13"/>
    <mergeCell ref="B7:N7"/>
  </mergeCells>
  <pageMargins left="0.7" right="0.7" top="0.75" bottom="0.75" header="0.3" footer="0.3"/>
  <pageSetup scale="72" orientation="portrait" r:id="rId1"/>
  <headerFooter>
    <oddHeader xml:space="preserve">&amp;R&amp;"Times New Roman,Bold"Exhibit F&amp;"Helv,Bold"
</oddHead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4375" defaultRowHeight="15.5" x14ac:dyDescent="0.35"/>
  <cols>
    <col min="1" max="1" width="8.84375" style="3"/>
    <col min="2" max="2" width="26.07421875" style="3" customWidth="1"/>
    <col min="3" max="3" width="14.4609375" style="3" customWidth="1"/>
    <col min="4" max="4" width="12.23046875" style="3" customWidth="1"/>
    <col min="5" max="5" width="13.4609375" style="3" customWidth="1"/>
    <col min="6" max="6" width="12.53515625" style="3" customWidth="1"/>
    <col min="7" max="11" width="8.84375" style="3"/>
    <col min="12" max="12" width="10.3046875" style="3" customWidth="1"/>
    <col min="13" max="16384" width="8.84375" style="3"/>
  </cols>
  <sheetData>
    <row r="1" spans="1:16" ht="17.5" x14ac:dyDescent="0.35">
      <c r="B1" s="828" t="s">
        <v>5</v>
      </c>
      <c r="C1" s="828"/>
      <c r="D1" s="828"/>
      <c r="E1" s="828"/>
      <c r="F1" s="828"/>
    </row>
    <row r="2" spans="1:16" ht="18" x14ac:dyDescent="0.4">
      <c r="B2" s="176"/>
      <c r="C2" s="176"/>
      <c r="D2" s="176"/>
      <c r="E2" s="176"/>
      <c r="F2" s="176"/>
    </row>
    <row r="3" spans="1:16" ht="18" x14ac:dyDescent="0.4">
      <c r="B3" s="756" t="str">
        <f>CONCATENATE("Gas Supply Clause ", 'Input Data'!C12)</f>
        <v>Gas Supply Clause 2022-00180</v>
      </c>
      <c r="C3" s="756"/>
      <c r="D3" s="756"/>
      <c r="E3" s="756"/>
      <c r="F3" s="756"/>
    </row>
    <row r="4" spans="1:16" ht="18" x14ac:dyDescent="0.4">
      <c r="B4" s="756" t="s">
        <v>329</v>
      </c>
      <c r="C4" s="756"/>
      <c r="D4" s="756"/>
      <c r="E4" s="756"/>
      <c r="F4" s="756"/>
    </row>
    <row r="5" spans="1:16" ht="18" x14ac:dyDescent="0.4">
      <c r="B5" s="756" t="s">
        <v>330</v>
      </c>
      <c r="C5" s="756"/>
      <c r="D5" s="756"/>
      <c r="E5" s="756"/>
      <c r="F5" s="756"/>
    </row>
    <row r="6" spans="1:16" ht="18" x14ac:dyDescent="0.4">
      <c r="B6" s="756" t="str">
        <f>CONCATENATE("For Service Rendered On and After ",'Input Data'!$D$4)</f>
        <v>For Service Rendered On and After August 1, 2022</v>
      </c>
      <c r="C6" s="756"/>
      <c r="D6" s="756"/>
      <c r="E6" s="756"/>
      <c r="F6" s="756"/>
    </row>
    <row r="7" spans="1:16" x14ac:dyDescent="0.35">
      <c r="B7" s="711"/>
      <c r="C7" s="711"/>
      <c r="D7" s="711"/>
      <c r="E7" s="711"/>
      <c r="F7" s="711"/>
    </row>
    <row r="8" spans="1:16" x14ac:dyDescent="0.35">
      <c r="B8" s="711"/>
      <c r="C8" s="711"/>
      <c r="D8" s="711"/>
      <c r="E8" s="711"/>
      <c r="F8" s="711"/>
    </row>
    <row r="9" spans="1:16" x14ac:dyDescent="0.35">
      <c r="B9" s="711"/>
      <c r="C9" s="711"/>
      <c r="D9" s="711"/>
      <c r="E9" s="711"/>
      <c r="F9" s="711"/>
    </row>
    <row r="11" spans="1:16" ht="31" x14ac:dyDescent="0.35">
      <c r="A11" s="711"/>
      <c r="C11" s="108" t="s">
        <v>474</v>
      </c>
      <c r="D11" s="108" t="s">
        <v>474</v>
      </c>
      <c r="E11" s="108" t="s">
        <v>474</v>
      </c>
      <c r="I11" s="258"/>
      <c r="J11" s="258"/>
      <c r="K11" s="258"/>
      <c r="L11" s="258"/>
      <c r="M11" s="258"/>
      <c r="N11" s="258"/>
      <c r="O11" s="258"/>
      <c r="P11" s="258"/>
    </row>
    <row r="12" spans="1:16" x14ac:dyDescent="0.35">
      <c r="A12" s="713" t="s">
        <v>247</v>
      </c>
      <c r="B12" s="713" t="s">
        <v>331</v>
      </c>
      <c r="C12" s="713" t="s">
        <v>472</v>
      </c>
      <c r="D12" s="713" t="s">
        <v>473</v>
      </c>
      <c r="E12" s="713" t="s">
        <v>332</v>
      </c>
      <c r="F12" s="713" t="s">
        <v>333</v>
      </c>
      <c r="H12" s="258"/>
      <c r="I12" s="258"/>
      <c r="J12" s="258"/>
      <c r="K12" s="258"/>
      <c r="L12" s="258"/>
      <c r="M12" s="258"/>
      <c r="N12" s="258"/>
      <c r="O12" s="258"/>
      <c r="P12" s="258"/>
    </row>
    <row r="13" spans="1:16" x14ac:dyDescent="0.35">
      <c r="A13" s="711"/>
      <c r="B13" s="711" t="s">
        <v>60</v>
      </c>
      <c r="C13" s="711" t="s">
        <v>61</v>
      </c>
      <c r="D13" s="711" t="s">
        <v>62</v>
      </c>
      <c r="E13" s="711" t="s">
        <v>63</v>
      </c>
      <c r="F13" s="711" t="s">
        <v>494</v>
      </c>
      <c r="H13" s="258"/>
      <c r="I13" s="258"/>
      <c r="J13" s="258"/>
      <c r="K13" s="258"/>
      <c r="L13" s="258"/>
      <c r="M13" s="258"/>
      <c r="N13" s="258"/>
      <c r="O13" s="258"/>
      <c r="P13" s="258"/>
    </row>
    <row r="14" spans="1:16" x14ac:dyDescent="0.35">
      <c r="A14" s="711"/>
      <c r="I14" s="258"/>
      <c r="J14" s="258"/>
      <c r="K14" s="258"/>
      <c r="L14" s="258"/>
      <c r="M14" s="258"/>
      <c r="N14" s="258"/>
      <c r="O14" s="258"/>
      <c r="P14" s="258"/>
    </row>
    <row r="15" spans="1:16" x14ac:dyDescent="0.35">
      <c r="A15" s="711">
        <v>1</v>
      </c>
      <c r="B15" s="635">
        <f>'Input Data'!B204</f>
        <v>44136</v>
      </c>
      <c r="C15" s="158">
        <f>'Input Data'!C204</f>
        <v>0</v>
      </c>
      <c r="D15" s="158">
        <f>'Input Data'!D204</f>
        <v>0</v>
      </c>
      <c r="E15" s="158">
        <f>'Input Data'!E204</f>
        <v>0</v>
      </c>
      <c r="F15" s="158">
        <f>SUM(C15:E15)</f>
        <v>0</v>
      </c>
      <c r="I15" s="258"/>
      <c r="J15" s="258"/>
      <c r="K15" s="258"/>
      <c r="L15" s="258"/>
      <c r="M15" s="258"/>
      <c r="N15" s="258"/>
      <c r="O15" s="258"/>
      <c r="P15" s="258"/>
    </row>
    <row r="16" spans="1:16" x14ac:dyDescent="0.35">
      <c r="A16" s="711"/>
      <c r="B16" s="711"/>
      <c r="C16" s="158"/>
      <c r="D16" s="158"/>
      <c r="E16" s="158"/>
      <c r="F16" s="158"/>
      <c r="I16" s="258"/>
      <c r="J16" s="258"/>
      <c r="K16" s="258"/>
      <c r="L16" s="258"/>
      <c r="M16" s="258"/>
      <c r="N16" s="258"/>
      <c r="O16" s="258"/>
      <c r="P16" s="258"/>
    </row>
    <row r="17" spans="1:16" x14ac:dyDescent="0.35">
      <c r="A17" s="711">
        <v>2</v>
      </c>
      <c r="B17" s="635">
        <f>'Input Data'!B205</f>
        <v>44501</v>
      </c>
      <c r="C17" s="158">
        <f>'Input Data'!C205</f>
        <v>0.15889999999999999</v>
      </c>
      <c r="D17" s="158">
        <f>'Input Data'!D205</f>
        <v>1.1999999999999999E-3</v>
      </c>
      <c r="E17" s="158">
        <f>'Input Data'!E205</f>
        <v>0.15809999999999999</v>
      </c>
      <c r="F17" s="158">
        <f>SUM(C17:E17)</f>
        <v>0.31819999999999998</v>
      </c>
      <c r="I17" s="258"/>
      <c r="J17" s="258"/>
      <c r="K17" s="258"/>
      <c r="L17" s="258"/>
      <c r="M17" s="258"/>
      <c r="N17" s="258"/>
      <c r="O17" s="258"/>
      <c r="P17" s="258"/>
    </row>
    <row r="18" spans="1:16" x14ac:dyDescent="0.35">
      <c r="A18" s="711"/>
      <c r="C18" s="190"/>
      <c r="D18" s="190"/>
      <c r="E18" s="190"/>
      <c r="F18" s="190"/>
      <c r="I18" s="258"/>
      <c r="J18" s="258"/>
      <c r="K18" s="258"/>
      <c r="L18" s="258"/>
      <c r="M18" s="258"/>
      <c r="N18" s="258"/>
      <c r="O18" s="258"/>
      <c r="P18" s="258"/>
    </row>
    <row r="19" spans="1:16" x14ac:dyDescent="0.35">
      <c r="A19" s="711"/>
      <c r="I19" s="258"/>
      <c r="J19" s="258"/>
      <c r="K19" s="258"/>
      <c r="L19" s="258"/>
      <c r="M19" s="258"/>
      <c r="N19" s="258"/>
      <c r="O19" s="258"/>
      <c r="P19" s="258"/>
    </row>
    <row r="20" spans="1:16" x14ac:dyDescent="0.35">
      <c r="A20" s="711"/>
      <c r="I20" s="258"/>
      <c r="J20" s="258"/>
      <c r="K20" s="258"/>
      <c r="L20" s="258"/>
      <c r="M20" s="258"/>
      <c r="N20" s="258"/>
      <c r="O20" s="258"/>
      <c r="P20" s="258"/>
    </row>
    <row r="21" spans="1:16" x14ac:dyDescent="0.35">
      <c r="A21" s="711"/>
      <c r="B21" s="303"/>
      <c r="I21" s="258"/>
      <c r="J21" s="258"/>
      <c r="K21" s="258"/>
      <c r="L21" s="258"/>
      <c r="M21" s="258"/>
      <c r="N21" s="258"/>
      <c r="O21" s="258"/>
      <c r="P21" s="258"/>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U167"/>
  <sheetViews>
    <sheetView zoomScale="80" zoomScaleNormal="80" zoomScaleSheetLayoutView="80" workbookViewId="0"/>
  </sheetViews>
  <sheetFormatPr defaultColWidth="9.765625" defaultRowHeight="15.5" x14ac:dyDescent="0.35"/>
  <cols>
    <col min="1" max="1" width="6.765625" style="3" customWidth="1"/>
    <col min="2" max="2" width="9.765625" style="3"/>
    <col min="3" max="3" width="4.3046875" style="3" customWidth="1"/>
    <col min="4" max="4" width="25.69140625" style="3" customWidth="1"/>
    <col min="5" max="5" width="10.84375" style="3" customWidth="1"/>
    <col min="6" max="6" width="3.765625" style="3" customWidth="1"/>
    <col min="7" max="7" width="14.23046875" style="3" customWidth="1"/>
    <col min="8" max="8" width="3.53515625" style="3" customWidth="1"/>
    <col min="9" max="9" width="12.23046875" style="3" customWidth="1"/>
    <col min="10" max="10" width="3.53515625" style="3" customWidth="1"/>
    <col min="11" max="11" width="12.23046875" style="3" customWidth="1"/>
    <col min="12" max="12" width="3.4609375" style="3" customWidth="1"/>
    <col min="13" max="13" width="14.765625" style="3" customWidth="1"/>
    <col min="14" max="14" width="3.3046875" style="3" customWidth="1"/>
    <col min="15" max="15" width="11.765625" style="3" customWidth="1"/>
    <col min="16" max="16" width="4" style="3" customWidth="1"/>
    <col min="17" max="17" width="13.3046875" style="3" customWidth="1"/>
    <col min="18" max="18" width="4" style="3" customWidth="1"/>
    <col min="19" max="19" width="13.3046875" style="3" customWidth="1"/>
    <col min="20" max="20" width="4" style="3" customWidth="1"/>
    <col min="21" max="21" width="9.765625" style="3"/>
    <col min="22" max="22" width="3.765625" style="3" customWidth="1"/>
    <col min="23" max="16384" width="9.765625" style="3"/>
  </cols>
  <sheetData>
    <row r="1" spans="1:21" x14ac:dyDescent="0.35">
      <c r="A1" s="224" t="s">
        <v>5</v>
      </c>
      <c r="B1" s="225"/>
      <c r="C1" s="225"/>
      <c r="D1" s="225"/>
      <c r="E1" s="225"/>
      <c r="F1" s="225"/>
      <c r="G1" s="225"/>
      <c r="H1" s="225"/>
      <c r="I1" s="225"/>
      <c r="J1" s="225"/>
      <c r="K1" s="225"/>
      <c r="L1" s="225"/>
      <c r="M1" s="225"/>
      <c r="N1" s="225"/>
      <c r="O1" s="225"/>
      <c r="P1" s="225"/>
      <c r="Q1" s="225"/>
      <c r="R1" s="225"/>
      <c r="S1" s="225"/>
      <c r="T1" s="225"/>
      <c r="U1" s="225"/>
    </row>
    <row r="2" spans="1:21" x14ac:dyDescent="0.35">
      <c r="A2" s="51"/>
      <c r="B2" s="225"/>
      <c r="C2" s="225"/>
      <c r="D2" s="225"/>
      <c r="E2" s="225"/>
      <c r="F2" s="225"/>
      <c r="G2" s="225"/>
      <c r="H2" s="225"/>
      <c r="I2" s="225"/>
      <c r="J2" s="225"/>
      <c r="K2" s="225"/>
      <c r="L2" s="225"/>
      <c r="M2" s="225"/>
      <c r="N2" s="225"/>
      <c r="O2" s="225"/>
      <c r="P2" s="225"/>
      <c r="Q2" s="225"/>
      <c r="R2" s="225"/>
      <c r="S2" s="225"/>
      <c r="T2" s="225"/>
      <c r="U2" s="225"/>
    </row>
    <row r="3" spans="1:21" x14ac:dyDescent="0.35">
      <c r="A3" s="51" t="s">
        <v>802</v>
      </c>
      <c r="B3" s="51"/>
      <c r="C3" s="51"/>
      <c r="D3" s="51"/>
      <c r="E3" s="51"/>
      <c r="F3" s="51"/>
      <c r="G3" s="51"/>
      <c r="H3" s="51"/>
      <c r="I3" s="51"/>
      <c r="J3" s="51"/>
      <c r="K3" s="51"/>
      <c r="L3" s="51"/>
      <c r="M3" s="51"/>
      <c r="N3" s="51"/>
      <c r="O3" s="51"/>
      <c r="P3" s="51"/>
      <c r="Q3" s="51"/>
      <c r="R3" s="51"/>
      <c r="S3" s="51"/>
      <c r="T3" s="51"/>
      <c r="U3" s="51"/>
    </row>
    <row r="4" spans="1:21" x14ac:dyDescent="0.35">
      <c r="A4" s="51" t="s">
        <v>202</v>
      </c>
      <c r="B4" s="51"/>
      <c r="C4" s="51"/>
      <c r="D4" s="51"/>
      <c r="E4" s="51"/>
      <c r="F4" s="51"/>
      <c r="G4" s="51"/>
      <c r="H4" s="51"/>
      <c r="I4" s="51"/>
      <c r="J4" s="51"/>
      <c r="K4" s="51"/>
      <c r="L4" s="51"/>
      <c r="M4" s="51"/>
      <c r="N4" s="51"/>
      <c r="O4" s="51"/>
      <c r="P4" s="51"/>
      <c r="Q4" s="51"/>
      <c r="R4" s="51"/>
      <c r="S4" s="51"/>
      <c r="T4" s="51"/>
      <c r="U4" s="51"/>
    </row>
    <row r="5" spans="1:21" x14ac:dyDescent="0.35">
      <c r="A5" s="829" t="str">
        <f>CONCATENATE('Input Data'!D4," through ",'Input Data'!D5)</f>
        <v>August 1, 2022 through October 31, 2022</v>
      </c>
      <c r="B5" s="829"/>
      <c r="C5" s="829"/>
      <c r="D5" s="829"/>
      <c r="E5" s="829"/>
      <c r="F5" s="829"/>
      <c r="G5" s="829"/>
      <c r="H5" s="829"/>
      <c r="I5" s="829"/>
      <c r="J5" s="829"/>
      <c r="K5" s="829"/>
      <c r="L5" s="829"/>
      <c r="M5" s="829"/>
      <c r="N5" s="829"/>
      <c r="O5" s="829"/>
      <c r="P5" s="829"/>
      <c r="Q5" s="829"/>
      <c r="R5" s="829"/>
      <c r="S5" s="829"/>
      <c r="T5" s="829"/>
      <c r="U5" s="829"/>
    </row>
    <row r="6" spans="1:21" x14ac:dyDescent="0.35">
      <c r="A6" s="16"/>
    </row>
    <row r="7" spans="1:21" x14ac:dyDescent="0.35">
      <c r="A7" s="16"/>
    </row>
    <row r="8" spans="1:21" x14ac:dyDescent="0.35">
      <c r="A8" s="2"/>
      <c r="B8" s="2"/>
      <c r="C8" s="2"/>
      <c r="D8" s="2"/>
      <c r="E8" s="2"/>
      <c r="F8" s="2"/>
      <c r="G8" s="2"/>
      <c r="H8" s="2"/>
      <c r="I8" s="830" t="s">
        <v>128</v>
      </c>
      <c r="J8" s="830"/>
      <c r="K8" s="830"/>
      <c r="L8" s="830"/>
      <c r="M8" s="830"/>
      <c r="N8" s="830"/>
      <c r="O8" s="830"/>
      <c r="P8" s="830"/>
      <c r="Q8" s="830"/>
      <c r="R8" s="830"/>
      <c r="S8" s="830"/>
      <c r="T8" s="830"/>
      <c r="U8" s="830"/>
    </row>
    <row r="9" spans="1:21" x14ac:dyDescent="0.35">
      <c r="A9" s="2"/>
      <c r="B9" s="2"/>
      <c r="C9" s="2"/>
      <c r="D9" s="2"/>
      <c r="E9" s="2"/>
      <c r="F9" s="2"/>
      <c r="G9" s="2"/>
      <c r="H9" s="2"/>
      <c r="I9" s="2"/>
      <c r="J9" s="2"/>
      <c r="K9" s="2"/>
      <c r="L9" s="2"/>
      <c r="M9" s="2"/>
      <c r="N9" s="2"/>
      <c r="O9" s="2"/>
      <c r="P9" s="2"/>
      <c r="Q9" s="2"/>
      <c r="R9" s="2"/>
      <c r="S9" s="2"/>
      <c r="T9" s="2"/>
      <c r="U9" s="2"/>
    </row>
    <row r="10" spans="1:21" x14ac:dyDescent="0.35">
      <c r="A10" s="2"/>
      <c r="B10" s="2"/>
      <c r="C10" s="2"/>
      <c r="D10" s="2"/>
      <c r="E10" s="2"/>
      <c r="F10" s="2"/>
      <c r="G10" s="329" t="s">
        <v>454</v>
      </c>
      <c r="H10" s="2"/>
      <c r="I10" s="2"/>
      <c r="J10" s="2"/>
      <c r="K10" s="2"/>
      <c r="L10" s="2"/>
      <c r="M10" s="2"/>
      <c r="N10" s="2"/>
      <c r="O10" s="2"/>
      <c r="P10" s="2"/>
      <c r="Q10" s="329" t="s">
        <v>454</v>
      </c>
      <c r="R10" s="2"/>
      <c r="S10" s="329"/>
      <c r="T10" s="2"/>
      <c r="U10" s="2"/>
    </row>
    <row r="11" spans="1:21" x14ac:dyDescent="0.35">
      <c r="A11" s="2"/>
      <c r="B11" s="2"/>
      <c r="C11" s="2"/>
      <c r="D11" s="2"/>
      <c r="E11" s="329" t="s">
        <v>228</v>
      </c>
      <c r="F11" s="2"/>
      <c r="G11" s="718" t="s">
        <v>129</v>
      </c>
      <c r="H11" s="329"/>
      <c r="I11" s="329" t="s">
        <v>157</v>
      </c>
      <c r="J11" s="329"/>
      <c r="K11" s="136" t="s">
        <v>129</v>
      </c>
      <c r="L11" s="2"/>
      <c r="M11" s="329" t="s">
        <v>130</v>
      </c>
      <c r="N11" s="2"/>
      <c r="O11" s="329" t="s">
        <v>131</v>
      </c>
      <c r="P11" s="329"/>
      <c r="Q11" s="329" t="s">
        <v>594</v>
      </c>
      <c r="R11" s="329"/>
      <c r="S11" s="329" t="s">
        <v>1036</v>
      </c>
      <c r="T11" s="329"/>
      <c r="U11" s="2"/>
    </row>
    <row r="12" spans="1:21" x14ac:dyDescent="0.35">
      <c r="A12" s="2"/>
      <c r="B12" s="2"/>
      <c r="C12" s="2"/>
      <c r="D12" s="2"/>
      <c r="E12" s="329" t="s">
        <v>132</v>
      </c>
      <c r="F12" s="2"/>
      <c r="G12" s="329" t="s">
        <v>132</v>
      </c>
      <c r="H12" s="329"/>
      <c r="I12" s="329" t="s">
        <v>132</v>
      </c>
      <c r="J12" s="329"/>
      <c r="K12" s="329" t="s">
        <v>133</v>
      </c>
      <c r="L12" s="2"/>
      <c r="M12" s="329" t="s">
        <v>134</v>
      </c>
      <c r="N12" s="2"/>
      <c r="O12" s="329" t="s">
        <v>135</v>
      </c>
      <c r="P12" s="329"/>
      <c r="Q12" s="329" t="s">
        <v>593</v>
      </c>
      <c r="R12" s="329"/>
      <c r="S12" s="329" t="s">
        <v>1037</v>
      </c>
      <c r="T12" s="329"/>
      <c r="U12" s="2"/>
    </row>
    <row r="13" spans="1:21" x14ac:dyDescent="0.35">
      <c r="A13" s="2"/>
      <c r="B13" s="2"/>
      <c r="C13" s="2"/>
      <c r="D13" s="2"/>
      <c r="E13" s="135" t="s">
        <v>632</v>
      </c>
      <c r="F13" s="2"/>
      <c r="G13" s="137" t="s">
        <v>136</v>
      </c>
      <c r="H13" s="716"/>
      <c r="I13" s="137" t="s">
        <v>139</v>
      </c>
      <c r="J13" s="716"/>
      <c r="K13" s="135" t="s">
        <v>137</v>
      </c>
      <c r="L13" s="2"/>
      <c r="M13" s="135" t="s">
        <v>138</v>
      </c>
      <c r="N13" s="2"/>
      <c r="O13" s="137" t="s">
        <v>139</v>
      </c>
      <c r="P13" s="716"/>
      <c r="Q13" s="137" t="s">
        <v>139</v>
      </c>
      <c r="R13" s="716"/>
      <c r="S13" s="137" t="s">
        <v>1038</v>
      </c>
      <c r="T13" s="716"/>
      <c r="U13" s="135" t="s">
        <v>140</v>
      </c>
    </row>
    <row r="14" spans="1:21" x14ac:dyDescent="0.35">
      <c r="A14" s="2"/>
      <c r="B14" s="2"/>
      <c r="C14" s="2"/>
      <c r="D14" s="2"/>
      <c r="E14" s="2"/>
      <c r="F14" s="2"/>
      <c r="G14" s="2"/>
      <c r="H14" s="2"/>
      <c r="I14" s="2"/>
      <c r="J14" s="2"/>
      <c r="K14" s="2"/>
      <c r="L14" s="2"/>
      <c r="M14" s="2"/>
      <c r="N14" s="2"/>
      <c r="O14" s="2"/>
      <c r="P14" s="2"/>
      <c r="Q14" s="2"/>
      <c r="R14" s="2"/>
      <c r="S14" s="2"/>
      <c r="T14" s="2"/>
      <c r="U14" s="2"/>
    </row>
    <row r="15" spans="1:21" x14ac:dyDescent="0.35">
      <c r="A15" s="136" t="s">
        <v>1013</v>
      </c>
      <c r="B15" s="2"/>
      <c r="C15" s="2"/>
      <c r="D15" s="2"/>
      <c r="E15" s="2"/>
      <c r="F15" s="2"/>
      <c r="G15" s="2"/>
      <c r="H15" s="2"/>
      <c r="I15" s="2"/>
      <c r="J15" s="2"/>
      <c r="K15" s="226"/>
      <c r="L15" s="2"/>
      <c r="M15" s="2"/>
      <c r="N15" s="2"/>
      <c r="O15" s="2"/>
      <c r="P15" s="2"/>
      <c r="Q15" s="2"/>
      <c r="R15" s="2"/>
      <c r="S15" s="2"/>
      <c r="T15" s="2"/>
      <c r="U15" s="2"/>
    </row>
    <row r="16" spans="1:21" x14ac:dyDescent="0.35">
      <c r="A16" s="2"/>
      <c r="B16" s="136" t="s">
        <v>227</v>
      </c>
      <c r="C16" s="2"/>
      <c r="D16" s="2"/>
      <c r="E16" s="227">
        <v>0.65</v>
      </c>
      <c r="F16" s="2"/>
      <c r="G16" s="227">
        <v>1.39</v>
      </c>
      <c r="H16" s="2"/>
      <c r="I16" s="2"/>
      <c r="J16" s="2"/>
      <c r="K16" s="226"/>
      <c r="L16" s="2"/>
      <c r="M16" s="2"/>
      <c r="N16" s="2"/>
      <c r="O16" s="226"/>
      <c r="P16" s="226"/>
      <c r="Q16" s="226"/>
      <c r="R16" s="226"/>
      <c r="S16" s="226"/>
      <c r="T16" s="226"/>
      <c r="U16" s="2"/>
    </row>
    <row r="17" spans="1:21" x14ac:dyDescent="0.35">
      <c r="A17" s="2"/>
      <c r="B17" s="136" t="s">
        <v>141</v>
      </c>
      <c r="C17" s="2"/>
      <c r="D17" s="2"/>
      <c r="E17" s="227"/>
      <c r="F17" s="2"/>
      <c r="G17" s="2"/>
      <c r="H17" s="2"/>
      <c r="I17" s="226"/>
      <c r="J17" s="2"/>
      <c r="K17" s="226">
        <v>0.51809000000000005</v>
      </c>
      <c r="L17" s="2"/>
      <c r="M17" s="226">
        <f>'Summary Sheet'!K59</f>
        <v>0.89017000000000002</v>
      </c>
      <c r="N17" s="2"/>
      <c r="O17" s="226">
        <v>4.1200000000000004E-3</v>
      </c>
      <c r="P17" s="226"/>
      <c r="Q17" s="226">
        <v>2.5600000000000002E-3</v>
      </c>
      <c r="R17" s="226"/>
      <c r="S17" s="226">
        <v>0</v>
      </c>
      <c r="T17" s="228"/>
      <c r="U17" s="226">
        <f>SUM(K17:S17)</f>
        <v>1.4149399999999999</v>
      </c>
    </row>
    <row r="18" spans="1:21" x14ac:dyDescent="0.35">
      <c r="A18" s="2"/>
      <c r="B18" s="2"/>
      <c r="C18" s="2"/>
      <c r="D18" s="2"/>
      <c r="E18" s="227"/>
      <c r="F18" s="2"/>
      <c r="G18" s="2"/>
      <c r="H18" s="2"/>
      <c r="I18" s="2"/>
      <c r="J18" s="2"/>
      <c r="K18" s="226"/>
      <c r="L18" s="2"/>
      <c r="M18" s="226"/>
      <c r="N18" s="2"/>
      <c r="O18" s="228"/>
      <c r="P18" s="228"/>
      <c r="Q18" s="228"/>
      <c r="R18" s="228"/>
      <c r="S18" s="228"/>
      <c r="T18" s="228"/>
      <c r="U18" s="226"/>
    </row>
    <row r="19" spans="1:21" x14ac:dyDescent="0.35">
      <c r="A19" s="2"/>
      <c r="B19" s="2"/>
      <c r="C19" s="2"/>
      <c r="D19" s="2"/>
      <c r="E19" s="227"/>
      <c r="F19" s="2"/>
      <c r="G19" s="2"/>
      <c r="H19" s="2"/>
      <c r="I19" s="2"/>
      <c r="J19" s="2"/>
      <c r="K19" s="226"/>
      <c r="L19" s="2"/>
      <c r="M19" s="226"/>
      <c r="N19" s="2"/>
      <c r="O19" s="228"/>
      <c r="P19" s="228"/>
      <c r="Q19" s="228"/>
      <c r="R19" s="228"/>
      <c r="S19" s="228"/>
      <c r="T19" s="228"/>
      <c r="U19" s="226"/>
    </row>
    <row r="20" spans="1:21" x14ac:dyDescent="0.35">
      <c r="A20" s="136" t="s">
        <v>142</v>
      </c>
      <c r="B20" s="2"/>
      <c r="C20" s="2"/>
      <c r="D20" s="2" t="s">
        <v>143</v>
      </c>
      <c r="E20" s="227"/>
      <c r="F20" s="2"/>
      <c r="G20" s="2"/>
      <c r="H20" s="2"/>
      <c r="I20" s="2"/>
      <c r="J20" s="2"/>
      <c r="K20" s="226"/>
      <c r="L20" s="2"/>
      <c r="M20" s="226"/>
      <c r="N20" s="2"/>
      <c r="O20" s="228"/>
      <c r="P20" s="228"/>
      <c r="Q20" s="228"/>
      <c r="R20" s="228"/>
      <c r="S20" s="228"/>
      <c r="T20" s="228"/>
      <c r="U20" s="226"/>
    </row>
    <row r="21" spans="1:21" x14ac:dyDescent="0.35">
      <c r="A21" s="2"/>
      <c r="B21" s="136" t="s">
        <v>227</v>
      </c>
      <c r="C21" s="2"/>
      <c r="D21" s="2"/>
      <c r="E21" s="227">
        <v>2.2999999999999998</v>
      </c>
      <c r="F21" s="2"/>
      <c r="G21" s="227">
        <v>6.91</v>
      </c>
      <c r="H21" s="2"/>
      <c r="I21" s="2"/>
      <c r="J21" s="2"/>
      <c r="K21" s="226"/>
      <c r="L21" s="2"/>
      <c r="M21" s="226"/>
      <c r="N21" s="2"/>
      <c r="O21" s="228"/>
      <c r="P21" s="228"/>
      <c r="Q21" s="228"/>
      <c r="R21" s="228"/>
      <c r="S21" s="228"/>
      <c r="T21" s="228"/>
      <c r="U21" s="226"/>
    </row>
    <row r="22" spans="1:21" x14ac:dyDescent="0.35">
      <c r="A22" s="136" t="s">
        <v>144</v>
      </c>
      <c r="B22" s="2"/>
      <c r="C22" s="2"/>
      <c r="D22" s="2"/>
      <c r="E22" s="227"/>
      <c r="F22" s="2"/>
      <c r="G22" s="2"/>
      <c r="H22" s="2"/>
      <c r="I22" s="2"/>
      <c r="J22" s="2"/>
      <c r="K22" s="226"/>
      <c r="L22" s="2"/>
      <c r="M22" s="226"/>
      <c r="N22" s="2"/>
      <c r="O22" s="228"/>
      <c r="P22" s="228"/>
      <c r="Q22" s="228"/>
      <c r="R22" s="228"/>
      <c r="S22" s="228"/>
      <c r="T22" s="228"/>
      <c r="U22" s="226"/>
    </row>
    <row r="23" spans="1:21" x14ac:dyDescent="0.35">
      <c r="A23" s="2"/>
      <c r="B23" s="136" t="s">
        <v>145</v>
      </c>
      <c r="C23" s="2"/>
      <c r="D23" s="2"/>
      <c r="E23" s="227"/>
      <c r="F23" s="2"/>
      <c r="G23" s="2"/>
      <c r="H23" s="2"/>
      <c r="I23" s="226"/>
      <c r="J23" s="2"/>
      <c r="K23" s="226">
        <v>0.38950000000000001</v>
      </c>
      <c r="L23" s="2"/>
      <c r="M23" s="226">
        <f>$M$17</f>
        <v>0.89017000000000002</v>
      </c>
      <c r="N23" s="2"/>
      <c r="O23" s="226">
        <v>1.07E-3</v>
      </c>
      <c r="P23" s="226"/>
      <c r="Q23" s="226">
        <v>2.0400000000000001E-3</v>
      </c>
      <c r="R23" s="226"/>
      <c r="S23" s="226">
        <f>S17</f>
        <v>0</v>
      </c>
      <c r="T23" s="228"/>
      <c r="U23" s="226">
        <f t="shared" ref="U23:U24" si="0">SUM(K23:S23)</f>
        <v>1.28278</v>
      </c>
    </row>
    <row r="24" spans="1:21" x14ac:dyDescent="0.35">
      <c r="A24" s="2"/>
      <c r="B24" s="136" t="s">
        <v>146</v>
      </c>
      <c r="C24" s="2"/>
      <c r="D24" s="2"/>
      <c r="E24" s="227"/>
      <c r="F24" s="2"/>
      <c r="G24" s="2"/>
      <c r="H24" s="2"/>
      <c r="I24" s="226"/>
      <c r="J24" s="2"/>
      <c r="K24" s="226">
        <f>K23-0.05</f>
        <v>0.33950000000000002</v>
      </c>
      <c r="L24" s="2"/>
      <c r="M24" s="226">
        <f>$M$17</f>
        <v>0.89017000000000002</v>
      </c>
      <c r="N24" s="2"/>
      <c r="O24" s="226">
        <f>+O23</f>
        <v>1.07E-3</v>
      </c>
      <c r="P24" s="226"/>
      <c r="Q24" s="226">
        <f>+Q23</f>
        <v>2.0400000000000001E-3</v>
      </c>
      <c r="R24" s="226"/>
      <c r="S24" s="226">
        <f>+S23</f>
        <v>0</v>
      </c>
      <c r="T24" s="228"/>
      <c r="U24" s="226">
        <f t="shared" si="0"/>
        <v>1.23278</v>
      </c>
    </row>
    <row r="25" spans="1:21" x14ac:dyDescent="0.35">
      <c r="A25" s="136" t="s">
        <v>147</v>
      </c>
      <c r="B25" s="2"/>
      <c r="C25" s="2"/>
      <c r="D25" s="2"/>
      <c r="E25" s="227"/>
      <c r="F25" s="2"/>
      <c r="G25" s="2"/>
      <c r="H25" s="2"/>
      <c r="I25" s="2"/>
      <c r="J25" s="2"/>
      <c r="K25" s="226"/>
      <c r="L25" s="2"/>
      <c r="M25" s="226"/>
      <c r="N25" s="2"/>
      <c r="O25" s="226"/>
      <c r="P25" s="226"/>
      <c r="Q25" s="226"/>
      <c r="R25" s="226"/>
      <c r="S25" s="226"/>
      <c r="T25" s="228"/>
      <c r="U25" s="226"/>
    </row>
    <row r="26" spans="1:21" x14ac:dyDescent="0.35">
      <c r="A26" s="2"/>
      <c r="B26" s="136" t="s">
        <v>141</v>
      </c>
      <c r="C26" s="2"/>
      <c r="D26" s="2"/>
      <c r="E26" s="227"/>
      <c r="F26" s="2"/>
      <c r="G26" s="2"/>
      <c r="H26" s="2"/>
      <c r="I26" s="226"/>
      <c r="J26" s="2"/>
      <c r="K26" s="226">
        <f>K23</f>
        <v>0.38950000000000001</v>
      </c>
      <c r="L26" s="2"/>
      <c r="M26" s="226">
        <f>$M$17</f>
        <v>0.89017000000000002</v>
      </c>
      <c r="N26" s="2"/>
      <c r="O26" s="226">
        <f>+O23</f>
        <v>1.07E-3</v>
      </c>
      <c r="P26" s="226"/>
      <c r="Q26" s="226">
        <f>+Q23</f>
        <v>2.0400000000000001E-3</v>
      </c>
      <c r="R26" s="226"/>
      <c r="S26" s="226">
        <f>+S23</f>
        <v>0</v>
      </c>
      <c r="T26" s="228"/>
      <c r="U26" s="226">
        <f>SUM(K26:S26)</f>
        <v>1.28278</v>
      </c>
    </row>
    <row r="27" spans="1:21" x14ac:dyDescent="0.35">
      <c r="A27" s="2"/>
      <c r="B27" s="2"/>
      <c r="C27" s="2"/>
      <c r="D27" s="2"/>
      <c r="E27" s="227"/>
      <c r="F27" s="2"/>
      <c r="G27" s="2"/>
      <c r="H27" s="2"/>
      <c r="I27" s="2"/>
      <c r="J27" s="2"/>
      <c r="K27" s="226"/>
      <c r="L27" s="2"/>
      <c r="M27" s="226"/>
      <c r="N27" s="2"/>
      <c r="O27" s="228"/>
      <c r="P27" s="228"/>
      <c r="Q27" s="228"/>
      <c r="R27" s="228"/>
      <c r="S27" s="228"/>
      <c r="T27" s="228"/>
      <c r="U27" s="226"/>
    </row>
    <row r="28" spans="1:21" x14ac:dyDescent="0.35">
      <c r="A28" s="2"/>
      <c r="B28" s="2"/>
      <c r="C28" s="2"/>
      <c r="D28" s="2"/>
      <c r="E28" s="227"/>
      <c r="F28" s="2"/>
      <c r="G28" s="2"/>
      <c r="H28" s="2"/>
      <c r="I28" s="2"/>
      <c r="J28" s="2"/>
      <c r="K28" s="226"/>
      <c r="L28" s="2"/>
      <c r="M28" s="226"/>
      <c r="N28" s="2"/>
      <c r="O28" s="228"/>
      <c r="P28" s="228"/>
      <c r="Q28" s="228"/>
      <c r="R28" s="228"/>
      <c r="S28" s="228"/>
      <c r="T28" s="228"/>
      <c r="U28" s="226"/>
    </row>
    <row r="29" spans="1:21" x14ac:dyDescent="0.35">
      <c r="A29" s="136" t="s">
        <v>142</v>
      </c>
      <c r="B29" s="2"/>
      <c r="C29" s="2"/>
      <c r="D29" s="2" t="s">
        <v>148</v>
      </c>
      <c r="E29" s="227"/>
      <c r="F29" s="2"/>
      <c r="G29" s="2"/>
      <c r="H29" s="2"/>
      <c r="I29" s="2"/>
      <c r="J29" s="2"/>
      <c r="K29" s="226"/>
      <c r="L29" s="2"/>
      <c r="M29" s="226"/>
      <c r="N29" s="2"/>
      <c r="O29" s="228"/>
      <c r="P29" s="228"/>
      <c r="Q29" s="228"/>
      <c r="R29" s="228"/>
      <c r="S29" s="228"/>
      <c r="T29" s="228"/>
      <c r="U29" s="226"/>
    </row>
    <row r="30" spans="1:21" x14ac:dyDescent="0.35">
      <c r="A30" s="2"/>
      <c r="B30" s="136" t="s">
        <v>227</v>
      </c>
      <c r="C30" s="2"/>
      <c r="D30" s="2"/>
      <c r="E30" s="227">
        <v>11</v>
      </c>
      <c r="F30" s="2"/>
      <c r="G30" s="227">
        <f>G21</f>
        <v>6.91</v>
      </c>
      <c r="H30" s="2"/>
      <c r="I30" s="2"/>
      <c r="J30" s="2"/>
      <c r="K30" s="226"/>
      <c r="L30" s="2"/>
      <c r="M30" s="226"/>
      <c r="N30" s="2"/>
      <c r="O30" s="228"/>
      <c r="P30" s="228"/>
      <c r="Q30" s="228"/>
      <c r="R30" s="228"/>
      <c r="S30" s="228"/>
      <c r="T30" s="228"/>
      <c r="U30" s="226"/>
    </row>
    <row r="31" spans="1:21" x14ac:dyDescent="0.35">
      <c r="A31" s="136" t="s">
        <v>144</v>
      </c>
      <c r="B31" s="2"/>
      <c r="C31" s="2"/>
      <c r="D31" s="2"/>
      <c r="E31" s="227"/>
      <c r="F31" s="2"/>
      <c r="G31" s="2"/>
      <c r="H31" s="2"/>
      <c r="I31" s="2"/>
      <c r="J31" s="2"/>
      <c r="K31" s="226"/>
      <c r="L31" s="2"/>
      <c r="M31" s="226"/>
      <c r="N31" s="2"/>
      <c r="O31" s="228"/>
      <c r="P31" s="228"/>
      <c r="Q31" s="228"/>
      <c r="R31" s="228"/>
      <c r="S31" s="228"/>
      <c r="T31" s="228"/>
      <c r="U31" s="226"/>
    </row>
    <row r="32" spans="1:21" x14ac:dyDescent="0.35">
      <c r="A32" s="2"/>
      <c r="B32" s="136" t="s">
        <v>145</v>
      </c>
      <c r="C32" s="2"/>
      <c r="D32" s="2"/>
      <c r="E32" s="227"/>
      <c r="F32" s="2"/>
      <c r="G32" s="2"/>
      <c r="H32" s="2"/>
      <c r="I32" s="226"/>
      <c r="J32" s="2"/>
      <c r="K32" s="226">
        <f>+K23</f>
        <v>0.38950000000000001</v>
      </c>
      <c r="L32" s="2"/>
      <c r="M32" s="226">
        <f>$M$17</f>
        <v>0.89017000000000002</v>
      </c>
      <c r="N32" s="2"/>
      <c r="O32" s="226">
        <f>+O23</f>
        <v>1.07E-3</v>
      </c>
      <c r="P32" s="226"/>
      <c r="Q32" s="226">
        <f>+Q23</f>
        <v>2.0400000000000001E-3</v>
      </c>
      <c r="R32" s="226"/>
      <c r="S32" s="226">
        <f>+S23</f>
        <v>0</v>
      </c>
      <c r="T32" s="228"/>
      <c r="U32" s="226">
        <f t="shared" ref="U32:U33" si="1">SUM(K32:S32)</f>
        <v>1.28278</v>
      </c>
    </row>
    <row r="33" spans="1:21" x14ac:dyDescent="0.35">
      <c r="A33" s="2"/>
      <c r="B33" s="136" t="s">
        <v>146</v>
      </c>
      <c r="C33" s="2"/>
      <c r="D33" s="2"/>
      <c r="E33" s="227"/>
      <c r="F33" s="2"/>
      <c r="G33" s="2"/>
      <c r="H33" s="2"/>
      <c r="I33" s="226"/>
      <c r="J33" s="2"/>
      <c r="K33" s="226">
        <f>+K24</f>
        <v>0.33950000000000002</v>
      </c>
      <c r="L33" s="2"/>
      <c r="M33" s="226">
        <f>$M$17</f>
        <v>0.89017000000000002</v>
      </c>
      <c r="N33" s="2"/>
      <c r="O33" s="226">
        <f>+O23</f>
        <v>1.07E-3</v>
      </c>
      <c r="P33" s="226"/>
      <c r="Q33" s="226">
        <f>+Q23</f>
        <v>2.0400000000000001E-3</v>
      </c>
      <c r="R33" s="226"/>
      <c r="S33" s="226">
        <f>+S23</f>
        <v>0</v>
      </c>
      <c r="T33" s="228"/>
      <c r="U33" s="226">
        <f t="shared" si="1"/>
        <v>1.23278</v>
      </c>
    </row>
    <row r="34" spans="1:21" x14ac:dyDescent="0.35">
      <c r="A34" s="136" t="s">
        <v>147</v>
      </c>
      <c r="B34" s="2"/>
      <c r="C34" s="2"/>
      <c r="D34" s="2"/>
      <c r="E34" s="227"/>
      <c r="F34" s="2"/>
      <c r="G34" s="2"/>
      <c r="H34" s="2"/>
      <c r="I34" s="2"/>
      <c r="J34" s="2"/>
      <c r="K34" s="226"/>
      <c r="L34" s="2"/>
      <c r="M34" s="226"/>
      <c r="N34" s="2"/>
      <c r="O34" s="226"/>
      <c r="P34" s="226"/>
      <c r="Q34" s="226"/>
      <c r="R34" s="226"/>
      <c r="S34" s="226"/>
      <c r="T34" s="228"/>
      <c r="U34" s="226"/>
    </row>
    <row r="35" spans="1:21" x14ac:dyDescent="0.35">
      <c r="A35" s="2"/>
      <c r="B35" s="136" t="s">
        <v>141</v>
      </c>
      <c r="C35" s="2"/>
      <c r="D35" s="2"/>
      <c r="E35" s="227"/>
      <c r="F35" s="2"/>
      <c r="G35" s="2"/>
      <c r="H35" s="2"/>
      <c r="I35" s="226"/>
      <c r="J35" s="2"/>
      <c r="K35" s="226">
        <f>+K26</f>
        <v>0.38950000000000001</v>
      </c>
      <c r="L35" s="2"/>
      <c r="M35" s="226">
        <f>$M$17</f>
        <v>0.89017000000000002</v>
      </c>
      <c r="N35" s="2"/>
      <c r="O35" s="226">
        <f>+O23</f>
        <v>1.07E-3</v>
      </c>
      <c r="P35" s="226"/>
      <c r="Q35" s="226">
        <f>+Q23</f>
        <v>2.0400000000000001E-3</v>
      </c>
      <c r="R35" s="226"/>
      <c r="S35" s="226">
        <f>+S23</f>
        <v>0</v>
      </c>
      <c r="T35" s="228"/>
      <c r="U35" s="226">
        <f>SUM(K35:S35)</f>
        <v>1.28278</v>
      </c>
    </row>
    <row r="36" spans="1:21" x14ac:dyDescent="0.35">
      <c r="A36" s="2"/>
      <c r="B36" s="2"/>
      <c r="C36" s="2"/>
      <c r="D36" s="2"/>
      <c r="E36" s="227"/>
      <c r="F36" s="2"/>
      <c r="G36" s="2"/>
      <c r="H36" s="2"/>
      <c r="I36" s="2"/>
      <c r="J36" s="2"/>
      <c r="K36" s="226"/>
      <c r="L36" s="2"/>
      <c r="M36" s="226"/>
      <c r="N36" s="2"/>
      <c r="O36" s="226"/>
      <c r="P36" s="226"/>
      <c r="Q36" s="226"/>
      <c r="R36" s="226"/>
      <c r="S36" s="226"/>
      <c r="T36" s="228"/>
      <c r="U36" s="226"/>
    </row>
    <row r="37" spans="1:21" x14ac:dyDescent="0.35">
      <c r="A37" s="2"/>
      <c r="B37" s="2"/>
      <c r="C37" s="2"/>
      <c r="D37" s="2"/>
      <c r="E37" s="227"/>
      <c r="F37" s="2"/>
      <c r="G37" s="2"/>
      <c r="H37" s="2"/>
      <c r="I37" s="2"/>
      <c r="J37" s="2"/>
      <c r="K37" s="226"/>
      <c r="L37" s="2"/>
      <c r="M37" s="226"/>
      <c r="N37" s="2"/>
      <c r="O37" s="228"/>
      <c r="P37" s="228"/>
      <c r="Q37" s="228"/>
      <c r="R37" s="228"/>
      <c r="S37" s="228"/>
      <c r="T37" s="228"/>
      <c r="U37" s="226"/>
    </row>
    <row r="38" spans="1:21" x14ac:dyDescent="0.35">
      <c r="A38" s="136" t="s">
        <v>149</v>
      </c>
      <c r="B38" s="2"/>
      <c r="C38" s="2"/>
      <c r="D38" s="2" t="s">
        <v>150</v>
      </c>
      <c r="E38" s="227"/>
      <c r="F38" s="2"/>
      <c r="G38" s="2"/>
      <c r="H38" s="2"/>
      <c r="I38" s="2"/>
      <c r="J38" s="2"/>
      <c r="K38" s="226"/>
      <c r="L38" s="2"/>
      <c r="M38" s="226"/>
      <c r="N38" s="2"/>
      <c r="O38" s="228"/>
      <c r="P38" s="228"/>
      <c r="Q38" s="228"/>
      <c r="R38" s="228"/>
      <c r="S38" s="228"/>
      <c r="T38" s="228"/>
      <c r="U38" s="226"/>
    </row>
    <row r="39" spans="1:21" x14ac:dyDescent="0.35">
      <c r="A39" s="2"/>
      <c r="B39" s="136" t="s">
        <v>227</v>
      </c>
      <c r="C39" s="2"/>
      <c r="D39" s="2"/>
      <c r="E39" s="227">
        <v>5.42</v>
      </c>
      <c r="F39" s="2"/>
      <c r="G39" s="227">
        <v>94.58</v>
      </c>
      <c r="H39" s="2"/>
      <c r="I39" s="2"/>
      <c r="J39" s="2"/>
      <c r="K39" s="226"/>
      <c r="L39" s="2"/>
      <c r="M39" s="226"/>
      <c r="N39" s="2"/>
      <c r="O39" s="228"/>
      <c r="P39" s="228"/>
      <c r="Q39" s="228"/>
      <c r="R39" s="228"/>
      <c r="S39" s="228"/>
      <c r="T39" s="228"/>
      <c r="U39" s="226"/>
    </row>
    <row r="40" spans="1:21" x14ac:dyDescent="0.35">
      <c r="A40" s="136" t="s">
        <v>144</v>
      </c>
      <c r="B40" s="2"/>
      <c r="C40" s="2"/>
      <c r="D40" s="2"/>
      <c r="E40" s="227"/>
      <c r="F40" s="2"/>
      <c r="G40" s="2"/>
      <c r="H40" s="2"/>
      <c r="I40" s="2"/>
      <c r="J40" s="2"/>
      <c r="K40" s="226"/>
      <c r="L40" s="2"/>
      <c r="M40" s="226"/>
      <c r="N40" s="2"/>
      <c r="O40" s="228"/>
      <c r="P40" s="228"/>
      <c r="Q40" s="228"/>
      <c r="R40" s="228"/>
      <c r="S40" s="228"/>
      <c r="T40" s="228"/>
      <c r="U40" s="226"/>
    </row>
    <row r="41" spans="1:21" x14ac:dyDescent="0.35">
      <c r="A41" s="2"/>
      <c r="B41" s="136" t="s">
        <v>145</v>
      </c>
      <c r="C41" s="2"/>
      <c r="D41" s="2"/>
      <c r="E41" s="227"/>
      <c r="F41" s="2"/>
      <c r="G41" s="2"/>
      <c r="H41" s="2"/>
      <c r="I41" s="226"/>
      <c r="J41" s="2"/>
      <c r="K41" s="226">
        <v>0.27023000000000003</v>
      </c>
      <c r="L41" s="2"/>
      <c r="M41" s="226">
        <f>$M$17</f>
        <v>0.89017000000000002</v>
      </c>
      <c r="N41" s="2"/>
      <c r="O41" s="226">
        <f>O35</f>
        <v>1.07E-3</v>
      </c>
      <c r="P41" s="226"/>
      <c r="Q41" s="226">
        <v>1.32E-3</v>
      </c>
      <c r="R41" s="226"/>
      <c r="S41" s="226">
        <f>S32</f>
        <v>0</v>
      </c>
      <c r="T41" s="228"/>
      <c r="U41" s="226">
        <f t="shared" ref="U41:U42" si="2">SUM(K41:S41)</f>
        <v>1.16279</v>
      </c>
    </row>
    <row r="42" spans="1:21" x14ac:dyDescent="0.35">
      <c r="A42" s="2"/>
      <c r="B42" s="136" t="s">
        <v>146</v>
      </c>
      <c r="C42" s="2"/>
      <c r="D42" s="2"/>
      <c r="E42" s="227"/>
      <c r="F42" s="2"/>
      <c r="G42" s="2"/>
      <c r="H42" s="2"/>
      <c r="I42" s="226"/>
      <c r="J42" s="2"/>
      <c r="K42" s="226">
        <f>+K41-0.05</f>
        <v>0.22023000000000004</v>
      </c>
      <c r="L42" s="2"/>
      <c r="M42" s="226">
        <f>$M$17</f>
        <v>0.89017000000000002</v>
      </c>
      <c r="N42" s="2"/>
      <c r="O42" s="226">
        <f>O41</f>
        <v>1.07E-3</v>
      </c>
      <c r="P42" s="226"/>
      <c r="Q42" s="226">
        <f>Q41</f>
        <v>1.32E-3</v>
      </c>
      <c r="R42" s="226"/>
      <c r="S42" s="226">
        <f>S41</f>
        <v>0</v>
      </c>
      <c r="T42" s="228"/>
      <c r="U42" s="226">
        <f t="shared" si="2"/>
        <v>1.1127899999999999</v>
      </c>
    </row>
    <row r="43" spans="1:21" x14ac:dyDescent="0.35">
      <c r="A43" s="136" t="s">
        <v>147</v>
      </c>
      <c r="B43" s="2"/>
      <c r="C43" s="2"/>
      <c r="D43" s="2"/>
      <c r="E43" s="227"/>
      <c r="F43" s="2"/>
      <c r="G43" s="2"/>
      <c r="H43" s="2"/>
      <c r="I43" s="2"/>
      <c r="J43" s="2"/>
      <c r="K43" s="226"/>
      <c r="L43" s="2"/>
      <c r="M43" s="226"/>
      <c r="N43" s="2"/>
      <c r="O43" s="226"/>
      <c r="P43" s="226"/>
      <c r="Q43" s="226"/>
      <c r="R43" s="226"/>
      <c r="S43" s="226"/>
      <c r="T43" s="228"/>
      <c r="U43" s="226"/>
    </row>
    <row r="44" spans="1:21" x14ac:dyDescent="0.35">
      <c r="A44" s="2"/>
      <c r="B44" s="136" t="s">
        <v>141</v>
      </c>
      <c r="C44" s="2"/>
      <c r="D44" s="2"/>
      <c r="E44" s="227"/>
      <c r="F44" s="2"/>
      <c r="G44" s="2"/>
      <c r="H44" s="2"/>
      <c r="I44" s="226"/>
      <c r="J44" s="2"/>
      <c r="K44" s="226">
        <f>+K41</f>
        <v>0.27023000000000003</v>
      </c>
      <c r="L44" s="2"/>
      <c r="M44" s="226">
        <f>$M$17</f>
        <v>0.89017000000000002</v>
      </c>
      <c r="N44" s="2"/>
      <c r="O44" s="226">
        <f>O41</f>
        <v>1.07E-3</v>
      </c>
      <c r="P44" s="226"/>
      <c r="Q44" s="226">
        <f>Q41</f>
        <v>1.32E-3</v>
      </c>
      <c r="R44" s="226"/>
      <c r="S44" s="226">
        <f>S41</f>
        <v>0</v>
      </c>
      <c r="T44" s="228"/>
      <c r="U44" s="226">
        <f>SUM(K44:S44)</f>
        <v>1.16279</v>
      </c>
    </row>
    <row r="45" spans="1:21" x14ac:dyDescent="0.35">
      <c r="A45" s="2"/>
      <c r="B45" s="2"/>
      <c r="C45" s="2"/>
      <c r="D45" s="2"/>
      <c r="E45" s="227"/>
      <c r="F45" s="2"/>
      <c r="G45" s="2"/>
      <c r="H45" s="2"/>
      <c r="I45" s="2"/>
      <c r="J45" s="2"/>
      <c r="K45" s="226"/>
      <c r="L45" s="2"/>
      <c r="M45" s="226"/>
      <c r="N45" s="2"/>
      <c r="O45" s="228"/>
      <c r="P45" s="228"/>
      <c r="Q45" s="228"/>
      <c r="R45" s="228"/>
      <c r="S45" s="228"/>
      <c r="T45" s="228"/>
      <c r="U45" s="226"/>
    </row>
    <row r="46" spans="1:21" x14ac:dyDescent="0.35">
      <c r="A46" s="2"/>
      <c r="B46" s="2"/>
      <c r="C46" s="2"/>
      <c r="D46" s="2"/>
      <c r="E46" s="227"/>
      <c r="F46" s="2"/>
      <c r="G46" s="2"/>
      <c r="H46" s="2"/>
      <c r="I46" s="2"/>
      <c r="J46" s="2"/>
      <c r="K46" s="226"/>
      <c r="L46" s="2"/>
      <c r="M46" s="226"/>
      <c r="N46" s="2"/>
      <c r="O46" s="228"/>
      <c r="P46" s="228"/>
      <c r="Q46" s="228"/>
      <c r="R46" s="228"/>
      <c r="S46" s="228"/>
      <c r="T46" s="228"/>
      <c r="U46" s="226"/>
    </row>
    <row r="47" spans="1:21" x14ac:dyDescent="0.35">
      <c r="A47" s="136" t="s">
        <v>149</v>
      </c>
      <c r="B47" s="2"/>
      <c r="C47" s="2"/>
      <c r="D47" s="2" t="s">
        <v>151</v>
      </c>
      <c r="E47" s="227"/>
      <c r="F47" s="2"/>
      <c r="G47" s="2"/>
      <c r="H47" s="2"/>
      <c r="I47" s="2"/>
      <c r="J47" s="2"/>
      <c r="K47" s="226"/>
      <c r="L47" s="2"/>
      <c r="M47" s="226"/>
      <c r="N47" s="2"/>
      <c r="O47" s="228"/>
      <c r="P47" s="228"/>
      <c r="Q47" s="228"/>
      <c r="R47" s="228"/>
      <c r="S47" s="228"/>
      <c r="T47" s="228"/>
      <c r="U47" s="226"/>
    </row>
    <row r="48" spans="1:21" x14ac:dyDescent="0.35">
      <c r="A48" s="2"/>
      <c r="B48" s="136" t="s">
        <v>227</v>
      </c>
      <c r="C48" s="2"/>
      <c r="D48" s="2"/>
      <c r="E48" s="227">
        <v>24.64</v>
      </c>
      <c r="F48" s="2"/>
      <c r="G48" s="227">
        <f>G39</f>
        <v>94.58</v>
      </c>
      <c r="H48" s="2"/>
      <c r="I48" s="2"/>
      <c r="J48" s="2"/>
      <c r="K48" s="226"/>
      <c r="L48" s="2"/>
      <c r="M48" s="226"/>
      <c r="N48" s="2"/>
      <c r="O48" s="228"/>
      <c r="P48" s="228"/>
      <c r="Q48" s="228"/>
      <c r="R48" s="228"/>
      <c r="S48" s="228"/>
      <c r="T48" s="228"/>
      <c r="U48" s="226"/>
    </row>
    <row r="49" spans="1:21" x14ac:dyDescent="0.35">
      <c r="A49" s="136" t="s">
        <v>144</v>
      </c>
      <c r="B49" s="2"/>
      <c r="C49" s="2"/>
      <c r="D49" s="2"/>
      <c r="E49" s="227"/>
      <c r="F49" s="2"/>
      <c r="G49" s="2"/>
      <c r="H49" s="2"/>
      <c r="I49" s="2"/>
      <c r="J49" s="2"/>
      <c r="K49" s="226"/>
      <c r="L49" s="2"/>
      <c r="M49" s="226"/>
      <c r="N49" s="2"/>
      <c r="O49" s="228"/>
      <c r="P49" s="228"/>
      <c r="Q49" s="228"/>
      <c r="R49" s="228"/>
      <c r="S49" s="228"/>
      <c r="T49" s="228"/>
      <c r="U49" s="226"/>
    </row>
    <row r="50" spans="1:21" x14ac:dyDescent="0.35">
      <c r="A50" s="2"/>
      <c r="B50" s="136" t="s">
        <v>145</v>
      </c>
      <c r="C50" s="2"/>
      <c r="D50" s="2"/>
      <c r="E50" s="227"/>
      <c r="F50" s="2"/>
      <c r="G50" s="2"/>
      <c r="H50" s="2"/>
      <c r="I50" s="226"/>
      <c r="J50" s="2"/>
      <c r="K50" s="226">
        <f>+K41</f>
        <v>0.27023000000000003</v>
      </c>
      <c r="L50" s="2"/>
      <c r="M50" s="226">
        <f>$M$17</f>
        <v>0.89017000000000002</v>
      </c>
      <c r="N50" s="2"/>
      <c r="O50" s="226">
        <f>O41</f>
        <v>1.07E-3</v>
      </c>
      <c r="P50" s="226"/>
      <c r="Q50" s="226">
        <f>Q41</f>
        <v>1.32E-3</v>
      </c>
      <c r="R50" s="226"/>
      <c r="S50" s="226">
        <f>S41</f>
        <v>0</v>
      </c>
      <c r="T50" s="228"/>
      <c r="U50" s="226">
        <f t="shared" ref="U50:U51" si="3">SUM(K50:S50)</f>
        <v>1.16279</v>
      </c>
    </row>
    <row r="51" spans="1:21" x14ac:dyDescent="0.35">
      <c r="A51" s="2"/>
      <c r="B51" s="136" t="s">
        <v>146</v>
      </c>
      <c r="C51" s="2"/>
      <c r="D51" s="2"/>
      <c r="E51" s="227"/>
      <c r="F51" s="2"/>
      <c r="G51" s="2"/>
      <c r="H51" s="2"/>
      <c r="I51" s="226"/>
      <c r="J51" s="2"/>
      <c r="K51" s="226">
        <f>+K42</f>
        <v>0.22023000000000004</v>
      </c>
      <c r="L51" s="2"/>
      <c r="M51" s="226">
        <f>$M$17</f>
        <v>0.89017000000000002</v>
      </c>
      <c r="N51" s="2"/>
      <c r="O51" s="226">
        <f>O42</f>
        <v>1.07E-3</v>
      </c>
      <c r="P51" s="226"/>
      <c r="Q51" s="226">
        <f>Q41</f>
        <v>1.32E-3</v>
      </c>
      <c r="R51" s="226"/>
      <c r="S51" s="226">
        <f>S41</f>
        <v>0</v>
      </c>
      <c r="T51" s="228"/>
      <c r="U51" s="226">
        <f t="shared" si="3"/>
        <v>1.1127899999999999</v>
      </c>
    </row>
    <row r="52" spans="1:21" x14ac:dyDescent="0.35">
      <c r="A52" s="136" t="s">
        <v>147</v>
      </c>
      <c r="B52" s="2"/>
      <c r="C52" s="2"/>
      <c r="D52" s="2"/>
      <c r="E52" s="227"/>
      <c r="F52" s="2"/>
      <c r="G52" s="2"/>
      <c r="H52" s="2"/>
      <c r="I52" s="2"/>
      <c r="J52" s="2"/>
      <c r="K52" s="226"/>
      <c r="L52" s="2"/>
      <c r="M52" s="226"/>
      <c r="N52" s="2"/>
      <c r="O52" s="226"/>
      <c r="P52" s="226"/>
      <c r="Q52" s="226"/>
      <c r="R52" s="226"/>
      <c r="S52" s="226"/>
      <c r="T52" s="228"/>
      <c r="U52" s="226"/>
    </row>
    <row r="53" spans="1:21" x14ac:dyDescent="0.35">
      <c r="A53" s="2"/>
      <c r="B53" s="136" t="s">
        <v>141</v>
      </c>
      <c r="C53" s="2"/>
      <c r="D53" s="2"/>
      <c r="E53" s="227"/>
      <c r="F53" s="2"/>
      <c r="G53" s="2"/>
      <c r="H53" s="2"/>
      <c r="I53" s="226"/>
      <c r="J53" s="2"/>
      <c r="K53" s="226">
        <f>+K44</f>
        <v>0.27023000000000003</v>
      </c>
      <c r="L53" s="2"/>
      <c r="M53" s="226">
        <f>$M$17</f>
        <v>0.89017000000000002</v>
      </c>
      <c r="N53" s="2"/>
      <c r="O53" s="226">
        <f>O44</f>
        <v>1.07E-3</v>
      </c>
      <c r="P53" s="226"/>
      <c r="Q53" s="226">
        <f>Q41</f>
        <v>1.32E-3</v>
      </c>
      <c r="R53" s="226"/>
      <c r="S53" s="226">
        <f>S41</f>
        <v>0</v>
      </c>
      <c r="T53" s="228"/>
      <c r="U53" s="226">
        <f>SUM(K53:S53)</f>
        <v>1.16279</v>
      </c>
    </row>
    <row r="54" spans="1:21" x14ac:dyDescent="0.35">
      <c r="A54" s="2"/>
      <c r="B54" s="2"/>
      <c r="C54" s="2"/>
      <c r="D54" s="2"/>
      <c r="E54" s="227"/>
      <c r="F54" s="2"/>
      <c r="G54" s="2"/>
      <c r="H54" s="2"/>
      <c r="I54" s="2"/>
      <c r="J54" s="2"/>
      <c r="K54" s="226"/>
      <c r="L54" s="2"/>
      <c r="M54" s="226"/>
      <c r="N54" s="2"/>
      <c r="O54" s="228"/>
      <c r="P54" s="228"/>
      <c r="Q54" s="228"/>
      <c r="R54" s="228"/>
      <c r="S54" s="228"/>
      <c r="T54" s="228"/>
      <c r="U54" s="226"/>
    </row>
    <row r="55" spans="1:21" x14ac:dyDescent="0.35">
      <c r="A55" s="2"/>
      <c r="B55" s="2"/>
      <c r="C55" s="2"/>
      <c r="D55" s="2"/>
      <c r="E55" s="227"/>
      <c r="F55" s="2"/>
      <c r="G55" s="2"/>
      <c r="H55" s="2"/>
      <c r="I55" s="2"/>
      <c r="J55" s="2"/>
    </row>
    <row r="56" spans="1:21" x14ac:dyDescent="0.35">
      <c r="A56" s="2"/>
      <c r="B56" s="2"/>
      <c r="C56" s="2"/>
      <c r="D56" s="2"/>
      <c r="E56" s="566" t="s">
        <v>136</v>
      </c>
      <c r="F56" s="2"/>
      <c r="G56" s="2"/>
      <c r="H56" s="2"/>
      <c r="I56" s="484" t="s">
        <v>503</v>
      </c>
      <c r="J56" s="484"/>
      <c r="K56" s="484"/>
      <c r="L56" s="484"/>
      <c r="M56" s="484"/>
      <c r="N56" s="484"/>
      <c r="O56" s="484"/>
      <c r="P56" s="484"/>
      <c r="Q56" s="484"/>
      <c r="R56" s="484"/>
      <c r="S56" s="484"/>
      <c r="T56" s="317"/>
      <c r="U56" s="258"/>
    </row>
    <row r="57" spans="1:21" x14ac:dyDescent="0.35">
      <c r="A57" s="2" t="s">
        <v>1048</v>
      </c>
      <c r="B57" s="136"/>
      <c r="C57" s="2"/>
      <c r="D57" s="2"/>
      <c r="E57" s="2"/>
      <c r="F57" s="2"/>
      <c r="G57" s="2"/>
      <c r="H57" s="2"/>
      <c r="I57" s="2"/>
      <c r="J57" s="2"/>
      <c r="K57" s="2"/>
      <c r="L57" s="2"/>
      <c r="M57" s="226"/>
      <c r="N57" s="2"/>
      <c r="T57" s="229"/>
      <c r="U57" s="2"/>
    </row>
    <row r="58" spans="1:21" x14ac:dyDescent="0.35">
      <c r="A58" s="2"/>
      <c r="B58" s="136" t="s">
        <v>227</v>
      </c>
      <c r="C58" s="2"/>
      <c r="D58" s="2"/>
      <c r="E58" s="227">
        <v>630</v>
      </c>
      <c r="F58" s="2"/>
      <c r="G58" s="227">
        <v>94.58</v>
      </c>
      <c r="H58" s="2"/>
      <c r="I58"/>
      <c r="J58"/>
      <c r="K58" s="2"/>
      <c r="L58" s="2"/>
      <c r="M58" s="226"/>
      <c r="N58" s="2"/>
      <c r="O58" s="229"/>
      <c r="P58" s="229"/>
      <c r="Q58" s="229"/>
      <c r="R58" s="229"/>
      <c r="S58" s="229"/>
      <c r="T58" s="229"/>
      <c r="U58" s="2"/>
    </row>
    <row r="59" spans="1:21" x14ac:dyDescent="0.35">
      <c r="A59" s="2"/>
      <c r="B59" s="136" t="s">
        <v>502</v>
      </c>
      <c r="C59" s="2"/>
      <c r="D59" s="2"/>
      <c r="E59" s="227"/>
      <c r="F59" s="2"/>
      <c r="G59" s="227"/>
      <c r="H59" s="2"/>
      <c r="I59"/>
      <c r="J59"/>
      <c r="K59" s="226">
        <v>1.9228000000000001</v>
      </c>
      <c r="L59" s="2"/>
      <c r="M59" s="237">
        <f>M17*10</f>
        <v>8.9016999999999999</v>
      </c>
      <c r="N59" s="2"/>
      <c r="O59" s="226">
        <f>O50*10</f>
        <v>1.0699999999999999E-2</v>
      </c>
      <c r="P59" s="230"/>
      <c r="Q59" s="226">
        <f>Q50*10</f>
        <v>1.32E-2</v>
      </c>
      <c r="R59" s="230"/>
      <c r="S59" s="226">
        <f>S50*10</f>
        <v>0</v>
      </c>
      <c r="T59" s="228"/>
      <c r="U59" s="226">
        <f>SUM(K59:S59)</f>
        <v>10.8484</v>
      </c>
    </row>
    <row r="60" spans="1:21" x14ac:dyDescent="0.35">
      <c r="A60" s="2"/>
      <c r="B60" s="2"/>
      <c r="C60" s="2"/>
      <c r="D60" s="2"/>
      <c r="E60" s="227"/>
      <c r="F60" s="2"/>
      <c r="G60" s="2"/>
      <c r="H60" s="2"/>
      <c r="I60" s="2"/>
      <c r="J60" s="2"/>
      <c r="K60" s="2"/>
      <c r="L60" s="2"/>
      <c r="M60" s="226"/>
      <c r="N60" s="2"/>
      <c r="O60" s="229"/>
      <c r="P60" s="229"/>
      <c r="Q60" s="229"/>
      <c r="R60" s="229"/>
      <c r="S60" s="229"/>
      <c r="T60" s="229"/>
      <c r="U60" s="2"/>
    </row>
    <row r="61" spans="1:21" x14ac:dyDescent="0.35">
      <c r="A61" s="2"/>
      <c r="B61" s="2"/>
      <c r="C61" s="2"/>
      <c r="D61" s="2"/>
      <c r="E61" s="227"/>
      <c r="F61" s="2"/>
      <c r="G61" s="2"/>
      <c r="H61" s="2"/>
      <c r="I61" s="2"/>
      <c r="J61" s="2"/>
      <c r="K61" s="2"/>
      <c r="L61" s="2"/>
      <c r="M61" s="226"/>
      <c r="N61" s="2"/>
      <c r="O61" s="229"/>
      <c r="P61" s="229"/>
      <c r="Q61" s="229"/>
      <c r="R61" s="229"/>
      <c r="S61" s="229"/>
      <c r="T61" s="229"/>
      <c r="U61" s="2"/>
    </row>
    <row r="62" spans="1:21" x14ac:dyDescent="0.35">
      <c r="A62" s="2" t="s">
        <v>601</v>
      </c>
      <c r="B62" s="136"/>
      <c r="C62" s="2"/>
      <c r="D62" s="2"/>
      <c r="E62" s="2"/>
      <c r="F62" s="2"/>
      <c r="G62" s="2"/>
      <c r="H62" s="2"/>
      <c r="I62" s="2"/>
      <c r="J62" s="2"/>
      <c r="K62" s="2"/>
      <c r="L62" s="2"/>
      <c r="M62" s="226"/>
      <c r="N62" s="2"/>
      <c r="T62" s="229"/>
      <c r="U62" s="2"/>
    </row>
    <row r="63" spans="1:21" x14ac:dyDescent="0.35">
      <c r="A63" s="2"/>
      <c r="B63" s="136"/>
      <c r="C63" s="2"/>
      <c r="D63" s="2"/>
      <c r="E63" s="2"/>
      <c r="F63" s="2"/>
      <c r="G63" s="2"/>
      <c r="H63" s="2"/>
      <c r="I63" s="2"/>
      <c r="J63" s="2"/>
      <c r="K63" s="2"/>
      <c r="L63" s="2"/>
      <c r="M63" s="226"/>
      <c r="N63" s="2"/>
      <c r="T63" s="229"/>
      <c r="U63" s="2"/>
    </row>
    <row r="64" spans="1:21" x14ac:dyDescent="0.35">
      <c r="A64" s="2"/>
      <c r="B64" s="136" t="s">
        <v>227</v>
      </c>
      <c r="C64" s="2"/>
      <c r="D64" s="2"/>
      <c r="E64" s="227">
        <v>335</v>
      </c>
      <c r="F64" s="2"/>
      <c r="G64" s="227">
        <f>G21</f>
        <v>6.91</v>
      </c>
      <c r="H64" s="2"/>
      <c r="J64" s="2"/>
      <c r="K64" s="2"/>
      <c r="L64" s="2"/>
      <c r="M64" s="226"/>
      <c r="N64" s="2"/>
      <c r="O64" s="229"/>
      <c r="P64" s="229"/>
      <c r="Q64" s="229"/>
      <c r="R64" s="229"/>
      <c r="S64" s="229"/>
      <c r="T64" s="229"/>
      <c r="U64" s="2"/>
    </row>
    <row r="65" spans="1:21" x14ac:dyDescent="0.35">
      <c r="A65" s="2"/>
      <c r="B65" s="136" t="s">
        <v>600</v>
      </c>
      <c r="C65" s="2"/>
      <c r="D65" s="2"/>
      <c r="E65" s="227"/>
      <c r="F65" s="2"/>
      <c r="G65" s="227"/>
      <c r="H65" s="2"/>
      <c r="I65" s="227">
        <v>7.17</v>
      </c>
      <c r="J65" s="2"/>
      <c r="K65" s="2"/>
      <c r="L65" s="2"/>
      <c r="M65" s="226"/>
      <c r="N65" s="2"/>
      <c r="O65" s="229"/>
      <c r="P65" s="229"/>
      <c r="Q65" s="229"/>
      <c r="R65" s="229"/>
      <c r="S65" s="229"/>
      <c r="T65" s="229"/>
      <c r="U65" s="2"/>
    </row>
    <row r="66" spans="1:21" x14ac:dyDescent="0.35">
      <c r="A66" s="2"/>
      <c r="B66" s="136" t="s">
        <v>502</v>
      </c>
      <c r="C66" s="2"/>
      <c r="D66" s="2"/>
      <c r="E66" s="227"/>
      <c r="F66" s="2"/>
      <c r="G66" s="227"/>
      <c r="H66" s="2"/>
      <c r="J66" s="2"/>
      <c r="K66" s="226">
        <v>0.41060000000000002</v>
      </c>
      <c r="L66" s="2"/>
      <c r="M66" s="237">
        <f>M59</f>
        <v>8.9016999999999999</v>
      </c>
      <c r="N66" s="2"/>
      <c r="O66" s="226">
        <f>O59</f>
        <v>1.0699999999999999E-2</v>
      </c>
      <c r="P66" s="230"/>
      <c r="Q66" s="226">
        <f>Q23*10</f>
        <v>2.0400000000000001E-2</v>
      </c>
      <c r="R66" s="230"/>
      <c r="S66" s="226">
        <f>S23*10</f>
        <v>0</v>
      </c>
      <c r="T66" s="228"/>
      <c r="U66" s="226">
        <f>SUM(K66:S66)</f>
        <v>9.3434000000000008</v>
      </c>
    </row>
    <row r="67" spans="1:21" x14ac:dyDescent="0.35">
      <c r="A67" s="2"/>
      <c r="B67" s="2"/>
      <c r="C67" s="2"/>
      <c r="D67" s="2"/>
      <c r="E67" s="227"/>
      <c r="F67" s="2"/>
      <c r="G67" s="2"/>
      <c r="H67" s="2"/>
      <c r="I67" s="2"/>
      <c r="J67" s="2"/>
      <c r="K67" s="2"/>
      <c r="L67" s="2"/>
      <c r="M67" s="226"/>
      <c r="N67" s="2"/>
      <c r="O67" s="229"/>
      <c r="P67" s="229"/>
      <c r="Q67" s="229"/>
      <c r="R67" s="229"/>
      <c r="S67" s="229"/>
      <c r="T67" s="229"/>
      <c r="U67" s="2"/>
    </row>
    <row r="68" spans="1:21" x14ac:dyDescent="0.35">
      <c r="A68" s="2"/>
      <c r="B68" s="2"/>
      <c r="C68" s="2"/>
      <c r="D68" s="2"/>
      <c r="E68" s="227"/>
      <c r="F68" s="2"/>
      <c r="G68" s="2"/>
      <c r="H68" s="2"/>
      <c r="I68" s="2"/>
      <c r="J68" s="2"/>
      <c r="K68" s="2"/>
      <c r="L68" s="2"/>
      <c r="M68" s="226"/>
      <c r="N68" s="2"/>
      <c r="O68" s="229"/>
      <c r="P68" s="229"/>
      <c r="Q68" s="229"/>
      <c r="R68" s="229"/>
      <c r="S68" s="229"/>
      <c r="T68" s="229"/>
      <c r="U68" s="2"/>
    </row>
    <row r="69" spans="1:21" x14ac:dyDescent="0.35">
      <c r="A69" s="2" t="s">
        <v>602</v>
      </c>
      <c r="B69" s="136"/>
      <c r="C69" s="2"/>
      <c r="D69" s="2"/>
      <c r="E69" s="2"/>
      <c r="F69" s="2"/>
      <c r="G69" s="2"/>
      <c r="H69" s="2"/>
      <c r="I69" s="2"/>
      <c r="J69" s="2"/>
      <c r="K69" s="2"/>
      <c r="L69" s="2"/>
      <c r="M69" s="226"/>
      <c r="N69" s="2"/>
      <c r="T69" s="229"/>
      <c r="U69" s="2"/>
    </row>
    <row r="70" spans="1:21" x14ac:dyDescent="0.35">
      <c r="A70" s="2"/>
      <c r="B70" s="136"/>
      <c r="C70" s="2"/>
      <c r="D70" s="2"/>
      <c r="E70" s="2"/>
      <c r="F70" s="2"/>
      <c r="G70" s="2"/>
      <c r="H70" s="2"/>
      <c r="I70" s="2"/>
      <c r="J70" s="2"/>
      <c r="K70" s="2"/>
      <c r="L70" s="2"/>
      <c r="M70" s="226"/>
      <c r="N70" s="2"/>
      <c r="T70" s="229"/>
      <c r="U70" s="2"/>
    </row>
    <row r="71" spans="1:21" x14ac:dyDescent="0.35">
      <c r="A71" s="2"/>
      <c r="B71" s="136" t="s">
        <v>227</v>
      </c>
      <c r="C71" s="2"/>
      <c r="D71" s="2"/>
      <c r="E71" s="227">
        <v>750</v>
      </c>
      <c r="F71" s="2"/>
      <c r="G71" s="227">
        <f>G21</f>
        <v>6.91</v>
      </c>
      <c r="H71" s="2"/>
      <c r="I71" s="2"/>
      <c r="J71" s="2"/>
      <c r="K71" s="2"/>
      <c r="L71" s="2"/>
      <c r="M71" s="226"/>
      <c r="N71" s="2"/>
      <c r="O71" s="229"/>
      <c r="P71" s="229"/>
      <c r="Q71" s="229"/>
      <c r="R71" s="229"/>
      <c r="S71" s="229"/>
      <c r="T71" s="229"/>
      <c r="U71" s="2"/>
    </row>
    <row r="72" spans="1:21" x14ac:dyDescent="0.35">
      <c r="A72" s="2"/>
      <c r="B72" s="136" t="s">
        <v>600</v>
      </c>
      <c r="C72" s="2"/>
      <c r="D72" s="2"/>
      <c r="E72" s="227"/>
      <c r="F72" s="2"/>
      <c r="G72" s="227"/>
      <c r="H72" s="2"/>
      <c r="I72" s="227">
        <v>10.89</v>
      </c>
      <c r="J72" s="2"/>
      <c r="K72" s="2"/>
      <c r="L72" s="2"/>
      <c r="M72" s="226"/>
      <c r="N72" s="2"/>
      <c r="O72" s="229"/>
      <c r="P72" s="229"/>
      <c r="Q72" s="229"/>
      <c r="R72" s="229"/>
      <c r="S72" s="229"/>
      <c r="T72" s="229"/>
      <c r="U72" s="2"/>
    </row>
    <row r="73" spans="1:21" x14ac:dyDescent="0.35">
      <c r="A73" s="2"/>
      <c r="B73" s="136" t="s">
        <v>502</v>
      </c>
      <c r="C73" s="2"/>
      <c r="D73" s="2"/>
      <c r="E73" s="227"/>
      <c r="F73" s="2"/>
      <c r="G73" s="227"/>
      <c r="H73" s="2"/>
      <c r="J73" s="2"/>
      <c r="K73" s="226">
        <v>0.31</v>
      </c>
      <c r="L73" s="2"/>
      <c r="M73" s="237">
        <f>M59</f>
        <v>8.9016999999999999</v>
      </c>
      <c r="N73" s="2"/>
      <c r="O73" s="226">
        <f>O59</f>
        <v>1.0699999999999999E-2</v>
      </c>
      <c r="P73" s="230"/>
      <c r="Q73" s="226">
        <f>Q66</f>
        <v>2.0400000000000001E-2</v>
      </c>
      <c r="R73" s="230"/>
      <c r="S73" s="226">
        <f>S66</f>
        <v>0</v>
      </c>
      <c r="T73" s="228"/>
      <c r="U73" s="226">
        <f>SUM(K73:S73)</f>
        <v>9.2428000000000008</v>
      </c>
    </row>
    <row r="74" spans="1:21" x14ac:dyDescent="0.35">
      <c r="A74" s="2"/>
      <c r="B74" s="2"/>
      <c r="C74" s="2"/>
      <c r="D74" s="2"/>
      <c r="E74" s="227"/>
      <c r="F74" s="2"/>
      <c r="G74" s="2"/>
      <c r="H74" s="2"/>
      <c r="I74" s="2"/>
      <c r="J74" s="2"/>
      <c r="K74" s="2"/>
      <c r="L74" s="2"/>
      <c r="M74" s="226"/>
      <c r="N74" s="2"/>
      <c r="O74" s="229"/>
      <c r="P74" s="229"/>
      <c r="Q74" s="229"/>
      <c r="R74" s="229"/>
      <c r="S74" s="229"/>
      <c r="T74" s="229"/>
      <c r="U74" s="2"/>
    </row>
    <row r="75" spans="1:21" x14ac:dyDescent="0.35">
      <c r="A75" s="2"/>
      <c r="B75" s="2"/>
      <c r="C75" s="2"/>
      <c r="D75" s="2"/>
      <c r="E75" s="227"/>
      <c r="F75" s="2"/>
      <c r="G75" s="2"/>
      <c r="H75" s="2"/>
      <c r="I75" s="2"/>
      <c r="J75" s="2"/>
      <c r="K75" s="2"/>
      <c r="L75" s="2"/>
      <c r="M75" s="226"/>
      <c r="N75" s="2"/>
      <c r="O75" s="229"/>
      <c r="P75" s="229"/>
      <c r="Q75" s="229"/>
      <c r="R75" s="229"/>
      <c r="S75" s="229"/>
      <c r="T75" s="229"/>
      <c r="U75" s="2"/>
    </row>
    <row r="76" spans="1:21" x14ac:dyDescent="0.35">
      <c r="A76" s="2"/>
      <c r="B76" s="2"/>
      <c r="C76" s="2"/>
      <c r="D76" s="2"/>
      <c r="E76" s="227"/>
      <c r="F76" s="2"/>
      <c r="G76" s="2"/>
      <c r="H76" s="2"/>
      <c r="I76" s="484" t="s">
        <v>128</v>
      </c>
      <c r="J76" s="484"/>
      <c r="K76" s="484"/>
      <c r="L76" s="484"/>
      <c r="M76" s="484"/>
      <c r="N76" s="484"/>
      <c r="O76" s="484"/>
      <c r="P76" s="484"/>
      <c r="Q76" s="484"/>
      <c r="R76" s="484"/>
      <c r="S76" s="484"/>
      <c r="T76" s="229"/>
      <c r="U76" s="2"/>
    </row>
    <row r="77" spans="1:21" x14ac:dyDescent="0.35">
      <c r="A77" s="2"/>
      <c r="B77" s="2"/>
      <c r="C77" s="2"/>
      <c r="D77" s="2"/>
      <c r="E77" s="227"/>
      <c r="F77" s="2"/>
      <c r="G77" s="329" t="s">
        <v>454</v>
      </c>
      <c r="H77" s="2"/>
      <c r="I77" s="2"/>
      <c r="J77" s="2"/>
      <c r="K77" s="2"/>
      <c r="L77" s="2"/>
      <c r="M77" s="226"/>
      <c r="N77" s="2"/>
      <c r="O77" s="2"/>
      <c r="P77" s="2"/>
      <c r="Q77" s="329" t="s">
        <v>454</v>
      </c>
      <c r="R77" s="2"/>
      <c r="S77" s="329"/>
      <c r="T77" s="229"/>
      <c r="U77" s="2"/>
    </row>
    <row r="78" spans="1:21" x14ac:dyDescent="0.35">
      <c r="A78" s="2"/>
      <c r="B78" s="2"/>
      <c r="C78" s="2"/>
      <c r="D78" s="2"/>
      <c r="E78" s="329" t="s">
        <v>228</v>
      </c>
      <c r="F78" s="2"/>
      <c r="G78" s="718" t="s">
        <v>129</v>
      </c>
      <c r="H78" s="2"/>
      <c r="I78" s="329" t="s">
        <v>157</v>
      </c>
      <c r="J78" s="2"/>
      <c r="K78" s="136" t="s">
        <v>129</v>
      </c>
      <c r="L78" s="2"/>
      <c r="M78" s="329" t="s">
        <v>130</v>
      </c>
      <c r="N78" s="2"/>
      <c r="O78" s="329" t="s">
        <v>131</v>
      </c>
      <c r="P78" s="329"/>
      <c r="Q78" s="329" t="s">
        <v>594</v>
      </c>
      <c r="R78" s="329"/>
      <c r="S78" s="329" t="s">
        <v>1036</v>
      </c>
      <c r="T78" s="329"/>
      <c r="U78" s="2"/>
    </row>
    <row r="79" spans="1:21" x14ac:dyDescent="0.35">
      <c r="A79" s="2"/>
      <c r="B79" s="2"/>
      <c r="C79" s="2"/>
      <c r="D79" s="2"/>
      <c r="E79" s="329" t="s">
        <v>132</v>
      </c>
      <c r="F79" s="2"/>
      <c r="G79" s="329" t="s">
        <v>132</v>
      </c>
      <c r="H79" s="2"/>
      <c r="I79" s="329" t="s">
        <v>132</v>
      </c>
      <c r="J79" s="2"/>
      <c r="K79" s="329" t="s">
        <v>133</v>
      </c>
      <c r="L79" s="2"/>
      <c r="M79" s="329" t="s">
        <v>134</v>
      </c>
      <c r="N79" s="2"/>
      <c r="O79" s="329" t="s">
        <v>135</v>
      </c>
      <c r="P79" s="329"/>
      <c r="Q79" s="329" t="s">
        <v>593</v>
      </c>
      <c r="R79" s="329"/>
      <c r="S79" s="329" t="s">
        <v>1037</v>
      </c>
      <c r="T79" s="329"/>
      <c r="U79" s="2"/>
    </row>
    <row r="80" spans="1:21" x14ac:dyDescent="0.35">
      <c r="A80" s="2"/>
      <c r="B80" s="2"/>
      <c r="C80" s="2"/>
      <c r="D80" s="2"/>
      <c r="E80" s="134" t="s">
        <v>136</v>
      </c>
      <c r="F80" s="2"/>
      <c r="G80" s="137" t="s">
        <v>136</v>
      </c>
      <c r="H80" s="2"/>
      <c r="I80" s="137" t="s">
        <v>139</v>
      </c>
      <c r="J80" s="2"/>
      <c r="K80" s="135" t="s">
        <v>137</v>
      </c>
      <c r="L80" s="2"/>
      <c r="M80" s="135" t="s">
        <v>138</v>
      </c>
      <c r="N80" s="2"/>
      <c r="O80" s="137" t="s">
        <v>139</v>
      </c>
      <c r="P80" s="716"/>
      <c r="Q80" s="137" t="s">
        <v>139</v>
      </c>
      <c r="R80" s="716"/>
      <c r="S80" s="137" t="s">
        <v>1038</v>
      </c>
      <c r="T80" s="716"/>
      <c r="U80" s="135" t="s">
        <v>140</v>
      </c>
    </row>
    <row r="81" spans="1:21" x14ac:dyDescent="0.35">
      <c r="A81" s="2" t="s">
        <v>225</v>
      </c>
      <c r="B81" s="2"/>
      <c r="C81" s="2"/>
      <c r="D81" s="2"/>
      <c r="E81" s="227"/>
      <c r="F81" s="2"/>
      <c r="G81" s="2"/>
      <c r="H81" s="2"/>
      <c r="I81" s="2"/>
      <c r="J81" s="2"/>
      <c r="K81" s="2"/>
      <c r="L81" s="2"/>
      <c r="M81" s="226"/>
      <c r="N81" s="2"/>
      <c r="O81" s="229"/>
      <c r="P81" s="229"/>
      <c r="Q81" s="229"/>
      <c r="R81" s="229"/>
      <c r="S81" s="229"/>
      <c r="T81" s="229"/>
      <c r="U81" s="2"/>
    </row>
    <row r="82" spans="1:21" x14ac:dyDescent="0.35">
      <c r="A82" s="2"/>
      <c r="B82" s="2"/>
      <c r="C82" s="2"/>
      <c r="D82" s="2" t="s">
        <v>226</v>
      </c>
      <c r="E82" s="227"/>
      <c r="F82" s="2"/>
      <c r="G82" s="2"/>
      <c r="H82" s="2"/>
      <c r="I82" s="2"/>
      <c r="J82" s="2"/>
      <c r="K82" s="2"/>
      <c r="L82" s="2"/>
      <c r="M82" s="226"/>
      <c r="N82" s="2"/>
      <c r="O82" s="229"/>
      <c r="P82" s="229"/>
      <c r="Q82" s="229"/>
      <c r="R82" s="229"/>
      <c r="S82" s="229"/>
      <c r="T82" s="229"/>
      <c r="U82" s="2"/>
    </row>
    <row r="83" spans="1:21" x14ac:dyDescent="0.35">
      <c r="A83" s="2"/>
      <c r="B83" s="136" t="s">
        <v>227</v>
      </c>
      <c r="C83" s="2"/>
      <c r="D83" s="2"/>
      <c r="E83" s="227">
        <v>165</v>
      </c>
      <c r="F83" s="2"/>
      <c r="G83" s="227">
        <f>G39</f>
        <v>94.58</v>
      </c>
      <c r="H83" s="2"/>
      <c r="I83" s="2"/>
      <c r="J83" s="2"/>
      <c r="K83" s="2"/>
      <c r="L83" s="2"/>
      <c r="M83" s="226"/>
      <c r="N83" s="2"/>
      <c r="O83" s="229"/>
      <c r="P83" s="229"/>
      <c r="Q83" s="229"/>
      <c r="R83" s="229"/>
      <c r="S83" s="229"/>
      <c r="T83" s="229"/>
      <c r="U83" s="2"/>
    </row>
    <row r="84" spans="1:21" x14ac:dyDescent="0.35">
      <c r="A84" s="2"/>
      <c r="B84" s="136" t="s">
        <v>600</v>
      </c>
      <c r="C84" s="2"/>
      <c r="D84" s="2"/>
      <c r="E84" s="227"/>
      <c r="F84" s="2"/>
      <c r="G84" s="227"/>
      <c r="H84" s="2"/>
      <c r="I84" s="226">
        <v>1.089</v>
      </c>
      <c r="J84" s="2"/>
      <c r="K84" s="2"/>
      <c r="L84" s="2"/>
      <c r="M84" s="226"/>
      <c r="N84" s="2"/>
      <c r="O84" s="229"/>
      <c r="P84" s="229"/>
      <c r="Q84" s="229"/>
      <c r="R84" s="229"/>
      <c r="S84" s="229"/>
      <c r="T84" s="229"/>
      <c r="U84" s="2"/>
    </row>
    <row r="85" spans="1:21" x14ac:dyDescent="0.35">
      <c r="A85" s="2"/>
      <c r="B85" s="136" t="s">
        <v>4</v>
      </c>
      <c r="C85" s="2"/>
      <c r="D85" s="2"/>
      <c r="E85" s="227"/>
      <c r="F85" s="2"/>
      <c r="G85" s="227"/>
      <c r="H85" s="2"/>
      <c r="J85" s="2"/>
      <c r="K85" s="226">
        <v>3.1E-2</v>
      </c>
      <c r="L85" s="2"/>
      <c r="M85" s="226">
        <f>$M$17</f>
        <v>0.89017000000000002</v>
      </c>
      <c r="N85" s="2"/>
      <c r="O85" s="226"/>
      <c r="P85" s="230"/>
      <c r="Q85" s="226">
        <f>Q41</f>
        <v>1.32E-3</v>
      </c>
      <c r="R85" s="230"/>
      <c r="S85" s="226">
        <f>S41</f>
        <v>0</v>
      </c>
      <c r="T85" s="228"/>
      <c r="U85" s="226">
        <f>SUM(K85:S85)</f>
        <v>0.92249000000000003</v>
      </c>
    </row>
    <row r="86" spans="1:21" x14ac:dyDescent="0.35">
      <c r="A86" s="2"/>
      <c r="B86" s="136"/>
      <c r="C86" s="2"/>
      <c r="D86" s="2"/>
      <c r="E86" s="227"/>
      <c r="F86" s="2"/>
      <c r="G86" s="2"/>
      <c r="H86" s="2"/>
      <c r="I86" s="2"/>
      <c r="J86" s="2"/>
      <c r="K86" s="226"/>
      <c r="L86" s="2"/>
      <c r="M86" s="226"/>
      <c r="N86" s="2"/>
      <c r="O86" s="230"/>
      <c r="P86" s="230"/>
      <c r="Q86" s="230"/>
      <c r="R86" s="230"/>
      <c r="S86" s="230"/>
      <c r="T86" s="228"/>
      <c r="U86" s="226"/>
    </row>
    <row r="87" spans="1:21" x14ac:dyDescent="0.35">
      <c r="A87" s="2"/>
      <c r="B87" s="136"/>
      <c r="C87" s="2"/>
      <c r="D87" s="2"/>
      <c r="E87" s="227"/>
      <c r="F87" s="2"/>
      <c r="G87" s="2"/>
      <c r="H87" s="2"/>
      <c r="I87" s="2"/>
      <c r="J87" s="2"/>
      <c r="K87" s="226"/>
      <c r="L87" s="2"/>
      <c r="M87" s="226"/>
      <c r="N87" s="2"/>
      <c r="O87" s="230"/>
      <c r="P87" s="230"/>
      <c r="Q87" s="230"/>
      <c r="R87" s="230"/>
      <c r="S87" s="230"/>
      <c r="T87" s="228"/>
      <c r="U87" s="226"/>
    </row>
    <row r="88" spans="1:21" x14ac:dyDescent="0.35">
      <c r="A88" s="2" t="s">
        <v>225</v>
      </c>
      <c r="B88" s="2"/>
      <c r="C88" s="2"/>
      <c r="D88" s="2"/>
      <c r="E88" s="227"/>
      <c r="F88" s="2"/>
      <c r="G88" s="2"/>
      <c r="H88" s="2"/>
      <c r="I88" s="2"/>
      <c r="J88" s="2"/>
      <c r="K88" s="2"/>
      <c r="L88" s="2"/>
      <c r="M88" s="226"/>
      <c r="N88" s="2"/>
      <c r="O88" s="229"/>
      <c r="P88" s="229"/>
      <c r="Q88" s="229"/>
      <c r="R88" s="229"/>
      <c r="S88" s="229"/>
      <c r="T88" s="229"/>
      <c r="U88" s="2"/>
    </row>
    <row r="89" spans="1:21" x14ac:dyDescent="0.35">
      <c r="A89" s="2"/>
      <c r="B89" s="2"/>
      <c r="C89" s="2"/>
      <c r="D89" s="2" t="s">
        <v>151</v>
      </c>
      <c r="E89" s="227"/>
      <c r="F89" s="2"/>
      <c r="G89" s="2"/>
      <c r="H89" s="2"/>
      <c r="I89" s="2"/>
      <c r="J89" s="2"/>
      <c r="K89" s="2"/>
      <c r="L89" s="2"/>
      <c r="M89" s="226"/>
      <c r="N89" s="2"/>
      <c r="O89" s="229"/>
      <c r="P89" s="229"/>
      <c r="Q89" s="229"/>
      <c r="R89" s="229"/>
      <c r="S89" s="229"/>
      <c r="T89" s="229"/>
      <c r="U89" s="2"/>
    </row>
    <row r="90" spans="1:21" x14ac:dyDescent="0.35">
      <c r="A90" s="2"/>
      <c r="B90" s="136" t="s">
        <v>227</v>
      </c>
      <c r="C90" s="2"/>
      <c r="D90" s="2"/>
      <c r="E90" s="227">
        <v>750</v>
      </c>
      <c r="F90" s="2"/>
      <c r="G90" s="227">
        <f>G83</f>
        <v>94.58</v>
      </c>
      <c r="H90" s="2"/>
      <c r="I90" s="2"/>
      <c r="J90" s="2"/>
      <c r="K90" s="2"/>
      <c r="L90" s="2"/>
      <c r="M90" s="226"/>
      <c r="N90" s="2"/>
      <c r="O90" s="229"/>
      <c r="P90" s="229"/>
      <c r="Q90" s="229"/>
      <c r="R90" s="229"/>
      <c r="S90" s="229"/>
      <c r="T90" s="229"/>
      <c r="U90" s="2"/>
    </row>
    <row r="91" spans="1:21" x14ac:dyDescent="0.35">
      <c r="A91" s="2"/>
      <c r="B91" s="136" t="s">
        <v>600</v>
      </c>
      <c r="C91" s="2"/>
      <c r="D91" s="2"/>
      <c r="E91" s="227"/>
      <c r="F91" s="2"/>
      <c r="G91" s="227"/>
      <c r="H91" s="2"/>
      <c r="I91" s="226">
        <f>I84</f>
        <v>1.089</v>
      </c>
      <c r="J91" s="2"/>
      <c r="K91" s="2"/>
      <c r="L91" s="2"/>
      <c r="M91" s="226"/>
      <c r="N91" s="2"/>
      <c r="O91" s="229"/>
      <c r="P91" s="229"/>
      <c r="Q91" s="229"/>
      <c r="R91" s="229"/>
      <c r="S91" s="229"/>
      <c r="T91" s="229"/>
      <c r="U91" s="2"/>
    </row>
    <row r="92" spans="1:21" x14ac:dyDescent="0.35">
      <c r="A92" s="2"/>
      <c r="B92" s="136" t="s">
        <v>4</v>
      </c>
      <c r="C92" s="2"/>
      <c r="D92" s="2"/>
      <c r="E92" s="227"/>
      <c r="F92" s="2"/>
      <c r="G92" s="2"/>
      <c r="H92" s="2"/>
      <c r="J92" s="2"/>
      <c r="K92" s="226">
        <f>+K85</f>
        <v>3.1E-2</v>
      </c>
      <c r="L92" s="2"/>
      <c r="M92" s="226">
        <f>$M$17</f>
        <v>0.89017000000000002</v>
      </c>
      <c r="N92" s="2"/>
      <c r="O92" s="226"/>
      <c r="P92" s="230"/>
      <c r="Q92" s="226">
        <f>Q85</f>
        <v>1.32E-3</v>
      </c>
      <c r="R92" s="230"/>
      <c r="S92" s="226">
        <f>S85</f>
        <v>0</v>
      </c>
      <c r="T92" s="228"/>
      <c r="U92" s="226">
        <f>SUM(K92:S92)</f>
        <v>0.92249000000000003</v>
      </c>
    </row>
    <row r="93" spans="1:21" x14ac:dyDescent="0.35">
      <c r="A93" s="2"/>
      <c r="B93" s="2"/>
      <c r="C93" s="2"/>
      <c r="D93" s="2"/>
      <c r="E93" s="2"/>
      <c r="F93" s="2"/>
      <c r="G93" s="2"/>
      <c r="H93" s="2"/>
      <c r="I93" s="2"/>
      <c r="J93" s="2"/>
      <c r="K93" s="2"/>
      <c r="L93" s="2"/>
      <c r="M93" s="226"/>
      <c r="N93" s="2"/>
      <c r="O93" s="229"/>
      <c r="P93" s="229"/>
      <c r="Q93" s="229"/>
      <c r="R93" s="229"/>
      <c r="S93" s="229"/>
      <c r="T93" s="229"/>
      <c r="U93" s="2"/>
    </row>
    <row r="94" spans="1:21" x14ac:dyDescent="0.35">
      <c r="A94" s="2"/>
      <c r="B94" s="2"/>
      <c r="C94" s="2"/>
      <c r="D94" s="2"/>
      <c r="E94" s="2"/>
      <c r="F94" s="2"/>
      <c r="G94" s="2"/>
      <c r="H94" s="2"/>
      <c r="I94" s="2"/>
      <c r="J94" s="2"/>
      <c r="K94" s="2"/>
      <c r="L94" s="2"/>
      <c r="M94" s="2"/>
      <c r="N94" s="2"/>
      <c r="O94" s="229"/>
      <c r="P94" s="229"/>
      <c r="Q94" s="229"/>
      <c r="R94" s="229"/>
      <c r="S94" s="229"/>
      <c r="T94" s="229"/>
      <c r="U94" s="2"/>
    </row>
    <row r="95" spans="1:21" x14ac:dyDescent="0.35">
      <c r="A95" s="131" t="s">
        <v>501</v>
      </c>
      <c r="B95" s="132"/>
      <c r="C95" s="132"/>
      <c r="D95" s="132"/>
      <c r="E95" s="132"/>
      <c r="F95" s="132"/>
      <c r="G95" s="132"/>
      <c r="H95" s="132"/>
      <c r="I95" s="132"/>
      <c r="J95" s="132"/>
      <c r="K95" s="132"/>
      <c r="L95" s="132"/>
      <c r="M95" s="132"/>
      <c r="N95" s="132"/>
      <c r="O95" s="231"/>
      <c r="P95" s="231"/>
      <c r="Q95" s="231"/>
      <c r="R95" s="231"/>
      <c r="S95" s="231"/>
      <c r="T95" s="231"/>
      <c r="U95" s="132"/>
    </row>
    <row r="96" spans="1:21" x14ac:dyDescent="0.35">
      <c r="A96" s="232"/>
      <c r="B96" s="2"/>
      <c r="C96" s="2"/>
      <c r="D96" s="2"/>
      <c r="E96" s="2"/>
      <c r="F96" s="2"/>
      <c r="G96" s="2"/>
      <c r="H96" s="2"/>
      <c r="I96" s="2"/>
      <c r="J96" s="2"/>
      <c r="K96" s="2"/>
      <c r="L96" s="2"/>
      <c r="M96" s="2"/>
      <c r="N96" s="2"/>
      <c r="O96" s="229"/>
      <c r="P96" s="229"/>
      <c r="Q96" s="229"/>
      <c r="R96" s="229"/>
      <c r="S96" s="229"/>
      <c r="T96" s="229"/>
      <c r="U96" s="2"/>
    </row>
    <row r="97" spans="1:21" x14ac:dyDescent="0.35">
      <c r="A97" s="51" t="s">
        <v>802</v>
      </c>
      <c r="B97" s="132"/>
      <c r="C97" s="132"/>
      <c r="D97" s="132"/>
      <c r="E97" s="132"/>
      <c r="F97" s="132"/>
      <c r="G97" s="132"/>
      <c r="H97" s="132"/>
      <c r="I97" s="132"/>
      <c r="J97" s="132"/>
      <c r="K97" s="132"/>
      <c r="L97" s="132"/>
      <c r="M97" s="132"/>
      <c r="N97" s="132"/>
      <c r="O97" s="231"/>
      <c r="P97" s="231"/>
      <c r="Q97" s="231"/>
      <c r="R97" s="231"/>
      <c r="S97" s="231"/>
      <c r="T97" s="231"/>
      <c r="U97" s="132"/>
    </row>
    <row r="98" spans="1:21" x14ac:dyDescent="0.35">
      <c r="A98" s="51" t="str">
        <f>A4</f>
        <v>RENDERED FROM</v>
      </c>
      <c r="B98" s="132"/>
      <c r="C98" s="132"/>
      <c r="D98" s="132"/>
      <c r="E98" s="132"/>
      <c r="F98" s="132"/>
      <c r="G98" s="132"/>
      <c r="H98" s="132"/>
      <c r="I98" s="132"/>
      <c r="J98" s="132"/>
      <c r="K98" s="132"/>
      <c r="L98" s="132"/>
      <c r="M98" s="132"/>
      <c r="N98" s="132"/>
      <c r="O98" s="231"/>
      <c r="P98" s="231"/>
      <c r="Q98" s="231"/>
      <c r="R98" s="231"/>
      <c r="S98" s="231"/>
      <c r="T98" s="231"/>
      <c r="U98" s="132"/>
    </row>
    <row r="99" spans="1:21" x14ac:dyDescent="0.35">
      <c r="A99" s="51" t="str">
        <f>A5</f>
        <v>August 1, 2022 through October 31, 2022</v>
      </c>
      <c r="B99" s="132"/>
      <c r="C99" s="132"/>
      <c r="D99" s="132"/>
      <c r="E99" s="132"/>
      <c r="F99" s="132"/>
      <c r="G99" s="132"/>
      <c r="H99" s="132"/>
      <c r="I99" s="132"/>
      <c r="J99" s="132"/>
      <c r="K99" s="132"/>
      <c r="L99" s="132"/>
      <c r="M99" s="132"/>
      <c r="N99" s="132"/>
      <c r="O99" s="231"/>
      <c r="P99" s="231"/>
      <c r="Q99" s="231"/>
      <c r="R99" s="231"/>
      <c r="S99" s="231"/>
      <c r="T99" s="231"/>
      <c r="U99" s="132"/>
    </row>
    <row r="100" spans="1:21" x14ac:dyDescent="0.35">
      <c r="A100" s="2"/>
      <c r="B100" s="2"/>
      <c r="C100" s="2"/>
      <c r="D100" s="2"/>
      <c r="E100" s="2"/>
      <c r="F100" s="2"/>
      <c r="G100" s="2"/>
      <c r="H100" s="2"/>
      <c r="I100" s="2"/>
      <c r="J100" s="2"/>
      <c r="K100" s="2"/>
      <c r="L100" s="2"/>
      <c r="M100" s="2"/>
      <c r="N100" s="2"/>
      <c r="O100" s="229"/>
      <c r="P100" s="229"/>
      <c r="Q100" s="229"/>
      <c r="R100" s="229"/>
      <c r="S100" s="229"/>
      <c r="T100" s="229"/>
      <c r="U100" s="2"/>
    </row>
    <row r="101" spans="1:21" x14ac:dyDescent="0.35">
      <c r="A101" s="2"/>
      <c r="B101" s="2"/>
      <c r="C101" s="2"/>
      <c r="D101" s="2"/>
      <c r="E101" s="2"/>
      <c r="F101" s="2"/>
      <c r="G101" s="2"/>
      <c r="H101" s="2"/>
      <c r="I101" s="2"/>
      <c r="J101" s="2"/>
      <c r="K101" s="2"/>
      <c r="L101" s="2"/>
      <c r="M101" s="2"/>
      <c r="N101" s="2"/>
      <c r="O101" s="229"/>
      <c r="P101" s="229"/>
      <c r="Q101" s="229"/>
      <c r="R101" s="229"/>
      <c r="S101" s="229"/>
      <c r="T101" s="229"/>
      <c r="U101" s="2"/>
    </row>
    <row r="102" spans="1:21" x14ac:dyDescent="0.35">
      <c r="A102" s="2"/>
      <c r="B102" s="2"/>
      <c r="C102" s="2"/>
      <c r="D102" s="2"/>
      <c r="E102" s="2"/>
      <c r="F102" s="2"/>
      <c r="G102" s="2"/>
      <c r="H102" s="2"/>
      <c r="I102" s="2"/>
      <c r="J102" s="2"/>
      <c r="L102" s="486"/>
      <c r="M102" s="486" t="s">
        <v>153</v>
      </c>
      <c r="N102" s="486"/>
      <c r="O102" s="487"/>
      <c r="P102" s="487"/>
      <c r="Q102" s="487"/>
      <c r="R102" s="487"/>
      <c r="S102" s="487"/>
      <c r="T102" s="233"/>
      <c r="U102" s="2"/>
    </row>
    <row r="103" spans="1:21" x14ac:dyDescent="0.35">
      <c r="A103" s="2"/>
      <c r="B103" s="2"/>
      <c r="C103" s="2"/>
      <c r="D103" s="2"/>
      <c r="E103" s="2"/>
      <c r="F103" s="2"/>
      <c r="G103" s="2"/>
      <c r="H103" s="2"/>
      <c r="I103" s="2"/>
      <c r="J103" s="2"/>
      <c r="K103" s="2"/>
      <c r="L103" s="2"/>
      <c r="M103" s="2"/>
      <c r="N103" s="2"/>
      <c r="O103" s="229"/>
      <c r="P103" s="229"/>
      <c r="Q103" s="229"/>
      <c r="R103" s="229"/>
      <c r="S103" s="229"/>
      <c r="T103" s="229"/>
      <c r="U103" s="2"/>
    </row>
    <row r="104" spans="1:21" x14ac:dyDescent="0.35">
      <c r="A104" s="2"/>
      <c r="B104" s="2"/>
      <c r="C104" s="2"/>
      <c r="D104" s="2"/>
      <c r="E104" s="2"/>
      <c r="F104" s="2"/>
      <c r="G104" s="258"/>
      <c r="H104" s="2"/>
      <c r="I104" s="2"/>
      <c r="J104" s="2"/>
      <c r="K104" s="2"/>
      <c r="L104" s="2"/>
      <c r="M104" s="2"/>
      <c r="N104" s="2"/>
      <c r="O104" s="258"/>
      <c r="P104" s="258"/>
      <c r="Q104" s="258"/>
      <c r="R104" s="258"/>
      <c r="S104" s="258"/>
      <c r="T104" s="229"/>
      <c r="U104" s="2"/>
    </row>
    <row r="105" spans="1:21" x14ac:dyDescent="0.35">
      <c r="A105" s="2"/>
      <c r="B105" s="2"/>
      <c r="C105" s="2"/>
      <c r="D105" s="2"/>
      <c r="E105" s="2"/>
      <c r="F105" s="2"/>
      <c r="G105" s="258"/>
      <c r="H105" s="258"/>
      <c r="I105" s="258"/>
      <c r="J105" s="258"/>
      <c r="K105" s="258"/>
      <c r="L105" s="2"/>
      <c r="M105" s="329" t="s">
        <v>154</v>
      </c>
      <c r="N105" s="2"/>
      <c r="O105" s="258"/>
      <c r="P105" s="258"/>
      <c r="Q105" s="258"/>
      <c r="R105" s="258"/>
      <c r="S105" s="258"/>
      <c r="T105" s="229"/>
      <c r="U105" s="258"/>
    </row>
    <row r="106" spans="1:21" x14ac:dyDescent="0.35">
      <c r="A106" s="2"/>
      <c r="B106" s="2"/>
      <c r="C106" s="2"/>
      <c r="D106" s="2"/>
      <c r="F106" s="2"/>
      <c r="G106" s="329" t="s">
        <v>155</v>
      </c>
      <c r="H106" s="258"/>
      <c r="I106" s="258"/>
      <c r="J106" s="258"/>
      <c r="K106" s="258"/>
      <c r="L106" s="2"/>
      <c r="M106" s="329" t="s">
        <v>156</v>
      </c>
      <c r="N106" s="2"/>
      <c r="O106" s="258"/>
      <c r="P106" s="258"/>
      <c r="Q106" s="258"/>
      <c r="R106" s="258"/>
      <c r="S106" s="258"/>
      <c r="T106" s="234"/>
      <c r="U106" s="258"/>
    </row>
    <row r="107" spans="1:21" x14ac:dyDescent="0.35">
      <c r="A107" s="2"/>
      <c r="B107" s="2"/>
      <c r="C107" s="2"/>
      <c r="D107" s="2"/>
      <c r="F107" s="2"/>
      <c r="G107" s="329" t="s">
        <v>132</v>
      </c>
      <c r="H107" s="258"/>
      <c r="I107" s="258"/>
      <c r="J107" s="258"/>
      <c r="K107" s="258"/>
      <c r="L107" s="2"/>
      <c r="M107" s="329" t="s">
        <v>157</v>
      </c>
      <c r="N107" s="2"/>
      <c r="O107" s="258"/>
      <c r="P107" s="258"/>
      <c r="Q107" s="258"/>
      <c r="R107" s="258"/>
      <c r="S107" s="258"/>
      <c r="T107" s="234"/>
      <c r="U107" s="258"/>
    </row>
    <row r="108" spans="1:21" x14ac:dyDescent="0.35">
      <c r="A108" s="2" t="s">
        <v>505</v>
      </c>
      <c r="B108" s="2"/>
      <c r="C108" s="2"/>
      <c r="D108" s="2"/>
      <c r="F108" s="2"/>
      <c r="G108" s="235" t="s">
        <v>136</v>
      </c>
      <c r="H108" s="258"/>
      <c r="I108" s="258"/>
      <c r="J108" s="258"/>
      <c r="K108" s="258"/>
      <c r="L108" s="2"/>
      <c r="M108" s="235" t="s">
        <v>139</v>
      </c>
      <c r="N108" s="2"/>
      <c r="O108" s="258"/>
      <c r="P108" s="258"/>
      <c r="Q108" s="258"/>
      <c r="R108" s="258"/>
      <c r="S108" s="258"/>
      <c r="T108" s="236"/>
      <c r="U108" s="258"/>
    </row>
    <row r="109" spans="1:21" x14ac:dyDescent="0.35">
      <c r="A109" s="2"/>
      <c r="B109" s="2"/>
      <c r="C109" s="2"/>
      <c r="D109" s="2"/>
      <c r="F109" s="2"/>
      <c r="G109" s="2"/>
      <c r="H109" s="258"/>
      <c r="I109" s="258"/>
      <c r="J109" s="258"/>
      <c r="K109" s="258"/>
      <c r="L109" s="2"/>
      <c r="M109" s="2"/>
      <c r="N109" s="2"/>
      <c r="O109" s="258"/>
      <c r="P109" s="258"/>
      <c r="Q109" s="258"/>
      <c r="R109" s="258"/>
      <c r="S109" s="258"/>
      <c r="T109" s="229"/>
      <c r="U109" s="258"/>
    </row>
    <row r="110" spans="1:21" x14ac:dyDescent="0.35">
      <c r="A110" s="2"/>
      <c r="B110" s="2"/>
      <c r="C110" s="2"/>
      <c r="D110" s="2"/>
      <c r="F110" s="2"/>
      <c r="G110" s="2"/>
      <c r="H110" s="258"/>
      <c r="I110" s="258"/>
      <c r="J110" s="258"/>
      <c r="K110" s="258"/>
      <c r="L110" s="2"/>
      <c r="M110" s="2"/>
      <c r="N110" s="2"/>
      <c r="O110" s="258"/>
      <c r="P110" s="258"/>
      <c r="Q110" s="258"/>
      <c r="R110" s="258"/>
      <c r="S110" s="258"/>
      <c r="T110" s="229"/>
      <c r="U110" s="258"/>
    </row>
    <row r="111" spans="1:21" x14ac:dyDescent="0.35">
      <c r="A111" s="2"/>
      <c r="B111" s="360" t="s">
        <v>504</v>
      </c>
      <c r="C111" s="2"/>
      <c r="D111" s="2"/>
      <c r="F111" s="2"/>
      <c r="G111" s="2"/>
      <c r="H111" s="258"/>
      <c r="I111" s="258"/>
      <c r="J111" s="258"/>
      <c r="K111" s="258"/>
      <c r="L111" s="2"/>
      <c r="M111" s="237"/>
      <c r="N111" s="2"/>
      <c r="O111" s="258"/>
      <c r="P111" s="258"/>
      <c r="Q111" s="258"/>
      <c r="R111" s="258"/>
      <c r="S111" s="258"/>
      <c r="T111" s="229"/>
      <c r="U111" s="258"/>
    </row>
    <row r="112" spans="1:21" x14ac:dyDescent="0.35">
      <c r="A112" s="2"/>
      <c r="B112" s="2"/>
      <c r="C112" s="2"/>
      <c r="D112" s="2"/>
      <c r="F112" s="2"/>
      <c r="G112" s="227"/>
      <c r="H112" s="258"/>
      <c r="I112" s="258"/>
      <c r="J112" s="258"/>
      <c r="K112" s="258"/>
      <c r="L112" s="2"/>
      <c r="M112" s="237"/>
      <c r="N112" s="2"/>
      <c r="O112" s="258"/>
      <c r="P112" s="258"/>
      <c r="Q112" s="258"/>
      <c r="R112" s="258"/>
      <c r="S112" s="258"/>
      <c r="T112" s="228"/>
      <c r="U112" s="258"/>
    </row>
    <row r="113" spans="1:21" x14ac:dyDescent="0.35">
      <c r="A113" s="136" t="s">
        <v>142</v>
      </c>
      <c r="B113" s="2"/>
      <c r="C113" s="2"/>
      <c r="D113" s="2"/>
      <c r="F113" s="2"/>
      <c r="G113" s="227">
        <v>550</v>
      </c>
      <c r="H113" s="258"/>
      <c r="I113" s="258"/>
      <c r="J113" s="258"/>
      <c r="K113" s="258"/>
      <c r="L113" s="2"/>
      <c r="M113" s="237"/>
      <c r="N113" s="2"/>
      <c r="O113" s="258"/>
      <c r="P113" s="258"/>
      <c r="Q113" s="258"/>
      <c r="R113" s="258"/>
      <c r="S113" s="258"/>
      <c r="T113" s="228"/>
      <c r="U113" s="258"/>
    </row>
    <row r="114" spans="1:21" x14ac:dyDescent="0.35">
      <c r="A114" s="136" t="s">
        <v>144</v>
      </c>
      <c r="B114" s="2"/>
      <c r="C114" s="2"/>
      <c r="D114" s="2"/>
      <c r="F114" s="2"/>
      <c r="G114" s="227"/>
      <c r="H114" s="258"/>
      <c r="I114" s="258"/>
      <c r="J114" s="258"/>
      <c r="K114" s="258"/>
      <c r="L114" s="2"/>
      <c r="M114" s="237"/>
      <c r="N114" s="2"/>
      <c r="O114" s="258"/>
      <c r="P114" s="258"/>
      <c r="Q114" s="258"/>
      <c r="R114" s="258"/>
      <c r="S114" s="258"/>
      <c r="T114" s="228"/>
      <c r="U114" s="258"/>
    </row>
    <row r="115" spans="1:21" x14ac:dyDescent="0.35">
      <c r="A115" s="2"/>
      <c r="B115" s="136" t="s">
        <v>158</v>
      </c>
      <c r="C115" s="2"/>
      <c r="D115" s="2"/>
      <c r="F115" s="2"/>
      <c r="G115" s="227"/>
      <c r="H115" s="258"/>
      <c r="I115" s="258"/>
      <c r="J115" s="258"/>
      <c r="K115" s="258"/>
      <c r="L115" s="2"/>
      <c r="M115" s="237">
        <f>'Ex A 2 of 2'!F41</f>
        <v>0.90939999999999999</v>
      </c>
      <c r="N115" s="2"/>
      <c r="O115" s="258"/>
      <c r="P115" s="258"/>
      <c r="Q115" s="258"/>
      <c r="R115" s="258"/>
      <c r="S115" s="258"/>
      <c r="T115" s="228"/>
      <c r="U115" s="258"/>
    </row>
    <row r="116" spans="1:21" x14ac:dyDescent="0.35">
      <c r="A116" s="2"/>
      <c r="B116" s="136" t="s">
        <v>159</v>
      </c>
      <c r="C116" s="2"/>
      <c r="D116" s="2"/>
      <c r="F116" s="2"/>
      <c r="G116" s="227"/>
      <c r="H116" s="258"/>
      <c r="I116" s="258"/>
      <c r="J116" s="258"/>
      <c r="K116" s="258"/>
      <c r="L116" s="2"/>
      <c r="M116" s="237">
        <f>($M$115)</f>
        <v>0.90939999999999999</v>
      </c>
      <c r="N116" s="2"/>
      <c r="O116" s="258"/>
      <c r="P116" s="258"/>
      <c r="Q116" s="258"/>
      <c r="R116" s="258"/>
      <c r="S116" s="258"/>
      <c r="T116" s="228"/>
      <c r="U116" s="258"/>
    </row>
    <row r="117" spans="1:21" x14ac:dyDescent="0.35">
      <c r="A117" s="136" t="s">
        <v>147</v>
      </c>
      <c r="B117" s="2"/>
      <c r="C117" s="2"/>
      <c r="D117" s="2"/>
      <c r="F117" s="2"/>
      <c r="G117" s="227"/>
      <c r="H117" s="258"/>
      <c r="I117" s="258"/>
      <c r="J117" s="258"/>
      <c r="K117" s="258"/>
      <c r="L117" s="2"/>
      <c r="M117" s="237"/>
      <c r="N117" s="2"/>
      <c r="O117" s="258"/>
      <c r="P117" s="258"/>
      <c r="Q117" s="258"/>
      <c r="R117" s="258"/>
      <c r="S117" s="258"/>
      <c r="T117" s="228"/>
      <c r="U117" s="258"/>
    </row>
    <row r="118" spans="1:21" x14ac:dyDescent="0.35">
      <c r="A118" s="2"/>
      <c r="B118" s="136" t="s">
        <v>160</v>
      </c>
      <c r="C118" s="2"/>
      <c r="D118" s="2"/>
      <c r="F118" s="2"/>
      <c r="G118" s="227"/>
      <c r="H118" s="258"/>
      <c r="I118" s="258"/>
      <c r="J118" s="258"/>
      <c r="K118" s="258"/>
      <c r="L118" s="2"/>
      <c r="M118" s="237">
        <f>($M$115)</f>
        <v>0.90939999999999999</v>
      </c>
      <c r="N118" s="2"/>
      <c r="O118" s="258"/>
      <c r="P118" s="258"/>
      <c r="Q118" s="258"/>
      <c r="R118" s="258"/>
      <c r="S118" s="258"/>
      <c r="T118" s="228"/>
      <c r="U118" s="258"/>
    </row>
    <row r="119" spans="1:21" x14ac:dyDescent="0.35">
      <c r="A119" s="2"/>
      <c r="B119" s="2"/>
      <c r="C119" s="2"/>
      <c r="D119" s="2"/>
      <c r="F119" s="2"/>
      <c r="G119" s="227"/>
      <c r="H119" s="258"/>
      <c r="I119" s="258"/>
      <c r="J119" s="258"/>
      <c r="K119" s="258"/>
      <c r="L119" s="2"/>
      <c r="M119" s="237"/>
      <c r="N119" s="2"/>
      <c r="O119" s="258"/>
      <c r="P119" s="258"/>
      <c r="Q119" s="258"/>
      <c r="R119" s="258"/>
      <c r="S119" s="258"/>
      <c r="T119" s="228"/>
      <c r="U119" s="258"/>
    </row>
    <row r="120" spans="1:21" x14ac:dyDescent="0.35">
      <c r="A120" s="2"/>
      <c r="B120" s="2"/>
      <c r="C120" s="2"/>
      <c r="D120" s="2"/>
      <c r="F120" s="2"/>
      <c r="G120" s="227"/>
      <c r="H120" s="258"/>
      <c r="I120" s="258"/>
      <c r="J120" s="258"/>
      <c r="K120" s="258"/>
      <c r="L120" s="2"/>
      <c r="M120" s="237"/>
      <c r="N120" s="2"/>
      <c r="O120" s="258"/>
      <c r="P120" s="258"/>
      <c r="Q120" s="258"/>
      <c r="R120" s="258"/>
      <c r="S120" s="258"/>
      <c r="T120" s="228"/>
      <c r="U120" s="258"/>
    </row>
    <row r="121" spans="1:21" x14ac:dyDescent="0.35">
      <c r="A121" s="136" t="s">
        <v>149</v>
      </c>
      <c r="B121" s="2"/>
      <c r="C121" s="2"/>
      <c r="D121" s="2"/>
      <c r="F121" s="2"/>
      <c r="G121" s="227">
        <v>550</v>
      </c>
      <c r="H121" s="258"/>
      <c r="I121" s="258"/>
      <c r="J121" s="258"/>
      <c r="K121" s="258"/>
      <c r="L121" s="2"/>
      <c r="M121" s="237"/>
      <c r="N121" s="2"/>
      <c r="O121" s="258"/>
      <c r="P121" s="258"/>
      <c r="Q121" s="258"/>
      <c r="R121" s="258"/>
      <c r="S121" s="258"/>
      <c r="T121" s="228"/>
      <c r="U121" s="258"/>
    </row>
    <row r="122" spans="1:21" x14ac:dyDescent="0.35">
      <c r="A122" s="136" t="s">
        <v>144</v>
      </c>
      <c r="B122" s="2"/>
      <c r="C122" s="2"/>
      <c r="D122" s="2"/>
      <c r="F122" s="2"/>
      <c r="G122" s="227"/>
      <c r="H122" s="258"/>
      <c r="I122" s="258"/>
      <c r="J122" s="258"/>
      <c r="K122" s="258"/>
      <c r="L122" s="2"/>
      <c r="M122" s="237"/>
      <c r="N122" s="2"/>
      <c r="O122" s="258"/>
      <c r="P122" s="258"/>
      <c r="Q122" s="258"/>
      <c r="R122" s="258"/>
      <c r="S122" s="258"/>
      <c r="T122" s="228"/>
      <c r="U122" s="258"/>
    </row>
    <row r="123" spans="1:21" x14ac:dyDescent="0.35">
      <c r="A123" s="2"/>
      <c r="B123" s="136" t="s">
        <v>158</v>
      </c>
      <c r="C123" s="2"/>
      <c r="D123" s="2"/>
      <c r="F123" s="2"/>
      <c r="G123" s="227"/>
      <c r="H123" s="258"/>
      <c r="I123" s="258"/>
      <c r="J123" s="258"/>
      <c r="K123" s="258"/>
      <c r="L123" s="2"/>
      <c r="M123" s="237">
        <f>($M$115)</f>
        <v>0.90939999999999999</v>
      </c>
      <c r="N123" s="2"/>
      <c r="O123" s="258"/>
      <c r="P123" s="258"/>
      <c r="Q123" s="258"/>
      <c r="R123" s="258"/>
      <c r="S123" s="258"/>
      <c r="T123" s="228"/>
      <c r="U123" s="258"/>
    </row>
    <row r="124" spans="1:21" x14ac:dyDescent="0.35">
      <c r="A124" s="2"/>
      <c r="B124" s="136" t="s">
        <v>159</v>
      </c>
      <c r="C124" s="2"/>
      <c r="D124" s="2"/>
      <c r="F124" s="2"/>
      <c r="G124" s="227"/>
      <c r="H124" s="258"/>
      <c r="I124" s="258"/>
      <c r="J124" s="258"/>
      <c r="K124" s="258"/>
      <c r="L124" s="2"/>
      <c r="M124" s="237">
        <f>($M$115)</f>
        <v>0.90939999999999999</v>
      </c>
      <c r="N124" s="2"/>
      <c r="O124" s="258"/>
      <c r="P124" s="258"/>
      <c r="Q124" s="258"/>
      <c r="R124" s="258"/>
      <c r="S124" s="258"/>
      <c r="T124" s="228"/>
      <c r="U124" s="258"/>
    </row>
    <row r="125" spans="1:21" x14ac:dyDescent="0.35">
      <c r="A125" s="136" t="s">
        <v>147</v>
      </c>
      <c r="B125" s="2"/>
      <c r="C125" s="2"/>
      <c r="D125" s="2"/>
      <c r="F125" s="2"/>
      <c r="G125" s="227"/>
      <c r="H125" s="258"/>
      <c r="I125" s="258"/>
      <c r="J125" s="258"/>
      <c r="K125" s="258"/>
      <c r="L125" s="2"/>
      <c r="M125" s="237"/>
      <c r="N125" s="2"/>
      <c r="O125" s="258"/>
      <c r="P125" s="258"/>
      <c r="Q125" s="258"/>
      <c r="R125" s="258"/>
      <c r="S125" s="258"/>
      <c r="T125" s="228"/>
      <c r="U125" s="258"/>
    </row>
    <row r="126" spans="1:21" x14ac:dyDescent="0.35">
      <c r="A126" s="2"/>
      <c r="B126" s="136" t="s">
        <v>160</v>
      </c>
      <c r="C126" s="2"/>
      <c r="D126" s="2"/>
      <c r="F126" s="2"/>
      <c r="G126" s="227"/>
      <c r="H126" s="258"/>
      <c r="I126" s="258"/>
      <c r="J126" s="258"/>
      <c r="K126" s="258"/>
      <c r="L126" s="2"/>
      <c r="M126" s="237">
        <f>($M$115)</f>
        <v>0.90939999999999999</v>
      </c>
      <c r="N126" s="2"/>
      <c r="O126" s="258"/>
      <c r="P126" s="258"/>
      <c r="Q126" s="258"/>
      <c r="R126" s="258"/>
      <c r="S126" s="258"/>
      <c r="T126" s="228"/>
      <c r="U126" s="258"/>
    </row>
    <row r="127" spans="1:21" x14ac:dyDescent="0.35">
      <c r="A127" s="2"/>
      <c r="B127" s="2"/>
      <c r="C127" s="2"/>
      <c r="D127" s="2"/>
      <c r="F127" s="2"/>
      <c r="G127" s="227"/>
      <c r="H127" s="258"/>
      <c r="I127" s="258"/>
      <c r="J127" s="258"/>
      <c r="K127" s="258"/>
      <c r="L127" s="2"/>
      <c r="M127" s="237"/>
      <c r="N127" s="2"/>
      <c r="O127" s="258"/>
      <c r="P127" s="258"/>
      <c r="Q127" s="258"/>
      <c r="R127" s="258"/>
      <c r="S127" s="258"/>
      <c r="T127" s="228"/>
      <c r="U127" s="258"/>
    </row>
    <row r="128" spans="1:21" x14ac:dyDescent="0.35">
      <c r="A128" s="2"/>
      <c r="B128" s="2"/>
      <c r="C128" s="2"/>
      <c r="D128" s="2"/>
      <c r="F128" s="2"/>
      <c r="G128" s="227"/>
      <c r="H128" s="258"/>
      <c r="I128" s="258"/>
      <c r="J128" s="258"/>
      <c r="K128" s="258"/>
      <c r="L128" s="2"/>
      <c r="M128" s="237"/>
      <c r="N128" s="2"/>
      <c r="O128" s="258"/>
      <c r="P128" s="258"/>
      <c r="Q128" s="258"/>
      <c r="R128" s="258"/>
      <c r="S128" s="258"/>
      <c r="T128" s="228"/>
      <c r="U128" s="258"/>
    </row>
    <row r="129" spans="1:21" x14ac:dyDescent="0.35">
      <c r="A129" s="136" t="s">
        <v>152</v>
      </c>
      <c r="B129" s="2"/>
      <c r="C129" s="2"/>
      <c r="D129" s="2"/>
      <c r="F129" s="2"/>
      <c r="G129" s="227">
        <v>550</v>
      </c>
      <c r="H129" s="258"/>
      <c r="I129" s="258"/>
      <c r="J129" s="258"/>
      <c r="K129" s="258"/>
      <c r="L129" s="2"/>
      <c r="M129" s="237">
        <f>($M$115)</f>
        <v>0.90939999999999999</v>
      </c>
      <c r="N129" s="2"/>
      <c r="O129" s="258"/>
      <c r="P129" s="258"/>
      <c r="Q129" s="258"/>
      <c r="R129" s="258"/>
      <c r="S129" s="258"/>
      <c r="T129" s="228"/>
      <c r="U129" s="258"/>
    </row>
    <row r="130" spans="1:21" x14ac:dyDescent="0.35">
      <c r="A130" s="2"/>
      <c r="B130" s="2"/>
      <c r="C130" s="2"/>
      <c r="D130" s="2"/>
      <c r="E130" s="227"/>
      <c r="F130" s="2"/>
      <c r="G130" s="258"/>
      <c r="H130" s="258"/>
      <c r="I130" s="258"/>
      <c r="J130" s="258"/>
      <c r="K130" s="258"/>
      <c r="L130" s="2"/>
      <c r="M130" s="237"/>
      <c r="N130" s="2"/>
      <c r="O130" s="258"/>
      <c r="P130" s="258"/>
      <c r="Q130" s="258"/>
      <c r="R130" s="258"/>
      <c r="S130" s="258"/>
      <c r="T130" s="228"/>
      <c r="U130" s="258"/>
    </row>
    <row r="131" spans="1:21" x14ac:dyDescent="0.35">
      <c r="A131" s="139"/>
      <c r="B131" s="139"/>
      <c r="C131" s="139"/>
      <c r="D131" s="139"/>
      <c r="E131" s="139"/>
      <c r="F131" s="139"/>
      <c r="G131" s="139"/>
      <c r="H131" s="139"/>
      <c r="I131" s="139"/>
      <c r="J131" s="139"/>
      <c r="K131" s="139"/>
      <c r="L131" s="139"/>
      <c r="M131" s="139"/>
      <c r="N131" s="139"/>
      <c r="O131" s="258"/>
      <c r="P131" s="258"/>
      <c r="Q131" s="258"/>
      <c r="R131" s="258"/>
      <c r="S131" s="258"/>
      <c r="T131" s="238"/>
      <c r="U131" s="258"/>
    </row>
    <row r="132" spans="1:21" x14ac:dyDescent="0.35">
      <c r="A132" s="139" t="s">
        <v>595</v>
      </c>
      <c r="B132" s="139"/>
      <c r="C132" s="139"/>
      <c r="D132" s="139"/>
      <c r="E132" s="139"/>
      <c r="F132" s="139"/>
      <c r="G132" s="227">
        <v>550</v>
      </c>
      <c r="H132" s="258"/>
      <c r="I132" s="258"/>
      <c r="J132" s="258"/>
      <c r="K132" s="258"/>
      <c r="L132" s="2"/>
      <c r="M132" s="237">
        <f>($M$115)</f>
        <v>0.90939999999999999</v>
      </c>
      <c r="N132" s="139"/>
      <c r="O132" s="258"/>
      <c r="P132" s="258"/>
      <c r="Q132" s="258"/>
      <c r="R132" s="258"/>
      <c r="S132" s="258"/>
      <c r="T132" s="238"/>
      <c r="U132" s="258"/>
    </row>
    <row r="133" spans="1:21" x14ac:dyDescent="0.35">
      <c r="A133" s="2"/>
      <c r="O133" s="258"/>
      <c r="P133" s="258"/>
      <c r="Q133" s="258"/>
      <c r="R133" s="258"/>
      <c r="S133" s="258"/>
      <c r="T133" s="15"/>
      <c r="U133" s="258"/>
    </row>
    <row r="134" spans="1:21" x14ac:dyDescent="0.35">
      <c r="A134" s="2"/>
      <c r="K134" s="99"/>
      <c r="M134" s="154"/>
      <c r="O134" s="258"/>
      <c r="P134" s="258"/>
      <c r="Q134" s="258"/>
      <c r="R134" s="258"/>
      <c r="S134" s="258"/>
      <c r="T134" s="15"/>
      <c r="U134" s="258"/>
    </row>
    <row r="135" spans="1:21" x14ac:dyDescent="0.35">
      <c r="K135" s="99"/>
      <c r="M135" s="154"/>
      <c r="O135" s="258"/>
      <c r="P135" s="258"/>
      <c r="Q135" s="258"/>
      <c r="R135" s="258"/>
      <c r="S135" s="258"/>
      <c r="T135" s="15"/>
      <c r="U135" s="258"/>
    </row>
    <row r="136" spans="1:21" x14ac:dyDescent="0.35">
      <c r="K136" s="99"/>
      <c r="O136" s="258"/>
      <c r="P136" s="258"/>
      <c r="Q136" s="258"/>
      <c r="R136" s="258"/>
      <c r="S136" s="258"/>
      <c r="T136" s="15"/>
      <c r="U136" s="258"/>
    </row>
    <row r="137" spans="1:21" x14ac:dyDescent="0.35">
      <c r="K137" s="99"/>
      <c r="O137" s="258"/>
      <c r="P137" s="258"/>
      <c r="Q137" s="258"/>
      <c r="R137" s="258"/>
      <c r="S137" s="258"/>
      <c r="T137" s="15"/>
      <c r="U137" s="258"/>
    </row>
    <row r="138" spans="1:21" x14ac:dyDescent="0.35">
      <c r="K138" s="99"/>
      <c r="O138" s="258"/>
      <c r="P138" s="258"/>
      <c r="Q138" s="258"/>
      <c r="R138" s="258"/>
      <c r="S138" s="258"/>
      <c r="T138" s="15"/>
      <c r="U138" s="258"/>
    </row>
    <row r="139" spans="1:21" x14ac:dyDescent="0.35">
      <c r="K139" s="99"/>
      <c r="O139" s="15"/>
      <c r="P139" s="15"/>
      <c r="Q139" s="15"/>
      <c r="R139" s="15"/>
      <c r="S139" s="15"/>
      <c r="T139" s="15"/>
      <c r="U139" s="258"/>
    </row>
    <row r="140" spans="1:21" x14ac:dyDescent="0.35">
      <c r="K140" s="99"/>
      <c r="O140" s="15"/>
      <c r="P140" s="15"/>
      <c r="Q140" s="15"/>
      <c r="R140" s="15"/>
      <c r="S140" s="15"/>
      <c r="T140" s="15"/>
    </row>
    <row r="141" spans="1:21" x14ac:dyDescent="0.35">
      <c r="K141" s="99"/>
      <c r="O141" s="15"/>
      <c r="P141" s="15"/>
      <c r="Q141" s="15"/>
      <c r="R141" s="15"/>
      <c r="S141" s="15"/>
      <c r="T141" s="15"/>
    </row>
    <row r="142" spans="1:21" x14ac:dyDescent="0.35">
      <c r="K142" s="99"/>
      <c r="O142" s="15"/>
      <c r="P142" s="15"/>
      <c r="Q142" s="15"/>
      <c r="R142" s="15"/>
      <c r="S142" s="15"/>
      <c r="T142" s="15"/>
    </row>
    <row r="143" spans="1:21" x14ac:dyDescent="0.35">
      <c r="K143" s="99"/>
      <c r="O143" s="15"/>
      <c r="P143" s="15"/>
      <c r="Q143" s="15"/>
      <c r="R143" s="15"/>
      <c r="S143" s="15"/>
      <c r="T143" s="15"/>
    </row>
    <row r="144" spans="1:21" x14ac:dyDescent="0.35">
      <c r="K144" s="99"/>
      <c r="O144" s="15"/>
      <c r="P144" s="15"/>
      <c r="Q144" s="15"/>
      <c r="R144" s="15"/>
      <c r="S144" s="15"/>
      <c r="T144" s="15"/>
    </row>
    <row r="145" spans="15:20" x14ac:dyDescent="0.35">
      <c r="O145" s="15"/>
      <c r="P145" s="15"/>
      <c r="Q145" s="15"/>
      <c r="R145" s="15"/>
      <c r="S145" s="15"/>
      <c r="T145" s="15"/>
    </row>
    <row r="146" spans="15:20" x14ac:dyDescent="0.35">
      <c r="O146" s="15"/>
      <c r="P146" s="15"/>
      <c r="Q146" s="15"/>
      <c r="R146" s="15"/>
      <c r="S146" s="15"/>
      <c r="T146" s="15"/>
    </row>
    <row r="147" spans="15:20" x14ac:dyDescent="0.35">
      <c r="O147" s="15"/>
      <c r="P147" s="15"/>
      <c r="Q147" s="15"/>
      <c r="R147" s="15"/>
      <c r="S147" s="15"/>
      <c r="T147" s="15"/>
    </row>
    <row r="148" spans="15:20" x14ac:dyDescent="0.35">
      <c r="O148" s="15"/>
      <c r="P148" s="15"/>
      <c r="Q148" s="15"/>
      <c r="R148" s="15"/>
      <c r="S148" s="15"/>
      <c r="T148" s="15"/>
    </row>
    <row r="149" spans="15:20" x14ac:dyDescent="0.35">
      <c r="O149" s="15"/>
      <c r="P149" s="15"/>
      <c r="Q149" s="15"/>
      <c r="R149" s="15"/>
      <c r="S149" s="15"/>
      <c r="T149" s="15"/>
    </row>
    <row r="150" spans="15:20" x14ac:dyDescent="0.35">
      <c r="O150" s="15"/>
      <c r="P150" s="15"/>
      <c r="Q150" s="15"/>
      <c r="R150" s="15"/>
      <c r="S150" s="15"/>
      <c r="T150" s="15"/>
    </row>
    <row r="151" spans="15:20" x14ac:dyDescent="0.35">
      <c r="O151" s="15"/>
      <c r="P151" s="15"/>
      <c r="Q151" s="15"/>
      <c r="R151" s="15"/>
      <c r="S151" s="15"/>
      <c r="T151" s="15"/>
    </row>
    <row r="152" spans="15:20" x14ac:dyDescent="0.35">
      <c r="O152" s="15"/>
      <c r="P152" s="15"/>
      <c r="Q152" s="15"/>
      <c r="R152" s="15"/>
      <c r="S152" s="15"/>
      <c r="T152" s="15"/>
    </row>
    <row r="153" spans="15:20" x14ac:dyDescent="0.35">
      <c r="O153" s="15"/>
      <c r="P153" s="15"/>
      <c r="Q153" s="15"/>
      <c r="R153" s="15"/>
      <c r="S153" s="15"/>
      <c r="T153" s="15"/>
    </row>
    <row r="154" spans="15:20" x14ac:dyDescent="0.35">
      <c r="O154" s="15"/>
      <c r="P154" s="15"/>
      <c r="Q154" s="15"/>
      <c r="R154" s="15"/>
      <c r="S154" s="15"/>
      <c r="T154" s="15"/>
    </row>
    <row r="155" spans="15:20" x14ac:dyDescent="0.35">
      <c r="O155" s="15"/>
      <c r="P155" s="15"/>
      <c r="Q155" s="15"/>
      <c r="R155" s="15"/>
      <c r="S155" s="15"/>
      <c r="T155" s="15"/>
    </row>
    <row r="156" spans="15:20" x14ac:dyDescent="0.35">
      <c r="O156" s="15"/>
      <c r="P156" s="15"/>
      <c r="Q156" s="15"/>
      <c r="R156" s="15"/>
      <c r="S156" s="15"/>
      <c r="T156" s="15"/>
    </row>
    <row r="157" spans="15:20" x14ac:dyDescent="0.35">
      <c r="O157" s="15"/>
      <c r="P157" s="15"/>
      <c r="Q157" s="15"/>
      <c r="R157" s="15"/>
      <c r="S157" s="15"/>
      <c r="T157" s="15"/>
    </row>
    <row r="158" spans="15:20" x14ac:dyDescent="0.35">
      <c r="O158" s="15"/>
      <c r="P158" s="15"/>
      <c r="Q158" s="15"/>
      <c r="R158" s="15"/>
      <c r="S158" s="15"/>
      <c r="T158" s="15"/>
    </row>
    <row r="159" spans="15:20" x14ac:dyDescent="0.35">
      <c r="O159" s="15"/>
      <c r="P159" s="15"/>
      <c r="Q159" s="15"/>
      <c r="R159" s="15"/>
      <c r="S159" s="15"/>
      <c r="T159" s="15"/>
    </row>
    <row r="160" spans="15:20" x14ac:dyDescent="0.35">
      <c r="O160" s="15"/>
      <c r="P160" s="15"/>
      <c r="Q160" s="15"/>
      <c r="R160" s="15"/>
      <c r="S160" s="15"/>
      <c r="T160" s="15"/>
    </row>
    <row r="161" spans="15:20" x14ac:dyDescent="0.35">
      <c r="O161" s="15"/>
      <c r="P161" s="15"/>
      <c r="Q161" s="15"/>
      <c r="R161" s="15"/>
      <c r="S161" s="15"/>
      <c r="T161" s="15"/>
    </row>
    <row r="162" spans="15:20" x14ac:dyDescent="0.35">
      <c r="O162" s="15"/>
      <c r="P162" s="15"/>
      <c r="Q162" s="15"/>
      <c r="R162" s="15"/>
      <c r="S162" s="15"/>
      <c r="T162" s="15"/>
    </row>
    <row r="163" spans="15:20" x14ac:dyDescent="0.35">
      <c r="O163" s="15"/>
      <c r="P163" s="15"/>
      <c r="Q163" s="15"/>
      <c r="R163" s="15"/>
      <c r="S163" s="15"/>
      <c r="T163" s="15"/>
    </row>
    <row r="164" spans="15:20" x14ac:dyDescent="0.35">
      <c r="O164" s="15"/>
      <c r="P164" s="15"/>
      <c r="Q164" s="15"/>
      <c r="R164" s="15"/>
      <c r="S164" s="15"/>
      <c r="T164" s="15"/>
    </row>
    <row r="165" spans="15:20" x14ac:dyDescent="0.35">
      <c r="O165" s="15"/>
      <c r="P165" s="15"/>
      <c r="Q165" s="15"/>
      <c r="R165" s="15"/>
      <c r="S165" s="15"/>
      <c r="T165" s="15"/>
    </row>
    <row r="166" spans="15:20" x14ac:dyDescent="0.35">
      <c r="O166" s="15"/>
      <c r="P166" s="15"/>
      <c r="Q166" s="15"/>
      <c r="R166" s="15"/>
      <c r="S166" s="15"/>
      <c r="T166" s="15"/>
    </row>
    <row r="167" spans="15:20" x14ac:dyDescent="0.35">
      <c r="O167" s="15"/>
      <c r="P167" s="15"/>
      <c r="Q167" s="15"/>
      <c r="R167" s="15"/>
      <c r="S167" s="15"/>
      <c r="T167" s="15"/>
    </row>
  </sheetData>
  <mergeCells count="2">
    <mergeCell ref="A5:U5"/>
    <mergeCell ref="I8:U8"/>
  </mergeCells>
  <phoneticPr fontId="3" type="noConversion"/>
  <pageMargins left="0.75" right="0.75" top="1" bottom="0.75" header="0.5" footer="0.5"/>
  <pageSetup scale="39" fitToHeight="2" orientation="portrait" blackAndWhite="1" r:id="rId1"/>
  <headerFooter alignWithMargins="0"/>
  <rowBreaks count="1" manualBreakCount="1">
    <brk id="75" max="20" man="1"/>
  </rowBreaks>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3"/>
  <sheetViews>
    <sheetView zoomScale="80" zoomScaleNormal="80" workbookViewId="0">
      <selection sqref="A1:H1"/>
    </sheetView>
  </sheetViews>
  <sheetFormatPr defaultColWidth="9.765625" defaultRowHeight="15.5" x14ac:dyDescent="0.35"/>
  <cols>
    <col min="1" max="1" width="2.765625" style="3" customWidth="1"/>
    <col min="2" max="4" width="9.765625" style="3"/>
    <col min="5" max="5" width="21.765625" style="3" customWidth="1"/>
    <col min="6" max="6" width="13.765625" style="3" customWidth="1"/>
    <col min="7" max="7" width="9.84375" style="3" customWidth="1"/>
    <col min="8" max="8" width="7.765625" style="3" customWidth="1"/>
    <col min="9" max="16384" width="9.765625" style="3"/>
  </cols>
  <sheetData>
    <row r="1" spans="1:8" x14ac:dyDescent="0.35">
      <c r="A1" s="829" t="s">
        <v>161</v>
      </c>
      <c r="B1" s="829"/>
      <c r="C1" s="829"/>
      <c r="D1" s="829"/>
      <c r="E1" s="829"/>
      <c r="F1" s="829"/>
      <c r="G1" s="829"/>
      <c r="H1" s="829"/>
    </row>
    <row r="4" spans="1:8" x14ac:dyDescent="0.35">
      <c r="A4" s="829" t="s">
        <v>622</v>
      </c>
      <c r="B4" s="829"/>
      <c r="C4" s="829"/>
      <c r="D4" s="829"/>
      <c r="E4" s="829"/>
      <c r="F4" s="829"/>
      <c r="G4" s="829"/>
      <c r="H4" s="829"/>
    </row>
    <row r="6" spans="1:8" x14ac:dyDescent="0.35">
      <c r="A6" s="763" t="str">
        <f>CONCATENATE('Input Data'!D4," through ",'Input Data'!D5)</f>
        <v>August 1, 2022 through October 31, 2022</v>
      </c>
      <c r="B6" s="763"/>
      <c r="C6" s="763"/>
      <c r="D6" s="763"/>
      <c r="E6" s="763"/>
      <c r="F6" s="763"/>
      <c r="G6" s="763"/>
      <c r="H6" s="763"/>
    </row>
    <row r="7" spans="1:8" x14ac:dyDescent="0.35">
      <c r="A7" s="239"/>
      <c r="B7" s="239"/>
      <c r="C7" s="239"/>
      <c r="D7" s="239"/>
      <c r="E7" s="239"/>
      <c r="F7" s="239"/>
      <c r="G7" s="239"/>
      <c r="H7" s="239"/>
    </row>
    <row r="9" spans="1:8" x14ac:dyDescent="0.35">
      <c r="B9" s="240"/>
      <c r="G9" s="241"/>
    </row>
    <row r="11" spans="1:8" x14ac:dyDescent="0.35">
      <c r="C11" s="242" t="s">
        <v>162</v>
      </c>
    </row>
    <row r="13" spans="1:8" x14ac:dyDescent="0.35">
      <c r="B13" s="13" t="s">
        <v>163</v>
      </c>
      <c r="G13" s="700">
        <v>550</v>
      </c>
    </row>
    <row r="15" spans="1:8" x14ac:dyDescent="0.35">
      <c r="B15" s="13" t="s">
        <v>597</v>
      </c>
      <c r="G15" s="700">
        <v>750</v>
      </c>
    </row>
    <row r="17" spans="1:8" x14ac:dyDescent="0.35">
      <c r="B17" s="13" t="s">
        <v>599</v>
      </c>
      <c r="G17" s="700">
        <v>7.38</v>
      </c>
    </row>
    <row r="19" spans="1:8" x14ac:dyDescent="0.35">
      <c r="B19" s="13" t="s">
        <v>164</v>
      </c>
      <c r="G19" s="99">
        <v>4.5600000000000002E-2</v>
      </c>
    </row>
    <row r="21" spans="1:8" x14ac:dyDescent="0.35">
      <c r="B21" s="3" t="s">
        <v>1023</v>
      </c>
      <c r="G21" s="99">
        <v>1.5E-3</v>
      </c>
    </row>
    <row r="22" spans="1:8" x14ac:dyDescent="0.35">
      <c r="G22" s="99"/>
    </row>
    <row r="23" spans="1:8" x14ac:dyDescent="0.35">
      <c r="B23" s="3" t="s">
        <v>1040</v>
      </c>
      <c r="G23" s="99">
        <v>1.0699999999999999E-2</v>
      </c>
    </row>
    <row r="24" spans="1:8" x14ac:dyDescent="0.35">
      <c r="G24" s="99"/>
    </row>
    <row r="25" spans="1:8" x14ac:dyDescent="0.35">
      <c r="B25" s="3" t="s">
        <v>1041</v>
      </c>
      <c r="G25" s="99">
        <v>0</v>
      </c>
    </row>
    <row r="26" spans="1:8" x14ac:dyDescent="0.35">
      <c r="A26" s="239"/>
      <c r="B26" s="239"/>
      <c r="C26" s="239"/>
      <c r="D26" s="239"/>
      <c r="E26" s="239"/>
      <c r="F26" s="239"/>
      <c r="G26" s="239"/>
      <c r="H26" s="239"/>
    </row>
    <row r="30" spans="1:8" x14ac:dyDescent="0.35">
      <c r="C30" s="242" t="s">
        <v>165</v>
      </c>
    </row>
    <row r="32" spans="1:8" x14ac:dyDescent="0.35">
      <c r="B32" s="13" t="s">
        <v>166</v>
      </c>
      <c r="G32" s="99">
        <f>'Ex A 2 of 2'!F54</f>
        <v>0.16980000000000001</v>
      </c>
    </row>
    <row r="33" spans="2:8" x14ac:dyDescent="0.35">
      <c r="B33" s="13" t="s">
        <v>167</v>
      </c>
      <c r="G33" s="701">
        <v>0.37969999999999998</v>
      </c>
    </row>
    <row r="34" spans="2:8" x14ac:dyDescent="0.35">
      <c r="B34" s="13" t="s">
        <v>168</v>
      </c>
      <c r="G34" s="99">
        <f>(G32+G33)</f>
        <v>0.54949999999999999</v>
      </c>
    </row>
    <row r="36" spans="2:8" x14ac:dyDescent="0.35">
      <c r="B36" s="3" t="s">
        <v>609</v>
      </c>
    </row>
    <row r="37" spans="2:8" x14ac:dyDescent="0.35">
      <c r="C37" s="3" t="s">
        <v>169</v>
      </c>
      <c r="F37" s="3" t="s">
        <v>170</v>
      </c>
    </row>
    <row r="38" spans="2:8" x14ac:dyDescent="0.35">
      <c r="F38" s="3" t="s">
        <v>1049</v>
      </c>
    </row>
    <row r="39" spans="2:8" x14ac:dyDescent="0.35">
      <c r="F39" s="3" t="s">
        <v>570</v>
      </c>
    </row>
    <row r="40" spans="2:8" x14ac:dyDescent="0.35">
      <c r="B40" s="3" t="s">
        <v>609</v>
      </c>
    </row>
    <row r="41" spans="2:8" x14ac:dyDescent="0.35">
      <c r="B41" s="243" t="s">
        <v>171</v>
      </c>
    </row>
    <row r="43" spans="2:8" x14ac:dyDescent="0.35">
      <c r="B43" s="242" t="s">
        <v>172</v>
      </c>
    </row>
    <row r="44" spans="2:8" x14ac:dyDescent="0.35">
      <c r="C44" s="13" t="s">
        <v>173</v>
      </c>
      <c r="F44" s="244"/>
      <c r="G44" s="245">
        <v>1</v>
      </c>
      <c r="H44" s="13"/>
    </row>
    <row r="45" spans="2:8" x14ac:dyDescent="0.35">
      <c r="C45" s="13" t="s">
        <v>174</v>
      </c>
      <c r="G45" s="245">
        <f>(G$44*1.1)</f>
        <v>1.1000000000000001</v>
      </c>
    </row>
    <row r="46" spans="2:8" x14ac:dyDescent="0.35">
      <c r="C46" s="13" t="s">
        <v>174</v>
      </c>
      <c r="G46" s="245">
        <f>(G$44*1.2)</f>
        <v>1.2</v>
      </c>
    </row>
    <row r="47" spans="2:8" x14ac:dyDescent="0.35">
      <c r="C47" s="13" t="s">
        <v>174</v>
      </c>
      <c r="G47" s="245">
        <f>(G$44*1.3)</f>
        <v>1.3</v>
      </c>
    </row>
    <row r="48" spans="2:8" x14ac:dyDescent="0.35">
      <c r="C48" s="13" t="s">
        <v>175</v>
      </c>
      <c r="G48" s="245">
        <f>(G$44*1.4)</f>
        <v>1.4</v>
      </c>
    </row>
    <row r="50" spans="1:12" x14ac:dyDescent="0.35">
      <c r="B50" s="242" t="s">
        <v>176</v>
      </c>
    </row>
    <row r="51" spans="1:12" x14ac:dyDescent="0.35">
      <c r="C51" s="13" t="s">
        <v>173</v>
      </c>
      <c r="G51" s="245">
        <f>(G44)</f>
        <v>1</v>
      </c>
      <c r="H51" s="13"/>
    </row>
    <row r="52" spans="1:12" x14ac:dyDescent="0.35">
      <c r="C52" s="13" t="s">
        <v>174</v>
      </c>
      <c r="G52" s="245">
        <f>(G$44*0.9)</f>
        <v>0.9</v>
      </c>
    </row>
    <row r="53" spans="1:12" x14ac:dyDescent="0.35">
      <c r="C53" s="13" t="s">
        <v>174</v>
      </c>
      <c r="G53" s="245">
        <f>(G$44*0.8)</f>
        <v>0.8</v>
      </c>
    </row>
    <row r="54" spans="1:12" x14ac:dyDescent="0.35">
      <c r="C54" s="13" t="s">
        <v>174</v>
      </c>
      <c r="G54" s="245">
        <f>(G$44*0.7)</f>
        <v>0.7</v>
      </c>
    </row>
    <row r="55" spans="1:12" x14ac:dyDescent="0.35">
      <c r="C55" s="13" t="s">
        <v>175</v>
      </c>
      <c r="G55" s="245">
        <f>(G$44*0.6)</f>
        <v>0.6</v>
      </c>
    </row>
    <row r="56" spans="1:12" x14ac:dyDescent="0.35">
      <c r="C56" s="13"/>
      <c r="G56" s="245"/>
    </row>
    <row r="57" spans="1:12" x14ac:dyDescent="0.35">
      <c r="A57" s="246"/>
      <c r="B57" s="239"/>
      <c r="C57" s="239"/>
      <c r="D57" s="239"/>
      <c r="E57" s="239"/>
      <c r="F57" s="239"/>
      <c r="G57" s="239"/>
      <c r="H57" s="239"/>
    </row>
    <row r="59" spans="1:12" x14ac:dyDescent="0.35">
      <c r="A59" s="2"/>
      <c r="B59" s="258"/>
      <c r="C59" s="258"/>
      <c r="D59" s="258"/>
      <c r="E59" s="258"/>
      <c r="F59" s="258"/>
      <c r="G59" s="258"/>
      <c r="H59" s="258"/>
      <c r="I59" s="258"/>
      <c r="J59" s="258"/>
      <c r="K59" s="258"/>
      <c r="L59" s="258"/>
    </row>
    <row r="60" spans="1:12" x14ac:dyDescent="0.35">
      <c r="A60" s="258"/>
      <c r="B60" s="258"/>
      <c r="C60" s="258"/>
      <c r="D60" s="258"/>
      <c r="E60" s="258"/>
      <c r="F60" s="258"/>
      <c r="G60" s="258"/>
      <c r="H60" s="258"/>
      <c r="I60" s="258"/>
      <c r="J60" s="258"/>
      <c r="K60" s="258"/>
      <c r="L60" s="258"/>
    </row>
    <row r="61" spans="1:12" x14ac:dyDescent="0.35">
      <c r="A61" s="258"/>
      <c r="B61" s="258"/>
      <c r="C61" s="258"/>
      <c r="D61" s="258"/>
      <c r="E61" s="258"/>
      <c r="F61" s="258"/>
      <c r="G61" s="258"/>
      <c r="H61" s="258"/>
      <c r="I61" s="258"/>
      <c r="J61" s="258"/>
      <c r="K61" s="258"/>
      <c r="L61" s="258"/>
    </row>
    <row r="62" spans="1:12" x14ac:dyDescent="0.35">
      <c r="A62" s="258"/>
      <c r="B62" s="258"/>
      <c r="C62" s="258"/>
      <c r="D62" s="258"/>
      <c r="E62" s="258"/>
      <c r="F62" s="258"/>
      <c r="G62" s="258"/>
      <c r="H62" s="258"/>
      <c r="I62" s="258"/>
      <c r="J62" s="258"/>
      <c r="K62" s="258"/>
      <c r="L62" s="258"/>
    </row>
    <row r="63" spans="1:12" x14ac:dyDescent="0.35">
      <c r="A63" s="258"/>
      <c r="B63" s="258"/>
      <c r="C63" s="258"/>
      <c r="D63" s="258"/>
      <c r="E63" s="258"/>
      <c r="F63" s="258"/>
      <c r="G63" s="258"/>
      <c r="H63" s="258"/>
      <c r="I63" s="258"/>
      <c r="J63" s="258"/>
      <c r="K63" s="258"/>
      <c r="L63" s="258"/>
    </row>
    <row r="64" spans="1:12" x14ac:dyDescent="0.35">
      <c r="A64" s="258"/>
      <c r="B64" s="258"/>
      <c r="C64" s="258"/>
      <c r="D64" s="258"/>
      <c r="E64" s="258"/>
      <c r="F64" s="258"/>
      <c r="G64" s="258"/>
      <c r="H64" s="258"/>
      <c r="I64" s="258"/>
      <c r="J64" s="258"/>
      <c r="K64" s="258"/>
      <c r="L64" s="258"/>
    </row>
    <row r="65" spans="1:12" x14ac:dyDescent="0.35">
      <c r="A65" s="258"/>
      <c r="B65" s="258"/>
      <c r="C65" s="258"/>
      <c r="D65" s="258"/>
      <c r="E65" s="258"/>
      <c r="F65" s="258"/>
      <c r="G65" s="258"/>
      <c r="H65" s="258"/>
      <c r="I65" s="258"/>
      <c r="J65" s="258"/>
      <c r="K65" s="258"/>
      <c r="L65" s="258"/>
    </row>
    <row r="66" spans="1:12" x14ac:dyDescent="0.35">
      <c r="A66" s="258"/>
      <c r="B66" s="258"/>
      <c r="C66" s="258"/>
      <c r="D66" s="258"/>
      <c r="E66" s="258"/>
      <c r="F66" s="258"/>
      <c r="G66" s="258"/>
      <c r="H66" s="258"/>
      <c r="I66" s="258"/>
      <c r="J66" s="258"/>
      <c r="K66" s="258"/>
      <c r="L66" s="258"/>
    </row>
    <row r="67" spans="1:12" x14ac:dyDescent="0.35">
      <c r="A67" s="258"/>
      <c r="B67" s="258"/>
      <c r="C67" s="258"/>
      <c r="D67" s="258"/>
      <c r="E67" s="258"/>
      <c r="F67" s="258"/>
      <c r="G67" s="258"/>
      <c r="H67" s="258"/>
      <c r="I67" s="258"/>
      <c r="J67" s="258"/>
      <c r="K67" s="258"/>
      <c r="L67" s="258"/>
    </row>
    <row r="68" spans="1:12" x14ac:dyDescent="0.35">
      <c r="A68" s="258"/>
      <c r="B68" s="258"/>
      <c r="C68" s="258"/>
      <c r="D68" s="258"/>
      <c r="E68" s="258"/>
      <c r="F68" s="258"/>
      <c r="G68" s="258"/>
      <c r="H68" s="258"/>
      <c r="I68" s="258"/>
      <c r="J68" s="258"/>
      <c r="K68" s="258"/>
      <c r="L68" s="258"/>
    </row>
    <row r="69" spans="1:12" x14ac:dyDescent="0.35">
      <c r="A69" s="258"/>
      <c r="B69" s="258"/>
      <c r="C69" s="258"/>
      <c r="D69" s="258"/>
      <c r="E69" s="258"/>
      <c r="F69" s="258"/>
      <c r="G69" s="258"/>
      <c r="H69" s="258"/>
      <c r="I69" s="258"/>
      <c r="J69" s="258"/>
      <c r="K69" s="258"/>
      <c r="L69" s="258"/>
    </row>
    <row r="70" spans="1:12" x14ac:dyDescent="0.35">
      <c r="A70" s="258"/>
      <c r="B70" s="258"/>
      <c r="C70" s="258"/>
      <c r="D70" s="258"/>
      <c r="E70" s="258"/>
      <c r="F70" s="258"/>
      <c r="G70" s="258"/>
      <c r="H70" s="258"/>
      <c r="I70" s="258"/>
      <c r="J70" s="258"/>
      <c r="K70" s="258"/>
      <c r="L70" s="258"/>
    </row>
    <row r="71" spans="1:12" x14ac:dyDescent="0.35">
      <c r="A71" s="258"/>
      <c r="B71" s="258"/>
      <c r="C71" s="258"/>
      <c r="D71" s="258"/>
      <c r="E71" s="258"/>
      <c r="F71" s="258"/>
      <c r="G71" s="258"/>
      <c r="H71" s="258"/>
      <c r="I71" s="258"/>
      <c r="J71" s="258"/>
      <c r="K71" s="258"/>
      <c r="L71" s="258"/>
    </row>
    <row r="72" spans="1:12" x14ac:dyDescent="0.35">
      <c r="A72" s="258"/>
      <c r="B72" s="258"/>
      <c r="C72" s="258"/>
      <c r="D72" s="258"/>
      <c r="E72" s="258"/>
      <c r="F72" s="258"/>
      <c r="G72" s="258"/>
      <c r="H72" s="258"/>
      <c r="I72" s="258"/>
      <c r="J72" s="258"/>
      <c r="K72" s="258"/>
      <c r="L72" s="258"/>
    </row>
    <row r="73" spans="1:12" x14ac:dyDescent="0.35">
      <c r="A73" s="258"/>
      <c r="B73" s="258"/>
      <c r="C73" s="258"/>
      <c r="D73" s="258"/>
      <c r="E73" s="258"/>
      <c r="F73" s="258"/>
      <c r="G73" s="258"/>
      <c r="H73" s="258"/>
      <c r="I73" s="258"/>
      <c r="J73" s="258"/>
      <c r="K73" s="258"/>
      <c r="L73" s="258"/>
    </row>
    <row r="74" spans="1:12" x14ac:dyDescent="0.35">
      <c r="A74" s="258"/>
      <c r="B74" s="258"/>
      <c r="C74" s="258"/>
      <c r="D74" s="258"/>
      <c r="E74" s="258"/>
      <c r="F74" s="258"/>
      <c r="G74" s="258"/>
      <c r="H74" s="258"/>
      <c r="I74" s="258"/>
      <c r="J74" s="258"/>
      <c r="K74" s="258"/>
      <c r="L74" s="258"/>
    </row>
    <row r="75" spans="1:12" x14ac:dyDescent="0.35">
      <c r="A75" s="258"/>
      <c r="B75" s="258"/>
      <c r="C75" s="258"/>
      <c r="D75" s="258"/>
      <c r="E75" s="258"/>
      <c r="F75" s="258"/>
      <c r="G75" s="258"/>
      <c r="H75" s="258"/>
      <c r="I75" s="258"/>
      <c r="J75" s="258"/>
      <c r="K75" s="258"/>
      <c r="L75" s="258"/>
    </row>
    <row r="76" spans="1:12" x14ac:dyDescent="0.35">
      <c r="A76" s="258"/>
      <c r="B76" s="258"/>
      <c r="C76" s="258"/>
      <c r="D76" s="258"/>
      <c r="E76" s="258"/>
      <c r="F76" s="258"/>
      <c r="G76" s="258"/>
      <c r="H76" s="258"/>
      <c r="I76" s="258"/>
      <c r="J76" s="258"/>
      <c r="K76" s="258"/>
      <c r="L76" s="258"/>
    </row>
    <row r="77" spans="1:12" x14ac:dyDescent="0.35">
      <c r="A77" s="258"/>
      <c r="B77" s="258"/>
      <c r="C77" s="258"/>
      <c r="D77" s="258"/>
      <c r="E77" s="258"/>
      <c r="F77" s="258"/>
      <c r="G77" s="258"/>
      <c r="H77" s="258"/>
      <c r="I77" s="258"/>
      <c r="J77" s="258"/>
      <c r="K77" s="258"/>
      <c r="L77" s="258"/>
    </row>
    <row r="78" spans="1:12" x14ac:dyDescent="0.35">
      <c r="A78" s="258"/>
      <c r="B78" s="258"/>
      <c r="C78" s="258"/>
      <c r="D78" s="258"/>
      <c r="E78" s="258"/>
      <c r="F78" s="258"/>
      <c r="G78" s="258"/>
      <c r="H78" s="258"/>
      <c r="I78" s="258"/>
      <c r="J78" s="258"/>
      <c r="K78" s="258"/>
      <c r="L78" s="258"/>
    </row>
    <row r="79" spans="1:12" x14ac:dyDescent="0.35">
      <c r="A79" s="258"/>
      <c r="B79" s="258"/>
      <c r="C79" s="258"/>
      <c r="D79" s="258"/>
      <c r="E79" s="258"/>
      <c r="F79" s="258"/>
      <c r="G79" s="258"/>
      <c r="H79" s="258"/>
      <c r="I79" s="258"/>
      <c r="J79" s="258"/>
      <c r="K79" s="258"/>
      <c r="L79" s="258"/>
    </row>
    <row r="80" spans="1:12" x14ac:dyDescent="0.35">
      <c r="A80" s="258"/>
      <c r="B80" s="258"/>
      <c r="C80" s="258"/>
      <c r="D80" s="258"/>
      <c r="E80" s="258"/>
      <c r="F80" s="258"/>
      <c r="G80" s="258"/>
      <c r="H80" s="258"/>
      <c r="I80" s="258"/>
      <c r="J80" s="258"/>
      <c r="K80" s="258"/>
      <c r="L80" s="258"/>
    </row>
    <row r="81" spans="1:12" x14ac:dyDescent="0.35">
      <c r="A81" s="258"/>
      <c r="B81" s="258"/>
      <c r="C81" s="258"/>
      <c r="D81" s="258"/>
      <c r="E81" s="258"/>
      <c r="F81" s="258"/>
      <c r="G81" s="258"/>
      <c r="H81" s="258"/>
      <c r="I81" s="258"/>
      <c r="J81" s="258"/>
      <c r="K81" s="258"/>
      <c r="L81" s="258"/>
    </row>
    <row r="82" spans="1:12" x14ac:dyDescent="0.35">
      <c r="A82" s="258"/>
      <c r="B82" s="258"/>
      <c r="C82" s="258"/>
      <c r="D82" s="258"/>
      <c r="E82" s="258"/>
      <c r="F82" s="258"/>
      <c r="G82" s="258"/>
      <c r="H82" s="258"/>
      <c r="I82" s="258"/>
      <c r="J82" s="258"/>
      <c r="K82" s="258"/>
      <c r="L82" s="258"/>
    </row>
    <row r="83" spans="1:12" x14ac:dyDescent="0.35">
      <c r="A83" s="258"/>
      <c r="B83" s="258"/>
      <c r="C83" s="258"/>
      <c r="D83" s="258"/>
      <c r="E83" s="258"/>
      <c r="F83" s="258"/>
      <c r="G83" s="258"/>
      <c r="H83" s="258"/>
      <c r="I83" s="258"/>
      <c r="J83" s="258"/>
      <c r="K83" s="258"/>
      <c r="L83" s="258"/>
    </row>
    <row r="84" spans="1:12" x14ac:dyDescent="0.35">
      <c r="A84" s="258"/>
      <c r="B84" s="258"/>
      <c r="C84" s="258"/>
      <c r="D84" s="258"/>
      <c r="E84" s="258"/>
      <c r="F84" s="258"/>
      <c r="G84" s="258"/>
      <c r="H84" s="258"/>
      <c r="I84" s="258"/>
      <c r="J84" s="258"/>
      <c r="K84" s="258"/>
      <c r="L84" s="258"/>
    </row>
    <row r="85" spans="1:12" x14ac:dyDescent="0.35">
      <c r="A85" s="258"/>
      <c r="B85" s="258"/>
      <c r="C85" s="258"/>
      <c r="D85" s="258"/>
      <c r="E85" s="258"/>
      <c r="F85" s="258"/>
      <c r="G85" s="258"/>
      <c r="H85" s="258"/>
      <c r="I85" s="258"/>
      <c r="J85" s="258"/>
      <c r="K85" s="258"/>
      <c r="L85" s="258"/>
    </row>
    <row r="86" spans="1:12" x14ac:dyDescent="0.35">
      <c r="A86" s="258"/>
      <c r="B86" s="258"/>
      <c r="C86" s="258"/>
      <c r="D86" s="258"/>
      <c r="E86" s="258"/>
      <c r="F86" s="258"/>
      <c r="G86" s="258"/>
      <c r="H86" s="258"/>
      <c r="I86" s="258"/>
      <c r="J86" s="258"/>
      <c r="K86" s="258"/>
      <c r="L86" s="258"/>
    </row>
    <row r="87" spans="1:12" x14ac:dyDescent="0.35">
      <c r="A87" s="258"/>
      <c r="B87" s="258"/>
      <c r="C87" s="258"/>
      <c r="D87" s="258"/>
      <c r="E87" s="258"/>
      <c r="F87" s="258"/>
      <c r="G87" s="258"/>
      <c r="H87" s="258"/>
      <c r="I87" s="258"/>
      <c r="J87" s="258"/>
      <c r="K87" s="258"/>
      <c r="L87" s="258"/>
    </row>
    <row r="88" spans="1:12" x14ac:dyDescent="0.35">
      <c r="A88" s="258"/>
      <c r="B88" s="258"/>
      <c r="C88" s="258"/>
      <c r="D88" s="258"/>
      <c r="E88" s="258"/>
      <c r="F88" s="258"/>
      <c r="G88" s="258"/>
      <c r="H88" s="258"/>
      <c r="I88" s="258"/>
      <c r="J88" s="258"/>
      <c r="K88" s="258"/>
      <c r="L88" s="258"/>
    </row>
    <row r="89" spans="1:12" x14ac:dyDescent="0.35">
      <c r="A89" s="258"/>
      <c r="B89" s="258"/>
      <c r="C89" s="258"/>
      <c r="D89" s="258"/>
      <c r="E89" s="258"/>
      <c r="F89" s="258"/>
      <c r="G89" s="258"/>
      <c r="H89" s="258"/>
      <c r="I89" s="258"/>
      <c r="J89" s="258"/>
      <c r="K89" s="258"/>
      <c r="L89" s="258"/>
    </row>
    <row r="90" spans="1:12" x14ac:dyDescent="0.35">
      <c r="A90" s="258"/>
      <c r="B90" s="258"/>
      <c r="C90" s="258"/>
      <c r="D90" s="258"/>
      <c r="E90" s="258"/>
      <c r="F90" s="258"/>
      <c r="G90" s="258"/>
      <c r="H90" s="258"/>
      <c r="I90" s="258"/>
      <c r="J90" s="258"/>
      <c r="K90" s="258"/>
      <c r="L90" s="258"/>
    </row>
    <row r="91" spans="1:12" x14ac:dyDescent="0.35">
      <c r="A91" s="258"/>
      <c r="B91" s="258"/>
      <c r="C91" s="258"/>
      <c r="D91" s="258"/>
      <c r="E91" s="258"/>
      <c r="F91" s="258"/>
      <c r="G91" s="258"/>
      <c r="H91" s="258"/>
      <c r="I91" s="258"/>
      <c r="J91" s="258"/>
      <c r="K91" s="258"/>
      <c r="L91" s="258"/>
    </row>
    <row r="92" spans="1:12" x14ac:dyDescent="0.35">
      <c r="A92" s="258"/>
      <c r="B92" s="258"/>
      <c r="C92" s="258"/>
      <c r="D92" s="258"/>
      <c r="E92" s="258"/>
      <c r="F92" s="258"/>
      <c r="G92" s="258"/>
      <c r="H92" s="258"/>
      <c r="I92" s="258"/>
      <c r="J92" s="258"/>
      <c r="K92" s="258"/>
      <c r="L92" s="258"/>
    </row>
    <row r="93" spans="1:12" x14ac:dyDescent="0.35">
      <c r="A93" s="258"/>
      <c r="B93" s="258"/>
      <c r="C93" s="258"/>
      <c r="D93" s="258"/>
      <c r="E93" s="258"/>
      <c r="F93" s="258"/>
      <c r="G93" s="258"/>
      <c r="H93" s="258"/>
      <c r="I93" s="258"/>
      <c r="J93" s="258"/>
      <c r="K93" s="258"/>
      <c r="L93" s="258"/>
    </row>
    <row r="94" spans="1:12" x14ac:dyDescent="0.35">
      <c r="A94" s="258"/>
      <c r="B94" s="258"/>
      <c r="C94" s="258"/>
      <c r="D94" s="258"/>
      <c r="E94" s="258"/>
      <c r="F94" s="258"/>
      <c r="G94" s="258"/>
      <c r="H94" s="258"/>
      <c r="I94" s="258"/>
      <c r="J94" s="258"/>
      <c r="K94" s="258"/>
      <c r="L94" s="258"/>
    </row>
    <row r="95" spans="1:12" x14ac:dyDescent="0.35">
      <c r="A95" s="258"/>
      <c r="B95" s="258"/>
      <c r="C95" s="258"/>
      <c r="D95" s="258"/>
      <c r="E95" s="258"/>
      <c r="F95" s="258"/>
      <c r="G95" s="258"/>
      <c r="H95" s="258"/>
      <c r="I95" s="258"/>
      <c r="J95" s="258"/>
      <c r="K95" s="258"/>
      <c r="L95" s="258"/>
    </row>
    <row r="96" spans="1:12" x14ac:dyDescent="0.35">
      <c r="A96" s="258"/>
      <c r="B96" s="258"/>
      <c r="C96" s="258"/>
      <c r="D96" s="258"/>
      <c r="E96" s="258"/>
      <c r="F96" s="258"/>
      <c r="G96" s="258"/>
      <c r="H96" s="258"/>
      <c r="I96" s="258"/>
      <c r="J96" s="258"/>
      <c r="K96" s="258"/>
      <c r="L96" s="258"/>
    </row>
    <row r="97" spans="1:12" x14ac:dyDescent="0.35">
      <c r="A97" s="258"/>
      <c r="B97" s="258"/>
      <c r="C97" s="258"/>
      <c r="D97" s="258"/>
      <c r="E97" s="258"/>
      <c r="F97" s="258"/>
      <c r="G97" s="258"/>
      <c r="H97" s="258"/>
      <c r="I97" s="258"/>
      <c r="J97" s="258"/>
      <c r="K97" s="258"/>
      <c r="L97" s="258"/>
    </row>
    <row r="98" spans="1:12" x14ac:dyDescent="0.35">
      <c r="A98" s="258"/>
      <c r="B98" s="258"/>
      <c r="C98" s="258"/>
      <c r="D98" s="258"/>
      <c r="E98" s="258"/>
      <c r="F98" s="258"/>
      <c r="G98" s="258"/>
      <c r="H98" s="258"/>
      <c r="I98" s="258"/>
      <c r="J98" s="258"/>
      <c r="K98" s="258"/>
      <c r="L98" s="258"/>
    </row>
    <row r="99" spans="1:12" x14ac:dyDescent="0.35">
      <c r="A99" s="258"/>
      <c r="B99" s="258"/>
      <c r="C99" s="258"/>
      <c r="D99" s="258"/>
      <c r="E99" s="258"/>
      <c r="F99" s="258"/>
      <c r="G99" s="258"/>
      <c r="H99" s="258"/>
      <c r="I99" s="258"/>
      <c r="J99" s="258"/>
      <c r="K99" s="258"/>
      <c r="L99" s="258"/>
    </row>
    <row r="100" spans="1:12" x14ac:dyDescent="0.35">
      <c r="A100" s="258"/>
      <c r="B100" s="258"/>
      <c r="C100" s="258"/>
      <c r="D100" s="258"/>
      <c r="E100" s="258"/>
      <c r="F100" s="258"/>
      <c r="G100" s="258"/>
      <c r="H100" s="258"/>
      <c r="I100" s="258"/>
      <c r="J100" s="258"/>
      <c r="K100" s="258"/>
      <c r="L100" s="258"/>
    </row>
    <row r="101" spans="1:12" x14ac:dyDescent="0.35">
      <c r="A101" s="258"/>
      <c r="B101" s="258"/>
      <c r="C101" s="258"/>
      <c r="D101" s="258"/>
      <c r="E101" s="258"/>
      <c r="F101" s="258"/>
      <c r="G101" s="258"/>
      <c r="H101" s="258"/>
      <c r="I101" s="258"/>
      <c r="J101" s="258"/>
      <c r="K101" s="258"/>
      <c r="L101" s="258"/>
    </row>
    <row r="102" spans="1:12" x14ac:dyDescent="0.35">
      <c r="A102" s="258"/>
      <c r="B102" s="258"/>
      <c r="C102" s="258"/>
      <c r="D102" s="258"/>
      <c r="E102" s="258"/>
      <c r="F102" s="258"/>
      <c r="G102" s="258"/>
      <c r="H102" s="258"/>
      <c r="I102" s="258"/>
      <c r="J102" s="258"/>
      <c r="K102" s="258"/>
      <c r="L102" s="258"/>
    </row>
    <row r="103" spans="1:12" x14ac:dyDescent="0.35">
      <c r="A103" s="258"/>
      <c r="B103" s="258"/>
      <c r="C103" s="258"/>
      <c r="D103" s="258"/>
      <c r="E103" s="258"/>
      <c r="F103" s="258"/>
      <c r="G103" s="258"/>
      <c r="H103" s="258"/>
      <c r="I103" s="258"/>
      <c r="J103" s="258"/>
      <c r="K103" s="258"/>
      <c r="L103" s="258"/>
    </row>
    <row r="104" spans="1:12" x14ac:dyDescent="0.35">
      <c r="A104" s="258"/>
      <c r="B104" s="258"/>
      <c r="C104" s="258"/>
      <c r="D104" s="258"/>
      <c r="E104" s="258"/>
      <c r="F104" s="258"/>
      <c r="G104" s="258"/>
      <c r="H104" s="258"/>
      <c r="I104" s="258"/>
      <c r="J104" s="258"/>
      <c r="K104" s="258"/>
      <c r="L104" s="258"/>
    </row>
    <row r="105" spans="1:12" x14ac:dyDescent="0.35">
      <c r="A105" s="258"/>
      <c r="B105" s="258"/>
      <c r="C105" s="258"/>
      <c r="D105" s="258"/>
      <c r="E105" s="258"/>
      <c r="F105" s="258"/>
      <c r="G105" s="258"/>
      <c r="H105" s="258"/>
      <c r="I105" s="258"/>
      <c r="J105" s="258"/>
      <c r="K105" s="258"/>
      <c r="L105" s="258"/>
    </row>
    <row r="106" spans="1:12" x14ac:dyDescent="0.35">
      <c r="A106" s="258"/>
      <c r="B106" s="258"/>
      <c r="C106" s="258"/>
      <c r="D106" s="258"/>
      <c r="E106" s="258"/>
      <c r="F106" s="258"/>
      <c r="G106" s="258"/>
      <c r="H106" s="258"/>
      <c r="I106" s="258"/>
      <c r="J106" s="258"/>
      <c r="K106" s="258"/>
      <c r="L106" s="258"/>
    </row>
    <row r="107" spans="1:12" x14ac:dyDescent="0.35">
      <c r="A107" s="258"/>
      <c r="B107" s="258"/>
      <c r="C107" s="258"/>
      <c r="D107" s="258"/>
      <c r="E107" s="258"/>
      <c r="F107" s="258"/>
      <c r="G107" s="258"/>
      <c r="H107" s="258"/>
      <c r="I107" s="258"/>
      <c r="J107" s="258"/>
      <c r="K107" s="258"/>
      <c r="L107" s="258"/>
    </row>
    <row r="108" spans="1:12" x14ac:dyDescent="0.35">
      <c r="A108" s="258"/>
      <c r="B108" s="258"/>
      <c r="C108" s="258"/>
      <c r="D108" s="258"/>
      <c r="E108" s="258"/>
      <c r="F108" s="258"/>
      <c r="G108" s="258"/>
      <c r="H108" s="258"/>
      <c r="I108" s="258"/>
      <c r="J108" s="258"/>
      <c r="K108" s="258"/>
      <c r="L108" s="258"/>
    </row>
    <row r="109" spans="1:12" x14ac:dyDescent="0.35">
      <c r="A109" s="258"/>
      <c r="B109" s="258"/>
      <c r="C109" s="258"/>
      <c r="D109" s="258"/>
      <c r="E109" s="258"/>
      <c r="F109" s="258"/>
      <c r="G109" s="258"/>
      <c r="H109" s="258"/>
      <c r="I109" s="258"/>
      <c r="J109" s="258"/>
      <c r="K109" s="258"/>
      <c r="L109" s="258"/>
    </row>
    <row r="110" spans="1:12" x14ac:dyDescent="0.35">
      <c r="A110" s="258"/>
      <c r="B110" s="258"/>
      <c r="C110" s="258"/>
      <c r="D110" s="258"/>
      <c r="E110" s="258"/>
      <c r="F110" s="258"/>
      <c r="G110" s="258"/>
      <c r="H110" s="258"/>
      <c r="I110" s="258"/>
      <c r="J110" s="258"/>
      <c r="K110" s="258"/>
      <c r="L110" s="258"/>
    </row>
    <row r="111" spans="1:12" x14ac:dyDescent="0.35">
      <c r="A111" s="258"/>
      <c r="B111" s="258"/>
      <c r="C111" s="258"/>
      <c r="D111" s="258"/>
      <c r="E111" s="258"/>
      <c r="F111" s="258"/>
      <c r="G111" s="258"/>
      <c r="H111" s="258"/>
      <c r="I111" s="258"/>
      <c r="J111" s="258"/>
      <c r="K111" s="258"/>
      <c r="L111" s="258"/>
    </row>
    <row r="112" spans="1:12" x14ac:dyDescent="0.35">
      <c r="A112" s="258"/>
      <c r="B112" s="258"/>
      <c r="C112" s="258"/>
      <c r="D112" s="258"/>
      <c r="E112" s="258"/>
      <c r="F112" s="258"/>
      <c r="G112" s="258"/>
      <c r="H112" s="258"/>
      <c r="I112" s="258"/>
      <c r="J112" s="258"/>
      <c r="K112" s="258"/>
      <c r="L112" s="258"/>
    </row>
    <row r="113" spans="1:12" x14ac:dyDescent="0.35">
      <c r="A113" s="258"/>
      <c r="B113" s="258"/>
      <c r="C113" s="258"/>
      <c r="D113" s="258"/>
      <c r="E113" s="258"/>
      <c r="F113" s="258"/>
      <c r="G113" s="258"/>
      <c r="H113" s="258"/>
      <c r="I113" s="258"/>
      <c r="J113" s="258"/>
      <c r="K113" s="258"/>
      <c r="L113" s="258"/>
    </row>
  </sheetData>
  <mergeCells count="3">
    <mergeCell ref="A4:H4"/>
    <mergeCell ref="A1:H1"/>
    <mergeCell ref="A6:H6"/>
  </mergeCells>
  <phoneticPr fontId="0" type="noConversion"/>
  <pageMargins left="0.75" right="0.75" top="1" bottom="1" header="0.5" footer="0.5"/>
  <pageSetup scale="75" orientation="portrait" r:id="rId1"/>
  <headerFooter alignWithMargins="0"/>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election sqref="A1:H1"/>
    </sheetView>
  </sheetViews>
  <sheetFormatPr defaultColWidth="9.765625" defaultRowHeight="15.5" x14ac:dyDescent="0.35"/>
  <cols>
    <col min="1" max="1" width="2.765625" style="3" customWidth="1"/>
    <col min="2" max="4" width="9.765625" style="3"/>
    <col min="5" max="5" width="21.765625" style="3" customWidth="1"/>
    <col min="6" max="6" width="13.765625" style="3" customWidth="1"/>
    <col min="7" max="7" width="9.84375" style="3" customWidth="1"/>
    <col min="8" max="8" width="7.765625" style="3" customWidth="1"/>
    <col min="9" max="16384" width="9.765625" style="3"/>
  </cols>
  <sheetData>
    <row r="1" spans="1:8" x14ac:dyDescent="0.35">
      <c r="A1" s="829" t="s">
        <v>161</v>
      </c>
      <c r="B1" s="829"/>
      <c r="C1" s="829"/>
      <c r="D1" s="829"/>
      <c r="E1" s="829"/>
      <c r="F1" s="829"/>
      <c r="G1" s="829"/>
      <c r="H1" s="829"/>
    </row>
    <row r="4" spans="1:8" x14ac:dyDescent="0.35">
      <c r="A4" s="829" t="s">
        <v>621</v>
      </c>
      <c r="B4" s="829"/>
      <c r="C4" s="829"/>
      <c r="D4" s="829"/>
      <c r="E4" s="829"/>
      <c r="F4" s="829"/>
      <c r="G4" s="829"/>
      <c r="H4" s="829"/>
    </row>
    <row r="6" spans="1:8" x14ac:dyDescent="0.35">
      <c r="A6" s="763" t="str">
        <f>CONCATENATE('Input Data'!D4," through ",'Input Data'!D5)</f>
        <v>August 1, 2022 through October 31, 2022</v>
      </c>
      <c r="B6" s="763"/>
      <c r="C6" s="763"/>
      <c r="D6" s="763"/>
      <c r="E6" s="763"/>
      <c r="F6" s="763"/>
      <c r="G6" s="763"/>
      <c r="H6" s="763"/>
    </row>
    <row r="7" spans="1:8" x14ac:dyDescent="0.35">
      <c r="A7" s="239"/>
      <c r="B7" s="239"/>
      <c r="C7" s="239"/>
      <c r="D7" s="239"/>
      <c r="E7" s="239"/>
      <c r="F7" s="239"/>
      <c r="G7" s="239"/>
      <c r="H7" s="239"/>
    </row>
    <row r="9" spans="1:8" x14ac:dyDescent="0.35">
      <c r="B9" s="240"/>
      <c r="G9" s="241"/>
    </row>
    <row r="11" spans="1:8" x14ac:dyDescent="0.35">
      <c r="C11" s="242" t="s">
        <v>596</v>
      </c>
    </row>
    <row r="13" spans="1:8" x14ac:dyDescent="0.35">
      <c r="B13" s="13" t="s">
        <v>163</v>
      </c>
      <c r="G13" s="700">
        <v>550</v>
      </c>
    </row>
    <row r="15" spans="1:8" x14ac:dyDescent="0.35">
      <c r="B15" s="13" t="s">
        <v>597</v>
      </c>
      <c r="G15" s="700">
        <v>750</v>
      </c>
    </row>
    <row r="17" spans="1:8" x14ac:dyDescent="0.35">
      <c r="B17" s="13" t="s">
        <v>599</v>
      </c>
      <c r="G17" s="700">
        <v>7.38</v>
      </c>
    </row>
    <row r="19" spans="1:8" x14ac:dyDescent="0.35">
      <c r="B19" s="13" t="s">
        <v>164</v>
      </c>
      <c r="G19" s="99">
        <v>4.5600000000000002E-2</v>
      </c>
    </row>
    <row r="20" spans="1:8" x14ac:dyDescent="0.35">
      <c r="B20" s="13"/>
      <c r="G20" s="99"/>
    </row>
    <row r="21" spans="1:8" x14ac:dyDescent="0.35">
      <c r="B21" s="3" t="s">
        <v>1023</v>
      </c>
      <c r="G21" s="99">
        <v>1.5E-3</v>
      </c>
    </row>
    <row r="22" spans="1:8" x14ac:dyDescent="0.35">
      <c r="G22" s="99"/>
    </row>
    <row r="23" spans="1:8" x14ac:dyDescent="0.35">
      <c r="B23" s="3" t="s">
        <v>1041</v>
      </c>
      <c r="G23" s="99">
        <v>0</v>
      </c>
    </row>
    <row r="24" spans="1:8" x14ac:dyDescent="0.35">
      <c r="A24" s="239"/>
      <c r="B24" s="239"/>
      <c r="C24" s="239"/>
      <c r="D24" s="239"/>
      <c r="E24" s="239"/>
      <c r="F24" s="239"/>
      <c r="G24" s="239"/>
      <c r="H24" s="239"/>
    </row>
    <row r="28" spans="1:8" x14ac:dyDescent="0.35">
      <c r="C28" s="242" t="s">
        <v>165</v>
      </c>
    </row>
    <row r="30" spans="1:8" x14ac:dyDescent="0.35">
      <c r="B30" s="13" t="s">
        <v>166</v>
      </c>
      <c r="G30" s="99">
        <f>'Ex A 2 of 2'!F54</f>
        <v>0.16980000000000001</v>
      </c>
    </row>
    <row r="31" spans="1:8" x14ac:dyDescent="0.35">
      <c r="B31" s="13" t="s">
        <v>167</v>
      </c>
      <c r="G31" s="701">
        <v>0.37969999999999998</v>
      </c>
    </row>
    <row r="32" spans="1:8" x14ac:dyDescent="0.35">
      <c r="B32" s="13" t="s">
        <v>168</v>
      </c>
      <c r="G32" s="99">
        <f>(G30+G31)</f>
        <v>0.54949999999999999</v>
      </c>
    </row>
    <row r="34" spans="2:8" x14ac:dyDescent="0.35">
      <c r="B34" s="3" t="s">
        <v>609</v>
      </c>
    </row>
    <row r="35" spans="2:8" x14ac:dyDescent="0.35">
      <c r="C35" s="3" t="s">
        <v>169</v>
      </c>
      <c r="F35" s="3" t="s">
        <v>170</v>
      </c>
    </row>
    <row r="36" spans="2:8" x14ac:dyDescent="0.35">
      <c r="F36" s="3" t="s">
        <v>1049</v>
      </c>
    </row>
    <row r="37" spans="2:8" x14ac:dyDescent="0.35">
      <c r="F37" s="3" t="s">
        <v>598</v>
      </c>
    </row>
    <row r="38" spans="2:8" x14ac:dyDescent="0.35">
      <c r="B38" s="3" t="s">
        <v>609</v>
      </c>
    </row>
    <row r="39" spans="2:8" x14ac:dyDescent="0.35">
      <c r="B39" s="243" t="s">
        <v>171</v>
      </c>
    </row>
    <row r="41" spans="2:8" x14ac:dyDescent="0.35">
      <c r="B41" s="242" t="s">
        <v>603</v>
      </c>
    </row>
    <row r="42" spans="2:8" x14ac:dyDescent="0.35">
      <c r="C42" s="13" t="s">
        <v>173</v>
      </c>
      <c r="F42" s="244"/>
      <c r="G42" s="245">
        <v>1</v>
      </c>
      <c r="H42" s="13"/>
    </row>
    <row r="43" spans="2:8" x14ac:dyDescent="0.35">
      <c r="C43" s="13" t="s">
        <v>174</v>
      </c>
      <c r="G43" s="245">
        <f>(G$42*1.1)</f>
        <v>1.1000000000000001</v>
      </c>
    </row>
    <row r="44" spans="2:8" x14ac:dyDescent="0.35">
      <c r="C44" s="13" t="s">
        <v>174</v>
      </c>
      <c r="G44" s="245">
        <f>(G$42*1.2)</f>
        <v>1.2</v>
      </c>
    </row>
    <row r="45" spans="2:8" x14ac:dyDescent="0.35">
      <c r="C45" s="13" t="s">
        <v>174</v>
      </c>
      <c r="G45" s="245">
        <f>(G$42*1.3)</f>
        <v>1.3</v>
      </c>
    </row>
    <row r="46" spans="2:8" x14ac:dyDescent="0.35">
      <c r="C46" s="13" t="s">
        <v>175</v>
      </c>
      <c r="G46" s="245">
        <f>(G$42*1.4)</f>
        <v>1.4</v>
      </c>
    </row>
    <row r="48" spans="2:8" x14ac:dyDescent="0.35">
      <c r="B48" s="242" t="s">
        <v>604</v>
      </c>
    </row>
    <row r="49" spans="1:12" x14ac:dyDescent="0.35">
      <c r="C49" s="13" t="s">
        <v>173</v>
      </c>
      <c r="G49" s="245">
        <f>(G42)</f>
        <v>1</v>
      </c>
      <c r="H49" s="13"/>
    </row>
    <row r="50" spans="1:12" x14ac:dyDescent="0.35">
      <c r="C50" s="13" t="s">
        <v>174</v>
      </c>
      <c r="G50" s="245">
        <f>(G$42*0.9)</f>
        <v>0.9</v>
      </c>
    </row>
    <row r="51" spans="1:12" x14ac:dyDescent="0.35">
      <c r="C51" s="13" t="s">
        <v>174</v>
      </c>
      <c r="G51" s="245">
        <f>(G$42*0.8)</f>
        <v>0.8</v>
      </c>
    </row>
    <row r="52" spans="1:12" x14ac:dyDescent="0.35">
      <c r="C52" s="13" t="s">
        <v>174</v>
      </c>
      <c r="G52" s="245">
        <f>(G$42*0.7)</f>
        <v>0.7</v>
      </c>
    </row>
    <row r="53" spans="1:12" x14ac:dyDescent="0.35">
      <c r="C53" s="13" t="s">
        <v>175</v>
      </c>
      <c r="G53" s="245">
        <f>(G$42*0.6)</f>
        <v>0.6</v>
      </c>
    </row>
    <row r="54" spans="1:12" x14ac:dyDescent="0.35">
      <c r="C54" s="13"/>
      <c r="G54" s="245"/>
    </row>
    <row r="55" spans="1:12" x14ac:dyDescent="0.35">
      <c r="A55" s="246"/>
      <c r="B55" s="239"/>
      <c r="C55" s="239"/>
      <c r="D55" s="239"/>
      <c r="E55" s="239"/>
      <c r="F55" s="239"/>
      <c r="G55" s="239"/>
      <c r="H55" s="239"/>
    </row>
    <row r="57" spans="1:12" x14ac:dyDescent="0.35">
      <c r="A57" s="2"/>
      <c r="B57" s="258"/>
      <c r="C57" s="258"/>
      <c r="D57" s="258"/>
      <c r="E57" s="258"/>
      <c r="F57" s="258"/>
      <c r="G57" s="258"/>
      <c r="H57" s="258"/>
      <c r="I57" s="258"/>
      <c r="J57" s="258"/>
      <c r="K57" s="258"/>
      <c r="L57" s="258"/>
    </row>
    <row r="58" spans="1:12" x14ac:dyDescent="0.35">
      <c r="A58" s="258"/>
      <c r="B58" s="258"/>
      <c r="C58" s="258"/>
      <c r="D58" s="258"/>
      <c r="E58" s="258"/>
      <c r="F58" s="258"/>
      <c r="G58" s="258"/>
      <c r="H58" s="258"/>
      <c r="I58" s="258"/>
      <c r="J58" s="258"/>
      <c r="K58" s="258"/>
      <c r="L58" s="258"/>
    </row>
    <row r="59" spans="1:12" x14ac:dyDescent="0.35">
      <c r="A59" s="258"/>
      <c r="B59" s="258"/>
      <c r="C59" s="258"/>
      <c r="D59" s="258"/>
      <c r="E59" s="258"/>
      <c r="F59" s="258"/>
      <c r="G59" s="258"/>
      <c r="H59" s="258"/>
      <c r="I59" s="258"/>
      <c r="J59" s="258"/>
      <c r="K59" s="258"/>
      <c r="L59" s="258"/>
    </row>
    <row r="60" spans="1:12" x14ac:dyDescent="0.35">
      <c r="A60" s="258"/>
      <c r="B60" s="258"/>
      <c r="C60" s="258"/>
      <c r="D60" s="258"/>
      <c r="E60" s="258"/>
      <c r="F60" s="258"/>
      <c r="G60" s="258"/>
      <c r="H60" s="258"/>
      <c r="I60" s="258"/>
      <c r="J60" s="258"/>
      <c r="K60" s="258"/>
      <c r="L60" s="258"/>
    </row>
    <row r="61" spans="1:12" x14ac:dyDescent="0.35">
      <c r="A61" s="258"/>
      <c r="B61" s="258"/>
      <c r="C61" s="258"/>
      <c r="D61" s="258"/>
      <c r="E61" s="258"/>
      <c r="F61" s="258"/>
      <c r="G61" s="258"/>
      <c r="H61" s="258"/>
      <c r="I61" s="258"/>
      <c r="J61" s="258"/>
      <c r="K61" s="258"/>
      <c r="L61" s="258"/>
    </row>
    <row r="62" spans="1:12" x14ac:dyDescent="0.35">
      <c r="A62" s="258"/>
      <c r="B62" s="258"/>
      <c r="C62" s="258"/>
      <c r="D62" s="258"/>
      <c r="E62" s="258"/>
      <c r="F62" s="258"/>
      <c r="G62" s="258"/>
      <c r="H62" s="258"/>
      <c r="I62" s="258"/>
      <c r="J62" s="258"/>
      <c r="K62" s="258"/>
      <c r="L62" s="258"/>
    </row>
    <row r="63" spans="1:12" x14ac:dyDescent="0.35">
      <c r="A63" s="258"/>
      <c r="B63" s="258"/>
      <c r="C63" s="258"/>
      <c r="D63" s="258"/>
      <c r="E63" s="258"/>
      <c r="F63" s="258"/>
      <c r="G63" s="258"/>
      <c r="H63" s="258"/>
      <c r="I63" s="258"/>
      <c r="J63" s="258"/>
      <c r="K63" s="258"/>
      <c r="L63" s="258"/>
    </row>
    <row r="64" spans="1:12" x14ac:dyDescent="0.35">
      <c r="A64" s="258"/>
      <c r="B64" s="258"/>
      <c r="C64" s="258"/>
      <c r="D64" s="258"/>
      <c r="E64" s="258"/>
      <c r="F64" s="258"/>
      <c r="G64" s="258"/>
      <c r="H64" s="258"/>
      <c r="I64" s="258"/>
      <c r="J64" s="258"/>
      <c r="K64" s="258"/>
      <c r="L64" s="258"/>
    </row>
    <row r="65" spans="1:12" x14ac:dyDescent="0.35">
      <c r="A65" s="258"/>
      <c r="B65" s="258"/>
      <c r="C65" s="258"/>
      <c r="D65" s="258"/>
      <c r="E65" s="258"/>
      <c r="F65" s="258"/>
      <c r="G65" s="258"/>
      <c r="H65" s="258"/>
      <c r="I65" s="258"/>
      <c r="J65" s="258"/>
      <c r="K65" s="258"/>
      <c r="L65" s="258"/>
    </row>
    <row r="66" spans="1:12" x14ac:dyDescent="0.35">
      <c r="A66" s="258"/>
      <c r="B66" s="258"/>
      <c r="C66" s="258"/>
      <c r="D66" s="258"/>
      <c r="E66" s="258"/>
      <c r="F66" s="258"/>
      <c r="G66" s="258"/>
      <c r="H66" s="258"/>
      <c r="I66" s="258"/>
      <c r="J66" s="258"/>
      <c r="K66" s="258"/>
      <c r="L66" s="258"/>
    </row>
    <row r="67" spans="1:12" x14ac:dyDescent="0.35">
      <c r="A67" s="258"/>
      <c r="B67" s="258"/>
      <c r="C67" s="258"/>
      <c r="D67" s="258"/>
      <c r="E67" s="258"/>
      <c r="F67" s="258"/>
      <c r="G67" s="258"/>
      <c r="H67" s="258"/>
      <c r="I67" s="258"/>
      <c r="J67" s="258"/>
      <c r="K67" s="258"/>
      <c r="L67" s="258"/>
    </row>
    <row r="68" spans="1:12" x14ac:dyDescent="0.35">
      <c r="A68" s="258"/>
      <c r="B68" s="258"/>
      <c r="C68" s="258"/>
      <c r="D68" s="258"/>
      <c r="E68" s="258"/>
      <c r="F68" s="258"/>
      <c r="G68" s="258"/>
      <c r="H68" s="258"/>
      <c r="I68" s="258"/>
      <c r="J68" s="258"/>
      <c r="K68" s="258"/>
      <c r="L68" s="258"/>
    </row>
    <row r="69" spans="1:12" x14ac:dyDescent="0.35">
      <c r="A69" s="258"/>
      <c r="B69" s="258"/>
      <c r="C69" s="258"/>
      <c r="D69" s="258"/>
      <c r="E69" s="258"/>
      <c r="F69" s="258"/>
      <c r="G69" s="258"/>
      <c r="H69" s="258"/>
      <c r="I69" s="258"/>
      <c r="J69" s="258"/>
      <c r="K69" s="258"/>
      <c r="L69" s="258"/>
    </row>
    <row r="70" spans="1:12" x14ac:dyDescent="0.35">
      <c r="A70" s="258"/>
      <c r="B70" s="258"/>
      <c r="C70" s="258"/>
      <c r="D70" s="258"/>
      <c r="E70" s="258"/>
      <c r="F70" s="258"/>
      <c r="G70" s="258"/>
      <c r="H70" s="258"/>
      <c r="I70" s="258"/>
      <c r="J70" s="258"/>
      <c r="K70" s="258"/>
      <c r="L70" s="258"/>
    </row>
    <row r="71" spans="1:12" x14ac:dyDescent="0.35">
      <c r="A71" s="258"/>
      <c r="B71" s="258"/>
      <c r="C71" s="258"/>
      <c r="D71" s="258"/>
      <c r="E71" s="258"/>
      <c r="F71" s="258"/>
      <c r="G71" s="258"/>
      <c r="H71" s="258"/>
      <c r="I71" s="258"/>
      <c r="J71" s="258"/>
      <c r="K71" s="258"/>
      <c r="L71" s="258"/>
    </row>
    <row r="72" spans="1:12" x14ac:dyDescent="0.35">
      <c r="A72" s="258"/>
      <c r="B72" s="258"/>
      <c r="C72" s="258"/>
      <c r="D72" s="258"/>
      <c r="E72" s="258"/>
      <c r="F72" s="258"/>
      <c r="G72" s="258"/>
      <c r="H72" s="258"/>
      <c r="I72" s="258"/>
      <c r="J72" s="258"/>
      <c r="K72" s="258"/>
      <c r="L72" s="258"/>
    </row>
    <row r="73" spans="1:12" x14ac:dyDescent="0.35">
      <c r="A73" s="258"/>
      <c r="B73" s="258"/>
      <c r="C73" s="258"/>
      <c r="D73" s="258"/>
      <c r="E73" s="258"/>
      <c r="F73" s="258"/>
      <c r="G73" s="258"/>
      <c r="H73" s="258"/>
      <c r="I73" s="258"/>
      <c r="J73" s="258"/>
      <c r="K73" s="258"/>
      <c r="L73" s="258"/>
    </row>
    <row r="74" spans="1:12" x14ac:dyDescent="0.35">
      <c r="A74" s="258"/>
      <c r="B74" s="258"/>
      <c r="C74" s="258"/>
      <c r="D74" s="258"/>
      <c r="E74" s="258"/>
      <c r="F74" s="258"/>
      <c r="G74" s="258"/>
      <c r="H74" s="258"/>
      <c r="I74" s="258"/>
      <c r="J74" s="258"/>
      <c r="K74" s="258"/>
      <c r="L74" s="258"/>
    </row>
    <row r="75" spans="1:12" x14ac:dyDescent="0.35">
      <c r="A75" s="258"/>
      <c r="B75" s="258"/>
      <c r="C75" s="258"/>
      <c r="D75" s="258"/>
      <c r="E75" s="258"/>
      <c r="F75" s="258"/>
      <c r="G75" s="258"/>
      <c r="H75" s="258"/>
      <c r="I75" s="258"/>
      <c r="J75" s="258"/>
      <c r="K75" s="258"/>
      <c r="L75" s="258"/>
    </row>
    <row r="76" spans="1:12" x14ac:dyDescent="0.35">
      <c r="A76" s="258"/>
      <c r="B76" s="258"/>
      <c r="C76" s="258"/>
      <c r="D76" s="258"/>
      <c r="E76" s="258"/>
      <c r="F76" s="258"/>
      <c r="G76" s="258"/>
      <c r="H76" s="258"/>
      <c r="I76" s="258"/>
      <c r="J76" s="258"/>
      <c r="K76" s="258"/>
      <c r="L76" s="258"/>
    </row>
    <row r="77" spans="1:12" x14ac:dyDescent="0.35">
      <c r="A77" s="258"/>
      <c r="B77" s="258"/>
      <c r="C77" s="258"/>
      <c r="D77" s="258"/>
      <c r="E77" s="258"/>
      <c r="F77" s="258"/>
      <c r="G77" s="258"/>
      <c r="H77" s="258"/>
      <c r="I77" s="258"/>
      <c r="J77" s="258"/>
      <c r="K77" s="258"/>
      <c r="L77" s="258"/>
    </row>
    <row r="78" spans="1:12" x14ac:dyDescent="0.35">
      <c r="A78" s="258"/>
      <c r="B78" s="258"/>
      <c r="C78" s="258"/>
      <c r="D78" s="258"/>
      <c r="E78" s="258"/>
      <c r="F78" s="258"/>
      <c r="G78" s="258"/>
      <c r="H78" s="258"/>
      <c r="I78" s="258"/>
      <c r="J78" s="258"/>
      <c r="K78" s="258"/>
      <c r="L78" s="258"/>
    </row>
    <row r="79" spans="1:12" x14ac:dyDescent="0.35">
      <c r="A79" s="258"/>
      <c r="B79" s="258"/>
      <c r="C79" s="258"/>
      <c r="D79" s="258"/>
      <c r="E79" s="258"/>
      <c r="F79" s="258"/>
      <c r="G79" s="258"/>
      <c r="H79" s="258"/>
      <c r="I79" s="258"/>
      <c r="J79" s="258"/>
      <c r="K79" s="258"/>
      <c r="L79" s="258"/>
    </row>
    <row r="80" spans="1:12" x14ac:dyDescent="0.35">
      <c r="A80" s="258"/>
      <c r="B80" s="258"/>
      <c r="C80" s="258"/>
      <c r="D80" s="258"/>
      <c r="E80" s="258"/>
      <c r="F80" s="258"/>
      <c r="G80" s="258"/>
      <c r="H80" s="258"/>
      <c r="I80" s="258"/>
      <c r="J80" s="258"/>
      <c r="K80" s="258"/>
      <c r="L80" s="258"/>
    </row>
    <row r="81" spans="1:12" x14ac:dyDescent="0.35">
      <c r="A81" s="258"/>
      <c r="B81" s="258"/>
      <c r="C81" s="258"/>
      <c r="D81" s="258"/>
      <c r="E81" s="258"/>
      <c r="F81" s="258"/>
      <c r="G81" s="258"/>
      <c r="H81" s="258"/>
      <c r="I81" s="258"/>
      <c r="J81" s="258"/>
      <c r="K81" s="258"/>
      <c r="L81" s="258"/>
    </row>
    <row r="82" spans="1:12" x14ac:dyDescent="0.35">
      <c r="A82" s="258"/>
      <c r="B82" s="258"/>
      <c r="C82" s="258"/>
      <c r="D82" s="258"/>
      <c r="E82" s="258"/>
      <c r="F82" s="258"/>
      <c r="G82" s="258"/>
      <c r="H82" s="258"/>
      <c r="I82" s="258"/>
      <c r="J82" s="258"/>
      <c r="K82" s="258"/>
      <c r="L82" s="258"/>
    </row>
    <row r="83" spans="1:12" x14ac:dyDescent="0.35">
      <c r="A83" s="258"/>
      <c r="B83" s="258"/>
      <c r="C83" s="258"/>
      <c r="D83" s="258"/>
      <c r="E83" s="258"/>
      <c r="F83" s="258"/>
      <c r="G83" s="258"/>
      <c r="H83" s="258"/>
      <c r="I83" s="258"/>
      <c r="J83" s="258"/>
      <c r="K83" s="258"/>
      <c r="L83" s="258"/>
    </row>
    <row r="84" spans="1:12" x14ac:dyDescent="0.35">
      <c r="A84" s="258"/>
      <c r="B84" s="258"/>
      <c r="C84" s="258"/>
      <c r="D84" s="258"/>
      <c r="E84" s="258"/>
      <c r="F84" s="258"/>
      <c r="G84" s="258"/>
      <c r="H84" s="258"/>
      <c r="I84" s="258"/>
      <c r="J84" s="258"/>
      <c r="K84" s="258"/>
      <c r="L84" s="258"/>
    </row>
    <row r="85" spans="1:12" x14ac:dyDescent="0.35">
      <c r="A85" s="258"/>
      <c r="B85" s="258"/>
      <c r="C85" s="258"/>
      <c r="D85" s="258"/>
      <c r="E85" s="258"/>
      <c r="F85" s="258"/>
      <c r="G85" s="258"/>
      <c r="H85" s="258"/>
      <c r="I85" s="258"/>
      <c r="J85" s="258"/>
      <c r="K85" s="258"/>
      <c r="L85" s="258"/>
    </row>
    <row r="86" spans="1:12" x14ac:dyDescent="0.35">
      <c r="A86" s="258"/>
      <c r="B86" s="258"/>
      <c r="C86" s="258"/>
      <c r="D86" s="258"/>
      <c r="E86" s="258"/>
      <c r="F86" s="258"/>
      <c r="G86" s="258"/>
      <c r="H86" s="258"/>
      <c r="I86" s="258"/>
      <c r="J86" s="258"/>
      <c r="K86" s="258"/>
      <c r="L86" s="258"/>
    </row>
    <row r="87" spans="1:12" x14ac:dyDescent="0.35">
      <c r="A87" s="258"/>
      <c r="B87" s="258"/>
      <c r="C87" s="258"/>
      <c r="D87" s="258"/>
      <c r="E87" s="258"/>
      <c r="F87" s="258"/>
      <c r="G87" s="258"/>
      <c r="H87" s="258"/>
      <c r="I87" s="258"/>
      <c r="J87" s="258"/>
      <c r="K87" s="258"/>
      <c r="L87" s="258"/>
    </row>
    <row r="88" spans="1:12" x14ac:dyDescent="0.35">
      <c r="A88" s="258"/>
      <c r="B88" s="258"/>
      <c r="C88" s="258"/>
      <c r="D88" s="258"/>
      <c r="E88" s="258"/>
      <c r="F88" s="258"/>
      <c r="G88" s="258"/>
      <c r="H88" s="258"/>
      <c r="I88" s="258"/>
      <c r="J88" s="258"/>
      <c r="K88" s="258"/>
      <c r="L88" s="258"/>
    </row>
    <row r="89" spans="1:12" x14ac:dyDescent="0.35">
      <c r="A89" s="258"/>
      <c r="B89" s="258"/>
      <c r="C89" s="258"/>
      <c r="D89" s="258"/>
      <c r="E89" s="258"/>
      <c r="F89" s="258"/>
      <c r="G89" s="258"/>
      <c r="H89" s="258"/>
      <c r="I89" s="258"/>
      <c r="J89" s="258"/>
      <c r="K89" s="258"/>
      <c r="L89" s="258"/>
    </row>
    <row r="90" spans="1:12" x14ac:dyDescent="0.35">
      <c r="A90" s="258"/>
      <c r="B90" s="258"/>
      <c r="C90" s="258"/>
      <c r="D90" s="258"/>
      <c r="E90" s="258"/>
      <c r="F90" s="258"/>
      <c r="G90" s="258"/>
      <c r="H90" s="258"/>
      <c r="I90" s="258"/>
      <c r="J90" s="258"/>
      <c r="K90" s="258"/>
      <c r="L90" s="258"/>
    </row>
    <row r="91" spans="1:12" x14ac:dyDescent="0.35">
      <c r="A91" s="258"/>
      <c r="B91" s="258"/>
      <c r="C91" s="258"/>
      <c r="D91" s="258"/>
      <c r="E91" s="258"/>
      <c r="F91" s="258"/>
      <c r="G91" s="258"/>
      <c r="H91" s="258"/>
      <c r="I91" s="258"/>
      <c r="J91" s="258"/>
      <c r="K91" s="258"/>
      <c r="L91" s="258"/>
    </row>
    <row r="92" spans="1:12" x14ac:dyDescent="0.35">
      <c r="A92" s="258"/>
      <c r="B92" s="258"/>
      <c r="C92" s="258"/>
      <c r="D92" s="258"/>
      <c r="E92" s="258"/>
      <c r="F92" s="258"/>
      <c r="G92" s="258"/>
      <c r="H92" s="258"/>
      <c r="I92" s="258"/>
      <c r="J92" s="258"/>
      <c r="K92" s="258"/>
      <c r="L92" s="258"/>
    </row>
    <row r="93" spans="1:12" x14ac:dyDescent="0.35">
      <c r="A93" s="258"/>
      <c r="B93" s="258"/>
      <c r="C93" s="258"/>
      <c r="D93" s="258"/>
      <c r="E93" s="258"/>
      <c r="F93" s="258"/>
      <c r="G93" s="258"/>
      <c r="H93" s="258"/>
      <c r="I93" s="258"/>
      <c r="J93" s="258"/>
      <c r="K93" s="258"/>
      <c r="L93" s="258"/>
    </row>
    <row r="94" spans="1:12" x14ac:dyDescent="0.35">
      <c r="A94" s="258"/>
      <c r="B94" s="258"/>
      <c r="C94" s="258"/>
      <c r="D94" s="258"/>
      <c r="E94" s="258"/>
      <c r="F94" s="258"/>
      <c r="G94" s="258"/>
      <c r="H94" s="258"/>
      <c r="I94" s="258"/>
      <c r="J94" s="258"/>
      <c r="K94" s="258"/>
      <c r="L94" s="258"/>
    </row>
    <row r="95" spans="1:12" x14ac:dyDescent="0.35">
      <c r="A95" s="258"/>
      <c r="B95" s="258"/>
      <c r="C95" s="258"/>
      <c r="D95" s="258"/>
      <c r="E95" s="258"/>
      <c r="F95" s="258"/>
      <c r="G95" s="258"/>
      <c r="H95" s="258"/>
      <c r="I95" s="258"/>
      <c r="J95" s="258"/>
      <c r="K95" s="258"/>
      <c r="L95" s="258"/>
    </row>
    <row r="96" spans="1:12" x14ac:dyDescent="0.35">
      <c r="A96" s="258"/>
      <c r="B96" s="258"/>
      <c r="C96" s="258"/>
      <c r="D96" s="258"/>
      <c r="E96" s="258"/>
      <c r="F96" s="258"/>
      <c r="G96" s="258"/>
      <c r="H96" s="258"/>
      <c r="I96" s="258"/>
      <c r="J96" s="258"/>
      <c r="K96" s="258"/>
      <c r="L96" s="258"/>
    </row>
    <row r="97" spans="1:12" x14ac:dyDescent="0.35">
      <c r="A97" s="258"/>
      <c r="B97" s="258"/>
      <c r="C97" s="258"/>
      <c r="D97" s="258"/>
      <c r="E97" s="258"/>
      <c r="F97" s="258"/>
      <c r="G97" s="258"/>
      <c r="H97" s="258"/>
      <c r="I97" s="258"/>
      <c r="J97" s="258"/>
      <c r="K97" s="258"/>
      <c r="L97" s="258"/>
    </row>
    <row r="98" spans="1:12" x14ac:dyDescent="0.35">
      <c r="A98" s="258"/>
      <c r="B98" s="258"/>
      <c r="C98" s="258"/>
      <c r="D98" s="258"/>
      <c r="E98" s="258"/>
      <c r="F98" s="258"/>
      <c r="G98" s="258"/>
      <c r="H98" s="258"/>
      <c r="I98" s="258"/>
      <c r="J98" s="258"/>
      <c r="K98" s="258"/>
      <c r="L98" s="258"/>
    </row>
    <row r="99" spans="1:12" x14ac:dyDescent="0.35">
      <c r="A99" s="258"/>
      <c r="B99" s="258"/>
      <c r="C99" s="258"/>
      <c r="D99" s="258"/>
      <c r="E99" s="258"/>
      <c r="F99" s="258"/>
      <c r="G99" s="258"/>
      <c r="H99" s="258"/>
      <c r="I99" s="258"/>
      <c r="J99" s="258"/>
      <c r="K99" s="258"/>
      <c r="L99" s="258"/>
    </row>
    <row r="100" spans="1:12" x14ac:dyDescent="0.35">
      <c r="A100" s="258"/>
      <c r="B100" s="258"/>
      <c r="C100" s="258"/>
      <c r="D100" s="258"/>
      <c r="E100" s="258"/>
      <c r="F100" s="258"/>
      <c r="G100" s="258"/>
      <c r="H100" s="258"/>
      <c r="I100" s="258"/>
      <c r="J100" s="258"/>
      <c r="K100" s="258"/>
      <c r="L100" s="258"/>
    </row>
    <row r="101" spans="1:12" x14ac:dyDescent="0.35">
      <c r="A101" s="258"/>
      <c r="B101" s="258"/>
      <c r="C101" s="258"/>
      <c r="D101" s="258"/>
      <c r="E101" s="258"/>
      <c r="F101" s="258"/>
      <c r="G101" s="258"/>
      <c r="H101" s="258"/>
      <c r="I101" s="258"/>
      <c r="J101" s="258"/>
      <c r="K101" s="258"/>
      <c r="L101" s="258"/>
    </row>
    <row r="102" spans="1:12" x14ac:dyDescent="0.35">
      <c r="A102" s="258"/>
      <c r="B102" s="258"/>
      <c r="C102" s="258"/>
      <c r="D102" s="258"/>
      <c r="E102" s="258"/>
      <c r="F102" s="258"/>
      <c r="G102" s="258"/>
      <c r="H102" s="258"/>
      <c r="I102" s="258"/>
      <c r="J102" s="258"/>
      <c r="K102" s="258"/>
      <c r="L102" s="258"/>
    </row>
    <row r="103" spans="1:12" x14ac:dyDescent="0.35">
      <c r="A103" s="258"/>
      <c r="B103" s="258"/>
      <c r="C103" s="258"/>
      <c r="D103" s="258"/>
      <c r="E103" s="258"/>
      <c r="F103" s="258"/>
      <c r="G103" s="258"/>
      <c r="H103" s="258"/>
      <c r="I103" s="258"/>
      <c r="J103" s="258"/>
      <c r="K103" s="258"/>
      <c r="L103" s="258"/>
    </row>
    <row r="104" spans="1:12" x14ac:dyDescent="0.35">
      <c r="A104" s="258"/>
      <c r="B104" s="258"/>
      <c r="C104" s="258"/>
      <c r="D104" s="258"/>
      <c r="E104" s="258"/>
      <c r="F104" s="258"/>
      <c r="G104" s="258"/>
      <c r="H104" s="258"/>
      <c r="I104" s="258"/>
      <c r="J104" s="258"/>
      <c r="K104" s="258"/>
      <c r="L104" s="258"/>
    </row>
    <row r="105" spans="1:12" x14ac:dyDescent="0.35">
      <c r="A105" s="258"/>
      <c r="B105" s="258"/>
      <c r="C105" s="258"/>
      <c r="D105" s="258"/>
      <c r="E105" s="258"/>
      <c r="F105" s="258"/>
      <c r="G105" s="258"/>
      <c r="H105" s="258"/>
      <c r="I105" s="258"/>
      <c r="J105" s="258"/>
      <c r="K105" s="258"/>
      <c r="L105" s="258"/>
    </row>
    <row r="106" spans="1:12" x14ac:dyDescent="0.35">
      <c r="A106" s="258"/>
      <c r="B106" s="258"/>
      <c r="C106" s="258"/>
      <c r="D106" s="258"/>
      <c r="E106" s="258"/>
      <c r="F106" s="258"/>
      <c r="G106" s="258"/>
      <c r="H106" s="258"/>
      <c r="I106" s="258"/>
      <c r="J106" s="258"/>
      <c r="K106" s="258"/>
      <c r="L106" s="258"/>
    </row>
    <row r="107" spans="1:12" x14ac:dyDescent="0.35">
      <c r="A107" s="258"/>
      <c r="B107" s="258"/>
      <c r="C107" s="258"/>
      <c r="D107" s="258"/>
      <c r="E107" s="258"/>
      <c r="F107" s="258"/>
      <c r="G107" s="258"/>
      <c r="H107" s="258"/>
      <c r="I107" s="258"/>
      <c r="J107" s="258"/>
      <c r="K107" s="258"/>
      <c r="L107" s="258"/>
    </row>
    <row r="108" spans="1:12" x14ac:dyDescent="0.35">
      <c r="A108" s="258"/>
      <c r="B108" s="258"/>
      <c r="C108" s="258"/>
      <c r="D108" s="258"/>
      <c r="E108" s="258"/>
      <c r="F108" s="258"/>
      <c r="G108" s="258"/>
      <c r="H108" s="258"/>
      <c r="I108" s="258"/>
      <c r="J108" s="258"/>
      <c r="K108" s="258"/>
      <c r="L108" s="258"/>
    </row>
    <row r="109" spans="1:12" x14ac:dyDescent="0.35">
      <c r="A109" s="258"/>
      <c r="B109" s="258"/>
      <c r="C109" s="258"/>
      <c r="D109" s="258"/>
      <c r="E109" s="258"/>
      <c r="F109" s="258"/>
      <c r="G109" s="258"/>
      <c r="H109" s="258"/>
      <c r="I109" s="258"/>
      <c r="J109" s="258"/>
      <c r="K109" s="258"/>
      <c r="L109" s="258"/>
    </row>
    <row r="110" spans="1:12" x14ac:dyDescent="0.35">
      <c r="A110" s="258"/>
      <c r="B110" s="258"/>
      <c r="C110" s="258"/>
      <c r="D110" s="258"/>
      <c r="E110" s="258"/>
      <c r="F110" s="258"/>
      <c r="G110" s="258"/>
      <c r="H110" s="258"/>
      <c r="I110" s="258"/>
      <c r="J110" s="258"/>
      <c r="K110" s="258"/>
      <c r="L110" s="258"/>
    </row>
    <row r="111" spans="1:12" x14ac:dyDescent="0.35">
      <c r="A111" s="258"/>
      <c r="B111" s="258"/>
      <c r="C111" s="258"/>
      <c r="D111" s="258"/>
      <c r="E111" s="258"/>
      <c r="F111" s="258"/>
      <c r="G111" s="258"/>
      <c r="H111" s="258"/>
      <c r="I111" s="258"/>
      <c r="J111" s="258"/>
      <c r="K111" s="258"/>
      <c r="L111" s="258"/>
    </row>
  </sheetData>
  <mergeCells count="3">
    <mergeCell ref="A6:H6"/>
    <mergeCell ref="A4:H4"/>
    <mergeCell ref="A1:H1"/>
  </mergeCells>
  <pageMargins left="0.75" right="0.75" top="1" bottom="1" header="0.5" footer="0.5"/>
  <pageSetup scale="76"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5" x14ac:dyDescent="0.35"/>
  <sheetData/>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T213"/>
  <sheetViews>
    <sheetView zoomScale="70" zoomScaleNormal="70" workbookViewId="0"/>
  </sheetViews>
  <sheetFormatPr defaultColWidth="8.84375" defaultRowHeight="15.5" x14ac:dyDescent="0.35"/>
  <cols>
    <col min="1" max="1" width="5.4609375" style="6" customWidth="1"/>
    <col min="2" max="2" width="63.765625" style="6" customWidth="1"/>
    <col min="3" max="3" width="17.53515625" style="6" customWidth="1"/>
    <col min="4" max="6" width="17.69140625" style="6" customWidth="1"/>
    <col min="7" max="7" width="4.3046875" style="6" customWidth="1"/>
    <col min="8" max="8" width="12.07421875" style="318" customWidth="1"/>
    <col min="9" max="16384" width="8.84375" style="6"/>
  </cols>
  <sheetData>
    <row r="1" spans="2:15" x14ac:dyDescent="0.35">
      <c r="B1" s="650" t="s">
        <v>826</v>
      </c>
    </row>
    <row r="2" spans="2:15" x14ac:dyDescent="0.35">
      <c r="D2"/>
      <c r="E2"/>
      <c r="F2"/>
      <c r="G2"/>
    </row>
    <row r="3" spans="2:15" x14ac:dyDescent="0.35">
      <c r="B3" s="77" t="s">
        <v>323</v>
      </c>
      <c r="C3" s="77" t="s">
        <v>366</v>
      </c>
      <c r="D3" s="77" t="s">
        <v>367</v>
      </c>
      <c r="E3"/>
      <c r="F3"/>
      <c r="G3"/>
      <c r="I3"/>
    </row>
    <row r="4" spans="2:15" x14ac:dyDescent="0.35">
      <c r="B4" s="3" t="s">
        <v>345</v>
      </c>
      <c r="C4" s="720">
        <v>44774</v>
      </c>
      <c r="D4" s="721" t="s">
        <v>1050</v>
      </c>
      <c r="E4"/>
      <c r="F4"/>
      <c r="G4"/>
      <c r="H4" s="318" t="s">
        <v>745</v>
      </c>
      <c r="I4"/>
    </row>
    <row r="5" spans="2:15" x14ac:dyDescent="0.35">
      <c r="B5" s="3" t="s">
        <v>346</v>
      </c>
      <c r="C5" s="651">
        <f>EOMONTH(C4,2)</f>
        <v>44865</v>
      </c>
      <c r="D5" s="721" t="s">
        <v>1065</v>
      </c>
      <c r="E5"/>
      <c r="F5"/>
      <c r="G5"/>
      <c r="H5" s="318" t="s">
        <v>746</v>
      </c>
      <c r="I5"/>
      <c r="O5" s="7"/>
    </row>
    <row r="6" spans="2:15" x14ac:dyDescent="0.35">
      <c r="B6" s="13" t="s">
        <v>246</v>
      </c>
      <c r="C6" s="651">
        <f>EDATE(C4,-15)</f>
        <v>44317</v>
      </c>
      <c r="D6" s="3"/>
      <c r="E6"/>
      <c r="F6"/>
      <c r="G6"/>
    </row>
    <row r="7" spans="2:15" x14ac:dyDescent="0.35">
      <c r="B7" s="13" t="s">
        <v>269</v>
      </c>
      <c r="C7" s="651">
        <f>EDATE(C4,-6)</f>
        <v>44593</v>
      </c>
      <c r="D7" s="3"/>
      <c r="E7"/>
      <c r="F7"/>
      <c r="G7"/>
    </row>
    <row r="8" spans="2:15" x14ac:dyDescent="0.35">
      <c r="B8" s="3" t="s">
        <v>276</v>
      </c>
      <c r="C8" s="651">
        <f>C6</f>
        <v>44317</v>
      </c>
      <c r="D8" s="3"/>
      <c r="E8"/>
      <c r="F8"/>
      <c r="G8"/>
    </row>
    <row r="9" spans="2:15" x14ac:dyDescent="0.35">
      <c r="B9" s="3" t="s">
        <v>203</v>
      </c>
      <c r="C9" s="723">
        <v>25</v>
      </c>
      <c r="H9" s="331" t="s">
        <v>628</v>
      </c>
    </row>
    <row r="10" spans="2:15" x14ac:dyDescent="0.35">
      <c r="B10" s="3" t="s">
        <v>204</v>
      </c>
      <c r="C10" s="724">
        <v>44593</v>
      </c>
      <c r="D10" s="725" t="s">
        <v>1029</v>
      </c>
      <c r="H10" s="331" t="s">
        <v>628</v>
      </c>
    </row>
    <row r="11" spans="2:15" x14ac:dyDescent="0.35">
      <c r="B11" s="3" t="s">
        <v>351</v>
      </c>
      <c r="C11" s="652">
        <f>EDATE(C10,-12)</f>
        <v>44228</v>
      </c>
      <c r="D11" s="725" t="s">
        <v>803</v>
      </c>
      <c r="H11" s="331" t="s">
        <v>629</v>
      </c>
    </row>
    <row r="12" spans="2:15" x14ac:dyDescent="0.35">
      <c r="B12" s="3" t="s">
        <v>127</v>
      </c>
      <c r="C12" s="722" t="s">
        <v>1068</v>
      </c>
      <c r="H12" s="331" t="s">
        <v>743</v>
      </c>
    </row>
    <row r="13" spans="2:15" x14ac:dyDescent="0.35">
      <c r="B13" s="3" t="s">
        <v>677</v>
      </c>
      <c r="C13" s="722" t="s">
        <v>1052</v>
      </c>
      <c r="H13" s="331" t="s">
        <v>744</v>
      </c>
    </row>
    <row r="14" spans="2:15" x14ac:dyDescent="0.35">
      <c r="B14" s="3" t="s">
        <v>553</v>
      </c>
      <c r="C14" s="726" t="s">
        <v>1044</v>
      </c>
      <c r="H14" s="331" t="s">
        <v>435</v>
      </c>
    </row>
    <row r="15" spans="2:15" x14ac:dyDescent="0.35">
      <c r="B15" s="6" t="s">
        <v>347</v>
      </c>
      <c r="C15" s="751">
        <v>6.3830999999999998</v>
      </c>
      <c r="H15" s="331" t="s">
        <v>747</v>
      </c>
    </row>
    <row r="16" spans="2:15" x14ac:dyDescent="0.35">
      <c r="B16" s="3" t="s">
        <v>391</v>
      </c>
      <c r="C16" s="750">
        <v>5451020</v>
      </c>
      <c r="H16" s="331" t="s">
        <v>747</v>
      </c>
    </row>
    <row r="17" spans="1:12" x14ac:dyDescent="0.35">
      <c r="B17" s="3" t="s">
        <v>625</v>
      </c>
      <c r="C17" s="3">
        <v>1.0649999999999999</v>
      </c>
      <c r="D17" s="3"/>
      <c r="H17" s="247" t="s">
        <v>640</v>
      </c>
    </row>
    <row r="18" spans="1:12" x14ac:dyDescent="0.35">
      <c r="B18" s="366" t="s">
        <v>626</v>
      </c>
      <c r="C18" s="3">
        <f>1-0.0209</f>
        <v>0.97909999999999997</v>
      </c>
      <c r="D18" s="87"/>
      <c r="H18" s="247" t="s">
        <v>639</v>
      </c>
    </row>
    <row r="19" spans="1:12" x14ac:dyDescent="0.35">
      <c r="C19" s="480"/>
      <c r="D19" s="3"/>
      <c r="E19" s="3"/>
      <c r="F19" s="3"/>
      <c r="G19" s="3"/>
      <c r="H19" s="247"/>
    </row>
    <row r="20" spans="1:12" x14ac:dyDescent="0.35">
      <c r="A20" s="591"/>
      <c r="B20" s="591"/>
      <c r="C20" s="591"/>
      <c r="D20" s="591"/>
      <c r="E20" s="591"/>
      <c r="F20" s="591"/>
      <c r="G20" s="591"/>
      <c r="H20" s="592"/>
      <c r="I20" s="591"/>
      <c r="J20" s="591"/>
      <c r="K20" s="591"/>
      <c r="L20" s="591"/>
    </row>
    <row r="21" spans="1:12" x14ac:dyDescent="0.35">
      <c r="B21" s="3"/>
      <c r="C21" s="3"/>
      <c r="D21" s="3"/>
      <c r="E21" s="3"/>
      <c r="F21" s="3"/>
      <c r="G21" s="3"/>
      <c r="H21" s="247"/>
    </row>
    <row r="22" spans="1:12" ht="17.5" x14ac:dyDescent="0.35">
      <c r="A22" s="594" t="s">
        <v>701</v>
      </c>
    </row>
    <row r="23" spans="1:12" x14ac:dyDescent="0.35">
      <c r="B23" s="574" t="s">
        <v>78</v>
      </c>
      <c r="C23" s="655">
        <f>C4</f>
        <v>44774</v>
      </c>
      <c r="D23" s="655">
        <f>EDATE(C23,1)</f>
        <v>44805</v>
      </c>
      <c r="E23" s="655">
        <f>EDATE(D23,1)</f>
        <v>44835</v>
      </c>
      <c r="F23" s="125"/>
      <c r="G23" s="125"/>
    </row>
    <row r="24" spans="1:12" x14ac:dyDescent="0.35">
      <c r="B24" s="6" t="s">
        <v>549</v>
      </c>
      <c r="C24" s="750">
        <v>602485</v>
      </c>
      <c r="D24" s="750">
        <v>718778</v>
      </c>
      <c r="E24" s="750">
        <v>1252936</v>
      </c>
      <c r="F24" s="102"/>
      <c r="H24" s="318" t="s">
        <v>1055</v>
      </c>
    </row>
    <row r="25" spans="1:12" x14ac:dyDescent="0.35">
      <c r="B25" s="6" t="s">
        <v>551</v>
      </c>
      <c r="C25" s="750">
        <v>1854200</v>
      </c>
      <c r="D25" s="750">
        <v>1794400</v>
      </c>
      <c r="E25" s="750">
        <v>1854200</v>
      </c>
      <c r="F25" s="102"/>
      <c r="H25" s="318" t="s">
        <v>1056</v>
      </c>
    </row>
    <row r="26" spans="1:12" x14ac:dyDescent="0.35">
      <c r="B26" s="6" t="s">
        <v>557</v>
      </c>
      <c r="C26" s="750">
        <v>620000</v>
      </c>
      <c r="D26" s="750">
        <v>600000</v>
      </c>
      <c r="E26" s="750">
        <v>620000</v>
      </c>
      <c r="F26" s="102"/>
      <c r="H26" s="318" t="s">
        <v>1057</v>
      </c>
    </row>
    <row r="27" spans="1:12" x14ac:dyDescent="0.35">
      <c r="C27" s="102"/>
      <c r="D27" s="102"/>
      <c r="E27" s="102"/>
      <c r="F27" s="102"/>
    </row>
    <row r="28" spans="1:12" x14ac:dyDescent="0.35">
      <c r="B28" s="584" t="s">
        <v>33</v>
      </c>
      <c r="C28" s="732">
        <v>0</v>
      </c>
      <c r="D28" s="732">
        <v>0</v>
      </c>
      <c r="E28" s="732">
        <v>0</v>
      </c>
      <c r="F28" s="102"/>
      <c r="H28" s="318" t="s">
        <v>1053</v>
      </c>
    </row>
    <row r="29" spans="1:12" x14ac:dyDescent="0.35">
      <c r="B29" s="584" t="s">
        <v>34</v>
      </c>
      <c r="C29" s="732">
        <v>0</v>
      </c>
      <c r="D29" s="732">
        <v>0</v>
      </c>
      <c r="E29" s="732">
        <v>66000</v>
      </c>
      <c r="F29" s="102"/>
      <c r="H29" s="318" t="s">
        <v>1054</v>
      </c>
    </row>
    <row r="30" spans="1:12" x14ac:dyDescent="0.35">
      <c r="C30" s="102"/>
      <c r="D30" s="102"/>
      <c r="E30" s="102"/>
      <c r="F30" s="102"/>
    </row>
    <row r="31" spans="1:12" x14ac:dyDescent="0.35">
      <c r="B31" s="6" t="s">
        <v>550</v>
      </c>
      <c r="C31" s="748">
        <v>6.7718999999999996</v>
      </c>
      <c r="D31" s="748">
        <v>6.7302999999999997</v>
      </c>
      <c r="E31" s="748">
        <v>6.7213000000000003</v>
      </c>
      <c r="F31" s="555"/>
      <c r="H31" s="318" t="s">
        <v>678</v>
      </c>
    </row>
    <row r="32" spans="1:12" x14ac:dyDescent="0.35">
      <c r="B32" s="6" t="s">
        <v>552</v>
      </c>
      <c r="C32" s="748">
        <v>6.6603000000000003</v>
      </c>
      <c r="D32" s="748">
        <v>6.6189999999999998</v>
      </c>
      <c r="E32" s="748">
        <v>6.6101999999999999</v>
      </c>
      <c r="F32" s="555"/>
      <c r="H32" s="318" t="s">
        <v>678</v>
      </c>
    </row>
    <row r="33" spans="1:12" x14ac:dyDescent="0.35">
      <c r="B33" s="6" t="s">
        <v>585</v>
      </c>
      <c r="C33" s="748">
        <v>6.7369000000000003</v>
      </c>
      <c r="D33" s="748">
        <v>6.6959</v>
      </c>
      <c r="E33" s="748">
        <v>6.6870000000000003</v>
      </c>
      <c r="F33" s="555"/>
      <c r="H33" s="318" t="s">
        <v>678</v>
      </c>
    </row>
    <row r="35" spans="1:12" x14ac:dyDescent="0.35">
      <c r="A35" s="591"/>
      <c r="B35" s="591"/>
      <c r="C35" s="591"/>
      <c r="D35" s="591"/>
      <c r="E35" s="591"/>
      <c r="F35" s="591"/>
      <c r="G35" s="591"/>
      <c r="H35" s="592"/>
      <c r="I35" s="591"/>
      <c r="J35" s="591"/>
      <c r="K35" s="591"/>
      <c r="L35" s="591"/>
    </row>
    <row r="37" spans="1:12" ht="17.5" x14ac:dyDescent="0.35">
      <c r="A37" s="595" t="s">
        <v>702</v>
      </c>
    </row>
    <row r="38" spans="1:12" ht="31" x14ac:dyDescent="0.35">
      <c r="C38" s="586" t="s">
        <v>251</v>
      </c>
    </row>
    <row r="39" spans="1:12" x14ac:dyDescent="0.35">
      <c r="B39" s="336" t="s">
        <v>253</v>
      </c>
      <c r="C39" s="728">
        <v>12.7104</v>
      </c>
      <c r="H39" s="318" t="s">
        <v>679</v>
      </c>
    </row>
    <row r="40" spans="1:12" x14ac:dyDescent="0.35">
      <c r="B40" s="336" t="s">
        <v>569</v>
      </c>
      <c r="C40" s="728">
        <v>4.1792999999999996</v>
      </c>
      <c r="H40" s="318" t="s">
        <v>680</v>
      </c>
    </row>
    <row r="41" spans="1:12" x14ac:dyDescent="0.35">
      <c r="B41" s="336" t="s">
        <v>379</v>
      </c>
      <c r="C41" s="728">
        <v>5.0675999999999997</v>
      </c>
      <c r="H41" s="318" t="s">
        <v>681</v>
      </c>
    </row>
    <row r="42" spans="1:12" x14ac:dyDescent="0.35">
      <c r="B42" s="336"/>
    </row>
    <row r="43" spans="1:12" x14ac:dyDescent="0.35">
      <c r="B43" s="336"/>
      <c r="C43" s="587" t="s">
        <v>31</v>
      </c>
    </row>
    <row r="44" spans="1:12" x14ac:dyDescent="0.35">
      <c r="B44" s="336" t="s">
        <v>253</v>
      </c>
      <c r="C44" s="732">
        <v>119913</v>
      </c>
      <c r="H44" s="318" t="s">
        <v>682</v>
      </c>
    </row>
    <row r="45" spans="1:12" x14ac:dyDescent="0.35">
      <c r="B45" s="336" t="s">
        <v>569</v>
      </c>
      <c r="C45" s="732">
        <v>60000</v>
      </c>
      <c r="H45" s="318" t="s">
        <v>683</v>
      </c>
    </row>
    <row r="46" spans="1:12" x14ac:dyDescent="0.35">
      <c r="B46" s="336" t="s">
        <v>379</v>
      </c>
      <c r="C46" s="732">
        <v>20000</v>
      </c>
      <c r="H46" s="318" t="s">
        <v>684</v>
      </c>
    </row>
    <row r="47" spans="1:12" x14ac:dyDescent="0.35">
      <c r="B47" s="336"/>
    </row>
    <row r="48" spans="1:12" x14ac:dyDescent="0.35">
      <c r="B48" s="336"/>
      <c r="C48" s="588" t="s">
        <v>249</v>
      </c>
    </row>
    <row r="49" spans="1:12" x14ac:dyDescent="0.35">
      <c r="B49" s="585" t="s">
        <v>58</v>
      </c>
      <c r="C49" s="732">
        <v>7971454</v>
      </c>
      <c r="H49" s="318" t="s">
        <v>685</v>
      </c>
    </row>
    <row r="52" spans="1:12" x14ac:dyDescent="0.35">
      <c r="B52" s="593" t="s">
        <v>686</v>
      </c>
      <c r="C52" s="593"/>
      <c r="D52" s="593"/>
      <c r="H52" s="318" t="s">
        <v>1025</v>
      </c>
    </row>
    <row r="53" spans="1:12" x14ac:dyDescent="0.35">
      <c r="B53" s="362" t="s">
        <v>451</v>
      </c>
      <c r="C53" s="626">
        <v>322467</v>
      </c>
      <c r="H53" s="318" t="s">
        <v>1024</v>
      </c>
    </row>
    <row r="54" spans="1:12" x14ac:dyDescent="0.35">
      <c r="B54" s="362" t="s">
        <v>452</v>
      </c>
      <c r="C54" s="626">
        <v>156915</v>
      </c>
      <c r="H54" s="318" t="s">
        <v>1026</v>
      </c>
    </row>
    <row r="55" spans="1:12" x14ac:dyDescent="0.35">
      <c r="B55" s="362" t="s">
        <v>453</v>
      </c>
      <c r="C55" s="626">
        <v>12132</v>
      </c>
    </row>
    <row r="56" spans="1:12" x14ac:dyDescent="0.35">
      <c r="B56" s="362" t="s">
        <v>592</v>
      </c>
      <c r="C56" s="626">
        <v>449</v>
      </c>
    </row>
    <row r="58" spans="1:12" x14ac:dyDescent="0.35">
      <c r="A58" s="591"/>
      <c r="B58" s="591"/>
      <c r="C58" s="591"/>
      <c r="D58" s="591"/>
      <c r="E58" s="591"/>
      <c r="F58" s="591"/>
      <c r="G58" s="591"/>
      <c r="H58" s="592"/>
      <c r="I58" s="591"/>
      <c r="J58" s="591"/>
      <c r="K58" s="591"/>
      <c r="L58" s="591"/>
    </row>
    <row r="59" spans="1:12" s="3" customFormat="1" x14ac:dyDescent="0.35">
      <c r="H59" s="247"/>
    </row>
    <row r="60" spans="1:12" ht="17.5" x14ac:dyDescent="0.35">
      <c r="A60" s="595" t="s">
        <v>704</v>
      </c>
    </row>
    <row r="61" spans="1:12" x14ac:dyDescent="0.35">
      <c r="C61" s="125"/>
      <c r="D61" s="125"/>
      <c r="E61" s="125"/>
      <c r="F61" s="125"/>
      <c r="G61" s="125"/>
    </row>
    <row r="62" spans="1:12" x14ac:dyDescent="0.35">
      <c r="B62" s="325" t="s">
        <v>703</v>
      </c>
    </row>
    <row r="64" spans="1:12" customFormat="1" x14ac:dyDescent="0.35">
      <c r="A64" s="6" t="s">
        <v>751</v>
      </c>
    </row>
    <row r="65" spans="1:12" customFormat="1" x14ac:dyDescent="0.35">
      <c r="A65" s="6"/>
      <c r="B65" s="727" t="s">
        <v>1066</v>
      </c>
      <c r="H65" s="318" t="s">
        <v>769</v>
      </c>
    </row>
    <row r="66" spans="1:12" customFormat="1" x14ac:dyDescent="0.35">
      <c r="A66" s="6"/>
      <c r="B66" s="727" t="s">
        <v>1070</v>
      </c>
      <c r="H66" s="318" t="s">
        <v>770</v>
      </c>
    </row>
    <row r="67" spans="1:12" x14ac:dyDescent="0.35">
      <c r="B67" s="728" t="s">
        <v>828</v>
      </c>
      <c r="H67" s="318" t="s">
        <v>771</v>
      </c>
    </row>
    <row r="68" spans="1:12" x14ac:dyDescent="0.35">
      <c r="B68" s="727" t="s">
        <v>1067</v>
      </c>
      <c r="H68" s="318" t="s">
        <v>772</v>
      </c>
    </row>
    <row r="69" spans="1:12" x14ac:dyDescent="0.35">
      <c r="B69" s="654" t="str">
        <f>IF('Exhibit B Write-Up'!D11&gt;0, "as a debit", "as a credit")</f>
        <v>as a debit</v>
      </c>
    </row>
    <row r="70" spans="1:12" x14ac:dyDescent="0.35">
      <c r="A70" s="591"/>
      <c r="B70" s="591"/>
      <c r="C70" s="591"/>
      <c r="D70" s="591"/>
      <c r="E70" s="591"/>
      <c r="F70" s="591"/>
      <c r="G70" s="591"/>
      <c r="H70" s="592"/>
      <c r="I70" s="591"/>
      <c r="J70" s="591"/>
      <c r="K70" s="591"/>
      <c r="L70" s="591"/>
    </row>
    <row r="72" spans="1:12" ht="17.5" x14ac:dyDescent="0.35">
      <c r="A72" s="595" t="s">
        <v>705</v>
      </c>
    </row>
    <row r="73" spans="1:12" x14ac:dyDescent="0.35">
      <c r="C73" s="655">
        <f>C79</f>
        <v>44593</v>
      </c>
      <c r="D73" s="655">
        <f>D79</f>
        <v>44621</v>
      </c>
      <c r="E73" s="655">
        <f>E79</f>
        <v>44652</v>
      </c>
      <c r="F73" s="125"/>
    </row>
    <row r="74" spans="1:12" x14ac:dyDescent="0.35">
      <c r="B74" s="6" t="s">
        <v>265</v>
      </c>
      <c r="C74" s="741">
        <v>0</v>
      </c>
      <c r="D74" s="741">
        <v>0</v>
      </c>
      <c r="E74" s="741">
        <v>0</v>
      </c>
      <c r="F74" s="3"/>
      <c r="H74" s="318" t="s">
        <v>687</v>
      </c>
    </row>
    <row r="76" spans="1:12" x14ac:dyDescent="0.35">
      <c r="A76" s="591"/>
      <c r="B76" s="591"/>
      <c r="C76" s="591"/>
      <c r="D76" s="591"/>
      <c r="E76" s="591"/>
      <c r="F76" s="591"/>
      <c r="G76" s="591"/>
      <c r="H76" s="592"/>
      <c r="I76" s="591"/>
      <c r="J76" s="591"/>
      <c r="K76" s="591"/>
      <c r="L76" s="591"/>
    </row>
    <row r="78" spans="1:12" ht="17.5" x14ac:dyDescent="0.35">
      <c r="A78" s="595" t="s">
        <v>706</v>
      </c>
    </row>
    <row r="79" spans="1:12" x14ac:dyDescent="0.35">
      <c r="C79" s="655">
        <f>EDATE(C4,-6)</f>
        <v>44593</v>
      </c>
      <c r="D79" s="655">
        <f>EDATE(C79,1)</f>
        <v>44621</v>
      </c>
      <c r="E79" s="655">
        <f>EDATE(D79,1)</f>
        <v>44652</v>
      </c>
      <c r="F79" s="125"/>
      <c r="G79" s="125"/>
    </row>
    <row r="80" spans="1:12" x14ac:dyDescent="0.35">
      <c r="B80" s="6" t="s">
        <v>464</v>
      </c>
      <c r="C80" s="728">
        <v>0</v>
      </c>
      <c r="D80" s="728">
        <v>0</v>
      </c>
      <c r="E80" s="728">
        <v>0</v>
      </c>
      <c r="F80" s="3"/>
      <c r="H80" s="318" t="s">
        <v>748</v>
      </c>
    </row>
    <row r="82" spans="1:12" x14ac:dyDescent="0.35">
      <c r="A82" s="591"/>
      <c r="B82" s="591"/>
      <c r="C82" s="591"/>
      <c r="D82" s="591"/>
      <c r="E82" s="591"/>
      <c r="F82" s="591"/>
      <c r="G82" s="591"/>
      <c r="H82" s="592"/>
      <c r="I82" s="591"/>
      <c r="J82" s="591"/>
      <c r="K82" s="591"/>
      <c r="L82" s="591"/>
    </row>
    <row r="84" spans="1:12" ht="17.5" x14ac:dyDescent="0.35">
      <c r="A84" s="595" t="s">
        <v>707</v>
      </c>
    </row>
    <row r="85" spans="1:12" x14ac:dyDescent="0.35">
      <c r="C85" s="125"/>
      <c r="D85" s="125"/>
      <c r="E85" s="125"/>
      <c r="F85" s="125"/>
      <c r="G85" s="125"/>
    </row>
    <row r="86" spans="1:12" x14ac:dyDescent="0.35">
      <c r="B86" s="325" t="s">
        <v>703</v>
      </c>
    </row>
    <row r="88" spans="1:12" x14ac:dyDescent="0.35">
      <c r="A88" s="591"/>
      <c r="B88" s="591"/>
      <c r="C88" s="591"/>
      <c r="D88" s="591"/>
      <c r="E88" s="591"/>
      <c r="F88" s="591"/>
      <c r="G88" s="591"/>
      <c r="H88" s="592"/>
      <c r="I88" s="591"/>
      <c r="J88" s="591"/>
      <c r="K88" s="591"/>
      <c r="L88" s="591"/>
    </row>
    <row r="90" spans="1:12" ht="17.5" x14ac:dyDescent="0.35">
      <c r="A90" s="595" t="s">
        <v>708</v>
      </c>
      <c r="C90"/>
      <c r="D90"/>
      <c r="E90"/>
      <c r="F90"/>
      <c r="G90"/>
      <c r="H90" s="6"/>
      <c r="I90"/>
    </row>
    <row r="91" spans="1:12" x14ac:dyDescent="0.35">
      <c r="B91" s="574" t="s">
        <v>11</v>
      </c>
      <c r="C91" s="653">
        <f>EDATE(C4,-6)</f>
        <v>44593</v>
      </c>
      <c r="D91" s="653">
        <f>EDATE(C91,1)</f>
        <v>44621</v>
      </c>
      <c r="E91" s="653">
        <f>EDATE(D91,1)</f>
        <v>44652</v>
      </c>
      <c r="F91" s="125"/>
      <c r="G91"/>
      <c r="H91" s="6"/>
      <c r="I91"/>
    </row>
    <row r="92" spans="1:12" x14ac:dyDescent="0.35">
      <c r="B92" s="636" t="s">
        <v>688</v>
      </c>
      <c r="C92" s="125"/>
      <c r="D92" s="125"/>
      <c r="E92" s="125"/>
      <c r="F92" s="125"/>
      <c r="G92"/>
      <c r="H92" s="6"/>
      <c r="I92"/>
    </row>
    <row r="93" spans="1:12" x14ac:dyDescent="0.35">
      <c r="B93" s="6" t="s">
        <v>807</v>
      </c>
      <c r="C93" s="732">
        <v>2171586</v>
      </c>
      <c r="D93" s="732">
        <v>1965621</v>
      </c>
      <c r="E93" s="732">
        <v>1759980</v>
      </c>
      <c r="F93" s="590"/>
      <c r="G93"/>
      <c r="H93" s="318" t="s">
        <v>809</v>
      </c>
      <c r="I93"/>
    </row>
    <row r="94" spans="1:12" x14ac:dyDescent="0.35">
      <c r="B94" s="6" t="s">
        <v>806</v>
      </c>
      <c r="C94" s="732">
        <v>575175</v>
      </c>
      <c r="D94" s="732">
        <v>308747</v>
      </c>
      <c r="E94" s="732">
        <v>143981</v>
      </c>
      <c r="F94" s="590"/>
      <c r="G94"/>
      <c r="H94" s="318" t="s">
        <v>810</v>
      </c>
      <c r="I94"/>
    </row>
    <row r="95" spans="1:12" x14ac:dyDescent="0.35">
      <c r="B95" s="6" t="s">
        <v>808</v>
      </c>
      <c r="C95" s="732">
        <v>90275</v>
      </c>
      <c r="D95" s="732">
        <v>431426</v>
      </c>
      <c r="E95" s="732">
        <v>595911</v>
      </c>
      <c r="F95" s="590"/>
      <c r="G95"/>
      <c r="H95" s="318" t="s">
        <v>811</v>
      </c>
      <c r="I95"/>
    </row>
    <row r="96" spans="1:12" x14ac:dyDescent="0.35">
      <c r="B96" s="575" t="s">
        <v>819</v>
      </c>
      <c r="C96" s="642">
        <f>C93+C94-C95</f>
        <v>2656486</v>
      </c>
      <c r="D96" s="642">
        <f>D93+D94-D95</f>
        <v>1842942</v>
      </c>
      <c r="E96" s="642">
        <f>E93+E94-E95</f>
        <v>1308050</v>
      </c>
      <c r="F96" s="657"/>
      <c r="G96"/>
      <c r="I96"/>
    </row>
    <row r="97" spans="2:11" x14ac:dyDescent="0.35">
      <c r="B97" s="575" t="s">
        <v>689</v>
      </c>
      <c r="C97" s="732">
        <v>0</v>
      </c>
      <c r="D97" s="732">
        <v>0</v>
      </c>
      <c r="E97" s="732">
        <v>0</v>
      </c>
      <c r="F97" s="102"/>
      <c r="G97"/>
      <c r="H97" s="318" t="s">
        <v>792</v>
      </c>
      <c r="I97"/>
    </row>
    <row r="98" spans="2:11" x14ac:dyDescent="0.35">
      <c r="B98" s="636" t="s">
        <v>690</v>
      </c>
      <c r="C98" s="102"/>
      <c r="D98" s="102"/>
      <c r="E98" s="102"/>
      <c r="F98" s="102"/>
      <c r="G98"/>
      <c r="I98"/>
    </row>
    <row r="99" spans="2:11" x14ac:dyDescent="0.35">
      <c r="B99" s="6" t="s">
        <v>814</v>
      </c>
      <c r="C99" s="732">
        <v>1197</v>
      </c>
      <c r="D99" s="732">
        <v>1399</v>
      </c>
      <c r="E99" s="732">
        <v>1496</v>
      </c>
      <c r="F99" s="102"/>
      <c r="G99"/>
      <c r="H99" s="318" t="s">
        <v>816</v>
      </c>
      <c r="I99"/>
    </row>
    <row r="100" spans="2:11" x14ac:dyDescent="0.35">
      <c r="B100" s="6" t="s">
        <v>812</v>
      </c>
      <c r="C100" s="732">
        <v>0</v>
      </c>
      <c r="D100" s="732">
        <v>0</v>
      </c>
      <c r="E100" s="732">
        <v>0</v>
      </c>
      <c r="F100" s="102"/>
      <c r="G100"/>
      <c r="H100" s="318" t="s">
        <v>816</v>
      </c>
      <c r="I100"/>
    </row>
    <row r="101" spans="2:11" x14ac:dyDescent="0.35">
      <c r="B101" s="6" t="s">
        <v>813</v>
      </c>
      <c r="C101" s="732">
        <v>0</v>
      </c>
      <c r="D101" s="732">
        <v>0</v>
      </c>
      <c r="E101" s="732">
        <v>0</v>
      </c>
      <c r="F101" s="102"/>
      <c r="G101"/>
      <c r="H101" s="318" t="s">
        <v>816</v>
      </c>
      <c r="I101"/>
    </row>
    <row r="102" spans="2:11" x14ac:dyDescent="0.35">
      <c r="B102" s="6" t="s">
        <v>815</v>
      </c>
      <c r="C102" s="732">
        <v>4764</v>
      </c>
      <c r="D102" s="732">
        <v>3834</v>
      </c>
      <c r="E102" s="732">
        <v>2265</v>
      </c>
      <c r="F102" s="102"/>
      <c r="G102"/>
      <c r="H102" s="318" t="s">
        <v>816</v>
      </c>
      <c r="I102"/>
    </row>
    <row r="103" spans="2:11" x14ac:dyDescent="0.35">
      <c r="B103" s="575" t="s">
        <v>818</v>
      </c>
      <c r="C103" s="642">
        <f>(C99+C100+C101+C102)*-1</f>
        <v>-5961</v>
      </c>
      <c r="D103" s="642">
        <f>(D99+D100+D101+D102)*-1</f>
        <v>-5233</v>
      </c>
      <c r="E103" s="642">
        <f>(E99+E100+E101+E102)*-1</f>
        <v>-3761</v>
      </c>
      <c r="F103" s="657"/>
      <c r="G103"/>
      <c r="H103" s="318" t="s">
        <v>817</v>
      </c>
      <c r="I103"/>
    </row>
    <row r="104" spans="2:11" x14ac:dyDescent="0.35">
      <c r="B104" s="575" t="s">
        <v>691</v>
      </c>
      <c r="C104" s="732">
        <v>0</v>
      </c>
      <c r="D104" s="732">
        <v>0</v>
      </c>
      <c r="E104" s="732">
        <v>0</v>
      </c>
      <c r="F104" s="102"/>
      <c r="G104"/>
      <c r="H104" s="318" t="s">
        <v>793</v>
      </c>
      <c r="I104"/>
    </row>
    <row r="105" spans="2:11" x14ac:dyDescent="0.35">
      <c r="B105" s="575" t="s">
        <v>692</v>
      </c>
      <c r="C105" s="732">
        <v>2678549</v>
      </c>
      <c r="D105" s="732">
        <v>1431084</v>
      </c>
      <c r="E105" s="732">
        <v>866302</v>
      </c>
      <c r="F105" s="102"/>
      <c r="G105"/>
      <c r="H105" s="318" t="s">
        <v>794</v>
      </c>
      <c r="I105"/>
    </row>
    <row r="106" spans="2:11" x14ac:dyDescent="0.35">
      <c r="B106" s="575" t="s">
        <v>238</v>
      </c>
      <c r="C106" s="732">
        <v>737541</v>
      </c>
      <c r="D106" s="732">
        <v>50837</v>
      </c>
      <c r="E106" s="732">
        <v>50837</v>
      </c>
      <c r="F106" s="102"/>
      <c r="G106"/>
      <c r="H106" s="318" t="s">
        <v>795</v>
      </c>
      <c r="I106"/>
    </row>
    <row r="107" spans="2:11" x14ac:dyDescent="0.35">
      <c r="C107" s="3"/>
      <c r="D107" s="3"/>
      <c r="E107" s="3"/>
      <c r="F107" s="3"/>
    </row>
    <row r="108" spans="2:11" x14ac:dyDescent="0.35">
      <c r="B108" s="574" t="s">
        <v>693</v>
      </c>
      <c r="C108" s="655">
        <f>C91</f>
        <v>44593</v>
      </c>
      <c r="D108" s="655">
        <f>D91</f>
        <v>44621</v>
      </c>
      <c r="E108" s="655">
        <f>E91</f>
        <v>44652</v>
      </c>
      <c r="F108" s="366"/>
    </row>
    <row r="109" spans="2:11" x14ac:dyDescent="0.35">
      <c r="B109" s="6" t="s">
        <v>694</v>
      </c>
      <c r="C109" s="732">
        <v>16300903.630000001</v>
      </c>
      <c r="D109" s="732">
        <v>11927113.74</v>
      </c>
      <c r="E109" s="732">
        <v>6580678.8899999997</v>
      </c>
      <c r="F109" s="102"/>
      <c r="H109" s="318" t="s">
        <v>796</v>
      </c>
    </row>
    <row r="110" spans="2:11" x14ac:dyDescent="0.35">
      <c r="B110" s="6" t="s">
        <v>695</v>
      </c>
      <c r="C110" s="732">
        <v>0</v>
      </c>
      <c r="D110" s="732">
        <v>0</v>
      </c>
      <c r="E110" s="732">
        <v>0</v>
      </c>
      <c r="F110" s="102"/>
      <c r="G110"/>
      <c r="H110" s="318" t="s">
        <v>797</v>
      </c>
      <c r="I110"/>
      <c r="J110"/>
      <c r="K110"/>
    </row>
    <row r="111" spans="2:11" x14ac:dyDescent="0.35">
      <c r="B111" s="6" t="s">
        <v>696</v>
      </c>
      <c r="C111" s="732">
        <v>-20884.080000000002</v>
      </c>
      <c r="D111" s="732">
        <v>-16807.349999999999</v>
      </c>
      <c r="E111" s="732">
        <v>-9927.57</v>
      </c>
      <c r="F111" s="102"/>
      <c r="G111"/>
      <c r="H111" s="318" t="s">
        <v>798</v>
      </c>
      <c r="I111"/>
      <c r="J111"/>
      <c r="K111"/>
    </row>
    <row r="112" spans="2:11" x14ac:dyDescent="0.35">
      <c r="B112" s="6" t="s">
        <v>691</v>
      </c>
      <c r="C112" s="732">
        <v>0</v>
      </c>
      <c r="D112" s="732">
        <v>0</v>
      </c>
      <c r="E112" s="732">
        <v>0</v>
      </c>
      <c r="F112" s="102"/>
      <c r="G112"/>
      <c r="H112" s="318" t="s">
        <v>799</v>
      </c>
      <c r="I112"/>
      <c r="J112"/>
      <c r="K112"/>
    </row>
    <row r="113" spans="1:12" x14ac:dyDescent="0.35">
      <c r="B113" s="6" t="s">
        <v>697</v>
      </c>
      <c r="C113" s="732">
        <v>11741687.4</v>
      </c>
      <c r="D113" s="732">
        <v>6273299.8200000003</v>
      </c>
      <c r="E113" s="732">
        <v>3797521.44</v>
      </c>
      <c r="F113" s="102"/>
      <c r="G113"/>
      <c r="H113" s="318" t="s">
        <v>794</v>
      </c>
      <c r="I113"/>
      <c r="J113"/>
      <c r="K113"/>
    </row>
    <row r="114" spans="1:12" x14ac:dyDescent="0.35">
      <c r="B114" s="6" t="s">
        <v>238</v>
      </c>
      <c r="C114" s="732">
        <v>3233084.73</v>
      </c>
      <c r="D114" s="732">
        <v>222849.07</v>
      </c>
      <c r="E114" s="732">
        <v>222849.07</v>
      </c>
      <c r="F114" s="102"/>
      <c r="G114"/>
      <c r="H114" s="318" t="s">
        <v>800</v>
      </c>
      <c r="I114"/>
      <c r="J114"/>
      <c r="K114"/>
    </row>
    <row r="115" spans="1:12" x14ac:dyDescent="0.35">
      <c r="B115" s="6" t="s">
        <v>698</v>
      </c>
      <c r="C115" s="732">
        <v>58524.6</v>
      </c>
      <c r="D115" s="732">
        <v>44743.79</v>
      </c>
      <c r="E115" s="732">
        <v>24117.63</v>
      </c>
      <c r="F115" s="102"/>
      <c r="G115"/>
      <c r="H115" s="318" t="s">
        <v>801</v>
      </c>
      <c r="I115"/>
      <c r="J115"/>
      <c r="K115"/>
    </row>
    <row r="116" spans="1:12" x14ac:dyDescent="0.35">
      <c r="C116"/>
      <c r="D116"/>
      <c r="E116"/>
      <c r="F116"/>
      <c r="G116"/>
      <c r="H116"/>
      <c r="I116"/>
      <c r="J116"/>
      <c r="K116"/>
    </row>
    <row r="117" spans="1:12" x14ac:dyDescent="0.35">
      <c r="A117" s="591"/>
      <c r="B117" s="591"/>
      <c r="C117" s="591"/>
      <c r="D117" s="591"/>
      <c r="E117" s="591"/>
      <c r="F117" s="591"/>
      <c r="G117" s="591"/>
      <c r="H117" s="592"/>
      <c r="I117" s="591"/>
      <c r="J117" s="591"/>
      <c r="K117" s="591"/>
      <c r="L117" s="591"/>
    </row>
    <row r="119" spans="1:12" ht="17.5" x14ac:dyDescent="0.35">
      <c r="A119" s="595" t="s">
        <v>709</v>
      </c>
      <c r="C119"/>
      <c r="D119"/>
      <c r="E119"/>
      <c r="F119"/>
      <c r="G119"/>
      <c r="H119" s="6"/>
      <c r="I119"/>
    </row>
    <row r="120" spans="1:12" ht="17.5" x14ac:dyDescent="0.35">
      <c r="A120" s="595"/>
      <c r="B120" s="6" t="s">
        <v>711</v>
      </c>
      <c r="C120" s="460"/>
      <c r="D120"/>
      <c r="E120"/>
      <c r="F120"/>
      <c r="G120"/>
      <c r="H120" s="6"/>
      <c r="I120"/>
    </row>
    <row r="122" spans="1:12" x14ac:dyDescent="0.35">
      <c r="A122" s="591"/>
      <c r="B122" s="591"/>
      <c r="C122" s="591"/>
      <c r="D122" s="591"/>
      <c r="E122" s="591"/>
      <c r="F122" s="591"/>
      <c r="G122" s="591"/>
      <c r="H122" s="592"/>
      <c r="I122" s="591"/>
      <c r="J122" s="591"/>
      <c r="K122" s="591"/>
      <c r="L122" s="591"/>
    </row>
    <row r="124" spans="1:12" ht="17.5" x14ac:dyDescent="0.35">
      <c r="A124" s="595" t="s">
        <v>710</v>
      </c>
    </row>
    <row r="125" spans="1:12" x14ac:dyDescent="0.35">
      <c r="B125" s="6" t="s">
        <v>711</v>
      </c>
      <c r="C125" s="460"/>
    </row>
    <row r="127" spans="1:12" x14ac:dyDescent="0.35">
      <c r="A127" s="591"/>
      <c r="B127" s="591"/>
      <c r="C127" s="591"/>
      <c r="D127" s="591"/>
      <c r="E127" s="591"/>
      <c r="F127" s="591"/>
      <c r="G127" s="591"/>
      <c r="H127" s="592"/>
      <c r="I127" s="591"/>
      <c r="J127" s="591"/>
      <c r="K127" s="591"/>
      <c r="L127" s="591"/>
    </row>
    <row r="129" spans="1:12" ht="18" x14ac:dyDescent="0.4">
      <c r="A129" s="595" t="s">
        <v>712</v>
      </c>
      <c r="C129" s="756"/>
      <c r="D129" s="756"/>
      <c r="E129" s="756"/>
      <c r="F129" s="637"/>
    </row>
    <row r="131" spans="1:12" x14ac:dyDescent="0.35">
      <c r="B131" s="3" t="s">
        <v>699</v>
      </c>
      <c r="C131" s="590"/>
      <c r="D131" s="102">
        <v>95877.579999999638</v>
      </c>
      <c r="H131" s="318" t="s">
        <v>805</v>
      </c>
    </row>
    <row r="132" spans="1:12" x14ac:dyDescent="0.35">
      <c r="E132" s="318"/>
      <c r="F132" s="318"/>
    </row>
    <row r="133" spans="1:12" x14ac:dyDescent="0.35">
      <c r="A133" s="591"/>
      <c r="B133" s="591"/>
      <c r="C133" s="591"/>
      <c r="D133" s="591"/>
      <c r="E133" s="591"/>
      <c r="F133" s="591"/>
      <c r="G133" s="591"/>
      <c r="H133" s="592"/>
      <c r="I133" s="591"/>
      <c r="J133" s="591"/>
      <c r="K133" s="591"/>
      <c r="L133" s="591"/>
    </row>
    <row r="135" spans="1:12" s="3" customFormat="1" ht="17.5" x14ac:dyDescent="0.35">
      <c r="A135" s="596" t="s">
        <v>713</v>
      </c>
      <c r="D135" s="656" t="str">
        <f>VLOOKUP('Ex C-1 2 of 3'!B13,'Case Database'!A3:C2000,3)</f>
        <v>2021-00130</v>
      </c>
      <c r="H135" s="247"/>
    </row>
    <row r="137" spans="1:12" x14ac:dyDescent="0.35">
      <c r="B137" s="6" t="s">
        <v>270</v>
      </c>
      <c r="D137" s="732">
        <v>-1667638.6999999993</v>
      </c>
      <c r="H137" s="318" t="s">
        <v>1030</v>
      </c>
    </row>
    <row r="139" spans="1:12" x14ac:dyDescent="0.35">
      <c r="A139" s="591"/>
      <c r="B139" s="591"/>
      <c r="C139" s="591"/>
      <c r="D139" s="591"/>
      <c r="E139" s="591"/>
      <c r="F139" s="591"/>
      <c r="G139" s="591"/>
      <c r="H139" s="592"/>
      <c r="I139" s="591"/>
      <c r="J139" s="591"/>
      <c r="K139" s="591"/>
      <c r="L139" s="591"/>
    </row>
    <row r="141" spans="1:12" ht="17.5" x14ac:dyDescent="0.35">
      <c r="A141" s="596" t="s">
        <v>714</v>
      </c>
      <c r="B141"/>
      <c r="C141"/>
      <c r="D141" s="656" t="str">
        <f>'Ex C-1 3 of 3'!B13</f>
        <v>2021-00458</v>
      </c>
      <c r="E141"/>
      <c r="F141"/>
      <c r="G141"/>
      <c r="H141"/>
      <c r="I141"/>
    </row>
    <row r="143" spans="1:12" x14ac:dyDescent="0.35">
      <c r="B143" s="6" t="s">
        <v>270</v>
      </c>
      <c r="D143" s="732">
        <v>6871</v>
      </c>
      <c r="H143" s="318" t="s">
        <v>1031</v>
      </c>
    </row>
    <row r="145" spans="1:12" customFormat="1" x14ac:dyDescent="0.35">
      <c r="A145" s="6" t="s">
        <v>752</v>
      </c>
    </row>
    <row r="146" spans="1:12" customFormat="1" x14ac:dyDescent="0.35">
      <c r="A146" s="6"/>
      <c r="B146" s="727" t="s">
        <v>1069</v>
      </c>
      <c r="H146" s="318" t="s">
        <v>756</v>
      </c>
    </row>
    <row r="147" spans="1:12" customFormat="1" x14ac:dyDescent="0.35">
      <c r="A147" s="6"/>
      <c r="B147" s="654" t="str">
        <f>IF('Exhibit C Write-Up'!E12&gt;0,"as a debit", "as a credit")</f>
        <v>as a debit</v>
      </c>
    </row>
    <row r="148" spans="1:12" x14ac:dyDescent="0.35">
      <c r="A148" s="591"/>
      <c r="B148" s="591"/>
      <c r="C148" s="591"/>
      <c r="D148" s="591"/>
      <c r="E148" s="591"/>
      <c r="F148" s="591"/>
      <c r="G148" s="591"/>
      <c r="H148" s="592"/>
      <c r="I148" s="591"/>
      <c r="J148" s="591"/>
      <c r="K148" s="591"/>
      <c r="L148" s="591"/>
    </row>
    <row r="150" spans="1:12" ht="17.5" x14ac:dyDescent="0.35">
      <c r="A150" s="596" t="s">
        <v>715</v>
      </c>
      <c r="B150"/>
      <c r="C150"/>
      <c r="D150" s="597"/>
      <c r="E150"/>
      <c r="F150"/>
      <c r="G150"/>
      <c r="H150"/>
      <c r="I150"/>
    </row>
    <row r="151" spans="1:12" x14ac:dyDescent="0.35">
      <c r="H151" s="6"/>
    </row>
    <row r="152" spans="1:12" x14ac:dyDescent="0.35">
      <c r="B152" s="6" t="s">
        <v>217</v>
      </c>
      <c r="D152" s="728">
        <v>0</v>
      </c>
      <c r="H152" s="318" t="s">
        <v>1051</v>
      </c>
    </row>
    <row r="153" spans="1:12" x14ac:dyDescent="0.35">
      <c r="B153" s="6" t="s">
        <v>218</v>
      </c>
      <c r="D153" s="728">
        <v>0</v>
      </c>
    </row>
    <row r="155" spans="1:12" x14ac:dyDescent="0.35">
      <c r="A155" s="591"/>
      <c r="B155" s="591"/>
      <c r="C155" s="591"/>
      <c r="D155" s="591"/>
      <c r="E155" s="591"/>
      <c r="F155" s="591"/>
      <c r="G155" s="591"/>
      <c r="H155" s="592"/>
      <c r="I155" s="591"/>
      <c r="J155" s="591"/>
      <c r="K155" s="591"/>
      <c r="L155" s="591"/>
    </row>
    <row r="157" spans="1:12" ht="17.5" x14ac:dyDescent="0.35">
      <c r="A157" s="596" t="s">
        <v>716</v>
      </c>
      <c r="D157" s="656" t="str">
        <f>'Ex D-1 2 of 2'!B7</f>
        <v>2021-00130</v>
      </c>
    </row>
    <row r="159" spans="1:12" x14ac:dyDescent="0.35">
      <c r="B159" s="6" t="s">
        <v>270</v>
      </c>
      <c r="D159" s="728">
        <v>0</v>
      </c>
      <c r="H159" s="318" t="s">
        <v>1064</v>
      </c>
    </row>
    <row r="161" spans="1:12" x14ac:dyDescent="0.35">
      <c r="A161" s="591"/>
      <c r="B161" s="591"/>
      <c r="C161" s="591"/>
      <c r="D161" s="591"/>
      <c r="E161" s="591"/>
      <c r="F161" s="591"/>
      <c r="G161" s="591"/>
      <c r="H161" s="592"/>
      <c r="I161" s="591"/>
      <c r="J161" s="591"/>
      <c r="K161" s="591"/>
      <c r="L161" s="591"/>
    </row>
    <row r="162" spans="1:12" ht="18" x14ac:dyDescent="0.4">
      <c r="D162" s="756"/>
      <c r="E162" s="756"/>
      <c r="F162" s="756"/>
      <c r="G162" s="756"/>
      <c r="H162" s="756"/>
    </row>
    <row r="163" spans="1:12" ht="18" x14ac:dyDescent="0.4">
      <c r="A163" s="596" t="s">
        <v>730</v>
      </c>
      <c r="D163" s="104"/>
      <c r="E163" s="104"/>
      <c r="F163" s="104"/>
      <c r="G163" s="104"/>
      <c r="H163" s="104"/>
    </row>
    <row r="164" spans="1:12" ht="18" x14ac:dyDescent="0.4">
      <c r="A164" s="596"/>
      <c r="D164" s="104"/>
      <c r="E164" s="104"/>
      <c r="F164" s="104"/>
      <c r="G164" s="104"/>
      <c r="H164" s="104"/>
    </row>
    <row r="165" spans="1:12" ht="18" x14ac:dyDescent="0.4">
      <c r="B165" s="6" t="s">
        <v>731</v>
      </c>
      <c r="D165" s="104"/>
      <c r="E165" s="104"/>
      <c r="F165" s="104"/>
      <c r="G165" s="104"/>
      <c r="H165" s="104"/>
    </row>
    <row r="166" spans="1:12" ht="18" x14ac:dyDescent="0.4">
      <c r="B166" s="589" t="s">
        <v>118</v>
      </c>
      <c r="D166" s="729">
        <v>4159624</v>
      </c>
      <c r="E166" s="104"/>
      <c r="F166" s="104"/>
      <c r="G166" s="104"/>
      <c r="H166" s="603" t="s">
        <v>749</v>
      </c>
    </row>
    <row r="167" spans="1:12" x14ac:dyDescent="0.35">
      <c r="B167" s="589" t="s">
        <v>73</v>
      </c>
      <c r="D167" s="102">
        <v>838723</v>
      </c>
      <c r="H167" s="603" t="s">
        <v>749</v>
      </c>
    </row>
    <row r="169" spans="1:12" customFormat="1" x14ac:dyDescent="0.35">
      <c r="A169" s="6" t="s">
        <v>753</v>
      </c>
    </row>
    <row r="170" spans="1:12" customFormat="1" x14ac:dyDescent="0.35">
      <c r="A170" s="6"/>
      <c r="B170" s="107" t="s">
        <v>1029</v>
      </c>
      <c r="H170" s="318" t="s">
        <v>824</v>
      </c>
    </row>
    <row r="171" spans="1:12" x14ac:dyDescent="0.35">
      <c r="B171" s="107" t="s">
        <v>1042</v>
      </c>
      <c r="H171" s="318" t="s">
        <v>825</v>
      </c>
    </row>
    <row r="172" spans="1:12" x14ac:dyDescent="0.35">
      <c r="B172" s="579"/>
    </row>
    <row r="173" spans="1:12" x14ac:dyDescent="0.35">
      <c r="B173" s="579"/>
    </row>
    <row r="174" spans="1:12" s="639" customFormat="1" ht="62" x14ac:dyDescent="0.35">
      <c r="B174" s="644"/>
      <c r="C174" s="647" t="s">
        <v>821</v>
      </c>
      <c r="D174" s="647" t="s">
        <v>820</v>
      </c>
      <c r="E174" s="647" t="s">
        <v>233</v>
      </c>
      <c r="F174" s="647" t="s">
        <v>822</v>
      </c>
      <c r="H174" s="645"/>
    </row>
    <row r="175" spans="1:12" x14ac:dyDescent="0.35">
      <c r="B175" s="649">
        <f>C10</f>
        <v>44593</v>
      </c>
      <c r="C175" s="730">
        <v>5108861</v>
      </c>
      <c r="D175" s="730">
        <v>22846</v>
      </c>
      <c r="E175" s="642">
        <f>C175+D175</f>
        <v>5131707</v>
      </c>
      <c r="F175" s="730">
        <v>43450</v>
      </c>
      <c r="H175" s="318" t="s">
        <v>1012</v>
      </c>
    </row>
    <row r="176" spans="1:12" x14ac:dyDescent="0.35">
      <c r="B176" s="649">
        <f>EDATE(B175,1)</f>
        <v>44621</v>
      </c>
      <c r="C176" s="730">
        <v>4024853</v>
      </c>
      <c r="D176" s="730">
        <v>18361</v>
      </c>
      <c r="E176" s="642">
        <f t="shared" ref="E176:E186" si="0">C176+D176</f>
        <v>4043214</v>
      </c>
      <c r="F176" s="730">
        <v>61771</v>
      </c>
      <c r="H176" s="318" t="s">
        <v>827</v>
      </c>
    </row>
    <row r="177" spans="1:12" x14ac:dyDescent="0.35">
      <c r="B177" s="649">
        <f t="shared" ref="B177:B186" si="1">EDATE(B176,1)</f>
        <v>44652</v>
      </c>
      <c r="C177" s="730">
        <v>2102071</v>
      </c>
      <c r="D177" s="730">
        <v>18471</v>
      </c>
      <c r="E177" s="642">
        <f t="shared" si="0"/>
        <v>2120542</v>
      </c>
      <c r="F177" s="730">
        <v>69194</v>
      </c>
    </row>
    <row r="178" spans="1:12" x14ac:dyDescent="0.35">
      <c r="B178" s="649">
        <f t="shared" si="1"/>
        <v>44682</v>
      </c>
      <c r="C178" s="730">
        <v>1191368</v>
      </c>
      <c r="D178" s="730">
        <v>17490</v>
      </c>
      <c r="E178" s="642">
        <f t="shared" si="0"/>
        <v>1208858</v>
      </c>
      <c r="F178" s="730">
        <v>74775</v>
      </c>
      <c r="H178" s="318" t="s">
        <v>823</v>
      </c>
    </row>
    <row r="179" spans="1:12" x14ac:dyDescent="0.35">
      <c r="B179" s="649">
        <f t="shared" si="1"/>
        <v>44713</v>
      </c>
      <c r="C179" s="730">
        <v>736290</v>
      </c>
      <c r="D179" s="730">
        <v>16509</v>
      </c>
      <c r="E179" s="642">
        <f t="shared" si="0"/>
        <v>752799</v>
      </c>
      <c r="F179" s="730">
        <v>58510</v>
      </c>
    </row>
    <row r="180" spans="1:12" x14ac:dyDescent="0.35">
      <c r="B180" s="649">
        <f t="shared" si="1"/>
        <v>44743</v>
      </c>
      <c r="C180" s="730">
        <v>670263</v>
      </c>
      <c r="D180" s="730">
        <v>17490</v>
      </c>
      <c r="E180" s="642">
        <f t="shared" si="0"/>
        <v>687753</v>
      </c>
      <c r="F180" s="730">
        <v>55216</v>
      </c>
    </row>
    <row r="181" spans="1:12" x14ac:dyDescent="0.35">
      <c r="B181" s="649">
        <f t="shared" si="1"/>
        <v>44774</v>
      </c>
      <c r="C181" s="730">
        <v>671507</v>
      </c>
      <c r="D181" s="730">
        <v>17490</v>
      </c>
      <c r="E181" s="642">
        <f t="shared" si="0"/>
        <v>688997</v>
      </c>
      <c r="F181" s="730">
        <v>73156</v>
      </c>
    </row>
    <row r="182" spans="1:12" x14ac:dyDescent="0.35">
      <c r="B182" s="649">
        <f t="shared" si="1"/>
        <v>44805</v>
      </c>
      <c r="C182" s="730">
        <v>783136</v>
      </c>
      <c r="D182" s="730">
        <v>15683</v>
      </c>
      <c r="E182" s="642">
        <f t="shared" si="0"/>
        <v>798819</v>
      </c>
      <c r="F182" s="730">
        <v>74365</v>
      </c>
    </row>
    <row r="183" spans="1:12" x14ac:dyDescent="0.35">
      <c r="B183" s="649">
        <f t="shared" si="1"/>
        <v>44835</v>
      </c>
      <c r="C183" s="730">
        <v>1580455</v>
      </c>
      <c r="D183" s="730">
        <v>16417</v>
      </c>
      <c r="E183" s="642">
        <f t="shared" si="0"/>
        <v>1596872</v>
      </c>
      <c r="F183" s="730">
        <v>80684</v>
      </c>
    </row>
    <row r="184" spans="1:12" x14ac:dyDescent="0.35">
      <c r="B184" s="649">
        <f t="shared" si="1"/>
        <v>44866</v>
      </c>
      <c r="C184" s="730">
        <v>3214920</v>
      </c>
      <c r="D184" s="730">
        <v>24254</v>
      </c>
      <c r="E184" s="642">
        <f t="shared" si="0"/>
        <v>3239174</v>
      </c>
      <c r="F184" s="730">
        <v>67937</v>
      </c>
    </row>
    <row r="185" spans="1:12" x14ac:dyDescent="0.35">
      <c r="B185" s="649">
        <f t="shared" si="1"/>
        <v>44896</v>
      </c>
      <c r="C185" s="730">
        <v>5107593</v>
      </c>
      <c r="D185" s="730">
        <v>12496</v>
      </c>
      <c r="E185" s="642">
        <f t="shared" si="0"/>
        <v>5120089</v>
      </c>
      <c r="F185" s="730">
        <v>53759</v>
      </c>
    </row>
    <row r="186" spans="1:12" ht="16" thickBot="1" x14ac:dyDescent="0.4">
      <c r="B186" s="649">
        <f t="shared" si="1"/>
        <v>44927</v>
      </c>
      <c r="C186" s="730">
        <v>6068873</v>
      </c>
      <c r="D186" s="730">
        <v>19723</v>
      </c>
      <c r="E186" s="642">
        <f t="shared" si="0"/>
        <v>6088596</v>
      </c>
      <c r="F186" s="730">
        <v>42327</v>
      </c>
    </row>
    <row r="187" spans="1:12" ht="16" thickBot="1" x14ac:dyDescent="0.4">
      <c r="B187" s="646" t="s">
        <v>30</v>
      </c>
      <c r="E187" s="648">
        <f>SUM(E175:E186)</f>
        <v>31477420</v>
      </c>
      <c r="F187" s="648">
        <f>SUM(F175:F186)</f>
        <v>755144</v>
      </c>
    </row>
    <row r="188" spans="1:12" x14ac:dyDescent="0.35">
      <c r="B188" s="643"/>
    </row>
    <row r="189" spans="1:12" x14ac:dyDescent="0.35">
      <c r="B189" s="579"/>
    </row>
    <row r="190" spans="1:12" x14ac:dyDescent="0.35">
      <c r="B190" s="579"/>
    </row>
    <row r="191" spans="1:12" x14ac:dyDescent="0.35">
      <c r="A191" s="591"/>
      <c r="B191" s="591"/>
      <c r="C191" s="591"/>
      <c r="D191" s="591"/>
      <c r="E191" s="591"/>
      <c r="F191" s="591"/>
      <c r="G191" s="591"/>
      <c r="H191" s="592"/>
      <c r="I191" s="591"/>
      <c r="J191" s="591"/>
      <c r="K191" s="591"/>
      <c r="L191" s="591"/>
    </row>
    <row r="193" spans="1:20" ht="17.5" x14ac:dyDescent="0.35">
      <c r="A193" s="596" t="s">
        <v>717</v>
      </c>
      <c r="D193" s="656" t="str">
        <f>'Ex E-1 2 of 2'!B6</f>
        <v>2020-00401</v>
      </c>
      <c r="H193" s="318" t="s">
        <v>734</v>
      </c>
    </row>
    <row r="195" spans="1:20" x14ac:dyDescent="0.35">
      <c r="B195" s="6" t="s">
        <v>270</v>
      </c>
      <c r="C195"/>
      <c r="D195" s="102">
        <v>2402345</v>
      </c>
      <c r="E195"/>
      <c r="F195"/>
      <c r="G195"/>
      <c r="H195" s="318" t="s">
        <v>735</v>
      </c>
      <c r="I195"/>
      <c r="J195"/>
      <c r="K195"/>
      <c r="L195"/>
    </row>
    <row r="196" spans="1:20" x14ac:dyDescent="0.35">
      <c r="B196" s="6" t="s">
        <v>732</v>
      </c>
      <c r="C196"/>
      <c r="D196" s="3">
        <v>7.6700000000000004E-2</v>
      </c>
      <c r="E196"/>
      <c r="F196"/>
      <c r="G196"/>
      <c r="H196" s="318" t="s">
        <v>1021</v>
      </c>
      <c r="I196"/>
      <c r="J196"/>
      <c r="K196"/>
      <c r="L196"/>
    </row>
    <row r="197" spans="1:20" x14ac:dyDescent="0.35">
      <c r="B197" s="6" t="s">
        <v>733</v>
      </c>
      <c r="D197" s="3">
        <v>2.7699999999999999E-2</v>
      </c>
      <c r="H197" s="318" t="s">
        <v>1020</v>
      </c>
    </row>
    <row r="199" spans="1:20" x14ac:dyDescent="0.35">
      <c r="A199" s="591"/>
      <c r="B199" s="591"/>
      <c r="C199" s="591"/>
      <c r="D199" s="591"/>
      <c r="E199" s="591"/>
      <c r="F199" s="591"/>
      <c r="G199" s="591"/>
      <c r="H199" s="592"/>
      <c r="I199" s="591"/>
      <c r="J199" s="591"/>
      <c r="K199" s="591"/>
      <c r="L199" s="591"/>
    </row>
    <row r="201" spans="1:20" ht="17.5" x14ac:dyDescent="0.35">
      <c r="A201" s="596" t="s">
        <v>736</v>
      </c>
      <c r="H201" s="318" t="s">
        <v>742</v>
      </c>
    </row>
    <row r="202" spans="1:20" x14ac:dyDescent="0.35">
      <c r="C202" s="568" t="s">
        <v>741</v>
      </c>
      <c r="D202" s="568" t="s">
        <v>741</v>
      </c>
      <c r="E202" s="568" t="s">
        <v>741</v>
      </c>
      <c r="F202" s="638"/>
      <c r="O202" s="708" t="s">
        <v>221</v>
      </c>
      <c r="P202" s="593"/>
      <c r="Q202" s="593"/>
      <c r="R202" s="709" t="s">
        <v>1043</v>
      </c>
      <c r="S202" s="593"/>
      <c r="T202" s="593"/>
    </row>
    <row r="203" spans="1:20" x14ac:dyDescent="0.35">
      <c r="B203" s="6" t="s">
        <v>737</v>
      </c>
      <c r="C203" s="6" t="s">
        <v>738</v>
      </c>
      <c r="D203" s="6" t="s">
        <v>739</v>
      </c>
      <c r="E203" s="6" t="s">
        <v>740</v>
      </c>
      <c r="H203" s="6"/>
      <c r="O203" s="593">
        <f>IF(MONTH($C$4)=2,0,IF(MONTH($C$4)=5,0,IF(MONTH($C$4)=8,0,IF(MONTH($C$4)=11,'Summary Sheet'!J25,""))))</f>
        <v>0</v>
      </c>
      <c r="P203" s="593">
        <f>IF(MONTH($C$4)=2,'Summary Sheet'!J32,IF(MONTH($C$4)=5,0,IF(MONTH($C$4)=8,0,IF(MONTH($C$4)=11,'Summary Sheet'!J32,""))))</f>
        <v>0</v>
      </c>
      <c r="Q203" s="593">
        <f>IF(MONTH($C$4)=2,0,IF(MONTH($C$4)=5,0,IF(MONTH($C$4)=8,0,IF(MONTH($C$4)=11,'Summary Sheet'!J48,""))))</f>
        <v>0</v>
      </c>
      <c r="R203" s="707">
        <f>C204-O203</f>
        <v>0</v>
      </c>
      <c r="S203" s="707">
        <f t="shared" ref="S203:T204" si="2">D204-P203</f>
        <v>0</v>
      </c>
      <c r="T203" s="707">
        <f t="shared" si="2"/>
        <v>0</v>
      </c>
    </row>
    <row r="204" spans="1:20" x14ac:dyDescent="0.35">
      <c r="B204" s="604">
        <v>44136</v>
      </c>
      <c r="C204" s="731">
        <v>0</v>
      </c>
      <c r="D204" s="731">
        <v>0</v>
      </c>
      <c r="E204" s="731">
        <v>0</v>
      </c>
      <c r="F204" s="113"/>
      <c r="O204" s="593">
        <f>IF(MONTH($C$4)=2,'Summary Sheet'!J26,IF(MONTH($C$4)=5,'Summary Sheet'!J23+'Summary Sheet'!J24+'Summary Sheet'!J25,IF(MONTH($C$4)=8,'Summary Sheet'!J24+'Summary Sheet'!J25,IF(MONTH($C$4)=11,'Summary Sheet'!J26,""))))</f>
        <v>0.15889999999999999</v>
      </c>
      <c r="P204" s="593">
        <f>IF(MONTH($C$4)=2,'Summary Sheet'!J32,IF(MONTH($C$4)=5,'Summary Sheet'!J32,IF(MONTH($C$4)=8,'Summary Sheet'!J32,IF(MONTH($C$4)=11,'Summary Sheet'!J32,""))))</f>
        <v>1.1999999999999999E-3</v>
      </c>
      <c r="Q204" s="593">
        <f>IF(MONTH($C$4)=2,'Summary Sheet'!J48,IF(MONTH($C$4)=5,'Summary Sheet'!J48,IF(MONTH($C$4)=8,'Summary Sheet'!J48,IF(MONTH($C$4)=11,'Summary Sheet'!J48,""))))</f>
        <v>0.15809999999999999</v>
      </c>
      <c r="R204" s="707">
        <f>C205-O204</f>
        <v>0</v>
      </c>
      <c r="S204" s="707">
        <f t="shared" si="2"/>
        <v>0</v>
      </c>
      <c r="T204" s="707">
        <f t="shared" si="2"/>
        <v>0</v>
      </c>
    </row>
    <row r="205" spans="1:20" x14ac:dyDescent="0.35">
      <c r="B205" s="604">
        <v>44501</v>
      </c>
      <c r="C205" s="731">
        <f>'Summary Sheet'!J24+'Summary Sheet'!J25</f>
        <v>0.15889999999999999</v>
      </c>
      <c r="D205" s="731">
        <f>'Summary Sheet'!J32</f>
        <v>1.1999999999999999E-3</v>
      </c>
      <c r="E205" s="731">
        <f>'Summary Sheet'!J48</f>
        <v>0.15809999999999999</v>
      </c>
      <c r="F205" s="113"/>
    </row>
    <row r="207" spans="1:20" x14ac:dyDescent="0.35">
      <c r="A207" s="6" t="s">
        <v>754</v>
      </c>
    </row>
    <row r="208" spans="1:20" x14ac:dyDescent="0.35">
      <c r="B208" s="107" t="s">
        <v>1028</v>
      </c>
      <c r="H208" s="318" t="s">
        <v>757</v>
      </c>
    </row>
    <row r="210" spans="1:12" x14ac:dyDescent="0.35">
      <c r="A210" s="591"/>
      <c r="B210" s="591"/>
      <c r="C210" s="591"/>
      <c r="D210" s="591"/>
      <c r="E210" s="591"/>
      <c r="F210" s="591"/>
      <c r="G210" s="591"/>
      <c r="H210" s="592"/>
      <c r="I210" s="591"/>
      <c r="J210" s="591"/>
      <c r="K210" s="591"/>
      <c r="L210" s="591"/>
    </row>
    <row r="212" spans="1:12" customFormat="1" x14ac:dyDescent="0.35">
      <c r="A212" s="6"/>
    </row>
    <row r="213" spans="1:12" customFormat="1" x14ac:dyDescent="0.35">
      <c r="A213" s="6"/>
    </row>
  </sheetData>
  <mergeCells count="2">
    <mergeCell ref="C129:E129"/>
    <mergeCell ref="D162:H162"/>
  </mergeCells>
  <phoneticPr fontId="3" type="noConversion"/>
  <pageMargins left="0.75" right="0.75" top="1" bottom="1" header="0.5" footer="0.5"/>
  <pageSetup scale="96"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zoomScaleNormal="100" workbookViewId="0">
      <pane ySplit="3" topLeftCell="A88" activePane="bottomLeft" state="frozen"/>
      <selection pane="bottomLeft" activeCell="D92" sqref="D92"/>
    </sheetView>
  </sheetViews>
  <sheetFormatPr defaultColWidth="8.84375" defaultRowHeight="15.5" x14ac:dyDescent="0.35"/>
  <cols>
    <col min="1" max="1" width="20.84375" style="26" customWidth="1"/>
    <col min="2" max="2" width="22.4609375" style="26" customWidth="1"/>
    <col min="3" max="5" width="24.69140625" style="26" customWidth="1"/>
    <col min="6" max="6" width="21.23046875" style="26" customWidth="1"/>
    <col min="7" max="7" width="17.53515625" style="25" customWidth="1"/>
    <col min="8" max="8" width="13.23046875" style="25" customWidth="1"/>
    <col min="9" max="11" width="24.69140625" style="25" customWidth="1"/>
    <col min="12" max="13" width="16.07421875" style="25" customWidth="1"/>
    <col min="14" max="15" width="16.07421875" style="6" customWidth="1"/>
    <col min="16" max="16384" width="8.84375" style="25"/>
  </cols>
  <sheetData>
    <row r="1" spans="1:17" x14ac:dyDescent="0.35">
      <c r="D1" s="757" t="s">
        <v>54</v>
      </c>
      <c r="E1" s="757"/>
      <c r="F1" s="758" t="s">
        <v>720</v>
      </c>
      <c r="G1" s="758"/>
      <c r="H1" s="758"/>
      <c r="I1" s="759" t="s">
        <v>249</v>
      </c>
      <c r="J1" s="759"/>
      <c r="K1" s="759"/>
      <c r="L1" s="760" t="s">
        <v>724</v>
      </c>
      <c r="M1" s="760"/>
      <c r="N1" s="761" t="s">
        <v>727</v>
      </c>
      <c r="O1" s="761"/>
      <c r="P1" s="761"/>
      <c r="Q1" s="761"/>
    </row>
    <row r="2" spans="1:17" x14ac:dyDescent="0.35">
      <c r="A2" s="27">
        <v>1</v>
      </c>
      <c r="B2" s="27">
        <f>A2+1</f>
        <v>2</v>
      </c>
      <c r="C2" s="27">
        <f t="shared" ref="C2:Q2" si="0">B2+1</f>
        <v>3</v>
      </c>
      <c r="D2" s="27">
        <f t="shared" si="0"/>
        <v>4</v>
      </c>
      <c r="E2" s="27">
        <f t="shared" si="0"/>
        <v>5</v>
      </c>
      <c r="F2" s="27">
        <f t="shared" si="0"/>
        <v>6</v>
      </c>
      <c r="G2" s="27">
        <f t="shared" si="0"/>
        <v>7</v>
      </c>
      <c r="H2" s="27">
        <f t="shared" si="0"/>
        <v>8</v>
      </c>
      <c r="I2" s="598">
        <f t="shared" si="0"/>
        <v>9</v>
      </c>
      <c r="J2" s="598">
        <f t="shared" si="0"/>
        <v>10</v>
      </c>
      <c r="K2" s="598">
        <f t="shared" si="0"/>
        <v>11</v>
      </c>
      <c r="L2" s="598">
        <f t="shared" si="0"/>
        <v>12</v>
      </c>
      <c r="M2" s="598">
        <f t="shared" si="0"/>
        <v>13</v>
      </c>
      <c r="N2" s="598">
        <f t="shared" si="0"/>
        <v>14</v>
      </c>
      <c r="O2" s="598">
        <f t="shared" si="0"/>
        <v>15</v>
      </c>
      <c r="P2" s="598">
        <f t="shared" si="0"/>
        <v>16</v>
      </c>
      <c r="Q2" s="598">
        <f t="shared" si="0"/>
        <v>17</v>
      </c>
    </row>
    <row r="3" spans="1:17" s="600" customFormat="1" ht="45" x14ac:dyDescent="0.35">
      <c r="A3" s="599" t="s">
        <v>193</v>
      </c>
      <c r="B3" s="599" t="s">
        <v>334</v>
      </c>
      <c r="C3" s="599" t="s">
        <v>116</v>
      </c>
      <c r="D3" s="599" t="s">
        <v>718</v>
      </c>
      <c r="E3" s="599" t="s">
        <v>719</v>
      </c>
      <c r="F3" s="599" t="s">
        <v>335</v>
      </c>
      <c r="G3" s="599" t="s">
        <v>645</v>
      </c>
      <c r="H3" s="599" t="s">
        <v>646</v>
      </c>
      <c r="I3" s="600" t="s">
        <v>721</v>
      </c>
      <c r="J3" s="601" t="s">
        <v>722</v>
      </c>
      <c r="K3" s="601" t="s">
        <v>723</v>
      </c>
      <c r="L3" s="601" t="s">
        <v>725</v>
      </c>
      <c r="M3" s="601" t="s">
        <v>726</v>
      </c>
      <c r="N3" s="601" t="s">
        <v>217</v>
      </c>
      <c r="O3" s="601" t="s">
        <v>218</v>
      </c>
      <c r="P3" s="601" t="s">
        <v>728</v>
      </c>
      <c r="Q3" s="601" t="s">
        <v>729</v>
      </c>
    </row>
    <row r="5" spans="1:17" x14ac:dyDescent="0.35">
      <c r="A5" s="140">
        <v>36831</v>
      </c>
      <c r="B5" s="140">
        <f>EOMONTH(A5,2)</f>
        <v>36922</v>
      </c>
      <c r="C5" s="141" t="s">
        <v>85</v>
      </c>
      <c r="D5" s="575"/>
      <c r="E5" s="575"/>
      <c r="F5" s="141"/>
    </row>
    <row r="6" spans="1:17" x14ac:dyDescent="0.35">
      <c r="A6" s="140">
        <f>EDATE(A5,3)</f>
        <v>36923</v>
      </c>
      <c r="B6" s="140">
        <f t="shared" ref="B6:B51" si="1">EOMONTH(A6,2)</f>
        <v>37011</v>
      </c>
      <c r="C6" s="141" t="s">
        <v>196</v>
      </c>
      <c r="D6" s="575"/>
      <c r="E6" s="575"/>
      <c r="F6" s="141"/>
    </row>
    <row r="7" spans="1:17" x14ac:dyDescent="0.35">
      <c r="A7" s="140">
        <f t="shared" ref="A7:A51" si="2">EDATE(A6,3)</f>
        <v>37012</v>
      </c>
      <c r="B7" s="140">
        <f t="shared" si="1"/>
        <v>37103</v>
      </c>
      <c r="C7" s="141" t="s">
        <v>197</v>
      </c>
      <c r="D7" s="575"/>
      <c r="E7" s="575"/>
      <c r="F7" s="141"/>
    </row>
    <row r="8" spans="1:17" x14ac:dyDescent="0.35">
      <c r="A8" s="140">
        <f t="shared" si="2"/>
        <v>37104</v>
      </c>
      <c r="B8" s="140">
        <f t="shared" si="1"/>
        <v>37195</v>
      </c>
      <c r="C8" s="141" t="s">
        <v>198</v>
      </c>
      <c r="D8" s="575"/>
      <c r="E8" s="575"/>
      <c r="F8" s="141"/>
    </row>
    <row r="9" spans="1:17" x14ac:dyDescent="0.35">
      <c r="A9" s="140">
        <f t="shared" si="2"/>
        <v>37196</v>
      </c>
      <c r="B9" s="140">
        <f t="shared" si="1"/>
        <v>37287</v>
      </c>
      <c r="C9" s="141" t="s">
        <v>199</v>
      </c>
      <c r="D9" s="575"/>
      <c r="E9" s="575"/>
      <c r="F9" s="141"/>
    </row>
    <row r="10" spans="1:17" x14ac:dyDescent="0.35">
      <c r="A10" s="140">
        <f t="shared" si="2"/>
        <v>37288</v>
      </c>
      <c r="B10" s="140">
        <f t="shared" si="1"/>
        <v>37376</v>
      </c>
      <c r="C10" s="141" t="s">
        <v>200</v>
      </c>
      <c r="D10" s="575"/>
      <c r="E10" s="575"/>
      <c r="F10" s="141"/>
    </row>
    <row r="11" spans="1:17" x14ac:dyDescent="0.35">
      <c r="A11" s="140">
        <f t="shared" si="2"/>
        <v>37377</v>
      </c>
      <c r="B11" s="140">
        <f t="shared" si="1"/>
        <v>37468</v>
      </c>
      <c r="C11" s="141" t="s">
        <v>201</v>
      </c>
      <c r="D11" s="575"/>
      <c r="E11" s="575"/>
      <c r="F11" s="141"/>
    </row>
    <row r="12" spans="1:17" x14ac:dyDescent="0.35">
      <c r="A12" s="140">
        <f t="shared" si="2"/>
        <v>37469</v>
      </c>
      <c r="B12" s="140">
        <f t="shared" si="1"/>
        <v>37560</v>
      </c>
      <c r="C12" s="141" t="s">
        <v>177</v>
      </c>
      <c r="D12" s="575"/>
      <c r="E12" s="575"/>
      <c r="F12" s="141"/>
      <c r="G12" s="85"/>
      <c r="H12" s="85"/>
    </row>
    <row r="13" spans="1:17" x14ac:dyDescent="0.35">
      <c r="A13" s="140">
        <f t="shared" si="2"/>
        <v>37561</v>
      </c>
      <c r="B13" s="140">
        <f t="shared" si="1"/>
        <v>37652</v>
      </c>
      <c r="C13" s="141" t="s">
        <v>178</v>
      </c>
      <c r="D13" s="575"/>
      <c r="E13" s="575"/>
      <c r="F13" s="141"/>
    </row>
    <row r="14" spans="1:17" x14ac:dyDescent="0.35">
      <c r="A14" s="140">
        <f t="shared" si="2"/>
        <v>37653</v>
      </c>
      <c r="B14" s="140">
        <f t="shared" si="1"/>
        <v>37741</v>
      </c>
      <c r="C14" s="141" t="s">
        <v>179</v>
      </c>
      <c r="D14" s="575"/>
      <c r="E14" s="575"/>
      <c r="F14" s="141" t="str">
        <f>C12</f>
        <v>(Case No. 2002-00261)</v>
      </c>
    </row>
    <row r="15" spans="1:17" x14ac:dyDescent="0.35">
      <c r="A15" s="140">
        <f t="shared" si="2"/>
        <v>37742</v>
      </c>
      <c r="B15" s="140">
        <f t="shared" si="1"/>
        <v>37833</v>
      </c>
      <c r="C15" s="141" t="s">
        <v>180</v>
      </c>
      <c r="D15" s="575"/>
      <c r="E15" s="575"/>
      <c r="F15" s="141" t="str">
        <f t="shared" ref="F15:F28" si="3">C13</f>
        <v>(Case No. 2002-00368)</v>
      </c>
    </row>
    <row r="16" spans="1:17" x14ac:dyDescent="0.35">
      <c r="A16" s="140">
        <f t="shared" si="2"/>
        <v>37834</v>
      </c>
      <c r="B16" s="140">
        <f t="shared" si="1"/>
        <v>37925</v>
      </c>
      <c r="C16" s="141" t="s">
        <v>181</v>
      </c>
      <c r="D16" s="575"/>
      <c r="E16" s="575"/>
      <c r="F16" s="141" t="str">
        <f t="shared" si="3"/>
        <v>(Case No. 2003-00004)</v>
      </c>
    </row>
    <row r="17" spans="1:6" x14ac:dyDescent="0.35">
      <c r="A17" s="140">
        <f t="shared" si="2"/>
        <v>37926</v>
      </c>
      <c r="B17" s="140">
        <f t="shared" si="1"/>
        <v>38017</v>
      </c>
      <c r="C17" s="141" t="s">
        <v>182</v>
      </c>
      <c r="D17" s="575"/>
      <c r="E17" s="575"/>
      <c r="F17" s="141" t="str">
        <f t="shared" si="3"/>
        <v>(Case No. 2003-00121)</v>
      </c>
    </row>
    <row r="18" spans="1:6" x14ac:dyDescent="0.35">
      <c r="A18" s="140">
        <f t="shared" si="2"/>
        <v>38018</v>
      </c>
      <c r="B18" s="140">
        <f t="shared" si="1"/>
        <v>38107</v>
      </c>
      <c r="C18" s="141" t="s">
        <v>183</v>
      </c>
      <c r="D18" s="575"/>
      <c r="E18" s="575"/>
      <c r="F18" s="141" t="str">
        <f t="shared" si="3"/>
        <v>(Case No. 2003-00260)</v>
      </c>
    </row>
    <row r="19" spans="1:6" x14ac:dyDescent="0.35">
      <c r="A19" s="140">
        <f t="shared" si="2"/>
        <v>38108</v>
      </c>
      <c r="B19" s="140">
        <f t="shared" si="1"/>
        <v>38199</v>
      </c>
      <c r="C19" s="141" t="s">
        <v>184</v>
      </c>
      <c r="D19" s="575"/>
      <c r="E19" s="575"/>
      <c r="F19" s="141" t="str">
        <f t="shared" si="3"/>
        <v>(Case No. 2003-00385)</v>
      </c>
    </row>
    <row r="20" spans="1:6" x14ac:dyDescent="0.35">
      <c r="A20" s="140">
        <f t="shared" si="2"/>
        <v>38200</v>
      </c>
      <c r="B20" s="140">
        <f t="shared" si="1"/>
        <v>38291</v>
      </c>
      <c r="C20" s="141" t="s">
        <v>185</v>
      </c>
      <c r="D20" s="575"/>
      <c r="E20" s="575"/>
      <c r="F20" s="141" t="str">
        <f t="shared" si="3"/>
        <v>(Case No. 2004-00506)</v>
      </c>
    </row>
    <row r="21" spans="1:6" x14ac:dyDescent="0.35">
      <c r="A21" s="140">
        <f t="shared" si="2"/>
        <v>38292</v>
      </c>
      <c r="B21" s="140">
        <f t="shared" si="1"/>
        <v>38383</v>
      </c>
      <c r="C21" s="141" t="s">
        <v>186</v>
      </c>
      <c r="D21" s="575"/>
      <c r="E21" s="575"/>
      <c r="F21" s="141" t="str">
        <f t="shared" si="3"/>
        <v>(Case No. 2004-00117)</v>
      </c>
    </row>
    <row r="22" spans="1:6" x14ac:dyDescent="0.35">
      <c r="A22" s="140">
        <f t="shared" si="2"/>
        <v>38384</v>
      </c>
      <c r="B22" s="140">
        <f t="shared" si="1"/>
        <v>38472</v>
      </c>
      <c r="C22" s="141" t="s">
        <v>187</v>
      </c>
      <c r="D22" s="575"/>
      <c r="E22" s="575"/>
      <c r="F22" s="141" t="str">
        <f t="shared" si="3"/>
        <v>(Case No. 2004-00271)</v>
      </c>
    </row>
    <row r="23" spans="1:6" x14ac:dyDescent="0.35">
      <c r="A23" s="140">
        <f t="shared" si="2"/>
        <v>38473</v>
      </c>
      <c r="B23" s="140">
        <f t="shared" si="1"/>
        <v>38564</v>
      </c>
      <c r="C23" s="141" t="s">
        <v>188</v>
      </c>
      <c r="D23" s="575"/>
      <c r="E23" s="575"/>
      <c r="F23" s="141" t="str">
        <f t="shared" si="3"/>
        <v>(Case No. 2004-00390)</v>
      </c>
    </row>
    <row r="24" spans="1:6" x14ac:dyDescent="0.35">
      <c r="A24" s="140">
        <f t="shared" si="2"/>
        <v>38565</v>
      </c>
      <c r="B24" s="140">
        <f t="shared" si="1"/>
        <v>38656</v>
      </c>
      <c r="C24" s="141" t="s">
        <v>194</v>
      </c>
      <c r="D24" s="575"/>
      <c r="E24" s="575"/>
      <c r="F24" s="141" t="str">
        <f t="shared" si="3"/>
        <v>(Case No. 2004-00526)</v>
      </c>
    </row>
    <row r="25" spans="1:6" x14ac:dyDescent="0.35">
      <c r="A25" s="140">
        <f t="shared" si="2"/>
        <v>38657</v>
      </c>
      <c r="B25" s="140">
        <f t="shared" si="1"/>
        <v>38748</v>
      </c>
      <c r="C25" s="141" t="s">
        <v>189</v>
      </c>
      <c r="D25" s="575"/>
      <c r="E25" s="575"/>
      <c r="F25" s="141" t="str">
        <f t="shared" si="3"/>
        <v>(Case No. 2005-00143)</v>
      </c>
    </row>
    <row r="26" spans="1:6" x14ac:dyDescent="0.35">
      <c r="A26" s="140">
        <f t="shared" si="2"/>
        <v>38749</v>
      </c>
      <c r="B26" s="140">
        <f t="shared" si="1"/>
        <v>38837</v>
      </c>
      <c r="C26" s="141" t="s">
        <v>190</v>
      </c>
      <c r="D26" s="575"/>
      <c r="E26" s="575"/>
      <c r="F26" s="141" t="str">
        <f t="shared" si="3"/>
        <v>(Case No. 2005-00274)</v>
      </c>
    </row>
    <row r="27" spans="1:6" x14ac:dyDescent="0.35">
      <c r="A27" s="140">
        <f t="shared" si="2"/>
        <v>38838</v>
      </c>
      <c r="B27" s="140">
        <f t="shared" si="1"/>
        <v>38929</v>
      </c>
      <c r="C27" s="141" t="s">
        <v>191</v>
      </c>
      <c r="D27" s="575"/>
      <c r="E27" s="575"/>
      <c r="F27" s="141" t="str">
        <f t="shared" si="3"/>
        <v>(Case No. 2005-00401)</v>
      </c>
    </row>
    <row r="28" spans="1:6" x14ac:dyDescent="0.35">
      <c r="A28" s="140">
        <f t="shared" si="2"/>
        <v>38930</v>
      </c>
      <c r="B28" s="140">
        <f t="shared" si="1"/>
        <v>39021</v>
      </c>
      <c r="C28" s="141" t="s">
        <v>192</v>
      </c>
      <c r="D28" s="575"/>
      <c r="E28" s="575"/>
      <c r="F28" s="141" t="str">
        <f t="shared" si="3"/>
        <v>(Case No. 2006-00005)</v>
      </c>
    </row>
    <row r="29" spans="1:6" x14ac:dyDescent="0.35">
      <c r="A29" s="140">
        <f t="shared" si="2"/>
        <v>39022</v>
      </c>
      <c r="B29" s="140">
        <f t="shared" si="1"/>
        <v>39113</v>
      </c>
      <c r="C29" s="141" t="s">
        <v>205</v>
      </c>
      <c r="D29" s="575"/>
      <c r="E29" s="575"/>
      <c r="F29" s="141" t="str">
        <f>C27</f>
        <v>(Case No. 2006-00138)</v>
      </c>
    </row>
    <row r="30" spans="1:6" x14ac:dyDescent="0.35">
      <c r="A30" s="140">
        <f t="shared" si="2"/>
        <v>39114</v>
      </c>
      <c r="B30" s="140">
        <f t="shared" si="1"/>
        <v>39202</v>
      </c>
      <c r="C30" s="141" t="s">
        <v>206</v>
      </c>
      <c r="D30" s="575"/>
      <c r="E30" s="575"/>
      <c r="F30" s="141" t="str">
        <f t="shared" ref="F30:F73" si="4">C28</f>
        <v>(Case No. 2006-00335)</v>
      </c>
    </row>
    <row r="31" spans="1:6" x14ac:dyDescent="0.35">
      <c r="A31" s="140">
        <f t="shared" si="2"/>
        <v>39203</v>
      </c>
      <c r="B31" s="140">
        <f t="shared" si="1"/>
        <v>39294</v>
      </c>
      <c r="C31" s="141" t="s">
        <v>207</v>
      </c>
      <c r="D31" s="575"/>
      <c r="E31" s="575"/>
      <c r="F31" s="141" t="str">
        <f t="shared" si="4"/>
        <v>(Case No. 2006-00431)</v>
      </c>
    </row>
    <row r="32" spans="1:6" x14ac:dyDescent="0.35">
      <c r="A32" s="140">
        <f t="shared" si="2"/>
        <v>39295</v>
      </c>
      <c r="B32" s="140">
        <f t="shared" si="1"/>
        <v>39386</v>
      </c>
      <c r="C32" s="141" t="s">
        <v>208</v>
      </c>
      <c r="D32" s="575"/>
      <c r="E32" s="575"/>
      <c r="F32" s="141" t="str">
        <f t="shared" si="4"/>
        <v>(Case No. 2007-00001)</v>
      </c>
    </row>
    <row r="33" spans="1:6" x14ac:dyDescent="0.35">
      <c r="A33" s="140">
        <f t="shared" si="2"/>
        <v>39387</v>
      </c>
      <c r="B33" s="140">
        <f t="shared" si="1"/>
        <v>39478</v>
      </c>
      <c r="C33" s="141" t="s">
        <v>209</v>
      </c>
      <c r="D33" s="575"/>
      <c r="E33" s="575"/>
      <c r="F33" s="141" t="str">
        <f t="shared" si="4"/>
        <v>(Case No. 2007-00141)</v>
      </c>
    </row>
    <row r="34" spans="1:6" x14ac:dyDescent="0.35">
      <c r="A34" s="140">
        <f t="shared" si="2"/>
        <v>39479</v>
      </c>
      <c r="B34" s="140">
        <f t="shared" si="1"/>
        <v>39568</v>
      </c>
      <c r="C34" s="141" t="s">
        <v>38</v>
      </c>
      <c r="D34" s="575"/>
      <c r="E34" s="575"/>
      <c r="F34" s="141" t="str">
        <f t="shared" si="4"/>
        <v>(Case No. 2007-00267)</v>
      </c>
    </row>
    <row r="35" spans="1:6" x14ac:dyDescent="0.35">
      <c r="A35" s="140">
        <f t="shared" si="2"/>
        <v>39569</v>
      </c>
      <c r="B35" s="140">
        <f t="shared" si="1"/>
        <v>39660</v>
      </c>
      <c r="C35" s="141" t="s">
        <v>215</v>
      </c>
      <c r="D35" s="575"/>
      <c r="E35" s="575"/>
      <c r="F35" s="141" t="str">
        <f t="shared" si="4"/>
        <v>(Case No. 2007-00428)</v>
      </c>
    </row>
    <row r="36" spans="1:6" x14ac:dyDescent="0.35">
      <c r="A36" s="140">
        <f t="shared" si="2"/>
        <v>39661</v>
      </c>
      <c r="B36" s="140">
        <f t="shared" si="1"/>
        <v>39752</v>
      </c>
      <c r="C36" s="141" t="s">
        <v>71</v>
      </c>
      <c r="D36" s="575"/>
      <c r="E36" s="575"/>
      <c r="F36" s="141" t="str">
        <f t="shared" si="4"/>
        <v>(Case No. 2007-00559)</v>
      </c>
    </row>
    <row r="37" spans="1:6" x14ac:dyDescent="0.35">
      <c r="A37" s="140">
        <f t="shared" si="2"/>
        <v>39753</v>
      </c>
      <c r="B37" s="140">
        <f t="shared" si="1"/>
        <v>39844</v>
      </c>
      <c r="C37" s="141" t="s">
        <v>1</v>
      </c>
      <c r="D37" s="575"/>
      <c r="E37" s="575"/>
      <c r="F37" s="141" t="str">
        <f t="shared" si="4"/>
        <v>(Case No. 2008-00117)</v>
      </c>
    </row>
    <row r="38" spans="1:6" x14ac:dyDescent="0.35">
      <c r="A38" s="140">
        <f t="shared" si="2"/>
        <v>39845</v>
      </c>
      <c r="B38" s="140">
        <f t="shared" si="1"/>
        <v>39933</v>
      </c>
      <c r="C38" s="141" t="s">
        <v>3</v>
      </c>
      <c r="D38" s="575"/>
      <c r="E38" s="575"/>
      <c r="F38" s="141" t="str">
        <f t="shared" si="4"/>
        <v>(Case No. 2008-00246)</v>
      </c>
    </row>
    <row r="39" spans="1:6" x14ac:dyDescent="0.35">
      <c r="A39" s="140">
        <f t="shared" si="2"/>
        <v>39934</v>
      </c>
      <c r="B39" s="140">
        <f t="shared" si="1"/>
        <v>40025</v>
      </c>
      <c r="C39" s="141" t="s">
        <v>2</v>
      </c>
      <c r="D39" s="575"/>
      <c r="E39" s="575"/>
      <c r="F39" s="141" t="str">
        <f t="shared" si="4"/>
        <v>(Case No. 2008-00430)</v>
      </c>
    </row>
    <row r="40" spans="1:6" x14ac:dyDescent="0.35">
      <c r="A40" s="140">
        <f t="shared" si="2"/>
        <v>40026</v>
      </c>
      <c r="B40" s="140">
        <f t="shared" si="1"/>
        <v>40117</v>
      </c>
      <c r="C40" s="141" t="s">
        <v>336</v>
      </c>
      <c r="D40" s="575"/>
      <c r="E40" s="575"/>
      <c r="F40" s="141" t="str">
        <f t="shared" si="4"/>
        <v>(Case No. 2008-00564)</v>
      </c>
    </row>
    <row r="41" spans="1:6" x14ac:dyDescent="0.35">
      <c r="A41" s="140">
        <f t="shared" si="2"/>
        <v>40118</v>
      </c>
      <c r="B41" s="140">
        <f t="shared" si="1"/>
        <v>40209</v>
      </c>
      <c r="C41" s="141" t="s">
        <v>337</v>
      </c>
      <c r="D41" s="575"/>
      <c r="E41" s="575"/>
      <c r="F41" s="141" t="str">
        <f t="shared" si="4"/>
        <v>(Case No. 2009-00140)</v>
      </c>
    </row>
    <row r="42" spans="1:6" x14ac:dyDescent="0.35">
      <c r="A42" s="140">
        <f t="shared" si="2"/>
        <v>40210</v>
      </c>
      <c r="B42" s="140">
        <f t="shared" si="1"/>
        <v>40298</v>
      </c>
      <c r="C42" s="141" t="s">
        <v>338</v>
      </c>
      <c r="D42" s="575"/>
      <c r="E42" s="575"/>
      <c r="F42" s="141" t="str">
        <f t="shared" si="4"/>
        <v>(Case No. 2009-00248)</v>
      </c>
    </row>
    <row r="43" spans="1:6" x14ac:dyDescent="0.35">
      <c r="A43" s="140">
        <f t="shared" si="2"/>
        <v>40299</v>
      </c>
      <c r="B43" s="140">
        <f t="shared" si="1"/>
        <v>40390</v>
      </c>
      <c r="C43" s="141" t="s">
        <v>339</v>
      </c>
      <c r="D43" s="575"/>
      <c r="E43" s="575"/>
      <c r="F43" s="141" t="str">
        <f t="shared" si="4"/>
        <v>(Case No. 2009-00395)</v>
      </c>
    </row>
    <row r="44" spans="1:6" x14ac:dyDescent="0.35">
      <c r="A44" s="140">
        <f t="shared" si="2"/>
        <v>40391</v>
      </c>
      <c r="B44" s="140">
        <f t="shared" si="1"/>
        <v>40482</v>
      </c>
      <c r="C44" s="141" t="s">
        <v>340</v>
      </c>
      <c r="D44" s="575"/>
      <c r="E44" s="575"/>
      <c r="F44" s="141" t="str">
        <f t="shared" si="4"/>
        <v>(Case No. 2009-00457)</v>
      </c>
    </row>
    <row r="45" spans="1:6" x14ac:dyDescent="0.35">
      <c r="A45" s="140">
        <f t="shared" si="2"/>
        <v>40483</v>
      </c>
      <c r="B45" s="140">
        <f t="shared" si="1"/>
        <v>40574</v>
      </c>
      <c r="C45" s="141" t="s">
        <v>341</v>
      </c>
      <c r="D45" s="575"/>
      <c r="E45" s="575"/>
      <c r="F45" s="141" t="str">
        <f t="shared" si="4"/>
        <v>(Case No. 2010-00140)</v>
      </c>
    </row>
    <row r="46" spans="1:6" x14ac:dyDescent="0.35">
      <c r="A46" s="140">
        <f t="shared" si="2"/>
        <v>40575</v>
      </c>
      <c r="B46" s="140">
        <f t="shared" si="1"/>
        <v>40663</v>
      </c>
      <c r="C46" s="141" t="s">
        <v>342</v>
      </c>
      <c r="D46" s="575"/>
      <c r="E46" s="575"/>
      <c r="F46" s="141" t="str">
        <f t="shared" si="4"/>
        <v>(Case No. 2010-00263)</v>
      </c>
    </row>
    <row r="47" spans="1:6" x14ac:dyDescent="0.35">
      <c r="A47" s="140">
        <f t="shared" si="2"/>
        <v>40664</v>
      </c>
      <c r="B47" s="140">
        <f t="shared" si="1"/>
        <v>40755</v>
      </c>
      <c r="C47" s="141" t="s">
        <v>292</v>
      </c>
      <c r="D47" s="575"/>
      <c r="E47" s="575"/>
      <c r="F47" s="141" t="str">
        <f t="shared" si="4"/>
        <v>(Case No. 2010-00387)</v>
      </c>
    </row>
    <row r="48" spans="1:6" x14ac:dyDescent="0.35">
      <c r="A48" s="140">
        <f t="shared" si="2"/>
        <v>40756</v>
      </c>
      <c r="B48" s="140">
        <f t="shared" si="1"/>
        <v>40847</v>
      </c>
      <c r="C48" s="141" t="s">
        <v>291</v>
      </c>
      <c r="D48" s="575"/>
      <c r="E48" s="575"/>
      <c r="F48" s="141" t="str">
        <f t="shared" si="4"/>
        <v>(Case No. 2010-00525)</v>
      </c>
    </row>
    <row r="49" spans="1:6" x14ac:dyDescent="0.35">
      <c r="A49" s="463">
        <f t="shared" si="2"/>
        <v>40848</v>
      </c>
      <c r="B49" s="140">
        <f t="shared" si="1"/>
        <v>40939</v>
      </c>
      <c r="C49" s="462" t="s">
        <v>290</v>
      </c>
      <c r="D49" s="462"/>
      <c r="E49" s="462"/>
      <c r="F49" s="141" t="str">
        <f t="shared" si="4"/>
        <v>2011-00119</v>
      </c>
    </row>
    <row r="50" spans="1:6" x14ac:dyDescent="0.35">
      <c r="A50" s="463">
        <f t="shared" si="2"/>
        <v>40940</v>
      </c>
      <c r="B50" s="140">
        <f t="shared" si="1"/>
        <v>41029</v>
      </c>
      <c r="C50" s="462" t="s">
        <v>234</v>
      </c>
      <c r="D50" s="462"/>
      <c r="E50" s="462"/>
      <c r="F50" s="141" t="str">
        <f t="shared" si="4"/>
        <v>2011-00228</v>
      </c>
    </row>
    <row r="51" spans="1:6" x14ac:dyDescent="0.35">
      <c r="A51" s="463">
        <f t="shared" si="2"/>
        <v>41030</v>
      </c>
      <c r="B51" s="140">
        <f t="shared" si="1"/>
        <v>41121</v>
      </c>
      <c r="C51" s="462" t="s">
        <v>262</v>
      </c>
      <c r="D51" s="462"/>
      <c r="E51" s="462"/>
      <c r="F51" s="141" t="str">
        <f t="shared" si="4"/>
        <v>2011-00402</v>
      </c>
    </row>
    <row r="52" spans="1:6" x14ac:dyDescent="0.35">
      <c r="A52" s="463">
        <v>41122</v>
      </c>
      <c r="B52" s="140">
        <f t="shared" ref="B52:B73" si="5">EOMONTH(A52,2)</f>
        <v>41213</v>
      </c>
      <c r="C52" s="462" t="s">
        <v>325</v>
      </c>
      <c r="D52" s="462"/>
      <c r="E52" s="462"/>
      <c r="F52" s="141" t="str">
        <f t="shared" si="4"/>
        <v>2011-00523</v>
      </c>
    </row>
    <row r="53" spans="1:6" x14ac:dyDescent="0.35">
      <c r="A53" s="463">
        <v>41214</v>
      </c>
      <c r="B53" s="140">
        <f t="shared" si="5"/>
        <v>41305</v>
      </c>
      <c r="C53" s="462" t="s">
        <v>349</v>
      </c>
      <c r="D53" s="462"/>
      <c r="E53" s="462"/>
      <c r="F53" s="141" t="str">
        <f t="shared" si="4"/>
        <v>2012-00125</v>
      </c>
    </row>
    <row r="54" spans="1:6" x14ac:dyDescent="0.35">
      <c r="A54" s="463">
        <v>41306</v>
      </c>
      <c r="B54" s="140">
        <f t="shared" si="5"/>
        <v>41394</v>
      </c>
      <c r="C54" s="462" t="s">
        <v>350</v>
      </c>
      <c r="D54" s="462"/>
      <c r="E54" s="462"/>
      <c r="F54" s="141" t="str">
        <f t="shared" si="4"/>
        <v>2012-00286</v>
      </c>
    </row>
    <row r="55" spans="1:6" x14ac:dyDescent="0.35">
      <c r="A55" s="463">
        <v>41395</v>
      </c>
      <c r="B55" s="140">
        <f t="shared" si="5"/>
        <v>41486</v>
      </c>
      <c r="C55" s="462" t="s">
        <v>360</v>
      </c>
      <c r="D55" s="462"/>
      <c r="E55" s="462"/>
      <c r="F55" s="141" t="str">
        <f t="shared" si="4"/>
        <v>2012-00446</v>
      </c>
    </row>
    <row r="56" spans="1:6" x14ac:dyDescent="0.35">
      <c r="A56" s="463">
        <v>41487</v>
      </c>
      <c r="B56" s="140">
        <f t="shared" si="5"/>
        <v>41578</v>
      </c>
      <c r="C56" s="462" t="s">
        <v>368</v>
      </c>
      <c r="D56" s="462"/>
      <c r="E56" s="462"/>
      <c r="F56" s="141" t="str">
        <f t="shared" si="4"/>
        <v>2012-00591</v>
      </c>
    </row>
    <row r="57" spans="1:6" x14ac:dyDescent="0.35">
      <c r="A57" s="463">
        <v>41579</v>
      </c>
      <c r="B57" s="140">
        <f t="shared" si="5"/>
        <v>41670</v>
      </c>
      <c r="C57" s="462" t="s">
        <v>381</v>
      </c>
      <c r="D57" s="462"/>
      <c r="E57" s="462"/>
      <c r="F57" s="141" t="str">
        <f t="shared" si="4"/>
        <v>2013-00126</v>
      </c>
    </row>
    <row r="58" spans="1:6" x14ac:dyDescent="0.35">
      <c r="A58" s="463">
        <v>41671</v>
      </c>
      <c r="B58" s="140">
        <f t="shared" si="5"/>
        <v>41759</v>
      </c>
      <c r="C58" s="462" t="s">
        <v>423</v>
      </c>
      <c r="D58" s="462"/>
      <c r="E58" s="462"/>
      <c r="F58" s="141" t="str">
        <f t="shared" si="4"/>
        <v>2013-00253</v>
      </c>
    </row>
    <row r="59" spans="1:6" x14ac:dyDescent="0.35">
      <c r="A59" s="463">
        <v>41760</v>
      </c>
      <c r="B59" s="140">
        <f t="shared" si="5"/>
        <v>41851</v>
      </c>
      <c r="C59" s="462" t="s">
        <v>426</v>
      </c>
      <c r="D59" s="462"/>
      <c r="E59" s="462"/>
      <c r="F59" s="141" t="str">
        <f t="shared" si="4"/>
        <v>2013-00361</v>
      </c>
    </row>
    <row r="60" spans="1:6" x14ac:dyDescent="0.35">
      <c r="A60" s="463">
        <v>41852</v>
      </c>
      <c r="B60" s="140">
        <f t="shared" si="5"/>
        <v>41943</v>
      </c>
      <c r="C60" s="462" t="s">
        <v>433</v>
      </c>
      <c r="D60" s="462"/>
      <c r="E60" s="462"/>
      <c r="F60" s="141" t="str">
        <f t="shared" si="4"/>
        <v>2013-00486</v>
      </c>
    </row>
    <row r="61" spans="1:6" x14ac:dyDescent="0.35">
      <c r="A61" s="463">
        <v>41944</v>
      </c>
      <c r="B61" s="140">
        <f t="shared" si="5"/>
        <v>42035</v>
      </c>
      <c r="C61" s="462" t="s">
        <v>437</v>
      </c>
      <c r="D61" s="462"/>
      <c r="E61" s="462"/>
      <c r="F61" s="141" t="str">
        <f t="shared" si="4"/>
        <v>2014-00115</v>
      </c>
    </row>
    <row r="62" spans="1:6" x14ac:dyDescent="0.35">
      <c r="A62" s="463">
        <v>42036</v>
      </c>
      <c r="B62" s="140">
        <f t="shared" si="5"/>
        <v>42124</v>
      </c>
      <c r="C62" s="462" t="s">
        <v>438</v>
      </c>
      <c r="D62" s="462"/>
      <c r="E62" s="462"/>
      <c r="F62" s="141" t="str">
        <f t="shared" si="4"/>
        <v>2014-00217</v>
      </c>
    </row>
    <row r="63" spans="1:6" x14ac:dyDescent="0.35">
      <c r="A63" s="463">
        <v>42125</v>
      </c>
      <c r="B63" s="140">
        <f t="shared" si="5"/>
        <v>42216</v>
      </c>
      <c r="C63" s="462" t="s">
        <v>441</v>
      </c>
      <c r="D63" s="462"/>
      <c r="E63" s="462"/>
      <c r="F63" s="141" t="str">
        <f t="shared" si="4"/>
        <v>2014-00348</v>
      </c>
    </row>
    <row r="64" spans="1:6" x14ac:dyDescent="0.35">
      <c r="A64" s="463">
        <v>42217</v>
      </c>
      <c r="B64" s="140">
        <f t="shared" si="5"/>
        <v>42308</v>
      </c>
      <c r="C64" s="462" t="s">
        <v>455</v>
      </c>
      <c r="D64" s="462"/>
      <c r="E64" s="462"/>
      <c r="F64" s="141" t="str">
        <f t="shared" si="4"/>
        <v>2014-00475</v>
      </c>
    </row>
    <row r="65" spans="1:17" x14ac:dyDescent="0.35">
      <c r="A65" s="463">
        <v>42309</v>
      </c>
      <c r="B65" s="140">
        <f t="shared" si="5"/>
        <v>42400</v>
      </c>
      <c r="C65" s="462" t="s">
        <v>477</v>
      </c>
      <c r="D65" s="462"/>
      <c r="E65" s="462"/>
      <c r="F65" s="141" t="str">
        <f t="shared" si="4"/>
        <v>2015-00105</v>
      </c>
    </row>
    <row r="66" spans="1:17" x14ac:dyDescent="0.35">
      <c r="A66" s="463">
        <v>42401</v>
      </c>
      <c r="B66" s="140">
        <f t="shared" si="5"/>
        <v>42490</v>
      </c>
      <c r="C66" s="462" t="s">
        <v>499</v>
      </c>
      <c r="D66" s="462"/>
      <c r="E66" s="462"/>
      <c r="F66" s="141" t="str">
        <f t="shared" si="4"/>
        <v>2015-00218</v>
      </c>
    </row>
    <row r="67" spans="1:17" x14ac:dyDescent="0.35">
      <c r="A67" s="463">
        <v>42491</v>
      </c>
      <c r="B67" s="140">
        <f t="shared" si="5"/>
        <v>42582</v>
      </c>
      <c r="C67" s="462" t="s">
        <v>572</v>
      </c>
      <c r="D67" s="462"/>
      <c r="E67" s="462"/>
      <c r="F67" s="141" t="str">
        <f t="shared" si="4"/>
        <v>2015-00329</v>
      </c>
    </row>
    <row r="68" spans="1:17" x14ac:dyDescent="0.35">
      <c r="A68" s="463">
        <v>42583</v>
      </c>
      <c r="B68" s="140">
        <f t="shared" si="5"/>
        <v>42674</v>
      </c>
      <c r="C68" s="462" t="s">
        <v>554</v>
      </c>
      <c r="D68" s="462"/>
      <c r="E68" s="462"/>
      <c r="F68" s="141" t="str">
        <f t="shared" si="4"/>
        <v>2015-00429</v>
      </c>
    </row>
    <row r="69" spans="1:17" x14ac:dyDescent="0.35">
      <c r="A69" s="463">
        <v>42675</v>
      </c>
      <c r="B69" s="140">
        <f t="shared" si="5"/>
        <v>42766</v>
      </c>
      <c r="C69" s="462" t="s">
        <v>571</v>
      </c>
      <c r="D69" s="462"/>
      <c r="E69" s="462"/>
      <c r="F69" s="141" t="str">
        <f t="shared" si="4"/>
        <v>2016-00137</v>
      </c>
    </row>
    <row r="70" spans="1:17" x14ac:dyDescent="0.35">
      <c r="A70" s="463">
        <v>42767</v>
      </c>
      <c r="B70" s="140">
        <f t="shared" si="5"/>
        <v>42855</v>
      </c>
      <c r="C70" s="462" t="s">
        <v>573</v>
      </c>
      <c r="D70" s="462"/>
      <c r="E70" s="462"/>
      <c r="F70" s="141" t="str">
        <f t="shared" si="4"/>
        <v>2016-00225</v>
      </c>
    </row>
    <row r="71" spans="1:17" x14ac:dyDescent="0.35">
      <c r="A71" s="463">
        <v>42856</v>
      </c>
      <c r="B71" s="140">
        <f t="shared" si="5"/>
        <v>42947</v>
      </c>
      <c r="C71" s="462" t="s">
        <v>589</v>
      </c>
      <c r="D71" s="462"/>
      <c r="E71" s="462"/>
      <c r="F71" s="141" t="str">
        <f t="shared" si="4"/>
        <v>2016-00353</v>
      </c>
    </row>
    <row r="72" spans="1:17" x14ac:dyDescent="0.35">
      <c r="A72" s="463">
        <v>42948</v>
      </c>
      <c r="B72" s="140">
        <f t="shared" si="5"/>
        <v>43039</v>
      </c>
      <c r="C72" s="462" t="s">
        <v>591</v>
      </c>
      <c r="D72" s="462"/>
      <c r="E72" s="462"/>
      <c r="F72" s="141" t="str">
        <f t="shared" si="4"/>
        <v>2016-00428</v>
      </c>
      <c r="G72" s="569"/>
      <c r="H72" s="570"/>
    </row>
    <row r="73" spans="1:17" x14ac:dyDescent="0.35">
      <c r="A73" s="463">
        <v>43040</v>
      </c>
      <c r="B73" s="140">
        <f t="shared" si="5"/>
        <v>43131</v>
      </c>
      <c r="C73" s="462" t="s">
        <v>605</v>
      </c>
      <c r="D73" s="462"/>
      <c r="E73" s="462"/>
      <c r="F73" s="141" t="str">
        <f t="shared" si="4"/>
        <v>2017-00131</v>
      </c>
      <c r="G73" s="569"/>
      <c r="H73" s="570"/>
    </row>
    <row r="74" spans="1:17" x14ac:dyDescent="0.35">
      <c r="A74" s="463">
        <v>43132</v>
      </c>
      <c r="B74" s="140">
        <f t="shared" ref="B74:B85" si="6">EOMONTH(A74,2)</f>
        <v>43220</v>
      </c>
      <c r="C74" s="499" t="s">
        <v>607</v>
      </c>
      <c r="D74" s="499"/>
      <c r="E74" s="499"/>
      <c r="F74" s="141" t="str">
        <f t="shared" ref="F74:F92" si="7">C72</f>
        <v>2017-00235</v>
      </c>
      <c r="G74" s="569">
        <v>-5.11E-2</v>
      </c>
      <c r="H74" s="570">
        <v>-5.11E-3</v>
      </c>
      <c r="M74" s="570"/>
    </row>
    <row r="75" spans="1:17" x14ac:dyDescent="0.35">
      <c r="A75" s="463">
        <v>43221</v>
      </c>
      <c r="B75" s="140">
        <f t="shared" si="6"/>
        <v>43312</v>
      </c>
      <c r="C75" s="499" t="s">
        <v>608</v>
      </c>
      <c r="D75" s="499"/>
      <c r="E75" s="499"/>
      <c r="F75" s="141" t="str">
        <f t="shared" si="7"/>
        <v>2017-00364</v>
      </c>
      <c r="G75" s="569">
        <v>-3.3999999999999998E-3</v>
      </c>
      <c r="H75" s="570">
        <v>-3.4000000000000002E-4</v>
      </c>
      <c r="L75" s="569"/>
      <c r="M75" s="570"/>
    </row>
    <row r="76" spans="1:17" x14ac:dyDescent="0.35">
      <c r="A76" s="463">
        <v>43313</v>
      </c>
      <c r="B76" s="140">
        <f t="shared" si="6"/>
        <v>43404</v>
      </c>
      <c r="C76" s="462" t="s">
        <v>616</v>
      </c>
      <c r="D76" s="462">
        <v>3.964</v>
      </c>
      <c r="E76" s="462">
        <v>0.39639999999999997</v>
      </c>
      <c r="F76" s="141" t="str">
        <f t="shared" si="7"/>
        <v>2017-00457</v>
      </c>
      <c r="G76" s="569">
        <v>0.15010000000000001</v>
      </c>
      <c r="H76" s="570">
        <v>1.5010000000000001E-2</v>
      </c>
      <c r="I76" s="569">
        <v>0.83299999999999996</v>
      </c>
      <c r="J76" s="569">
        <v>0.85</v>
      </c>
      <c r="K76" s="569">
        <v>0.16569999999999999</v>
      </c>
      <c r="L76" s="569">
        <v>2.3E-3</v>
      </c>
      <c r="M76" s="570">
        <v>2.3000000000000001E-4</v>
      </c>
      <c r="N76" s="6">
        <v>0</v>
      </c>
      <c r="O76" s="6">
        <v>0</v>
      </c>
      <c r="P76" s="569">
        <v>0</v>
      </c>
      <c r="Q76" s="570">
        <v>0</v>
      </c>
    </row>
    <row r="77" spans="1:17" x14ac:dyDescent="0.35">
      <c r="A77" s="463">
        <v>43405</v>
      </c>
      <c r="B77" s="140">
        <f t="shared" si="6"/>
        <v>43496</v>
      </c>
      <c r="C77" s="462" t="s">
        <v>623</v>
      </c>
      <c r="D77" s="462">
        <v>3.8913000000000002</v>
      </c>
      <c r="E77" s="462">
        <v>0.38912999999999998</v>
      </c>
      <c r="F77" s="141" t="str">
        <f t="shared" si="7"/>
        <v>2018-00088</v>
      </c>
      <c r="G77" s="569">
        <v>-3.2500000000000001E-2</v>
      </c>
      <c r="H77" s="570">
        <v>-3.2499999999999999E-3</v>
      </c>
      <c r="I77" s="569">
        <v>0.81379999999999997</v>
      </c>
      <c r="J77" s="569">
        <v>0.83079999999999998</v>
      </c>
      <c r="K77" s="569">
        <v>0.1648</v>
      </c>
      <c r="L77" s="569">
        <v>-2.8999999999999998E-3</v>
      </c>
      <c r="M77" s="570">
        <v>-2.9E-4</v>
      </c>
      <c r="N77" s="6">
        <v>0</v>
      </c>
      <c r="O77" s="6">
        <v>0</v>
      </c>
      <c r="P77" s="569">
        <v>0</v>
      </c>
      <c r="Q77" s="570">
        <v>0</v>
      </c>
    </row>
    <row r="78" spans="1:17" x14ac:dyDescent="0.35">
      <c r="A78" s="463">
        <v>43497</v>
      </c>
      <c r="B78" s="140">
        <f t="shared" si="6"/>
        <v>43585</v>
      </c>
      <c r="C78" s="499" t="s">
        <v>630</v>
      </c>
      <c r="D78" s="499">
        <v>4.0709</v>
      </c>
      <c r="E78" s="499">
        <v>0.40709000000000001</v>
      </c>
      <c r="F78" s="141" t="str">
        <f t="shared" si="7"/>
        <v>2018-00182</v>
      </c>
      <c r="G78" s="569">
        <v>-3.3300000000000003E-2</v>
      </c>
      <c r="H78" s="570">
        <v>-3.3300000000000001E-3</v>
      </c>
      <c r="I78" s="569">
        <v>0.81710000000000005</v>
      </c>
      <c r="J78" s="569">
        <v>0.8377</v>
      </c>
      <c r="K78" s="569">
        <v>0.1648</v>
      </c>
      <c r="L78" s="569">
        <v>-4.8999999999999998E-3</v>
      </c>
      <c r="M78" s="570">
        <v>-4.8999999999999998E-4</v>
      </c>
      <c r="N78" s="6">
        <v>0</v>
      </c>
      <c r="O78" s="6">
        <v>0</v>
      </c>
      <c r="P78" s="569">
        <v>0</v>
      </c>
      <c r="Q78" s="570">
        <v>0</v>
      </c>
    </row>
    <row r="79" spans="1:17" x14ac:dyDescent="0.35">
      <c r="A79" s="463">
        <v>43586</v>
      </c>
      <c r="B79" s="140">
        <f t="shared" si="6"/>
        <v>43677</v>
      </c>
      <c r="C79" s="499" t="s">
        <v>631</v>
      </c>
      <c r="D79" s="499">
        <v>3.7871000000000001</v>
      </c>
      <c r="E79" s="499">
        <v>0.37870999999999999</v>
      </c>
      <c r="F79" s="141" t="str">
        <f t="shared" si="7"/>
        <v>2018-00302</v>
      </c>
      <c r="G79" s="569">
        <v>0.43049999999999999</v>
      </c>
      <c r="H79" s="570">
        <v>4.3049999999999998E-2</v>
      </c>
      <c r="I79" s="569">
        <v>0.8175</v>
      </c>
      <c r="J79" s="569">
        <v>0.83809999999999996</v>
      </c>
      <c r="K79" s="569">
        <v>0.1648</v>
      </c>
      <c r="L79" s="569">
        <v>-3.5999999999999999E-3</v>
      </c>
      <c r="M79" s="570">
        <v>-3.6000000000000002E-4</v>
      </c>
      <c r="N79" s="6">
        <v>0</v>
      </c>
      <c r="O79" s="6">
        <v>0</v>
      </c>
      <c r="P79" s="569">
        <v>0</v>
      </c>
      <c r="Q79" s="570">
        <v>0</v>
      </c>
    </row>
    <row r="80" spans="1:17" x14ac:dyDescent="0.35">
      <c r="A80" s="463">
        <v>43678</v>
      </c>
      <c r="B80" s="140">
        <f t="shared" si="6"/>
        <v>43769</v>
      </c>
      <c r="C80" s="499" t="s">
        <v>633</v>
      </c>
      <c r="D80" s="499">
        <v>3.1084000000000001</v>
      </c>
      <c r="E80" s="499">
        <v>0.31084000000000001</v>
      </c>
      <c r="F80" s="141" t="str">
        <f t="shared" si="7"/>
        <v>2018-00403</v>
      </c>
      <c r="G80" s="569">
        <v>-5.3400000000000003E-2</v>
      </c>
      <c r="H80" s="570">
        <v>-5.3400000000000001E-3</v>
      </c>
      <c r="I80" s="569">
        <v>0.81799999999999995</v>
      </c>
      <c r="J80" s="569">
        <v>0.83860000000000001</v>
      </c>
      <c r="K80" s="569">
        <v>0.161</v>
      </c>
      <c r="L80" s="569">
        <v>1.4E-3</v>
      </c>
      <c r="M80" s="570">
        <v>1.3999999999999999E-4</v>
      </c>
      <c r="N80" s="6">
        <v>0</v>
      </c>
      <c r="O80" s="6">
        <v>0</v>
      </c>
      <c r="P80" s="569">
        <v>0</v>
      </c>
      <c r="Q80" s="570">
        <v>0</v>
      </c>
    </row>
    <row r="81" spans="1:17" x14ac:dyDescent="0.35">
      <c r="A81" s="463">
        <v>43770</v>
      </c>
      <c r="B81" s="140">
        <f t="shared" si="6"/>
        <v>43861</v>
      </c>
      <c r="C81" s="499" t="s">
        <v>638</v>
      </c>
      <c r="D81" s="499">
        <v>3.4847999999999999</v>
      </c>
      <c r="E81" s="499">
        <v>0.34848000000000001</v>
      </c>
      <c r="F81" s="141" t="str">
        <f t="shared" si="7"/>
        <v>2019-00078</v>
      </c>
      <c r="G81" s="569">
        <v>-4.9299999999999997E-2</v>
      </c>
      <c r="H81" s="570">
        <v>-4.9300000000000004E-3</v>
      </c>
      <c r="I81" s="569">
        <v>0.8236</v>
      </c>
      <c r="J81" s="569">
        <v>0.84419999999999995</v>
      </c>
      <c r="K81" s="569">
        <v>0.16270000000000001</v>
      </c>
      <c r="L81" s="569">
        <v>-2.3E-3</v>
      </c>
      <c r="M81" s="570">
        <v>-2.3000000000000001E-4</v>
      </c>
      <c r="N81" s="6">
        <v>0</v>
      </c>
      <c r="O81" s="6">
        <v>0</v>
      </c>
      <c r="P81" s="569">
        <v>0</v>
      </c>
      <c r="Q81" s="570">
        <v>0</v>
      </c>
    </row>
    <row r="82" spans="1:17" x14ac:dyDescent="0.35">
      <c r="A82" s="463">
        <v>43862</v>
      </c>
      <c r="B82" s="140">
        <f t="shared" si="6"/>
        <v>43951</v>
      </c>
      <c r="C82" s="499" t="s">
        <v>641</v>
      </c>
      <c r="D82" s="499">
        <v>3.0407000000000002</v>
      </c>
      <c r="E82" s="499">
        <v>0.30407000000000001</v>
      </c>
      <c r="F82" s="141" t="str">
        <f t="shared" si="7"/>
        <v>2019-00179</v>
      </c>
      <c r="G82" s="569">
        <v>-5.4100000000000002E-2</v>
      </c>
      <c r="H82" s="570">
        <v>-5.4099999999999999E-3</v>
      </c>
      <c r="I82" s="569">
        <v>0.82689999999999997</v>
      </c>
      <c r="J82" s="569">
        <v>0.85629999999999995</v>
      </c>
      <c r="K82" s="569">
        <v>0.16259999999999999</v>
      </c>
      <c r="L82" s="569">
        <v>-6.9999999999999999E-4</v>
      </c>
      <c r="M82" s="570">
        <v>-6.9999999999999994E-5</v>
      </c>
      <c r="N82" s="6">
        <v>0</v>
      </c>
      <c r="O82" s="6">
        <v>0</v>
      </c>
      <c r="P82" s="569">
        <v>0</v>
      </c>
      <c r="Q82" s="570">
        <v>0</v>
      </c>
    </row>
    <row r="83" spans="1:17" x14ac:dyDescent="0.35">
      <c r="A83" s="463">
        <v>43952</v>
      </c>
      <c r="B83" s="140">
        <f t="shared" si="6"/>
        <v>44043</v>
      </c>
      <c r="C83" s="499" t="s">
        <v>644</v>
      </c>
      <c r="D83" s="499">
        <v>2.5918000000000001</v>
      </c>
      <c r="E83" s="499">
        <v>0.25918000000000002</v>
      </c>
      <c r="F83" s="141" t="str">
        <f t="shared" si="7"/>
        <v>2019-00327</v>
      </c>
      <c r="G83" s="569">
        <v>3.6799999999999999E-2</v>
      </c>
      <c r="H83" s="570">
        <v>3.6800000000000001E-3</v>
      </c>
      <c r="I83" s="569">
        <v>0.83109999999999995</v>
      </c>
      <c r="J83" s="569">
        <v>0.86050000000000004</v>
      </c>
      <c r="K83" s="569">
        <v>0.16259999999999999</v>
      </c>
      <c r="L83" s="569">
        <v>-1.72E-2</v>
      </c>
      <c r="M83" s="570">
        <v>-1.72E-3</v>
      </c>
      <c r="N83" s="6">
        <v>0</v>
      </c>
      <c r="O83" s="6">
        <v>0</v>
      </c>
      <c r="P83" s="569">
        <v>0</v>
      </c>
      <c r="Q83" s="570">
        <v>0</v>
      </c>
    </row>
    <row r="84" spans="1:17" x14ac:dyDescent="0.35">
      <c r="A84" s="463">
        <v>44044</v>
      </c>
      <c r="B84" s="140">
        <f t="shared" si="6"/>
        <v>44135</v>
      </c>
      <c r="C84" s="499" t="s">
        <v>700</v>
      </c>
      <c r="D84" s="499">
        <v>2.6113</v>
      </c>
      <c r="E84" s="499">
        <v>0.26112999999999997</v>
      </c>
      <c r="F84" s="141" t="str">
        <f t="shared" si="7"/>
        <v>2019-00436</v>
      </c>
      <c r="G84" s="616">
        <v>4.5600000000000002E-2</v>
      </c>
      <c r="H84" s="616">
        <v>4.5599999999999998E-3</v>
      </c>
      <c r="I84" s="616">
        <v>0.83279999999999998</v>
      </c>
      <c r="J84" s="616">
        <v>0.86219999999999997</v>
      </c>
      <c r="K84" s="616">
        <v>0.16259999999999999</v>
      </c>
      <c r="L84" s="616">
        <v>0.37490000000000001</v>
      </c>
      <c r="M84" s="616">
        <v>3.7490000000000002E-2</v>
      </c>
      <c r="N84" s="6">
        <v>0</v>
      </c>
      <c r="O84" s="6">
        <v>0</v>
      </c>
      <c r="P84" s="569">
        <v>0</v>
      </c>
      <c r="Q84" s="570">
        <v>0</v>
      </c>
    </row>
    <row r="85" spans="1:17" x14ac:dyDescent="0.35">
      <c r="A85" s="463">
        <v>44136</v>
      </c>
      <c r="B85" s="140">
        <f t="shared" si="6"/>
        <v>44227</v>
      </c>
      <c r="C85" s="462" t="s">
        <v>804</v>
      </c>
      <c r="D85" s="499">
        <v>3.5640000000000001</v>
      </c>
      <c r="E85" s="499">
        <v>0.35639999999999999</v>
      </c>
      <c r="F85" s="615" t="str">
        <f t="shared" si="7"/>
        <v>2020-00070</v>
      </c>
      <c r="G85" s="640">
        <v>-3.2000000000000002E-3</v>
      </c>
      <c r="H85" s="641">
        <v>-3.2000000000000003E-4</v>
      </c>
      <c r="I85" s="616">
        <v>0.84940000000000004</v>
      </c>
      <c r="J85" s="616">
        <v>0.87880000000000003</v>
      </c>
      <c r="K85" s="616">
        <v>0.1666</v>
      </c>
      <c r="L85" s="640">
        <v>-8.0000000000000002E-3</v>
      </c>
      <c r="M85" s="641">
        <v>-8.0000000000000004E-4</v>
      </c>
      <c r="N85" s="6">
        <v>0</v>
      </c>
      <c r="O85" s="6">
        <v>0</v>
      </c>
      <c r="P85" s="569">
        <v>0</v>
      </c>
      <c r="Q85" s="570">
        <v>0</v>
      </c>
    </row>
    <row r="86" spans="1:17" x14ac:dyDescent="0.35">
      <c r="A86" s="463">
        <v>44228</v>
      </c>
      <c r="B86" s="140">
        <f>EOMONTH(A86,2)</f>
        <v>44316</v>
      </c>
      <c r="C86" s="462" t="s">
        <v>828</v>
      </c>
      <c r="D86" s="499">
        <v>3.0794999999999999</v>
      </c>
      <c r="E86" s="499">
        <v>0.30795</v>
      </c>
      <c r="F86" s="636" t="str">
        <f t="shared" si="7"/>
        <v>2020-00204</v>
      </c>
      <c r="G86" s="640">
        <v>-1.09E-2</v>
      </c>
      <c r="H86" s="641">
        <v>-1.09E-3</v>
      </c>
      <c r="I86" s="616">
        <v>0.84970000000000001</v>
      </c>
      <c r="J86" s="616">
        <v>0.87739999999999996</v>
      </c>
      <c r="K86" s="616">
        <v>0.16669999999999999</v>
      </c>
      <c r="L86" s="640">
        <v>-5.1000000000000004E-3</v>
      </c>
      <c r="M86" s="641">
        <v>-5.1000000000000004E-4</v>
      </c>
      <c r="N86" s="6">
        <v>0</v>
      </c>
      <c r="O86" s="6">
        <v>0</v>
      </c>
      <c r="P86" s="569">
        <v>0</v>
      </c>
      <c r="Q86" s="570">
        <v>0</v>
      </c>
    </row>
    <row r="87" spans="1:17" x14ac:dyDescent="0.35">
      <c r="A87" s="463">
        <v>44317</v>
      </c>
      <c r="B87" s="140">
        <f>EOMONTH(A87,2)</f>
        <v>44408</v>
      </c>
      <c r="C87" s="462" t="s">
        <v>1015</v>
      </c>
      <c r="D87" s="499">
        <v>3.4931000000000001</v>
      </c>
      <c r="E87" s="499">
        <v>0.34931000000000001</v>
      </c>
      <c r="F87" s="679" t="str">
        <f t="shared" si="7"/>
        <v>2020-00309</v>
      </c>
      <c r="G87" s="640">
        <v>-5.3400000000000003E-2</v>
      </c>
      <c r="H87" s="641">
        <v>-5.3400000000000001E-3</v>
      </c>
      <c r="I87" s="616">
        <v>0.84819999999999995</v>
      </c>
      <c r="J87" s="616">
        <v>0.87590000000000001</v>
      </c>
      <c r="K87" s="616">
        <v>0.16669999999999999</v>
      </c>
      <c r="L87" s="640">
        <v>-4.58E-2</v>
      </c>
      <c r="M87" s="641">
        <v>-4.5799999999999999E-3</v>
      </c>
      <c r="N87" s="6">
        <v>0</v>
      </c>
      <c r="O87" s="6">
        <v>0</v>
      </c>
      <c r="P87" s="569">
        <v>0</v>
      </c>
      <c r="Q87" s="570">
        <v>0</v>
      </c>
    </row>
    <row r="88" spans="1:17" x14ac:dyDescent="0.35">
      <c r="A88" s="463">
        <v>44409</v>
      </c>
      <c r="B88" s="140">
        <f>EOMONTH(A88,2)</f>
        <v>44500</v>
      </c>
      <c r="C88" s="462" t="s">
        <v>1019</v>
      </c>
      <c r="D88" s="499">
        <v>4.2441000000000004</v>
      </c>
      <c r="E88" s="499">
        <v>0.42441000000000001</v>
      </c>
      <c r="F88" s="689" t="str">
        <f t="shared" si="7"/>
        <v>2020-00401</v>
      </c>
      <c r="G88" s="640">
        <v>0.29360000000000003</v>
      </c>
      <c r="H88" s="641">
        <v>2.9360000000000001E-2</v>
      </c>
      <c r="I88" s="616">
        <v>0.84740000000000004</v>
      </c>
      <c r="J88" s="616">
        <v>0.87509999999999999</v>
      </c>
      <c r="K88" s="616">
        <v>0.16669999999999999</v>
      </c>
      <c r="L88" s="640">
        <v>5.6399999999999999E-2</v>
      </c>
      <c r="M88" s="641">
        <v>5.64E-3</v>
      </c>
      <c r="N88" s="6">
        <v>0</v>
      </c>
      <c r="O88" s="6">
        <v>0</v>
      </c>
      <c r="P88" s="569">
        <v>0</v>
      </c>
      <c r="Q88" s="570">
        <v>0</v>
      </c>
    </row>
    <row r="89" spans="1:17" x14ac:dyDescent="0.35">
      <c r="A89" s="463">
        <v>44501</v>
      </c>
      <c r="B89" s="140">
        <f t="shared" ref="B89" si="8">EOMONTH(A89,2)</f>
        <v>44592</v>
      </c>
      <c r="C89" s="462" t="s">
        <v>1032</v>
      </c>
      <c r="D89" s="499">
        <v>5.5305999999999997</v>
      </c>
      <c r="E89" s="499">
        <v>0.55306</v>
      </c>
      <c r="F89" s="695" t="str">
        <f t="shared" si="7"/>
        <v>2021-00130</v>
      </c>
      <c r="G89" s="640">
        <v>7.3999999999999996E-2</v>
      </c>
      <c r="H89" s="641">
        <v>7.4000000000000003E-3</v>
      </c>
      <c r="I89" s="616">
        <v>0.88160000000000005</v>
      </c>
      <c r="J89" s="616">
        <v>0.9093</v>
      </c>
      <c r="K89" s="616">
        <v>0.1696</v>
      </c>
      <c r="L89" s="640">
        <v>2.3E-3</v>
      </c>
      <c r="M89" s="641">
        <v>2.3000000000000001E-4</v>
      </c>
      <c r="N89" s="6">
        <v>0</v>
      </c>
      <c r="O89" s="6">
        <v>0</v>
      </c>
      <c r="P89" s="569">
        <v>0</v>
      </c>
      <c r="Q89" s="570">
        <v>0</v>
      </c>
    </row>
    <row r="90" spans="1:17" x14ac:dyDescent="0.35">
      <c r="A90" s="463">
        <v>44593</v>
      </c>
      <c r="B90" s="140">
        <f t="shared" ref="B90:B92" si="9">EOMONTH(A90,2)</f>
        <v>44681</v>
      </c>
      <c r="C90" s="462" t="s">
        <v>1044</v>
      </c>
      <c r="D90" s="499">
        <v>4.6096000000000004</v>
      </c>
      <c r="E90" s="499">
        <v>0.46095999999999998</v>
      </c>
      <c r="F90" s="703" t="str">
        <f t="shared" si="7"/>
        <v>2021-00251</v>
      </c>
      <c r="G90" s="640">
        <v>8.4900000000000003E-2</v>
      </c>
      <c r="H90" s="641">
        <v>8.4899999999999993E-3</v>
      </c>
      <c r="I90" s="616">
        <v>0.88300000000000001</v>
      </c>
      <c r="J90" s="616">
        <v>0.90900000000000003</v>
      </c>
      <c r="K90" s="616">
        <v>0.16980000000000001</v>
      </c>
      <c r="L90" s="640">
        <v>5.9999999999999995E-4</v>
      </c>
      <c r="M90" s="641">
        <v>6.0000000000000002E-5</v>
      </c>
      <c r="N90" s="6">
        <v>0</v>
      </c>
      <c r="O90" s="6">
        <v>0</v>
      </c>
      <c r="P90" s="569">
        <v>0</v>
      </c>
      <c r="Q90" s="570">
        <v>0</v>
      </c>
    </row>
    <row r="91" spans="1:17" x14ac:dyDescent="0.35">
      <c r="A91" s="463">
        <v>44682</v>
      </c>
      <c r="B91" s="140">
        <f t="shared" si="9"/>
        <v>44773</v>
      </c>
      <c r="C91" s="462" t="s">
        <v>1052</v>
      </c>
      <c r="D91" s="499">
        <v>6.5997000000000003</v>
      </c>
      <c r="E91" s="499">
        <v>0.65996999999999995</v>
      </c>
      <c r="F91" s="719" t="str">
        <f>C89</f>
        <v>2021-00368</v>
      </c>
      <c r="G91" s="640">
        <v>0.1132</v>
      </c>
      <c r="H91" s="641">
        <v>1.132E-2</v>
      </c>
      <c r="I91" s="616">
        <v>0.8831</v>
      </c>
      <c r="J91" s="616">
        <v>0.90910000000000002</v>
      </c>
      <c r="K91" s="616">
        <v>0.16980000000000001</v>
      </c>
      <c r="L91" s="616">
        <v>-4.1999999999999997E-3</v>
      </c>
      <c r="M91" s="616">
        <v>-4.2000000000000002E-4</v>
      </c>
      <c r="N91" s="6">
        <v>0</v>
      </c>
      <c r="O91" s="6">
        <v>0</v>
      </c>
      <c r="P91" s="569">
        <v>0</v>
      </c>
      <c r="Q91" s="570">
        <v>0</v>
      </c>
    </row>
    <row r="92" spans="1:17" x14ac:dyDescent="0.35">
      <c r="A92" s="463">
        <v>44774</v>
      </c>
      <c r="B92" s="140">
        <f t="shared" si="9"/>
        <v>44865</v>
      </c>
      <c r="C92" s="462" t="s">
        <v>1068</v>
      </c>
      <c r="D92" s="575"/>
      <c r="E92" s="575"/>
      <c r="F92" s="747" t="str">
        <f t="shared" si="7"/>
        <v>2021-00458</v>
      </c>
    </row>
    <row r="93" spans="1:17" x14ac:dyDescent="0.35">
      <c r="C93" s="141"/>
      <c r="D93" s="575"/>
      <c r="E93" s="575"/>
      <c r="F93" s="141"/>
    </row>
    <row r="94" spans="1:17" x14ac:dyDescent="0.35">
      <c r="C94" s="141"/>
      <c r="D94" s="575"/>
      <c r="E94" s="575"/>
      <c r="F94" s="141"/>
    </row>
    <row r="95" spans="1:17" x14ac:dyDescent="0.35">
      <c r="C95" s="141"/>
      <c r="D95" s="575"/>
      <c r="E95" s="575"/>
      <c r="F95" s="141"/>
    </row>
    <row r="96" spans="1:17" x14ac:dyDescent="0.35">
      <c r="C96" s="141"/>
      <c r="D96" s="575"/>
      <c r="E96" s="575"/>
      <c r="F96" s="141"/>
    </row>
    <row r="97" spans="3:6" x14ac:dyDescent="0.35">
      <c r="C97" s="141"/>
      <c r="D97" s="575"/>
      <c r="E97" s="575"/>
      <c r="F97" s="141"/>
    </row>
    <row r="98" spans="3:6" x14ac:dyDescent="0.35">
      <c r="C98" s="141"/>
      <c r="D98" s="575"/>
      <c r="E98" s="575"/>
      <c r="F98" s="141"/>
    </row>
    <row r="99" spans="3:6" x14ac:dyDescent="0.35">
      <c r="C99" s="141"/>
      <c r="D99" s="575"/>
      <c r="E99" s="575"/>
      <c r="F99" s="141"/>
    </row>
    <row r="100" spans="3:6" x14ac:dyDescent="0.35">
      <c r="F100" s="141"/>
    </row>
    <row r="101" spans="3:6" x14ac:dyDescent="0.35">
      <c r="F101" s="141"/>
    </row>
  </sheetData>
  <mergeCells count="5">
    <mergeCell ref="D1:E1"/>
    <mergeCell ref="F1:H1"/>
    <mergeCell ref="I1:K1"/>
    <mergeCell ref="L1:M1"/>
    <mergeCell ref="N1:Q1"/>
  </mergeCells>
  <phoneticPr fontId="3" type="noConversion"/>
  <pageMargins left="0.75" right="0.75" top="1" bottom="1" header="0.5" footer="0.5"/>
  <pageSetup scale="80" orientation="portrait" r:id="rId1"/>
  <headerFooter alignWithMargins="0"/>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27"/>
  <sheetViews>
    <sheetView zoomScaleNormal="100" workbookViewId="0">
      <pane ySplit="9" topLeftCell="A99" activePane="bottomLeft" state="frozen"/>
      <selection activeCell="C116" sqref="C116"/>
      <selection pane="bottomLeft" activeCell="F6" sqref="F6"/>
    </sheetView>
  </sheetViews>
  <sheetFormatPr defaultColWidth="8.84375" defaultRowHeight="15.5" x14ac:dyDescent="0.35"/>
  <cols>
    <col min="1" max="1" width="13.07421875" style="6" customWidth="1"/>
    <col min="2" max="2" width="15.23046875" style="6" customWidth="1"/>
    <col min="3" max="3" width="15.07421875" style="6" customWidth="1"/>
    <col min="4" max="4" width="16.07421875" style="6" customWidth="1"/>
    <col min="5" max="5" width="11.84375" style="6" customWidth="1"/>
    <col min="6" max="6" width="11.07421875" style="6" customWidth="1"/>
    <col min="7" max="7" width="10.69140625" style="6" customWidth="1"/>
    <col min="8" max="8" width="11.4609375" style="6" customWidth="1"/>
    <col min="9" max="9" width="12.765625" style="6" customWidth="1"/>
    <col min="10" max="10" width="11.84375" style="6" customWidth="1"/>
    <col min="11" max="11" width="15.07421875" customWidth="1"/>
    <col min="12" max="12" width="12.765625" customWidth="1"/>
    <col min="13" max="16384" width="8.84375" style="6"/>
  </cols>
  <sheetData>
    <row r="1" spans="1:15" x14ac:dyDescent="0.35">
      <c r="A1" s="767" t="s">
        <v>590</v>
      </c>
      <c r="B1" s="767"/>
      <c r="C1" s="767"/>
      <c r="D1" s="767"/>
      <c r="E1" s="767"/>
      <c r="F1" s="767"/>
      <c r="G1" s="767"/>
      <c r="H1" s="767"/>
      <c r="I1" s="767"/>
      <c r="J1" s="767"/>
    </row>
    <row r="3" spans="1:15" x14ac:dyDescent="0.35">
      <c r="A3" s="762" t="s">
        <v>242</v>
      </c>
      <c r="B3" s="762"/>
      <c r="C3" s="762"/>
      <c r="D3" s="762"/>
      <c r="E3" s="762"/>
      <c r="F3" s="762"/>
      <c r="G3" s="762"/>
      <c r="H3" s="762"/>
      <c r="I3" s="762"/>
      <c r="J3" s="762"/>
    </row>
    <row r="4" spans="1:15" x14ac:dyDescent="0.35">
      <c r="A4" s="763" t="s">
        <v>624</v>
      </c>
      <c r="B4" s="763"/>
      <c r="C4" s="763"/>
      <c r="D4" s="763"/>
      <c r="E4" s="763"/>
      <c r="F4" s="763"/>
      <c r="G4" s="763"/>
      <c r="H4" s="763"/>
      <c r="I4" s="763"/>
      <c r="J4" s="763"/>
    </row>
    <row r="5" spans="1:15" x14ac:dyDescent="0.35">
      <c r="F5" s="318"/>
    </row>
    <row r="6" spans="1:15" x14ac:dyDescent="0.35">
      <c r="A6" s="14"/>
      <c r="B6" s="14"/>
      <c r="C6" s="14"/>
      <c r="D6" s="14"/>
      <c r="E6" s="14"/>
      <c r="F6" s="14"/>
      <c r="G6" s="14"/>
      <c r="H6" s="14"/>
      <c r="I6" s="14"/>
      <c r="J6" s="14"/>
    </row>
    <row r="7" spans="1:15" x14ac:dyDescent="0.35">
      <c r="A7" s="764" t="s">
        <v>239</v>
      </c>
      <c r="B7" s="765"/>
      <c r="C7" s="766"/>
      <c r="D7" s="764" t="s">
        <v>240</v>
      </c>
      <c r="E7" s="765"/>
      <c r="F7" s="765"/>
      <c r="G7" s="765"/>
      <c r="H7" s="765"/>
      <c r="I7" s="765"/>
      <c r="J7" s="766"/>
    </row>
    <row r="8" spans="1:15" ht="62" x14ac:dyDescent="0.35">
      <c r="A8" s="40" t="s">
        <v>78</v>
      </c>
      <c r="B8" s="44" t="s">
        <v>94</v>
      </c>
      <c r="C8" s="41" t="s">
        <v>363</v>
      </c>
      <c r="D8" s="41" t="s">
        <v>241</v>
      </c>
      <c r="E8" s="42" t="s">
        <v>244</v>
      </c>
      <c r="F8" s="42" t="s">
        <v>236</v>
      </c>
      <c r="G8" s="42" t="s">
        <v>237</v>
      </c>
      <c r="H8" s="42" t="s">
        <v>238</v>
      </c>
      <c r="I8" s="42" t="s">
        <v>243</v>
      </c>
      <c r="J8" s="42" t="s">
        <v>1027</v>
      </c>
      <c r="L8" s="6"/>
    </row>
    <row r="9" spans="1:15" x14ac:dyDescent="0.35">
      <c r="A9" s="45" t="s">
        <v>60</v>
      </c>
      <c r="B9" s="45" t="s">
        <v>61</v>
      </c>
      <c r="C9" s="45" t="s">
        <v>62</v>
      </c>
      <c r="D9" s="45" t="s">
        <v>63</v>
      </c>
      <c r="E9" s="45" t="s">
        <v>64</v>
      </c>
      <c r="F9" s="45" t="s">
        <v>65</v>
      </c>
      <c r="G9" s="45" t="s">
        <v>66</v>
      </c>
      <c r="H9" s="46" t="s">
        <v>111</v>
      </c>
      <c r="I9" s="46" t="s">
        <v>112</v>
      </c>
      <c r="J9" s="46" t="s">
        <v>113</v>
      </c>
      <c r="L9" s="6"/>
    </row>
    <row r="10" spans="1:15" hidden="1" x14ac:dyDescent="0.35">
      <c r="A10" s="118">
        <v>42005</v>
      </c>
      <c r="B10" s="47">
        <v>3389771</v>
      </c>
      <c r="C10" s="47">
        <v>34043</v>
      </c>
      <c r="D10" s="47">
        <v>3740</v>
      </c>
      <c r="E10" s="47">
        <v>0</v>
      </c>
      <c r="F10" s="47">
        <v>0</v>
      </c>
      <c r="G10" s="47">
        <v>3224582</v>
      </c>
      <c r="H10" s="47">
        <v>45418</v>
      </c>
      <c r="I10" s="47">
        <v>6382527</v>
      </c>
      <c r="J10" s="47">
        <v>28119</v>
      </c>
      <c r="K10" s="90"/>
      <c r="L10" s="6"/>
      <c r="M10" s="14"/>
      <c r="N10" s="14"/>
      <c r="O10" s="14"/>
    </row>
    <row r="11" spans="1:15" hidden="1" x14ac:dyDescent="0.35">
      <c r="A11" s="118">
        <f t="shared" ref="A11:A75" si="0">EDATE(A10,1)</f>
        <v>42036</v>
      </c>
      <c r="B11" s="47">
        <v>2793445</v>
      </c>
      <c r="C11" s="47">
        <v>25942</v>
      </c>
      <c r="D11" s="47">
        <v>2645</v>
      </c>
      <c r="E11" s="47">
        <v>0</v>
      </c>
      <c r="F11" s="47">
        <v>0</v>
      </c>
      <c r="G11" s="47">
        <v>2941034</v>
      </c>
      <c r="H11" s="47">
        <v>38966</v>
      </c>
      <c r="I11" s="47">
        <v>5515071</v>
      </c>
      <c r="J11" s="47">
        <v>29495</v>
      </c>
      <c r="K11" s="90"/>
      <c r="L11" s="6"/>
    </row>
    <row r="12" spans="1:15" hidden="1" x14ac:dyDescent="0.35">
      <c r="A12" s="118">
        <f t="shared" si="0"/>
        <v>42064</v>
      </c>
      <c r="B12" s="47">
        <v>1896715</v>
      </c>
      <c r="C12" s="47">
        <v>20111</v>
      </c>
      <c r="D12" s="47">
        <v>1128</v>
      </c>
      <c r="E12" s="47">
        <v>0</v>
      </c>
      <c r="F12" s="47">
        <v>0</v>
      </c>
      <c r="G12" s="47">
        <v>2177383</v>
      </c>
      <c r="H12" s="47">
        <v>32617</v>
      </c>
      <c r="I12" s="47">
        <v>3869594</v>
      </c>
      <c r="J12" s="47">
        <v>27926</v>
      </c>
      <c r="K12" s="90"/>
      <c r="L12" s="6"/>
    </row>
    <row r="13" spans="1:15" hidden="1" x14ac:dyDescent="0.35">
      <c r="A13" s="118">
        <f t="shared" si="0"/>
        <v>42095</v>
      </c>
      <c r="B13" s="47">
        <v>1451374</v>
      </c>
      <c r="C13" s="47">
        <v>9243</v>
      </c>
      <c r="D13" s="47">
        <v>430</v>
      </c>
      <c r="E13" s="47">
        <v>0</v>
      </c>
      <c r="F13" s="47">
        <v>0</v>
      </c>
      <c r="G13" s="47">
        <v>773060</v>
      </c>
      <c r="H13" s="47">
        <v>26940</v>
      </c>
      <c r="I13" s="47">
        <v>2087330</v>
      </c>
      <c r="J13" s="47">
        <v>31123</v>
      </c>
      <c r="K13" s="90"/>
      <c r="L13" s="6"/>
    </row>
    <row r="14" spans="1:15" hidden="1" x14ac:dyDescent="0.35">
      <c r="A14" s="118">
        <f t="shared" si="0"/>
        <v>42125</v>
      </c>
      <c r="B14" s="47">
        <v>1185902</v>
      </c>
      <c r="C14" s="47">
        <v>9084</v>
      </c>
      <c r="D14" s="47">
        <v>266</v>
      </c>
      <c r="E14" s="47">
        <v>0</v>
      </c>
      <c r="F14" s="47">
        <v>0</v>
      </c>
      <c r="G14" s="47">
        <v>174800</v>
      </c>
      <c r="H14" s="47">
        <v>25200</v>
      </c>
      <c r="I14" s="47">
        <v>1246147</v>
      </c>
      <c r="J14" s="47">
        <v>30870</v>
      </c>
      <c r="K14" s="90"/>
      <c r="L14" s="6"/>
    </row>
    <row r="15" spans="1:15" hidden="1" x14ac:dyDescent="0.35">
      <c r="A15" s="118">
        <f t="shared" si="0"/>
        <v>42156</v>
      </c>
      <c r="B15" s="47">
        <v>2527642</v>
      </c>
      <c r="C15" s="47">
        <v>7764</v>
      </c>
      <c r="D15" s="47">
        <v>100</v>
      </c>
      <c r="E15" s="47">
        <v>0</v>
      </c>
      <c r="F15" s="47">
        <v>1617092</v>
      </c>
      <c r="G15" s="47">
        <v>0</v>
      </c>
      <c r="H15" s="47">
        <v>28092</v>
      </c>
      <c r="I15" s="47">
        <v>816879</v>
      </c>
      <c r="J15" s="47">
        <v>28119</v>
      </c>
      <c r="K15" s="90"/>
      <c r="L15" s="6"/>
    </row>
    <row r="16" spans="1:15" hidden="1" x14ac:dyDescent="0.35">
      <c r="A16" s="118">
        <f t="shared" si="0"/>
        <v>42186</v>
      </c>
      <c r="B16" s="47">
        <v>3671237</v>
      </c>
      <c r="C16" s="47">
        <v>3433</v>
      </c>
      <c r="D16" s="47">
        <v>134</v>
      </c>
      <c r="E16" s="47">
        <v>0</v>
      </c>
      <c r="F16" s="47">
        <v>2852869</v>
      </c>
      <c r="G16" s="47">
        <v>0</v>
      </c>
      <c r="H16" s="47">
        <v>31869</v>
      </c>
      <c r="I16" s="47">
        <v>739675</v>
      </c>
      <c r="J16" s="47">
        <v>30870</v>
      </c>
      <c r="K16" s="90"/>
      <c r="L16" s="6"/>
    </row>
    <row r="17" spans="1:12" hidden="1" x14ac:dyDescent="0.35">
      <c r="A17" s="118">
        <f t="shared" si="0"/>
        <v>42217</v>
      </c>
      <c r="B17" s="47">
        <v>3768891</v>
      </c>
      <c r="C17" s="47">
        <v>19134</v>
      </c>
      <c r="D17" s="47">
        <v>73</v>
      </c>
      <c r="E17" s="47">
        <v>0</v>
      </c>
      <c r="F17" s="47">
        <v>2939274</v>
      </c>
      <c r="G17" s="47">
        <v>0</v>
      </c>
      <c r="H17" s="47">
        <v>39274</v>
      </c>
      <c r="I17" s="47">
        <v>755771</v>
      </c>
      <c r="J17" s="47">
        <v>29495</v>
      </c>
      <c r="K17" s="90"/>
      <c r="L17" s="6"/>
    </row>
    <row r="18" spans="1:12" hidden="1" x14ac:dyDescent="0.35">
      <c r="A18" s="118">
        <f t="shared" si="0"/>
        <v>42248</v>
      </c>
      <c r="B18" s="47">
        <v>3628403</v>
      </c>
      <c r="C18" s="47">
        <v>41870</v>
      </c>
      <c r="D18" s="47">
        <v>62</v>
      </c>
      <c r="E18" s="47">
        <v>0</v>
      </c>
      <c r="F18" s="47">
        <v>2734226</v>
      </c>
      <c r="G18" s="47">
        <v>0</v>
      </c>
      <c r="H18" s="47">
        <v>44226</v>
      </c>
      <c r="I18" s="47">
        <v>818388</v>
      </c>
      <c r="J18" s="47">
        <v>32499</v>
      </c>
      <c r="K18" s="90"/>
      <c r="L18" s="6"/>
    </row>
    <row r="19" spans="1:12" hidden="1" x14ac:dyDescent="0.35">
      <c r="A19" s="118">
        <f t="shared" si="0"/>
        <v>42278</v>
      </c>
      <c r="B19" s="47">
        <v>3717845</v>
      </c>
      <c r="C19" s="47">
        <v>41660</v>
      </c>
      <c r="D19" s="47">
        <v>157</v>
      </c>
      <c r="E19" s="47">
        <v>0</v>
      </c>
      <c r="F19" s="47">
        <v>2189178</v>
      </c>
      <c r="G19" s="47">
        <v>0</v>
      </c>
      <c r="H19" s="47">
        <v>49178</v>
      </c>
      <c r="I19" s="47">
        <v>1444480</v>
      </c>
      <c r="J19" s="47">
        <v>30870</v>
      </c>
      <c r="K19" s="90"/>
      <c r="L19" s="6"/>
    </row>
    <row r="20" spans="1:12" hidden="1" x14ac:dyDescent="0.35">
      <c r="A20" s="118">
        <f t="shared" si="0"/>
        <v>42309</v>
      </c>
      <c r="B20" s="47">
        <v>3223697</v>
      </c>
      <c r="C20" s="47">
        <v>72141</v>
      </c>
      <c r="D20" s="47">
        <v>636</v>
      </c>
      <c r="E20" s="47">
        <v>0</v>
      </c>
      <c r="F20" s="47">
        <v>251623</v>
      </c>
      <c r="G20" s="47">
        <v>200000</v>
      </c>
      <c r="H20" s="47">
        <v>51623</v>
      </c>
      <c r="I20" s="47">
        <v>3071369</v>
      </c>
      <c r="J20" s="47">
        <v>16937</v>
      </c>
      <c r="K20" s="90"/>
    </row>
    <row r="21" spans="1:12" hidden="1" x14ac:dyDescent="0.35">
      <c r="A21" s="118">
        <f t="shared" si="0"/>
        <v>42339</v>
      </c>
      <c r="B21" s="47">
        <v>3443198</v>
      </c>
      <c r="C21" s="47">
        <v>53313</v>
      </c>
      <c r="D21" s="47">
        <v>1627</v>
      </c>
      <c r="E21" s="47">
        <v>0</v>
      </c>
      <c r="F21" s="47">
        <v>0</v>
      </c>
      <c r="G21" s="47">
        <v>2150123</v>
      </c>
      <c r="H21" s="47">
        <v>49877</v>
      </c>
      <c r="I21" s="47">
        <v>5429369</v>
      </c>
      <c r="J21" s="47">
        <v>12722</v>
      </c>
    </row>
    <row r="22" spans="1:12" hidden="1" x14ac:dyDescent="0.35">
      <c r="A22" s="118">
        <f t="shared" si="0"/>
        <v>42370</v>
      </c>
      <c r="B22" s="47">
        <v>3612775</v>
      </c>
      <c r="C22" s="47">
        <v>45361</v>
      </c>
      <c r="D22" s="47">
        <v>2006</v>
      </c>
      <c r="E22" s="47">
        <v>0</v>
      </c>
      <c r="F22" s="47">
        <v>0</v>
      </c>
      <c r="G22" s="47">
        <v>3355135</v>
      </c>
      <c r="H22" s="47">
        <v>44865</v>
      </c>
      <c r="I22" s="47">
        <v>6752035</v>
      </c>
      <c r="J22" s="47">
        <v>12722</v>
      </c>
    </row>
    <row r="23" spans="1:12" hidden="1" x14ac:dyDescent="0.35">
      <c r="A23" s="118">
        <f t="shared" si="0"/>
        <v>42401</v>
      </c>
      <c r="B23" s="47">
        <v>2846423</v>
      </c>
      <c r="C23" s="47">
        <v>30828</v>
      </c>
      <c r="D23" s="47">
        <v>1832</v>
      </c>
      <c r="E23" s="47">
        <v>0</v>
      </c>
      <c r="F23" s="47">
        <v>0</v>
      </c>
      <c r="G23" s="47">
        <v>3062005</v>
      </c>
      <c r="H23" s="47">
        <v>37995</v>
      </c>
      <c r="I23" s="47">
        <v>5697804</v>
      </c>
      <c r="J23" s="47">
        <v>13795</v>
      </c>
    </row>
    <row r="24" spans="1:12" hidden="1" x14ac:dyDescent="0.35">
      <c r="A24" s="118">
        <f t="shared" si="0"/>
        <v>42430</v>
      </c>
      <c r="B24" s="47">
        <v>2154248</v>
      </c>
      <c r="C24" s="47">
        <v>25324</v>
      </c>
      <c r="D24" s="47">
        <v>2226</v>
      </c>
      <c r="E24" s="47">
        <v>0</v>
      </c>
      <c r="F24" s="47">
        <v>0</v>
      </c>
      <c r="G24" s="47">
        <v>2109395</v>
      </c>
      <c r="H24" s="47">
        <v>30605</v>
      </c>
      <c r="I24" s="47">
        <v>4071725</v>
      </c>
      <c r="J24" s="47">
        <v>14829</v>
      </c>
    </row>
    <row r="25" spans="1:12" hidden="1" x14ac:dyDescent="0.35">
      <c r="A25" s="118">
        <f t="shared" si="0"/>
        <v>42461</v>
      </c>
      <c r="B25" s="47">
        <v>1368396</v>
      </c>
      <c r="C25" s="47">
        <v>30367</v>
      </c>
      <c r="D25" s="47">
        <v>1039</v>
      </c>
      <c r="E25" s="47">
        <v>0</v>
      </c>
      <c r="F25" s="47">
        <v>0</v>
      </c>
      <c r="G25" s="47">
        <v>772504</v>
      </c>
      <c r="H25" s="47">
        <v>27496</v>
      </c>
      <c r="I25" s="47">
        <v>2023224</v>
      </c>
      <c r="J25" s="47">
        <v>11688</v>
      </c>
    </row>
    <row r="26" spans="1:12" hidden="1" x14ac:dyDescent="0.35">
      <c r="A26" s="118">
        <f t="shared" si="0"/>
        <v>42491</v>
      </c>
      <c r="B26" s="47">
        <v>1210348</v>
      </c>
      <c r="C26" s="47">
        <v>34732</v>
      </c>
      <c r="D26" s="47">
        <v>362</v>
      </c>
      <c r="E26" s="47">
        <v>0</v>
      </c>
      <c r="F26" s="47">
        <v>0</v>
      </c>
      <c r="G26" s="47">
        <v>71918</v>
      </c>
      <c r="H26" s="47">
        <v>28082</v>
      </c>
      <c r="I26" s="47">
        <v>1190652</v>
      </c>
      <c r="J26" s="47">
        <v>8507</v>
      </c>
    </row>
    <row r="27" spans="1:12" hidden="1" x14ac:dyDescent="0.35">
      <c r="A27" s="118">
        <f t="shared" si="0"/>
        <v>42522</v>
      </c>
      <c r="B27" s="47">
        <v>2219781</v>
      </c>
      <c r="C27" s="47">
        <v>53116</v>
      </c>
      <c r="D27" s="47">
        <v>282</v>
      </c>
      <c r="E27" s="47">
        <v>0</v>
      </c>
      <c r="F27" s="47">
        <v>1366882</v>
      </c>
      <c r="G27" s="47">
        <v>0</v>
      </c>
      <c r="H27" s="47">
        <v>28882</v>
      </c>
      <c r="I27" s="47">
        <v>772506</v>
      </c>
      <c r="J27" s="47">
        <v>14829</v>
      </c>
    </row>
    <row r="28" spans="1:12" hidden="1" x14ac:dyDescent="0.35">
      <c r="A28" s="118">
        <f t="shared" si="0"/>
        <v>42552</v>
      </c>
      <c r="B28" s="47">
        <v>3601166</v>
      </c>
      <c r="C28" s="47">
        <v>48607</v>
      </c>
      <c r="D28" s="47">
        <v>149</v>
      </c>
      <c r="E28" s="47">
        <v>1020</v>
      </c>
      <c r="F28" s="47">
        <v>2824824</v>
      </c>
      <c r="G28" s="47">
        <v>0</v>
      </c>
      <c r="H28" s="47">
        <v>32824</v>
      </c>
      <c r="I28" s="47">
        <v>716538</v>
      </c>
      <c r="J28" s="47">
        <v>12824</v>
      </c>
    </row>
    <row r="29" spans="1:12" hidden="1" x14ac:dyDescent="0.35">
      <c r="A29" s="118">
        <f t="shared" si="0"/>
        <v>42583</v>
      </c>
      <c r="B29" s="47">
        <v>3693887</v>
      </c>
      <c r="C29" s="47">
        <v>44130</v>
      </c>
      <c r="D29" s="47">
        <v>101</v>
      </c>
      <c r="E29" s="47">
        <v>1020</v>
      </c>
      <c r="F29" s="47">
        <v>2891045</v>
      </c>
      <c r="G29" s="47">
        <v>0</v>
      </c>
      <c r="H29" s="47">
        <v>41045</v>
      </c>
      <c r="I29" s="47">
        <v>746708</v>
      </c>
      <c r="J29" s="47">
        <v>12824</v>
      </c>
    </row>
    <row r="30" spans="1:12" hidden="1" x14ac:dyDescent="0.35">
      <c r="A30" s="118">
        <f t="shared" si="0"/>
        <v>42614</v>
      </c>
      <c r="B30" s="47">
        <v>3664808</v>
      </c>
      <c r="C30" s="47">
        <v>53342</v>
      </c>
      <c r="D30" s="47">
        <v>92</v>
      </c>
      <c r="E30" s="47">
        <v>510</v>
      </c>
      <c r="F30" s="47">
        <v>2783959</v>
      </c>
      <c r="G30" s="47">
        <v>0</v>
      </c>
      <c r="H30" s="47">
        <v>43959</v>
      </c>
      <c r="I30" s="47">
        <v>825538</v>
      </c>
      <c r="J30" s="47">
        <v>12773</v>
      </c>
    </row>
    <row r="31" spans="1:12" hidden="1" x14ac:dyDescent="0.35">
      <c r="A31" s="118">
        <f t="shared" si="0"/>
        <v>42644</v>
      </c>
      <c r="B31" s="47">
        <v>3637644</v>
      </c>
      <c r="C31" s="47">
        <v>82865</v>
      </c>
      <c r="D31" s="47">
        <v>143</v>
      </c>
      <c r="E31" s="47">
        <v>0</v>
      </c>
      <c r="F31" s="47">
        <v>2069628</v>
      </c>
      <c r="G31" s="47">
        <v>0</v>
      </c>
      <c r="H31" s="47">
        <v>49628</v>
      </c>
      <c r="I31" s="47">
        <v>1504037</v>
      </c>
      <c r="J31" s="47">
        <v>10615</v>
      </c>
    </row>
    <row r="32" spans="1:12" hidden="1" x14ac:dyDescent="0.35">
      <c r="A32" s="118">
        <f t="shared" si="0"/>
        <v>42675</v>
      </c>
      <c r="B32" s="47">
        <v>2490812</v>
      </c>
      <c r="C32" s="47">
        <v>62445</v>
      </c>
      <c r="D32" s="47">
        <v>635.5</v>
      </c>
      <c r="E32" s="47">
        <v>0</v>
      </c>
      <c r="F32" s="47">
        <v>250423</v>
      </c>
      <c r="G32" s="47">
        <v>200000</v>
      </c>
      <c r="H32" s="47">
        <v>50423</v>
      </c>
      <c r="I32" s="47">
        <v>2342164.3604958318</v>
      </c>
      <c r="J32" s="47">
        <v>14564.100000000002</v>
      </c>
      <c r="K32" s="90"/>
    </row>
    <row r="33" spans="1:11" hidden="1" x14ac:dyDescent="0.35">
      <c r="A33" s="118">
        <f t="shared" si="0"/>
        <v>42705</v>
      </c>
      <c r="B33" s="47">
        <v>2393669</v>
      </c>
      <c r="C33" s="47">
        <v>53786</v>
      </c>
      <c r="D33" s="47">
        <v>1627</v>
      </c>
      <c r="E33" s="47">
        <v>0</v>
      </c>
      <c r="F33" s="47">
        <v>0</v>
      </c>
      <c r="G33" s="47">
        <v>2151073</v>
      </c>
      <c r="H33" s="47">
        <v>48927</v>
      </c>
      <c r="I33" s="47">
        <v>4382245.7996057328</v>
      </c>
      <c r="J33" s="47">
        <v>12191.8</v>
      </c>
      <c r="K33" s="90"/>
    </row>
    <row r="34" spans="1:11" hidden="1" x14ac:dyDescent="0.35">
      <c r="A34" s="118">
        <f t="shared" si="0"/>
        <v>42736</v>
      </c>
      <c r="B34" s="47">
        <v>2999829</v>
      </c>
      <c r="C34" s="47">
        <v>38096</v>
      </c>
      <c r="D34" s="47">
        <v>2006</v>
      </c>
      <c r="E34" s="47">
        <v>0</v>
      </c>
      <c r="F34" s="47">
        <v>0</v>
      </c>
      <c r="G34" s="47">
        <v>3354470</v>
      </c>
      <c r="H34" s="47">
        <v>45530</v>
      </c>
      <c r="I34" s="47">
        <v>6139819.1618230706</v>
      </c>
      <c r="J34" s="47">
        <v>12279.599999999999</v>
      </c>
      <c r="K34" s="90"/>
    </row>
    <row r="35" spans="1:11" hidden="1" x14ac:dyDescent="0.35">
      <c r="A35" s="118">
        <f t="shared" si="0"/>
        <v>42767</v>
      </c>
      <c r="B35" s="47">
        <v>2880935</v>
      </c>
      <c r="C35" s="47">
        <v>25625</v>
      </c>
      <c r="D35" s="47">
        <v>1768.5</v>
      </c>
      <c r="E35" s="47">
        <v>0</v>
      </c>
      <c r="F35" s="47">
        <v>0</v>
      </c>
      <c r="G35" s="47">
        <v>3082101</v>
      </c>
      <c r="H35" s="47">
        <v>37899</v>
      </c>
      <c r="I35" s="47">
        <v>5761399.6451268187</v>
      </c>
      <c r="J35" s="47">
        <v>12236.5</v>
      </c>
      <c r="K35" s="90"/>
    </row>
    <row r="36" spans="1:11" hidden="1" x14ac:dyDescent="0.35">
      <c r="A36" s="118">
        <f t="shared" si="0"/>
        <v>42795</v>
      </c>
      <c r="B36" s="47">
        <v>2874734</v>
      </c>
      <c r="C36" s="47">
        <v>41427</v>
      </c>
      <c r="D36" s="47">
        <v>2225.5</v>
      </c>
      <c r="E36" s="47">
        <v>0</v>
      </c>
      <c r="F36" s="47">
        <v>0</v>
      </c>
      <c r="G36" s="47">
        <v>1987299</v>
      </c>
      <c r="H36" s="47">
        <v>32701</v>
      </c>
      <c r="I36" s="47">
        <v>4670496.3224569801</v>
      </c>
      <c r="J36" s="47">
        <v>14343.8</v>
      </c>
      <c r="K36" s="90"/>
    </row>
    <row r="37" spans="1:11" hidden="1" x14ac:dyDescent="0.35">
      <c r="A37" s="118">
        <f t="shared" si="0"/>
        <v>42826</v>
      </c>
      <c r="B37" s="47">
        <v>1869958</v>
      </c>
      <c r="C37" s="47">
        <v>64808</v>
      </c>
      <c r="D37" s="47">
        <v>1038.5</v>
      </c>
      <c r="E37" s="47">
        <v>0</v>
      </c>
      <c r="F37" s="47">
        <v>0</v>
      </c>
      <c r="G37" s="47">
        <v>772585</v>
      </c>
      <c r="H37" s="47">
        <v>27415</v>
      </c>
      <c r="I37" s="47">
        <v>2523051.3731349409</v>
      </c>
      <c r="J37" s="47">
        <v>13360.1</v>
      </c>
      <c r="K37" s="90"/>
    </row>
    <row r="38" spans="1:11" hidden="1" x14ac:dyDescent="0.35">
      <c r="A38" s="118">
        <f t="shared" si="0"/>
        <v>42856</v>
      </c>
      <c r="B38" s="47">
        <v>1441197</v>
      </c>
      <c r="C38" s="47">
        <v>51340</v>
      </c>
      <c r="D38" s="47">
        <v>362</v>
      </c>
      <c r="E38" s="47">
        <v>0</v>
      </c>
      <c r="F38" s="47">
        <v>0</v>
      </c>
      <c r="G38" s="47">
        <v>72592</v>
      </c>
      <c r="H38" s="47">
        <v>27408</v>
      </c>
      <c r="I38" s="47">
        <v>1419481.285840834</v>
      </c>
      <c r="J38" s="47">
        <v>11245.5</v>
      </c>
      <c r="K38" s="90"/>
    </row>
    <row r="39" spans="1:11" hidden="1" x14ac:dyDescent="0.35">
      <c r="A39" s="118">
        <f t="shared" si="0"/>
        <v>42887</v>
      </c>
      <c r="B39" s="47">
        <v>2361637</v>
      </c>
      <c r="C39" s="47">
        <v>53203</v>
      </c>
      <c r="D39" s="47">
        <v>282</v>
      </c>
      <c r="E39" s="47">
        <v>0</v>
      </c>
      <c r="F39" s="47">
        <v>1368882</v>
      </c>
      <c r="G39" s="47">
        <v>0</v>
      </c>
      <c r="H39" s="47">
        <v>28882</v>
      </c>
      <c r="I39" s="47">
        <v>912979.59494808805</v>
      </c>
      <c r="J39" s="47">
        <v>14211.3</v>
      </c>
      <c r="K39" s="90"/>
    </row>
    <row r="40" spans="1:11" hidden="1" x14ac:dyDescent="0.35">
      <c r="A40" s="118">
        <f t="shared" si="0"/>
        <v>42917</v>
      </c>
      <c r="B40" s="47">
        <v>3203498</v>
      </c>
      <c r="C40" s="47">
        <v>64710</v>
      </c>
      <c r="D40" s="47">
        <v>149</v>
      </c>
      <c r="E40" s="47">
        <v>0</v>
      </c>
      <c r="F40" s="47">
        <v>2354603</v>
      </c>
      <c r="G40" s="47">
        <v>0</v>
      </c>
      <c r="H40" s="47">
        <v>34603</v>
      </c>
      <c r="I40" s="47">
        <v>789933.15250965115</v>
      </c>
      <c r="J40" s="47">
        <v>13182.9</v>
      </c>
      <c r="K40" s="90"/>
    </row>
    <row r="41" spans="1:11" hidden="1" x14ac:dyDescent="0.35">
      <c r="A41" s="118">
        <f t="shared" si="0"/>
        <v>42948</v>
      </c>
      <c r="B41" s="47">
        <v>3786631</v>
      </c>
      <c r="C41" s="47">
        <v>39437</v>
      </c>
      <c r="D41" s="47">
        <v>101</v>
      </c>
      <c r="E41" s="47">
        <v>0</v>
      </c>
      <c r="F41" s="47">
        <v>2980482</v>
      </c>
      <c r="G41" s="47">
        <v>0</v>
      </c>
      <c r="H41" s="47">
        <v>40482</v>
      </c>
      <c r="I41" s="47">
        <v>752634.23840221553</v>
      </c>
      <c r="J41" s="47">
        <v>13395.9</v>
      </c>
      <c r="K41" s="90"/>
    </row>
    <row r="42" spans="1:11" hidden="1" x14ac:dyDescent="0.35">
      <c r="A42" s="118">
        <f t="shared" si="0"/>
        <v>42979</v>
      </c>
      <c r="B42" s="47">
        <v>3721750</v>
      </c>
      <c r="C42" s="47">
        <v>71170</v>
      </c>
      <c r="D42" s="47">
        <v>91.5</v>
      </c>
      <c r="E42" s="47">
        <v>0</v>
      </c>
      <c r="F42" s="47">
        <v>2872825</v>
      </c>
      <c r="G42" s="47">
        <v>0</v>
      </c>
      <c r="H42" s="47">
        <v>42825</v>
      </c>
      <c r="I42" s="47">
        <v>794767.42918480793</v>
      </c>
      <c r="J42" s="47">
        <v>12191.8</v>
      </c>
      <c r="K42" s="90"/>
    </row>
    <row r="43" spans="1:11" hidden="1" x14ac:dyDescent="0.35">
      <c r="A43" s="118">
        <f t="shared" si="0"/>
        <v>43009</v>
      </c>
      <c r="B43" s="47">
        <v>3330179</v>
      </c>
      <c r="C43" s="47">
        <v>86476</v>
      </c>
      <c r="D43" s="47">
        <v>143</v>
      </c>
      <c r="E43" s="47">
        <v>0</v>
      </c>
      <c r="F43" s="47">
        <v>2256600</v>
      </c>
      <c r="G43" s="47">
        <v>0</v>
      </c>
      <c r="H43" s="47">
        <v>46600</v>
      </c>
      <c r="I43" s="47">
        <v>1006032.6273241421</v>
      </c>
      <c r="J43" s="47">
        <v>14343.8</v>
      </c>
      <c r="K43" s="90"/>
    </row>
    <row r="44" spans="1:11" hidden="1" x14ac:dyDescent="0.35">
      <c r="A44" s="118">
        <f t="shared" si="0"/>
        <v>43040</v>
      </c>
      <c r="B44" s="47">
        <v>2907292</v>
      </c>
      <c r="C44" s="47">
        <v>76810</v>
      </c>
      <c r="D44" s="47">
        <v>635.5</v>
      </c>
      <c r="E44" s="47">
        <v>0</v>
      </c>
      <c r="F44" s="47">
        <v>252840</v>
      </c>
      <c r="G44" s="47">
        <v>200000</v>
      </c>
      <c r="H44" s="47">
        <v>52840.229341927778</v>
      </c>
      <c r="I44" s="47">
        <v>2732948.137591423</v>
      </c>
      <c r="J44" s="47">
        <v>38478.1</v>
      </c>
      <c r="K44" s="90"/>
    </row>
    <row r="45" spans="1:11" hidden="1" x14ac:dyDescent="0.35">
      <c r="A45" s="118">
        <f t="shared" si="0"/>
        <v>43070</v>
      </c>
      <c r="B45" s="47">
        <v>3113061</v>
      </c>
      <c r="C45" s="47">
        <v>55898</v>
      </c>
      <c r="D45" s="47">
        <v>1627</v>
      </c>
      <c r="E45" s="47">
        <v>0</v>
      </c>
      <c r="F45" s="47">
        <v>0</v>
      </c>
      <c r="G45" s="47">
        <v>2148337</v>
      </c>
      <c r="H45" s="47">
        <v>51662.982752762131</v>
      </c>
      <c r="I45" s="47">
        <v>5073217.68200788</v>
      </c>
      <c r="J45" s="47">
        <v>38478.1</v>
      </c>
    </row>
    <row r="46" spans="1:11" hidden="1" x14ac:dyDescent="0.35">
      <c r="A46" s="118">
        <f t="shared" si="0"/>
        <v>43101</v>
      </c>
      <c r="B46" s="47">
        <v>3339989</v>
      </c>
      <c r="C46" s="47">
        <v>40788</v>
      </c>
      <c r="D46" s="47">
        <v>2006</v>
      </c>
      <c r="E46" s="47">
        <v>0</v>
      </c>
      <c r="F46" s="47">
        <v>0</v>
      </c>
      <c r="G46" s="47">
        <v>3353027</v>
      </c>
      <c r="H46" s="47">
        <v>46972.708423859884</v>
      </c>
      <c r="I46" s="47">
        <v>6452432.2997245034</v>
      </c>
      <c r="J46" s="47">
        <v>38478.1</v>
      </c>
    </row>
    <row r="47" spans="1:11" hidden="1" x14ac:dyDescent="0.35">
      <c r="A47" s="118">
        <f t="shared" si="0"/>
        <v>43132</v>
      </c>
      <c r="B47" s="47">
        <v>2862751</v>
      </c>
      <c r="C47" s="47">
        <v>35681</v>
      </c>
      <c r="D47" s="47">
        <v>1768.5</v>
      </c>
      <c r="E47" s="47">
        <v>0</v>
      </c>
      <c r="F47" s="47">
        <v>0</v>
      </c>
      <c r="G47" s="47">
        <v>2977058</v>
      </c>
      <c r="H47" s="47">
        <v>42941.737018235734</v>
      </c>
      <c r="I47" s="47">
        <v>5612089.7213283991</v>
      </c>
      <c r="J47" s="47">
        <v>38478.1</v>
      </c>
    </row>
    <row r="48" spans="1:11" hidden="1" x14ac:dyDescent="0.35">
      <c r="A48" s="118">
        <f t="shared" si="0"/>
        <v>43160</v>
      </c>
      <c r="B48" s="47">
        <v>2128064</v>
      </c>
      <c r="C48" s="47">
        <v>40081</v>
      </c>
      <c r="D48" s="47">
        <v>2225.5</v>
      </c>
      <c r="E48" s="47">
        <v>0</v>
      </c>
      <c r="F48" s="47">
        <v>0</v>
      </c>
      <c r="G48" s="47">
        <v>1982329</v>
      </c>
      <c r="H48" s="47">
        <v>37671.281969171207</v>
      </c>
      <c r="I48" s="47">
        <v>3897813.3754893886</v>
      </c>
      <c r="J48" s="47">
        <v>44301.500000000007</v>
      </c>
    </row>
    <row r="49" spans="1:10" hidden="1" x14ac:dyDescent="0.35">
      <c r="A49" s="118">
        <f t="shared" si="0"/>
        <v>43191</v>
      </c>
      <c r="B49" s="47">
        <v>1335791</v>
      </c>
      <c r="C49" s="47">
        <v>35364</v>
      </c>
      <c r="D49" s="47">
        <v>1038.5</v>
      </c>
      <c r="E49" s="47">
        <v>0</v>
      </c>
      <c r="F49" s="47">
        <v>0</v>
      </c>
      <c r="G49" s="47">
        <v>770443</v>
      </c>
      <c r="H49" s="47">
        <v>29556.648805049579</v>
      </c>
      <c r="I49" s="47">
        <v>1963956.841261033</v>
      </c>
      <c r="J49" s="47">
        <v>36383.4</v>
      </c>
    </row>
    <row r="50" spans="1:10" hidden="1" x14ac:dyDescent="0.35">
      <c r="A50" s="118">
        <f t="shared" si="0"/>
        <v>43221</v>
      </c>
      <c r="B50" s="47">
        <v>1174455</v>
      </c>
      <c r="C50" s="47">
        <v>39005</v>
      </c>
      <c r="D50" s="47">
        <v>362</v>
      </c>
      <c r="E50" s="47">
        <v>0</v>
      </c>
      <c r="F50" s="47">
        <v>0</v>
      </c>
      <c r="G50" s="47">
        <v>67911</v>
      </c>
      <c r="H50" s="47">
        <v>32088.736132705912</v>
      </c>
      <c r="I50" s="47">
        <v>1118827.2846716342</v>
      </c>
      <c r="J50" s="47">
        <v>40570.700000000004</v>
      </c>
    </row>
    <row r="51" spans="1:10" hidden="1" x14ac:dyDescent="0.35">
      <c r="A51" s="118">
        <f t="shared" si="0"/>
        <v>43252</v>
      </c>
      <c r="B51" s="47">
        <v>2215296</v>
      </c>
      <c r="C51" s="47">
        <v>50654</v>
      </c>
      <c r="D51" s="47">
        <v>282</v>
      </c>
      <c r="E51" s="47">
        <v>0</v>
      </c>
      <c r="F51" s="47">
        <v>1351521</v>
      </c>
      <c r="G51" s="47">
        <v>0</v>
      </c>
      <c r="H51" s="47">
        <v>31520.091714118022</v>
      </c>
      <c r="I51" s="47">
        <v>759733.24641992617</v>
      </c>
      <c r="J51" s="47">
        <v>38478.1</v>
      </c>
    </row>
    <row r="52" spans="1:10" hidden="1" x14ac:dyDescent="0.35">
      <c r="A52" s="118">
        <f t="shared" si="0"/>
        <v>43282</v>
      </c>
      <c r="B52" s="47">
        <v>3539397</v>
      </c>
      <c r="C52" s="47">
        <v>57592</v>
      </c>
      <c r="D52" s="47">
        <v>149</v>
      </c>
      <c r="E52" s="47">
        <v>0</v>
      </c>
      <c r="F52" s="47">
        <v>2790990</v>
      </c>
      <c r="G52" s="47">
        <v>0</v>
      </c>
      <c r="H52" s="47">
        <v>37990</v>
      </c>
      <c r="I52" s="47">
        <v>672699.39336743695</v>
      </c>
      <c r="J52" s="47">
        <v>29245.9</v>
      </c>
    </row>
    <row r="53" spans="1:10" hidden="1" x14ac:dyDescent="0.35">
      <c r="A53" s="118">
        <f t="shared" si="0"/>
        <v>43313</v>
      </c>
      <c r="B53" s="47">
        <v>3513509</v>
      </c>
      <c r="C53" s="47">
        <v>61010</v>
      </c>
      <c r="D53" s="47">
        <v>101</v>
      </c>
      <c r="E53" s="47">
        <v>0</v>
      </c>
      <c r="F53" s="47">
        <v>2771254</v>
      </c>
      <c r="G53" s="47">
        <v>0</v>
      </c>
      <c r="H53" s="47">
        <v>41253.707332392885</v>
      </c>
      <c r="I53" s="47">
        <v>662209.48546529899</v>
      </c>
      <c r="J53" s="47">
        <v>38478.1</v>
      </c>
    </row>
    <row r="54" spans="1:10" hidden="1" x14ac:dyDescent="0.35">
      <c r="A54" s="118">
        <f t="shared" si="0"/>
        <v>43344</v>
      </c>
      <c r="B54" s="47">
        <v>3471043</v>
      </c>
      <c r="C54" s="47">
        <v>62271</v>
      </c>
      <c r="D54" s="47">
        <v>91.5</v>
      </c>
      <c r="E54" s="47">
        <v>0</v>
      </c>
      <c r="F54" s="47">
        <v>2676028</v>
      </c>
      <c r="G54" s="47">
        <v>0</v>
      </c>
      <c r="H54" s="47">
        <v>46028.436483828787</v>
      </c>
      <c r="I54" s="47">
        <v>714681.92008887709</v>
      </c>
      <c r="J54" s="47">
        <v>38478.1</v>
      </c>
    </row>
    <row r="55" spans="1:10" hidden="1" x14ac:dyDescent="0.35">
      <c r="A55" s="118">
        <f t="shared" si="0"/>
        <v>43374</v>
      </c>
      <c r="B55" s="47">
        <v>3423157</v>
      </c>
      <c r="C55" s="47">
        <v>92008</v>
      </c>
      <c r="D55" s="47">
        <v>143</v>
      </c>
      <c r="E55" s="47">
        <v>0</v>
      </c>
      <c r="F55" s="47">
        <v>2157716</v>
      </c>
      <c r="G55" s="47">
        <v>0</v>
      </c>
      <c r="H55" s="47">
        <v>50716.017206050434</v>
      </c>
      <c r="I55" s="47">
        <v>1192617.409521492</v>
      </c>
      <c r="J55" s="47">
        <v>20013.7</v>
      </c>
    </row>
    <row r="56" spans="1:10" hidden="1" x14ac:dyDescent="0.35">
      <c r="A56" s="118">
        <f t="shared" si="0"/>
        <v>43405</v>
      </c>
      <c r="B56" s="47">
        <v>3030422</v>
      </c>
      <c r="C56" s="47">
        <v>57179</v>
      </c>
      <c r="D56" s="47">
        <v>1769</v>
      </c>
      <c r="E56" s="47">
        <v>0</v>
      </c>
      <c r="F56" s="47">
        <v>258328</v>
      </c>
      <c r="G56" s="47">
        <v>200000</v>
      </c>
      <c r="H56" s="47">
        <v>58328</v>
      </c>
      <c r="I56" s="47">
        <v>2834842</v>
      </c>
      <c r="J56" s="47">
        <v>40653</v>
      </c>
    </row>
    <row r="57" spans="1:10" hidden="1" x14ac:dyDescent="0.35">
      <c r="A57" s="118">
        <f t="shared" si="0"/>
        <v>43435</v>
      </c>
      <c r="B57" s="47">
        <v>3329567</v>
      </c>
      <c r="C57" s="47">
        <v>40527</v>
      </c>
      <c r="D57" s="47">
        <v>2226</v>
      </c>
      <c r="E57" s="47">
        <v>0</v>
      </c>
      <c r="F57" s="47">
        <v>0</v>
      </c>
      <c r="G57" s="47">
        <v>2142039</v>
      </c>
      <c r="H57" s="47">
        <v>57961</v>
      </c>
      <c r="I57" s="47">
        <v>5167257</v>
      </c>
      <c r="J57" s="47">
        <v>34803</v>
      </c>
    </row>
    <row r="58" spans="1:10" hidden="1" x14ac:dyDescent="0.35">
      <c r="A58" s="118">
        <f t="shared" si="0"/>
        <v>43466</v>
      </c>
      <c r="B58" s="47">
        <v>3554273</v>
      </c>
      <c r="C58" s="47">
        <v>15224</v>
      </c>
      <c r="D58" s="47">
        <v>1039</v>
      </c>
      <c r="E58" s="47">
        <v>0</v>
      </c>
      <c r="F58" s="47">
        <v>0</v>
      </c>
      <c r="G58" s="47">
        <v>3349043</v>
      </c>
      <c r="H58" s="47">
        <v>50957</v>
      </c>
      <c r="I58" s="47">
        <v>6453549</v>
      </c>
      <c r="J58" s="47">
        <v>34500</v>
      </c>
    </row>
    <row r="59" spans="1:10" hidden="1" x14ac:dyDescent="0.35">
      <c r="A59" s="118">
        <f t="shared" si="0"/>
        <v>43497</v>
      </c>
      <c r="B59" s="47">
        <v>3057930</v>
      </c>
      <c r="C59" s="47">
        <v>13673</v>
      </c>
      <c r="D59" s="47">
        <v>362</v>
      </c>
      <c r="E59" s="47">
        <v>0</v>
      </c>
      <c r="F59" s="47">
        <v>0</v>
      </c>
      <c r="G59" s="47">
        <v>2976839</v>
      </c>
      <c r="H59" s="47">
        <v>43161</v>
      </c>
      <c r="I59" s="47">
        <v>5629263</v>
      </c>
      <c r="J59" s="47">
        <v>40099</v>
      </c>
    </row>
    <row r="60" spans="1:10" hidden="1" x14ac:dyDescent="0.35">
      <c r="A60" s="118">
        <f t="shared" si="0"/>
        <v>43525</v>
      </c>
      <c r="B60" s="47">
        <v>2174909</v>
      </c>
      <c r="C60" s="47">
        <v>24842</v>
      </c>
      <c r="D60" s="47">
        <v>282</v>
      </c>
      <c r="E60" s="47">
        <v>0</v>
      </c>
      <c r="F60" s="47">
        <v>0</v>
      </c>
      <c r="G60" s="47">
        <v>1981815</v>
      </c>
      <c r="H60" s="47">
        <v>38185</v>
      </c>
      <c r="I60" s="47">
        <v>3867714</v>
      </c>
      <c r="J60" s="47">
        <v>27384</v>
      </c>
    </row>
    <row r="61" spans="1:10" hidden="1" x14ac:dyDescent="0.35">
      <c r="A61" s="118">
        <f t="shared" si="0"/>
        <v>43556</v>
      </c>
      <c r="B61" s="47">
        <v>1369843</v>
      </c>
      <c r="C61" s="47">
        <v>27307</v>
      </c>
      <c r="D61" s="47">
        <v>149</v>
      </c>
      <c r="E61" s="47">
        <v>0</v>
      </c>
      <c r="F61" s="47">
        <v>0</v>
      </c>
      <c r="G61" s="47">
        <v>768178</v>
      </c>
      <c r="H61" s="47">
        <v>31822</v>
      </c>
      <c r="I61" s="47">
        <v>1967953</v>
      </c>
      <c r="J61" s="47">
        <v>43490</v>
      </c>
    </row>
    <row r="62" spans="1:10" hidden="1" x14ac:dyDescent="0.35">
      <c r="A62" s="118">
        <f t="shared" si="0"/>
        <v>43586</v>
      </c>
      <c r="B62" s="47">
        <v>1062431</v>
      </c>
      <c r="C62" s="47">
        <v>32358</v>
      </c>
      <c r="D62" s="47">
        <v>101</v>
      </c>
      <c r="E62" s="47">
        <v>0</v>
      </c>
      <c r="F62" s="47">
        <v>0</v>
      </c>
      <c r="G62" s="47">
        <v>167608</v>
      </c>
      <c r="H62" s="47">
        <v>32392</v>
      </c>
      <c r="I62" s="47">
        <v>1107887</v>
      </c>
      <c r="J62" s="47">
        <v>39535</v>
      </c>
    </row>
    <row r="63" spans="1:10" hidden="1" x14ac:dyDescent="0.35">
      <c r="A63" s="118">
        <f t="shared" si="0"/>
        <v>43617</v>
      </c>
      <c r="B63" s="47">
        <v>2268369</v>
      </c>
      <c r="C63" s="47">
        <v>40554</v>
      </c>
      <c r="D63" s="47">
        <v>92</v>
      </c>
      <c r="E63" s="47">
        <v>900</v>
      </c>
      <c r="F63" s="47">
        <v>1434772</v>
      </c>
      <c r="G63" s="47">
        <v>0</v>
      </c>
      <c r="H63" s="47">
        <v>31772</v>
      </c>
      <c r="I63" s="47">
        <v>748216</v>
      </c>
      <c r="J63" s="47">
        <v>32444</v>
      </c>
    </row>
    <row r="64" spans="1:10" hidden="1" x14ac:dyDescent="0.35">
      <c r="A64" s="118">
        <f t="shared" si="0"/>
        <v>43647</v>
      </c>
      <c r="B64" s="47">
        <v>3648064</v>
      </c>
      <c r="C64" s="47">
        <v>42084</v>
      </c>
      <c r="D64" s="47">
        <v>143</v>
      </c>
      <c r="E64" s="47">
        <v>900</v>
      </c>
      <c r="F64" s="47">
        <v>2899907</v>
      </c>
      <c r="G64" s="47">
        <v>0</v>
      </c>
      <c r="H64" s="47">
        <v>42907</v>
      </c>
      <c r="I64" s="47">
        <v>672003</v>
      </c>
      <c r="J64" s="47">
        <v>28203</v>
      </c>
    </row>
    <row r="65" spans="1:10" hidden="1" x14ac:dyDescent="0.35">
      <c r="A65" s="118">
        <f t="shared" si="0"/>
        <v>43678</v>
      </c>
      <c r="B65" s="47">
        <v>3554108</v>
      </c>
      <c r="C65" s="47">
        <v>38339</v>
      </c>
      <c r="D65" s="47">
        <v>636</v>
      </c>
      <c r="E65" s="47">
        <v>3373</v>
      </c>
      <c r="F65" s="47">
        <v>2826752</v>
      </c>
      <c r="G65" s="47">
        <v>0</v>
      </c>
      <c r="H65" s="47">
        <v>46752</v>
      </c>
      <c r="I65" s="47">
        <v>654640</v>
      </c>
      <c r="J65" s="47">
        <v>26424</v>
      </c>
    </row>
    <row r="66" spans="1:10" hidden="1" x14ac:dyDescent="0.35">
      <c r="A66" s="118">
        <f t="shared" si="0"/>
        <v>43709</v>
      </c>
      <c r="B66" s="47">
        <v>3509954</v>
      </c>
      <c r="C66" s="47">
        <v>41958</v>
      </c>
      <c r="D66" s="47">
        <v>1627</v>
      </c>
      <c r="E66" s="47">
        <v>0</v>
      </c>
      <c r="F66" s="47">
        <v>2723123</v>
      </c>
      <c r="G66" s="47">
        <v>0</v>
      </c>
      <c r="H66" s="47">
        <v>53123</v>
      </c>
      <c r="I66" s="47">
        <v>703381</v>
      </c>
      <c r="J66" s="47">
        <v>43243</v>
      </c>
    </row>
    <row r="67" spans="1:10" hidden="1" x14ac:dyDescent="0.35">
      <c r="A67" s="118">
        <f t="shared" si="0"/>
        <v>43739</v>
      </c>
      <c r="B67" s="47">
        <v>3276217</v>
      </c>
      <c r="C67" s="47">
        <v>48541</v>
      </c>
      <c r="D67" s="47">
        <v>2006</v>
      </c>
      <c r="E67" s="47">
        <v>0</v>
      </c>
      <c r="F67" s="47">
        <v>1985561</v>
      </c>
      <c r="G67" s="47">
        <v>0</v>
      </c>
      <c r="H67" s="47">
        <v>55561</v>
      </c>
      <c r="I67" s="47">
        <v>1230186</v>
      </c>
      <c r="J67" s="47">
        <v>20722</v>
      </c>
    </row>
    <row r="68" spans="1:10" hidden="1" x14ac:dyDescent="0.35">
      <c r="A68" s="118">
        <f t="shared" si="0"/>
        <v>43770</v>
      </c>
      <c r="B68" s="47">
        <v>3472948</v>
      </c>
      <c r="C68" s="47">
        <v>51046</v>
      </c>
      <c r="D68" s="47">
        <v>636</v>
      </c>
      <c r="E68" s="47">
        <v>464</v>
      </c>
      <c r="F68" s="47">
        <v>257487</v>
      </c>
      <c r="G68" s="47">
        <v>200000</v>
      </c>
      <c r="H68" s="47">
        <v>57487</v>
      </c>
      <c r="I68" s="47">
        <v>3297396</v>
      </c>
      <c r="J68" s="47">
        <v>24305</v>
      </c>
    </row>
    <row r="69" spans="1:10" hidden="1" x14ac:dyDescent="0.35">
      <c r="A69" s="118">
        <f t="shared" si="0"/>
        <v>43800</v>
      </c>
      <c r="B69" s="47">
        <v>3246280</v>
      </c>
      <c r="C69" s="47">
        <v>40285</v>
      </c>
      <c r="D69" s="47">
        <v>1627</v>
      </c>
      <c r="E69" s="47">
        <v>0</v>
      </c>
      <c r="F69" s="47">
        <v>0</v>
      </c>
      <c r="G69" s="47">
        <v>2146888</v>
      </c>
      <c r="H69" s="47">
        <v>53112</v>
      </c>
      <c r="I69" s="47">
        <v>5089967</v>
      </c>
      <c r="J69" s="47">
        <v>35156</v>
      </c>
    </row>
    <row r="70" spans="1:10" hidden="1" x14ac:dyDescent="0.35">
      <c r="A70" s="118">
        <f t="shared" si="0"/>
        <v>43831</v>
      </c>
      <c r="B70" s="47">
        <v>3748989</v>
      </c>
      <c r="C70" s="47">
        <v>12250</v>
      </c>
      <c r="D70" s="47">
        <v>2006</v>
      </c>
      <c r="E70" s="47">
        <v>989</v>
      </c>
      <c r="F70" s="47">
        <v>0</v>
      </c>
      <c r="G70" s="47">
        <v>3082632</v>
      </c>
      <c r="H70" s="47">
        <v>47368</v>
      </c>
      <c r="I70" s="47">
        <v>6375678</v>
      </c>
      <c r="J70" s="47">
        <v>40389</v>
      </c>
    </row>
    <row r="71" spans="1:10" hidden="1" x14ac:dyDescent="0.35">
      <c r="A71" s="118">
        <f t="shared" si="0"/>
        <v>43862</v>
      </c>
      <c r="B71" s="47">
        <v>2832104</v>
      </c>
      <c r="C71" s="47">
        <v>10395</v>
      </c>
      <c r="D71" s="47">
        <v>1832</v>
      </c>
      <c r="E71" s="47">
        <v>0</v>
      </c>
      <c r="F71" s="47">
        <v>0</v>
      </c>
      <c r="G71" s="47">
        <v>2959821</v>
      </c>
      <c r="H71" s="47">
        <v>40179</v>
      </c>
      <c r="I71" s="47">
        <v>5380615</v>
      </c>
      <c r="J71" s="47">
        <v>33710</v>
      </c>
    </row>
    <row r="72" spans="1:10" hidden="1" x14ac:dyDescent="0.35">
      <c r="A72" s="118">
        <f t="shared" si="0"/>
        <v>43891</v>
      </c>
      <c r="B72" s="47">
        <v>1863341</v>
      </c>
      <c r="C72" s="47">
        <v>24943</v>
      </c>
      <c r="D72" s="47">
        <v>2226</v>
      </c>
      <c r="E72" s="47">
        <v>464</v>
      </c>
      <c r="F72" s="47">
        <v>0</v>
      </c>
      <c r="G72" s="47">
        <v>2185443</v>
      </c>
      <c r="H72" s="47">
        <v>34557</v>
      </c>
      <c r="I72" s="47">
        <v>3752856</v>
      </c>
      <c r="J72" s="47">
        <v>33788</v>
      </c>
    </row>
    <row r="73" spans="1:10" hidden="1" x14ac:dyDescent="0.35">
      <c r="A73" s="118">
        <f t="shared" si="0"/>
        <v>43922</v>
      </c>
      <c r="B73" s="47">
        <v>1274063</v>
      </c>
      <c r="C73" s="47">
        <v>40239</v>
      </c>
      <c r="D73" s="47">
        <v>1039</v>
      </c>
      <c r="E73" s="47">
        <v>0</v>
      </c>
      <c r="F73" s="47">
        <v>0</v>
      </c>
      <c r="G73" s="47">
        <v>771112</v>
      </c>
      <c r="H73" s="47">
        <v>28888</v>
      </c>
      <c r="I73" s="47">
        <v>1892568</v>
      </c>
      <c r="J73" s="47">
        <v>25919</v>
      </c>
    </row>
    <row r="74" spans="1:10" hidden="1" x14ac:dyDescent="0.35">
      <c r="A74" s="118">
        <f>EDATE(A73,1)</f>
        <v>43952</v>
      </c>
      <c r="B74" s="47">
        <v>953468</v>
      </c>
      <c r="C74" s="47">
        <v>44778</v>
      </c>
      <c r="D74" s="47">
        <v>362</v>
      </c>
      <c r="E74" s="47">
        <v>0</v>
      </c>
      <c r="F74" s="47">
        <v>0</v>
      </c>
      <c r="G74" s="47">
        <v>171738</v>
      </c>
      <c r="H74" s="47">
        <v>28262</v>
      </c>
      <c r="I74" s="47">
        <v>1009482</v>
      </c>
      <c r="J74" s="47">
        <v>32926</v>
      </c>
    </row>
    <row r="75" spans="1:10" hidden="1" x14ac:dyDescent="0.35">
      <c r="A75" s="118">
        <f t="shared" si="0"/>
        <v>43983</v>
      </c>
      <c r="B75" s="47">
        <v>2139669</v>
      </c>
      <c r="C75" s="47">
        <v>53456</v>
      </c>
      <c r="D75" s="47">
        <v>282</v>
      </c>
      <c r="E75" s="47">
        <v>866</v>
      </c>
      <c r="F75" s="47">
        <v>1372723</v>
      </c>
      <c r="G75" s="47">
        <v>0</v>
      </c>
      <c r="H75" s="47">
        <v>29723</v>
      </c>
      <c r="I75" s="47">
        <v>683362</v>
      </c>
      <c r="J75" s="47">
        <v>30168</v>
      </c>
    </row>
    <row r="76" spans="1:10" hidden="1" x14ac:dyDescent="0.35">
      <c r="A76" s="118">
        <f t="shared" ref="A76:A127" si="1">EDATE(A75,1)</f>
        <v>44013</v>
      </c>
      <c r="B76" s="47">
        <v>3494306</v>
      </c>
      <c r="C76" s="47">
        <v>47272</v>
      </c>
      <c r="D76" s="47">
        <v>149</v>
      </c>
      <c r="E76" s="47">
        <v>0</v>
      </c>
      <c r="F76" s="47">
        <v>2780384</v>
      </c>
      <c r="G76" s="47">
        <v>0</v>
      </c>
      <c r="H76" s="47">
        <v>35884</v>
      </c>
      <c r="I76" s="47">
        <v>627042</v>
      </c>
      <c r="J76" s="47">
        <v>39954</v>
      </c>
    </row>
    <row r="77" spans="1:10" hidden="1" x14ac:dyDescent="0.35">
      <c r="A77" s="118">
        <f t="shared" si="1"/>
        <v>44044</v>
      </c>
      <c r="B77" s="47">
        <v>3514812</v>
      </c>
      <c r="C77" s="47">
        <v>50430</v>
      </c>
      <c r="D77" s="47">
        <v>101</v>
      </c>
      <c r="E77" s="47">
        <v>1732</v>
      </c>
      <c r="F77" s="47">
        <v>2820023</v>
      </c>
      <c r="G77" s="47">
        <v>0</v>
      </c>
      <c r="H77" s="47">
        <v>42523</v>
      </c>
      <c r="I77" s="47">
        <v>621113</v>
      </c>
      <c r="J77" s="47">
        <v>30022</v>
      </c>
    </row>
    <row r="78" spans="1:10" hidden="1" x14ac:dyDescent="0.35">
      <c r="A78" s="118">
        <f t="shared" si="1"/>
        <v>44075</v>
      </c>
      <c r="B78" s="47">
        <v>3474065</v>
      </c>
      <c r="C78" s="47">
        <v>53449</v>
      </c>
      <c r="D78" s="47">
        <v>92</v>
      </c>
      <c r="E78" s="47">
        <v>0</v>
      </c>
      <c r="F78" s="47">
        <v>2633176</v>
      </c>
      <c r="G78" s="47">
        <v>0</v>
      </c>
      <c r="H78" s="47">
        <v>45676</v>
      </c>
      <c r="I78" s="47">
        <v>774342</v>
      </c>
      <c r="J78" s="47">
        <v>28408</v>
      </c>
    </row>
    <row r="79" spans="1:10" hidden="1" x14ac:dyDescent="0.35">
      <c r="A79" s="118">
        <f t="shared" si="1"/>
        <v>44105</v>
      </c>
      <c r="B79" s="47">
        <v>3712223</v>
      </c>
      <c r="C79" s="47">
        <v>58880</v>
      </c>
      <c r="D79" s="47">
        <v>143</v>
      </c>
      <c r="E79" s="47">
        <v>0</v>
      </c>
      <c r="F79" s="47">
        <v>2151711</v>
      </c>
      <c r="G79" s="47">
        <v>0</v>
      </c>
      <c r="H79" s="47">
        <v>54211</v>
      </c>
      <c r="I79" s="47">
        <v>1500368</v>
      </c>
      <c r="J79" s="47">
        <v>22488</v>
      </c>
    </row>
    <row r="80" spans="1:10" hidden="1" x14ac:dyDescent="0.35">
      <c r="A80" s="118">
        <f t="shared" si="1"/>
        <v>44136</v>
      </c>
      <c r="B80" s="47">
        <v>3728800</v>
      </c>
      <c r="C80" s="47">
        <v>59677</v>
      </c>
      <c r="D80" s="47">
        <v>636</v>
      </c>
      <c r="E80" s="47">
        <v>0</v>
      </c>
      <c r="F80" s="47">
        <v>255622</v>
      </c>
      <c r="G80" s="47">
        <v>200000</v>
      </c>
      <c r="H80" s="47">
        <v>55622</v>
      </c>
      <c r="I80" s="47">
        <v>3559226</v>
      </c>
      <c r="J80" s="47">
        <v>20656</v>
      </c>
    </row>
    <row r="81" spans="1:10" hidden="1" x14ac:dyDescent="0.35">
      <c r="A81" s="118">
        <f t="shared" si="1"/>
        <v>44166</v>
      </c>
      <c r="B81" s="47">
        <v>3260300</v>
      </c>
      <c r="C81" s="47">
        <v>34584</v>
      </c>
      <c r="D81" s="47">
        <v>1627</v>
      </c>
      <c r="E81" s="47">
        <v>1008</v>
      </c>
      <c r="F81" s="47">
        <v>0</v>
      </c>
      <c r="G81" s="47">
        <v>2145815</v>
      </c>
      <c r="H81" s="47">
        <v>54185</v>
      </c>
      <c r="I81" s="47">
        <v>5097700</v>
      </c>
      <c r="J81" s="47">
        <v>39362</v>
      </c>
    </row>
    <row r="82" spans="1:10" hidden="1" x14ac:dyDescent="0.35">
      <c r="A82" s="118">
        <f t="shared" si="1"/>
        <v>44197</v>
      </c>
      <c r="B82" s="47">
        <v>3820887</v>
      </c>
      <c r="C82" s="47">
        <v>19473</v>
      </c>
      <c r="D82" s="47">
        <v>2006</v>
      </c>
      <c r="E82" s="47">
        <v>0</v>
      </c>
      <c r="F82" s="47">
        <v>0</v>
      </c>
      <c r="G82" s="47">
        <v>3084620</v>
      </c>
      <c r="H82" s="47">
        <v>45380</v>
      </c>
      <c r="I82" s="47">
        <v>6466594</v>
      </c>
      <c r="J82" s="47">
        <v>24349</v>
      </c>
    </row>
    <row r="83" spans="1:10" hidden="1" x14ac:dyDescent="0.35">
      <c r="A83" s="118">
        <f t="shared" si="1"/>
        <v>44228</v>
      </c>
      <c r="B83" s="47">
        <v>2486675</v>
      </c>
      <c r="C83" s="47">
        <v>22494</v>
      </c>
      <c r="D83" s="47">
        <v>1769</v>
      </c>
      <c r="E83" s="47">
        <v>0</v>
      </c>
      <c r="F83" s="47">
        <v>0</v>
      </c>
      <c r="G83" s="47">
        <v>2962523</v>
      </c>
      <c r="H83" s="47">
        <v>37477</v>
      </c>
      <c r="I83" s="47">
        <v>5047723</v>
      </c>
      <c r="J83" s="47">
        <v>26249</v>
      </c>
    </row>
    <row r="84" spans="1:10" hidden="1" x14ac:dyDescent="0.35">
      <c r="A84" s="118">
        <f t="shared" si="1"/>
        <v>44256</v>
      </c>
      <c r="B84" s="47">
        <v>2046291</v>
      </c>
      <c r="C84" s="47">
        <v>39599</v>
      </c>
      <c r="D84" s="47">
        <v>2226</v>
      </c>
      <c r="E84" s="47">
        <v>2125</v>
      </c>
      <c r="F84" s="47">
        <v>0</v>
      </c>
      <c r="G84" s="47">
        <v>2117711</v>
      </c>
      <c r="H84" s="47">
        <v>32289</v>
      </c>
      <c r="I84" s="47">
        <v>3876884</v>
      </c>
      <c r="J84" s="47">
        <v>23317</v>
      </c>
    </row>
    <row r="85" spans="1:10" hidden="1" x14ac:dyDescent="0.35">
      <c r="A85" s="118">
        <f t="shared" si="1"/>
        <v>44287</v>
      </c>
      <c r="B85" s="47">
        <v>1186950</v>
      </c>
      <c r="C85" s="47">
        <v>41731</v>
      </c>
      <c r="D85" s="47">
        <v>1039</v>
      </c>
      <c r="E85" s="47">
        <v>945</v>
      </c>
      <c r="F85" s="47">
        <v>0</v>
      </c>
      <c r="G85" s="47">
        <v>770940</v>
      </c>
      <c r="H85" s="47">
        <v>29060</v>
      </c>
      <c r="I85" s="47">
        <v>1807926</v>
      </c>
      <c r="J85" s="47">
        <v>22331</v>
      </c>
    </row>
    <row r="86" spans="1:10" hidden="1" x14ac:dyDescent="0.35">
      <c r="A86" s="118">
        <f t="shared" si="1"/>
        <v>44317</v>
      </c>
      <c r="B86" s="47">
        <v>897087</v>
      </c>
      <c r="C86" s="47">
        <v>41370</v>
      </c>
      <c r="D86" s="47">
        <v>362</v>
      </c>
      <c r="E86" s="47">
        <v>0</v>
      </c>
      <c r="F86" s="47">
        <v>0</v>
      </c>
      <c r="G86" s="47">
        <v>171919</v>
      </c>
      <c r="H86" s="47">
        <v>28081</v>
      </c>
      <c r="I86" s="47">
        <v>963877</v>
      </c>
      <c r="J86" s="47">
        <v>22331</v>
      </c>
    </row>
    <row r="87" spans="1:10" hidden="1" x14ac:dyDescent="0.35">
      <c r="A87" s="118">
        <f t="shared" si="1"/>
        <v>44348</v>
      </c>
      <c r="B87" s="47">
        <v>2210409</v>
      </c>
      <c r="C87" s="47">
        <v>42137</v>
      </c>
      <c r="D87" s="47">
        <v>282</v>
      </c>
      <c r="E87" s="47">
        <v>1543</v>
      </c>
      <c r="F87" s="47">
        <v>1492886</v>
      </c>
      <c r="G87" s="47">
        <v>0</v>
      </c>
      <c r="H87" s="47">
        <v>29886</v>
      </c>
      <c r="I87" s="47">
        <v>641098</v>
      </c>
      <c r="J87" s="47">
        <v>22331</v>
      </c>
    </row>
    <row r="88" spans="1:10" hidden="1" x14ac:dyDescent="0.35">
      <c r="A88" s="118">
        <f t="shared" si="1"/>
        <v>44378</v>
      </c>
      <c r="B88" s="47">
        <v>3368819</v>
      </c>
      <c r="C88" s="47">
        <v>34657</v>
      </c>
      <c r="D88" s="47">
        <v>149</v>
      </c>
      <c r="E88" s="47">
        <v>3527</v>
      </c>
      <c r="F88" s="47">
        <v>2733566</v>
      </c>
      <c r="G88" s="47">
        <v>0</v>
      </c>
      <c r="H88" s="47">
        <v>36566</v>
      </c>
      <c r="I88" s="47">
        <v>562469</v>
      </c>
      <c r="J88" s="47">
        <v>22331</v>
      </c>
    </row>
    <row r="89" spans="1:10" hidden="1" x14ac:dyDescent="0.35">
      <c r="A89" s="118">
        <f t="shared" si="1"/>
        <v>44409</v>
      </c>
      <c r="B89" s="47">
        <v>3418734</v>
      </c>
      <c r="C89" s="47">
        <v>44030</v>
      </c>
      <c r="D89" s="47">
        <v>101</v>
      </c>
      <c r="E89" s="47">
        <v>1763</v>
      </c>
      <c r="F89" s="47">
        <v>2772846</v>
      </c>
      <c r="G89" s="47">
        <v>0</v>
      </c>
      <c r="H89" s="47">
        <v>42846</v>
      </c>
      <c r="I89" s="47">
        <v>579871</v>
      </c>
      <c r="J89" s="47">
        <v>22331</v>
      </c>
    </row>
    <row r="90" spans="1:10" hidden="1" x14ac:dyDescent="0.35">
      <c r="A90" s="118">
        <f t="shared" si="1"/>
        <v>44440</v>
      </c>
      <c r="B90" s="47">
        <v>3388318</v>
      </c>
      <c r="C90" s="47">
        <v>56001</v>
      </c>
      <c r="D90" s="47">
        <v>92</v>
      </c>
      <c r="E90" s="47">
        <v>0</v>
      </c>
      <c r="F90" s="47">
        <v>2588088</v>
      </c>
      <c r="G90" s="47">
        <v>0</v>
      </c>
      <c r="H90" s="47">
        <v>48088</v>
      </c>
      <c r="I90" s="47">
        <v>742399</v>
      </c>
      <c r="J90" s="47">
        <v>19692</v>
      </c>
    </row>
    <row r="91" spans="1:10" hidden="1" x14ac:dyDescent="0.35">
      <c r="A91" s="118">
        <f t="shared" si="1"/>
        <v>44470</v>
      </c>
      <c r="B91" s="47">
        <v>3662012</v>
      </c>
      <c r="C91" s="47">
        <v>60160</v>
      </c>
      <c r="D91" s="47">
        <v>143</v>
      </c>
      <c r="E91" s="47">
        <v>1653</v>
      </c>
      <c r="F91" s="47">
        <v>2103097</v>
      </c>
      <c r="G91" s="47">
        <v>0</v>
      </c>
      <c r="H91" s="47">
        <v>53097</v>
      </c>
      <c r="I91" s="47">
        <v>1492868</v>
      </c>
      <c r="J91" s="47">
        <v>26739</v>
      </c>
    </row>
    <row r="92" spans="1:10" x14ac:dyDescent="0.35">
      <c r="A92" s="617">
        <f t="shared" si="1"/>
        <v>44501</v>
      </c>
      <c r="B92" s="696">
        <v>3386336</v>
      </c>
      <c r="C92" s="696">
        <v>65157</v>
      </c>
      <c r="D92" s="696">
        <v>636</v>
      </c>
      <c r="E92" s="696">
        <v>0</v>
      </c>
      <c r="F92" s="696">
        <v>253288</v>
      </c>
      <c r="G92" s="696">
        <v>200000</v>
      </c>
      <c r="H92" s="696">
        <v>53288</v>
      </c>
      <c r="I92" s="696">
        <v>3219568</v>
      </c>
      <c r="J92" s="696">
        <v>22347</v>
      </c>
    </row>
    <row r="93" spans="1:10" x14ac:dyDescent="0.35">
      <c r="A93" s="617">
        <f t="shared" si="1"/>
        <v>44531</v>
      </c>
      <c r="B93" s="696">
        <v>3238708</v>
      </c>
      <c r="C93" s="696">
        <v>51906</v>
      </c>
      <c r="D93" s="696">
        <v>1627</v>
      </c>
      <c r="E93" s="696">
        <v>0</v>
      </c>
      <c r="F93" s="696">
        <v>0</v>
      </c>
      <c r="G93" s="696">
        <v>2147584</v>
      </c>
      <c r="H93" s="696">
        <v>52416</v>
      </c>
      <c r="I93" s="696">
        <v>5117483</v>
      </c>
      <c r="J93" s="696">
        <v>19678</v>
      </c>
    </row>
    <row r="94" spans="1:10" x14ac:dyDescent="0.35">
      <c r="A94" s="617">
        <f t="shared" si="1"/>
        <v>44562</v>
      </c>
      <c r="B94" s="696">
        <v>3117301</v>
      </c>
      <c r="C94" s="696">
        <v>42306</v>
      </c>
      <c r="D94" s="696">
        <v>2006</v>
      </c>
      <c r="E94" s="696">
        <v>0</v>
      </c>
      <c r="F94" s="696">
        <v>0</v>
      </c>
      <c r="G94" s="696">
        <v>3375621</v>
      </c>
      <c r="H94" s="696">
        <v>44379</v>
      </c>
      <c r="I94" s="696">
        <v>6081812</v>
      </c>
      <c r="J94" s="696">
        <v>19233</v>
      </c>
    </row>
    <row r="95" spans="1:10" x14ac:dyDescent="0.35">
      <c r="A95" s="617">
        <f t="shared" si="1"/>
        <v>44593</v>
      </c>
      <c r="B95" s="696">
        <v>2396930</v>
      </c>
      <c r="C95" s="696">
        <v>43450</v>
      </c>
      <c r="D95" s="696">
        <v>1769</v>
      </c>
      <c r="E95" s="696">
        <v>0</v>
      </c>
      <c r="F95" s="696">
        <v>0</v>
      </c>
      <c r="G95" s="696">
        <v>3088247</v>
      </c>
      <c r="H95" s="696">
        <v>41753</v>
      </c>
      <c r="I95" s="696">
        <v>5108861</v>
      </c>
      <c r="J95" s="696">
        <v>22846</v>
      </c>
    </row>
    <row r="96" spans="1:10" x14ac:dyDescent="0.35">
      <c r="A96" s="617">
        <f t="shared" si="1"/>
        <v>44621</v>
      </c>
      <c r="B96" s="696">
        <v>2448478</v>
      </c>
      <c r="C96" s="696">
        <v>61771</v>
      </c>
      <c r="D96" s="696">
        <v>2226</v>
      </c>
      <c r="E96" s="696">
        <v>0</v>
      </c>
      <c r="F96" s="696">
        <v>0</v>
      </c>
      <c r="G96" s="696">
        <v>1856482</v>
      </c>
      <c r="H96" s="696">
        <v>33518</v>
      </c>
      <c r="I96" s="696">
        <v>4024853</v>
      </c>
      <c r="J96" s="696">
        <v>18361</v>
      </c>
    </row>
    <row r="97" spans="1:10" x14ac:dyDescent="0.35">
      <c r="A97" s="617">
        <f t="shared" si="1"/>
        <v>44652</v>
      </c>
      <c r="B97" s="696">
        <v>1476059</v>
      </c>
      <c r="C97" s="696">
        <v>69194</v>
      </c>
      <c r="D97" s="696">
        <v>1039</v>
      </c>
      <c r="E97" s="696">
        <v>0</v>
      </c>
      <c r="F97" s="696">
        <v>0</v>
      </c>
      <c r="G97" s="696">
        <v>769095</v>
      </c>
      <c r="H97" s="696">
        <v>30905</v>
      </c>
      <c r="I97" s="696">
        <v>2102071</v>
      </c>
      <c r="J97" s="696">
        <v>18471</v>
      </c>
    </row>
    <row r="98" spans="1:10" x14ac:dyDescent="0.35">
      <c r="A98" s="617">
        <f t="shared" si="1"/>
        <v>44682</v>
      </c>
      <c r="B98" s="696">
        <v>1121707</v>
      </c>
      <c r="C98" s="696">
        <v>74775</v>
      </c>
      <c r="D98" s="696">
        <v>362</v>
      </c>
      <c r="E98" s="696">
        <v>0</v>
      </c>
      <c r="F98" s="696">
        <v>0</v>
      </c>
      <c r="G98" s="696">
        <v>169546</v>
      </c>
      <c r="H98" s="696">
        <v>30454</v>
      </c>
      <c r="I98" s="696">
        <v>1191368</v>
      </c>
      <c r="J98" s="696">
        <v>17490</v>
      </c>
    </row>
    <row r="99" spans="1:10" x14ac:dyDescent="0.35">
      <c r="A99" s="617">
        <f t="shared" si="1"/>
        <v>44713</v>
      </c>
      <c r="B99" s="696">
        <v>2311942</v>
      </c>
      <c r="C99" s="696">
        <v>58510</v>
      </c>
      <c r="D99" s="696">
        <v>282</v>
      </c>
      <c r="E99" s="696">
        <v>0</v>
      </c>
      <c r="F99" s="696">
        <v>1505957</v>
      </c>
      <c r="G99" s="696">
        <v>0</v>
      </c>
      <c r="H99" s="696">
        <v>27990</v>
      </c>
      <c r="I99" s="696">
        <v>736290</v>
      </c>
      <c r="J99" s="696">
        <v>16509</v>
      </c>
    </row>
    <row r="100" spans="1:10" x14ac:dyDescent="0.35">
      <c r="A100" s="617">
        <f t="shared" si="1"/>
        <v>44743</v>
      </c>
      <c r="B100" s="696">
        <v>3528878</v>
      </c>
      <c r="C100" s="696">
        <v>55216</v>
      </c>
      <c r="D100" s="696">
        <v>149</v>
      </c>
      <c r="E100" s="696">
        <v>0</v>
      </c>
      <c r="F100" s="696">
        <v>2793849</v>
      </c>
      <c r="G100" s="696">
        <v>0</v>
      </c>
      <c r="H100" s="696">
        <v>37849</v>
      </c>
      <c r="I100" s="696">
        <v>670263</v>
      </c>
      <c r="J100" s="696">
        <v>17490</v>
      </c>
    </row>
    <row r="101" spans="1:10" x14ac:dyDescent="0.35">
      <c r="A101" s="617">
        <f t="shared" si="1"/>
        <v>44774</v>
      </c>
      <c r="B101" s="696">
        <v>3534449</v>
      </c>
      <c r="C101" s="696">
        <v>73156</v>
      </c>
      <c r="D101" s="696">
        <v>101</v>
      </c>
      <c r="E101" s="696">
        <v>0</v>
      </c>
      <c r="F101" s="750">
        <v>2157000</v>
      </c>
      <c r="G101" s="696">
        <v>0</v>
      </c>
      <c r="H101" s="696">
        <v>62543</v>
      </c>
      <c r="I101" s="696">
        <v>671507</v>
      </c>
      <c r="J101" s="696">
        <v>17490</v>
      </c>
    </row>
    <row r="102" spans="1:10" x14ac:dyDescent="0.35">
      <c r="A102" s="617">
        <f t="shared" si="1"/>
        <v>44805</v>
      </c>
      <c r="B102" s="696">
        <v>3462104</v>
      </c>
      <c r="C102" s="696">
        <v>74365</v>
      </c>
      <c r="D102" s="696">
        <v>92</v>
      </c>
      <c r="E102" s="696">
        <v>0</v>
      </c>
      <c r="F102" s="750">
        <v>2084000</v>
      </c>
      <c r="G102" s="696">
        <v>0</v>
      </c>
      <c r="H102" s="696">
        <v>47932</v>
      </c>
      <c r="I102" s="696">
        <v>783136</v>
      </c>
      <c r="J102" s="696">
        <v>15683</v>
      </c>
    </row>
    <row r="103" spans="1:10" x14ac:dyDescent="0.35">
      <c r="A103" s="617">
        <f t="shared" si="1"/>
        <v>44835</v>
      </c>
      <c r="B103" s="696">
        <v>3780533</v>
      </c>
      <c r="C103" s="696">
        <v>80684</v>
      </c>
      <c r="D103" s="696">
        <v>143</v>
      </c>
      <c r="E103" s="696">
        <v>0</v>
      </c>
      <c r="F103" s="750">
        <v>1800000</v>
      </c>
      <c r="G103" s="696">
        <v>0</v>
      </c>
      <c r="H103" s="696">
        <v>51814</v>
      </c>
      <c r="I103" s="696">
        <v>1580455</v>
      </c>
      <c r="J103" s="696">
        <v>16417</v>
      </c>
    </row>
    <row r="104" spans="1:10" x14ac:dyDescent="0.35">
      <c r="A104" s="488">
        <f t="shared" si="1"/>
        <v>44866</v>
      </c>
      <c r="B104" s="696">
        <v>3383596</v>
      </c>
      <c r="C104" s="696">
        <v>67937</v>
      </c>
      <c r="D104" s="696">
        <v>636</v>
      </c>
      <c r="E104" s="696">
        <v>0</v>
      </c>
      <c r="F104" s="696">
        <v>253288</v>
      </c>
      <c r="G104" s="696">
        <v>200000</v>
      </c>
      <c r="H104" s="696">
        <v>53288</v>
      </c>
      <c r="I104" s="696">
        <v>3214920</v>
      </c>
      <c r="J104" s="696">
        <v>24254</v>
      </c>
    </row>
    <row r="105" spans="1:10" x14ac:dyDescent="0.35">
      <c r="A105" s="488">
        <f t="shared" si="1"/>
        <v>44896</v>
      </c>
      <c r="B105" s="696">
        <v>3221636</v>
      </c>
      <c r="C105" s="696">
        <v>53759</v>
      </c>
      <c r="D105" s="696">
        <v>1627</v>
      </c>
      <c r="E105" s="696">
        <v>0</v>
      </c>
      <c r="F105" s="696">
        <v>0</v>
      </c>
      <c r="G105" s="696">
        <v>2147584</v>
      </c>
      <c r="H105" s="696">
        <v>52416</v>
      </c>
      <c r="I105" s="696">
        <v>5107593</v>
      </c>
      <c r="J105" s="696">
        <v>12496</v>
      </c>
    </row>
    <row r="106" spans="1:10" x14ac:dyDescent="0.35">
      <c r="A106" s="488">
        <f t="shared" si="1"/>
        <v>44927</v>
      </c>
      <c r="B106" s="696">
        <v>3105073</v>
      </c>
      <c r="C106" s="696">
        <v>42327</v>
      </c>
      <c r="D106" s="696">
        <v>2006</v>
      </c>
      <c r="E106" s="696">
        <v>0</v>
      </c>
      <c r="F106" s="696">
        <v>0</v>
      </c>
      <c r="G106" s="696">
        <v>3375621</v>
      </c>
      <c r="H106" s="696">
        <v>44379</v>
      </c>
      <c r="I106" s="696">
        <v>6068873</v>
      </c>
      <c r="J106" s="696">
        <v>19723</v>
      </c>
    </row>
    <row r="107" spans="1:10" x14ac:dyDescent="0.35">
      <c r="A107" s="488">
        <f t="shared" si="1"/>
        <v>44958</v>
      </c>
      <c r="B107" s="696">
        <v>2388189</v>
      </c>
      <c r="C107" s="696">
        <v>43450</v>
      </c>
      <c r="D107" s="696">
        <v>1769</v>
      </c>
      <c r="E107" s="696">
        <v>0</v>
      </c>
      <c r="F107" s="696">
        <v>0</v>
      </c>
      <c r="G107" s="696">
        <v>3088247</v>
      </c>
      <c r="H107" s="696">
        <v>41753</v>
      </c>
      <c r="I107" s="696">
        <v>5101927</v>
      </c>
      <c r="J107" s="696">
        <v>21039</v>
      </c>
    </row>
    <row r="108" spans="1:10" x14ac:dyDescent="0.35">
      <c r="A108" s="488">
        <f t="shared" si="1"/>
        <v>44986</v>
      </c>
      <c r="B108" s="696">
        <v>2444641</v>
      </c>
      <c r="C108" s="696">
        <v>61771</v>
      </c>
      <c r="D108" s="696">
        <v>2226</v>
      </c>
      <c r="E108" s="696">
        <v>0</v>
      </c>
      <c r="F108" s="696">
        <v>0</v>
      </c>
      <c r="G108" s="696">
        <v>1856482</v>
      </c>
      <c r="H108" s="696">
        <v>33518</v>
      </c>
      <c r="I108" s="696">
        <v>4021998</v>
      </c>
      <c r="J108" s="696">
        <v>17380</v>
      </c>
    </row>
    <row r="109" spans="1:10" x14ac:dyDescent="0.35">
      <c r="A109" s="488">
        <f t="shared" si="1"/>
        <v>45017</v>
      </c>
      <c r="B109" s="696">
        <v>1482869</v>
      </c>
      <c r="C109" s="696">
        <v>69194</v>
      </c>
      <c r="D109" s="696">
        <v>1039</v>
      </c>
      <c r="E109" s="696">
        <v>0</v>
      </c>
      <c r="F109" s="696">
        <v>0</v>
      </c>
      <c r="G109" s="696">
        <v>769095</v>
      </c>
      <c r="H109" s="696">
        <v>30905</v>
      </c>
      <c r="I109" s="696">
        <v>2103412</v>
      </c>
      <c r="J109" s="696">
        <v>23937</v>
      </c>
    </row>
    <row r="110" spans="1:10" x14ac:dyDescent="0.35">
      <c r="A110" s="488">
        <f t="shared" si="1"/>
        <v>45047</v>
      </c>
      <c r="B110" s="696">
        <v>1124259</v>
      </c>
      <c r="C110" s="696">
        <v>74775</v>
      </c>
      <c r="D110" s="696">
        <v>362</v>
      </c>
      <c r="E110" s="696">
        <v>0</v>
      </c>
      <c r="F110" s="696">
        <v>0</v>
      </c>
      <c r="G110" s="696">
        <v>169546</v>
      </c>
      <c r="H110" s="696">
        <v>30454</v>
      </c>
      <c r="I110" s="696">
        <v>1192115</v>
      </c>
      <c r="J110" s="696">
        <v>19297</v>
      </c>
    </row>
    <row r="111" spans="1:10" x14ac:dyDescent="0.35">
      <c r="A111" s="488">
        <f t="shared" si="1"/>
        <v>45078</v>
      </c>
      <c r="B111" s="696">
        <v>2307067</v>
      </c>
      <c r="C111" s="696">
        <v>58490</v>
      </c>
      <c r="D111" s="696">
        <v>282</v>
      </c>
      <c r="E111" s="696">
        <v>0</v>
      </c>
      <c r="F111" s="696">
        <v>1505957</v>
      </c>
      <c r="G111" s="696">
        <v>0</v>
      </c>
      <c r="H111" s="696">
        <v>27990</v>
      </c>
      <c r="I111" s="696">
        <v>729943</v>
      </c>
      <c r="J111" s="696">
        <v>17980</v>
      </c>
    </row>
    <row r="112" spans="1:10" x14ac:dyDescent="0.35">
      <c r="A112" s="488">
        <f t="shared" si="1"/>
        <v>45108</v>
      </c>
      <c r="B112" s="696">
        <v>3522658</v>
      </c>
      <c r="C112" s="696">
        <v>55215</v>
      </c>
      <c r="D112" s="696">
        <v>149</v>
      </c>
      <c r="E112" s="696">
        <v>0</v>
      </c>
      <c r="F112" s="696">
        <v>2793849</v>
      </c>
      <c r="G112" s="696">
        <v>0</v>
      </c>
      <c r="H112" s="696">
        <v>37849</v>
      </c>
      <c r="I112" s="696">
        <v>664044</v>
      </c>
      <c r="J112" s="696">
        <v>17490</v>
      </c>
    </row>
    <row r="113" spans="1:10" x14ac:dyDescent="0.35">
      <c r="A113" s="488">
        <f t="shared" si="1"/>
        <v>45139</v>
      </c>
      <c r="B113" s="696">
        <v>3527898</v>
      </c>
      <c r="C113" s="696">
        <v>73156</v>
      </c>
      <c r="D113" s="696">
        <v>101</v>
      </c>
      <c r="E113" s="696">
        <v>0</v>
      </c>
      <c r="F113" s="696">
        <v>2802543</v>
      </c>
      <c r="G113" s="696">
        <v>0</v>
      </c>
      <c r="H113" s="696">
        <v>62543</v>
      </c>
      <c r="I113" s="696">
        <v>664957</v>
      </c>
      <c r="J113" s="696">
        <v>17490</v>
      </c>
    </row>
    <row r="114" spans="1:10" x14ac:dyDescent="0.35">
      <c r="A114" s="488">
        <f t="shared" si="1"/>
        <v>45170</v>
      </c>
      <c r="B114" s="696">
        <v>3461073</v>
      </c>
      <c r="C114" s="696">
        <v>74365</v>
      </c>
      <c r="D114" s="696">
        <v>92</v>
      </c>
      <c r="E114" s="696">
        <v>0</v>
      </c>
      <c r="F114" s="696">
        <v>2622932</v>
      </c>
      <c r="G114" s="696">
        <v>0</v>
      </c>
      <c r="H114" s="696">
        <v>47932</v>
      </c>
      <c r="I114" s="696">
        <v>781219</v>
      </c>
      <c r="J114" s="696">
        <v>16509</v>
      </c>
    </row>
    <row r="115" spans="1:10" x14ac:dyDescent="0.35">
      <c r="A115" s="488">
        <f t="shared" si="1"/>
        <v>45200</v>
      </c>
      <c r="B115" s="696">
        <v>3772325</v>
      </c>
      <c r="C115" s="696">
        <v>80684</v>
      </c>
      <c r="D115" s="696">
        <v>143</v>
      </c>
      <c r="E115" s="696">
        <v>0</v>
      </c>
      <c r="F115" s="696">
        <v>2142847</v>
      </c>
      <c r="G115" s="696">
        <v>0</v>
      </c>
      <c r="H115" s="696">
        <v>51814</v>
      </c>
      <c r="I115" s="696">
        <v>1577452</v>
      </c>
      <c r="J115" s="696">
        <v>11243</v>
      </c>
    </row>
    <row r="116" spans="1:10" x14ac:dyDescent="0.35">
      <c r="A116" s="488">
        <f t="shared" si="1"/>
        <v>45231</v>
      </c>
      <c r="B116" s="696">
        <v>3370250</v>
      </c>
      <c r="C116" s="696">
        <v>67937</v>
      </c>
      <c r="D116" s="696">
        <v>636</v>
      </c>
      <c r="E116" s="696">
        <v>0</v>
      </c>
      <c r="F116" s="696">
        <v>253288</v>
      </c>
      <c r="G116" s="696">
        <v>200000</v>
      </c>
      <c r="H116" s="696">
        <v>53288</v>
      </c>
      <c r="I116" s="696">
        <v>3201407</v>
      </c>
      <c r="J116" s="696">
        <v>24422</v>
      </c>
    </row>
    <row r="117" spans="1:10" x14ac:dyDescent="0.35">
      <c r="A117" s="488">
        <f t="shared" si="1"/>
        <v>45261</v>
      </c>
      <c r="B117" s="696">
        <v>3204604</v>
      </c>
      <c r="C117" s="696">
        <v>53759</v>
      </c>
      <c r="D117" s="696">
        <v>1627</v>
      </c>
      <c r="E117" s="696">
        <v>0</v>
      </c>
      <c r="F117" s="697">
        <v>0</v>
      </c>
      <c r="G117" s="696">
        <v>2147584</v>
      </c>
      <c r="H117" s="696">
        <v>52416</v>
      </c>
      <c r="I117" s="696">
        <v>5083467</v>
      </c>
      <c r="J117" s="696">
        <v>19723</v>
      </c>
    </row>
    <row r="118" spans="1:10" x14ac:dyDescent="0.35">
      <c r="A118" s="488">
        <f t="shared" si="1"/>
        <v>45292</v>
      </c>
      <c r="B118" s="696">
        <v>3079566</v>
      </c>
      <c r="C118" s="696">
        <v>42268</v>
      </c>
      <c r="D118" s="696">
        <v>2006</v>
      </c>
      <c r="E118" s="696">
        <v>0</v>
      </c>
      <c r="F118" s="696">
        <v>0</v>
      </c>
      <c r="G118" s="696">
        <v>3375621</v>
      </c>
      <c r="H118" s="696">
        <v>44379</v>
      </c>
      <c r="I118" s="696">
        <v>6043635</v>
      </c>
      <c r="J118" s="696">
        <v>19233</v>
      </c>
    </row>
    <row r="119" spans="1:10" x14ac:dyDescent="0.35">
      <c r="A119" s="488">
        <f t="shared" si="1"/>
        <v>45323</v>
      </c>
      <c r="B119" s="696">
        <v>2569478</v>
      </c>
      <c r="C119" s="696">
        <v>44464</v>
      </c>
      <c r="D119" s="696">
        <v>1832</v>
      </c>
      <c r="E119" s="696">
        <v>0</v>
      </c>
      <c r="F119" s="696">
        <v>0</v>
      </c>
      <c r="G119" s="696">
        <v>3088247</v>
      </c>
      <c r="H119" s="696">
        <v>41753</v>
      </c>
      <c r="I119" s="696">
        <v>5271595</v>
      </c>
      <c r="J119" s="696">
        <v>21475</v>
      </c>
    </row>
    <row r="120" spans="1:10" x14ac:dyDescent="0.35">
      <c r="A120" s="488">
        <f t="shared" si="1"/>
        <v>45352</v>
      </c>
      <c r="B120" s="696">
        <v>2460534</v>
      </c>
      <c r="C120" s="696">
        <v>60816</v>
      </c>
      <c r="D120" s="696">
        <v>2226</v>
      </c>
      <c r="E120" s="696">
        <v>0</v>
      </c>
      <c r="F120" s="696">
        <v>0</v>
      </c>
      <c r="G120" s="696">
        <v>1856482</v>
      </c>
      <c r="H120" s="696">
        <v>33518</v>
      </c>
      <c r="I120" s="696">
        <v>4038174</v>
      </c>
      <c r="J120" s="698">
        <v>17380</v>
      </c>
    </row>
    <row r="121" spans="1:10" x14ac:dyDescent="0.35">
      <c r="A121" s="488">
        <f t="shared" si="1"/>
        <v>45383</v>
      </c>
      <c r="B121" s="696">
        <v>1476112</v>
      </c>
      <c r="C121" s="696">
        <v>69194</v>
      </c>
      <c r="D121" s="696">
        <v>1039</v>
      </c>
      <c r="E121" s="696">
        <v>0</v>
      </c>
      <c r="F121" s="696">
        <v>0</v>
      </c>
      <c r="G121" s="696">
        <v>769095</v>
      </c>
      <c r="H121" s="696">
        <v>30905</v>
      </c>
      <c r="I121" s="696">
        <v>2100810</v>
      </c>
      <c r="J121" s="698">
        <v>19787</v>
      </c>
    </row>
    <row r="122" spans="1:10" x14ac:dyDescent="0.35">
      <c r="A122" s="488">
        <f t="shared" si="1"/>
        <v>45413</v>
      </c>
      <c r="B122" s="696">
        <v>1119964</v>
      </c>
      <c r="C122" s="696">
        <v>74775</v>
      </c>
      <c r="D122" s="696">
        <v>362</v>
      </c>
      <c r="E122" s="696">
        <v>0</v>
      </c>
      <c r="F122" s="696">
        <v>0</v>
      </c>
      <c r="G122" s="696">
        <v>169546</v>
      </c>
      <c r="H122" s="696">
        <v>30454</v>
      </c>
      <c r="I122" s="696">
        <v>1189627</v>
      </c>
      <c r="J122" s="698">
        <v>17490</v>
      </c>
    </row>
    <row r="123" spans="1:10" x14ac:dyDescent="0.35">
      <c r="A123" s="488">
        <f t="shared" si="1"/>
        <v>45444</v>
      </c>
      <c r="B123" s="696">
        <v>2299425</v>
      </c>
      <c r="C123" s="696">
        <v>58490</v>
      </c>
      <c r="D123" s="696">
        <v>282</v>
      </c>
      <c r="E123" s="696">
        <v>0</v>
      </c>
      <c r="F123" s="696">
        <v>1505957</v>
      </c>
      <c r="G123" s="696">
        <v>0</v>
      </c>
      <c r="H123" s="696">
        <v>27990</v>
      </c>
      <c r="I123" s="696">
        <v>722690</v>
      </c>
      <c r="J123" s="698">
        <v>17490</v>
      </c>
    </row>
    <row r="124" spans="1:10" x14ac:dyDescent="0.35">
      <c r="A124" s="488">
        <f t="shared" si="1"/>
        <v>45474</v>
      </c>
      <c r="B124" s="696">
        <v>3514783</v>
      </c>
      <c r="C124" s="696">
        <v>55215</v>
      </c>
      <c r="D124" s="696">
        <v>149</v>
      </c>
      <c r="E124" s="696">
        <v>0</v>
      </c>
      <c r="F124" s="696">
        <v>2793849</v>
      </c>
      <c r="G124" s="696">
        <v>0</v>
      </c>
      <c r="H124" s="696">
        <v>37849</v>
      </c>
      <c r="I124" s="696">
        <v>656342</v>
      </c>
      <c r="J124" s="698">
        <v>17490</v>
      </c>
    </row>
    <row r="125" spans="1:10" x14ac:dyDescent="0.35">
      <c r="A125" s="488">
        <f t="shared" si="1"/>
        <v>45505</v>
      </c>
      <c r="B125" s="696">
        <v>3520197</v>
      </c>
      <c r="C125" s="696">
        <v>73156</v>
      </c>
      <c r="D125" s="696">
        <v>101</v>
      </c>
      <c r="E125" s="696">
        <v>0</v>
      </c>
      <c r="F125" s="696">
        <v>2802543</v>
      </c>
      <c r="G125" s="696">
        <v>0</v>
      </c>
      <c r="H125" s="696">
        <v>62543</v>
      </c>
      <c r="I125" s="696">
        <v>657136</v>
      </c>
      <c r="J125" s="698">
        <v>17490</v>
      </c>
    </row>
    <row r="126" spans="1:10" x14ac:dyDescent="0.35">
      <c r="A126" s="488">
        <f t="shared" si="1"/>
        <v>45536</v>
      </c>
      <c r="B126" s="696">
        <v>3461280</v>
      </c>
      <c r="C126" s="696">
        <v>74365</v>
      </c>
      <c r="D126" s="696">
        <v>92</v>
      </c>
      <c r="E126" s="696">
        <v>0</v>
      </c>
      <c r="F126" s="696">
        <v>2622932</v>
      </c>
      <c r="G126" s="696">
        <v>0</v>
      </c>
      <c r="H126" s="696">
        <v>47932</v>
      </c>
      <c r="I126" s="696">
        <v>778638</v>
      </c>
      <c r="J126" s="698">
        <v>19297</v>
      </c>
    </row>
    <row r="127" spans="1:10" x14ac:dyDescent="0.35">
      <c r="A127" s="488">
        <f t="shared" si="1"/>
        <v>45566</v>
      </c>
      <c r="B127" s="696">
        <v>3775164</v>
      </c>
      <c r="C127" s="696">
        <v>80684</v>
      </c>
      <c r="D127" s="696">
        <v>143</v>
      </c>
      <c r="E127" s="696">
        <v>0</v>
      </c>
      <c r="F127" s="696">
        <v>2142847</v>
      </c>
      <c r="G127" s="696">
        <v>0</v>
      </c>
      <c r="H127" s="696">
        <v>51814</v>
      </c>
      <c r="I127" s="696">
        <v>1576419</v>
      </c>
      <c r="J127" s="698">
        <v>15146</v>
      </c>
    </row>
  </sheetData>
  <mergeCells count="5">
    <mergeCell ref="A3:J3"/>
    <mergeCell ref="A4:J4"/>
    <mergeCell ref="A7:C7"/>
    <mergeCell ref="D7:J7"/>
    <mergeCell ref="A1:J1"/>
  </mergeCell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104"/>
  <sheetViews>
    <sheetView zoomScaleNormal="100" workbookViewId="0">
      <pane xSplit="1" ySplit="3" topLeftCell="B87" activePane="bottomRight" state="frozen"/>
      <selection activeCell="C116" sqref="C116"/>
      <selection pane="topRight" activeCell="C116" sqref="C116"/>
      <selection pane="bottomLeft" activeCell="C116" sqref="C116"/>
      <selection pane="bottomRight"/>
    </sheetView>
  </sheetViews>
  <sheetFormatPr defaultColWidth="8.84375" defaultRowHeight="15.5" x14ac:dyDescent="0.35"/>
  <cols>
    <col min="1" max="1" width="14.23046875" style="6" customWidth="1"/>
    <col min="2" max="2" width="14.07421875" style="6" customWidth="1"/>
    <col min="3" max="4" width="17.07421875" style="6" customWidth="1"/>
    <col min="5" max="5" width="13.3046875" style="6" customWidth="1"/>
    <col min="6" max="6" width="15.53515625" style="6" customWidth="1"/>
    <col min="7" max="7" width="15.84375" style="6" customWidth="1"/>
    <col min="8" max="8" width="14.53515625" style="6" customWidth="1"/>
    <col min="9" max="9" width="4.4609375" customWidth="1"/>
    <col min="10" max="10" width="10.765625" customWidth="1"/>
    <col min="11" max="11" width="12" style="6" customWidth="1"/>
    <col min="12" max="12" width="11.4609375" style="6" customWidth="1"/>
    <col min="13" max="16384" width="8.84375" style="6"/>
  </cols>
  <sheetData>
    <row r="1" spans="1:13" x14ac:dyDescent="0.35">
      <c r="A1" s="124" t="s">
        <v>60</v>
      </c>
      <c r="B1" s="124" t="s">
        <v>61</v>
      </c>
      <c r="C1" s="124" t="s">
        <v>62</v>
      </c>
      <c r="D1" s="124" t="s">
        <v>63</v>
      </c>
      <c r="E1" s="124" t="s">
        <v>64</v>
      </c>
      <c r="F1" s="124" t="s">
        <v>65</v>
      </c>
      <c r="G1" s="124" t="s">
        <v>66</v>
      </c>
      <c r="H1" s="124" t="s">
        <v>111</v>
      </c>
    </row>
    <row r="2" spans="1:13" x14ac:dyDescent="0.35">
      <c r="A2" s="120"/>
      <c r="B2" s="122" t="s">
        <v>395</v>
      </c>
      <c r="C2" s="122" t="s">
        <v>387</v>
      </c>
      <c r="D2" s="122" t="s">
        <v>387</v>
      </c>
      <c r="E2" s="122" t="s">
        <v>395</v>
      </c>
      <c r="F2" s="122" t="s">
        <v>390</v>
      </c>
      <c r="G2" s="122" t="s">
        <v>390</v>
      </c>
      <c r="H2" s="122" t="s">
        <v>395</v>
      </c>
    </row>
    <row r="3" spans="1:13" x14ac:dyDescent="0.35">
      <c r="A3" s="121" t="s">
        <v>263</v>
      </c>
      <c r="B3" s="123" t="s">
        <v>382</v>
      </c>
      <c r="C3" s="123" t="s">
        <v>388</v>
      </c>
      <c r="D3" s="123" t="s">
        <v>389</v>
      </c>
      <c r="E3" s="123" t="s">
        <v>383</v>
      </c>
      <c r="F3" s="123" t="s">
        <v>388</v>
      </c>
      <c r="G3" s="123" t="s">
        <v>389</v>
      </c>
      <c r="H3" s="123" t="s">
        <v>384</v>
      </c>
    </row>
    <row r="4" spans="1:13" x14ac:dyDescent="0.35">
      <c r="A4" s="125">
        <v>41640</v>
      </c>
      <c r="B4" s="128">
        <v>7164339.5999999996</v>
      </c>
      <c r="C4" s="464">
        <v>7161740.0999999996</v>
      </c>
      <c r="D4" s="464">
        <v>2599.5</v>
      </c>
      <c r="E4" s="490">
        <v>18227.7</v>
      </c>
      <c r="F4" s="126" t="s">
        <v>385</v>
      </c>
      <c r="G4" s="126" t="s">
        <v>385</v>
      </c>
      <c r="H4" s="492">
        <v>1502937.7</v>
      </c>
      <c r="J4" s="248" t="s">
        <v>434</v>
      </c>
      <c r="K4" s="130"/>
      <c r="L4" s="130"/>
      <c r="M4" s="130"/>
    </row>
    <row r="5" spans="1:13" x14ac:dyDescent="0.35">
      <c r="A5" s="125">
        <v>41671</v>
      </c>
      <c r="B5" s="128">
        <v>7414286.9000000004</v>
      </c>
      <c r="C5" s="464">
        <v>3765480.4</v>
      </c>
      <c r="D5" s="464">
        <v>3648806.5</v>
      </c>
      <c r="E5" s="490">
        <v>25147</v>
      </c>
      <c r="F5" s="126" t="s">
        <v>385</v>
      </c>
      <c r="G5" s="126" t="s">
        <v>385</v>
      </c>
      <c r="H5" s="492">
        <v>1308586.3</v>
      </c>
      <c r="J5" s="248" t="s">
        <v>436</v>
      </c>
      <c r="K5" s="130"/>
      <c r="L5" s="130"/>
      <c r="M5" s="130"/>
    </row>
    <row r="6" spans="1:13" x14ac:dyDescent="0.35">
      <c r="A6" s="270">
        <v>41699</v>
      </c>
      <c r="B6" s="128">
        <f>SUM(C6:D6)</f>
        <v>5630919.2999999998</v>
      </c>
      <c r="C6" s="464">
        <f>1416256/10</f>
        <v>141625.60000000001</v>
      </c>
      <c r="D6" s="464">
        <f>54892937/10</f>
        <v>5489293.7000000002</v>
      </c>
      <c r="E6" s="490">
        <v>17207.599999999999</v>
      </c>
      <c r="F6" s="126" t="s">
        <v>385</v>
      </c>
      <c r="G6" s="126" t="s">
        <v>385</v>
      </c>
      <c r="H6" s="492">
        <v>1232291</v>
      </c>
    </row>
    <row r="7" spans="1:13" x14ac:dyDescent="0.35">
      <c r="A7" s="270">
        <v>41730</v>
      </c>
      <c r="B7" s="128">
        <f t="shared" ref="B7:B44" si="0">SUM(C7:D7)</f>
        <v>2981427.6999999997</v>
      </c>
      <c r="C7" s="464">
        <f>875463/10</f>
        <v>87546.3</v>
      </c>
      <c r="D7" s="464">
        <f>28938814/10</f>
        <v>2893881.4</v>
      </c>
      <c r="E7" s="490">
        <v>10919</v>
      </c>
      <c r="F7" s="126" t="s">
        <v>385</v>
      </c>
      <c r="G7" s="126" t="s">
        <v>385</v>
      </c>
      <c r="H7" s="492">
        <v>1505681.6</v>
      </c>
    </row>
    <row r="8" spans="1:13" x14ac:dyDescent="0.35">
      <c r="A8" s="270">
        <v>41760</v>
      </c>
      <c r="B8" s="128">
        <f t="shared" si="0"/>
        <v>1395749.3</v>
      </c>
      <c r="C8" s="464">
        <f>7230635/10</f>
        <v>723063.5</v>
      </c>
      <c r="D8" s="464">
        <f>6726858/10</f>
        <v>672685.8</v>
      </c>
      <c r="E8" s="490">
        <v>8074.3</v>
      </c>
      <c r="F8" s="126" t="s">
        <v>385</v>
      </c>
      <c r="G8" s="126" t="s">
        <v>385</v>
      </c>
      <c r="H8" s="492">
        <v>844881.1</v>
      </c>
    </row>
    <row r="9" spans="1:13" x14ac:dyDescent="0.35">
      <c r="A9" s="270">
        <v>41791</v>
      </c>
      <c r="B9" s="128">
        <f t="shared" si="0"/>
        <v>962563.8</v>
      </c>
      <c r="C9" s="464">
        <f>214409/10</f>
        <v>21440.9</v>
      </c>
      <c r="D9" s="464">
        <f>9411229/10</f>
        <v>941122.9</v>
      </c>
      <c r="E9" s="490">
        <v>7166.2</v>
      </c>
      <c r="F9" s="126" t="s">
        <v>385</v>
      </c>
      <c r="G9" s="126" t="s">
        <v>385</v>
      </c>
      <c r="H9" s="492">
        <v>837693.3</v>
      </c>
    </row>
    <row r="10" spans="1:13" x14ac:dyDescent="0.35">
      <c r="A10" s="270">
        <v>41821</v>
      </c>
      <c r="B10" s="128">
        <f t="shared" si="0"/>
        <v>828655.5</v>
      </c>
      <c r="C10" s="464">
        <v>-1048.0999999999999</v>
      </c>
      <c r="D10" s="464">
        <f>8297036/10</f>
        <v>829703.6</v>
      </c>
      <c r="E10" s="490">
        <v>9236.6</v>
      </c>
      <c r="F10" s="126" t="s">
        <v>385</v>
      </c>
      <c r="G10" s="126" t="s">
        <v>385</v>
      </c>
      <c r="H10" s="492">
        <v>755229.6</v>
      </c>
    </row>
    <row r="11" spans="1:13" x14ac:dyDescent="0.35">
      <c r="A11" s="270">
        <v>41852</v>
      </c>
      <c r="B11" s="128">
        <f t="shared" si="0"/>
        <v>779547.2</v>
      </c>
      <c r="C11" s="464">
        <f>3874807/10</f>
        <v>387480.7</v>
      </c>
      <c r="D11" s="464">
        <f>3920665/10</f>
        <v>392066.5</v>
      </c>
      <c r="E11" s="490">
        <v>10480.9</v>
      </c>
      <c r="F11" s="126" t="s">
        <v>385</v>
      </c>
      <c r="G11" s="126" t="s">
        <v>385</v>
      </c>
      <c r="H11" s="492">
        <v>778283.2</v>
      </c>
    </row>
    <row r="12" spans="1:13" x14ac:dyDescent="0.35">
      <c r="A12" s="270">
        <v>41883</v>
      </c>
      <c r="B12" s="128">
        <f t="shared" si="0"/>
        <v>782497.5</v>
      </c>
      <c r="C12" s="464">
        <v>6672.3</v>
      </c>
      <c r="D12" s="464">
        <v>775825.2</v>
      </c>
      <c r="E12" s="490">
        <v>13776.4</v>
      </c>
      <c r="F12" s="126" t="s">
        <v>385</v>
      </c>
      <c r="G12" s="126" t="s">
        <v>385</v>
      </c>
      <c r="H12" s="492">
        <v>781340.4</v>
      </c>
    </row>
    <row r="13" spans="1:13" x14ac:dyDescent="0.35">
      <c r="A13" s="270">
        <v>41913</v>
      </c>
      <c r="B13" s="128">
        <f t="shared" si="0"/>
        <v>1071670.6000000001</v>
      </c>
      <c r="C13" s="464">
        <v>88.1</v>
      </c>
      <c r="D13" s="464">
        <v>1071582.5</v>
      </c>
      <c r="E13" s="490">
        <v>17344.400000000001</v>
      </c>
      <c r="F13" s="126" t="s">
        <v>385</v>
      </c>
      <c r="G13" s="126" t="s">
        <v>385</v>
      </c>
      <c r="H13" s="492">
        <v>916848</v>
      </c>
    </row>
    <row r="14" spans="1:13" x14ac:dyDescent="0.35">
      <c r="A14" s="270">
        <v>41944</v>
      </c>
      <c r="B14" s="128">
        <f t="shared" si="0"/>
        <v>2590842.9</v>
      </c>
      <c r="C14" s="464">
        <v>1350252.7</v>
      </c>
      <c r="D14" s="464">
        <v>1240590.2</v>
      </c>
      <c r="E14" s="490">
        <v>33796.6</v>
      </c>
      <c r="F14" s="126" t="s">
        <v>385</v>
      </c>
      <c r="G14" s="126" t="s">
        <v>385</v>
      </c>
      <c r="H14" s="492">
        <v>1210206.7</v>
      </c>
    </row>
    <row r="15" spans="1:13" x14ac:dyDescent="0.35">
      <c r="A15" s="270">
        <v>41974</v>
      </c>
      <c r="B15" s="128">
        <f t="shared" si="0"/>
        <v>5040088</v>
      </c>
      <c r="C15" s="464">
        <v>48201</v>
      </c>
      <c r="D15" s="464">
        <v>4991887</v>
      </c>
      <c r="E15" s="490">
        <v>31458.2</v>
      </c>
      <c r="F15" s="126" t="s">
        <v>385</v>
      </c>
      <c r="G15" s="126" t="s">
        <v>385</v>
      </c>
      <c r="H15" s="492">
        <v>1222531</v>
      </c>
    </row>
    <row r="16" spans="1:13" x14ac:dyDescent="0.35">
      <c r="A16" s="270">
        <v>42005</v>
      </c>
      <c r="B16" s="128">
        <f t="shared" si="0"/>
        <v>6463268</v>
      </c>
      <c r="C16" s="464">
        <v>8915</v>
      </c>
      <c r="D16" s="464">
        <v>6454353</v>
      </c>
      <c r="E16" s="490">
        <v>29614.799999999999</v>
      </c>
      <c r="F16" s="126" t="s">
        <v>385</v>
      </c>
      <c r="G16" s="126" t="s">
        <v>385</v>
      </c>
      <c r="H16" s="492">
        <v>1466206.1</v>
      </c>
    </row>
    <row r="17" spans="1:8" x14ac:dyDescent="0.35">
      <c r="A17" s="270">
        <v>42036</v>
      </c>
      <c r="B17" s="128">
        <f t="shared" si="0"/>
        <v>6355917.5</v>
      </c>
      <c r="C17" s="464">
        <v>3140562.6</v>
      </c>
      <c r="D17" s="464">
        <v>3215354.9</v>
      </c>
      <c r="E17" s="490">
        <v>40053</v>
      </c>
      <c r="F17" s="126" t="s">
        <v>385</v>
      </c>
      <c r="G17" s="126" t="s">
        <v>385</v>
      </c>
      <c r="H17" s="492">
        <v>1420264.1</v>
      </c>
    </row>
    <row r="18" spans="1:8" x14ac:dyDescent="0.35">
      <c r="A18" s="270">
        <v>42064</v>
      </c>
      <c r="B18" s="128">
        <f t="shared" si="0"/>
        <v>6227552.2000000002</v>
      </c>
      <c r="C18" s="464">
        <v>66704.3</v>
      </c>
      <c r="D18" s="464">
        <v>6160847.9000000004</v>
      </c>
      <c r="E18" s="490">
        <v>46083.4</v>
      </c>
      <c r="F18" s="126" t="s">
        <v>385</v>
      </c>
      <c r="G18" s="126" t="s">
        <v>385</v>
      </c>
      <c r="H18" s="492">
        <v>1456559.9</v>
      </c>
    </row>
    <row r="19" spans="1:8" x14ac:dyDescent="0.35">
      <c r="A19" s="270">
        <v>42095</v>
      </c>
      <c r="B19" s="128">
        <f t="shared" si="0"/>
        <v>2395537.1</v>
      </c>
      <c r="C19" s="464">
        <v>5837.9</v>
      </c>
      <c r="D19" s="464">
        <v>2389699.2000000002</v>
      </c>
      <c r="E19" s="490">
        <v>62130.400000000001</v>
      </c>
      <c r="F19" s="126" t="s">
        <v>385</v>
      </c>
      <c r="G19" s="126" t="s">
        <v>385</v>
      </c>
      <c r="H19" s="492">
        <v>1308898.8999999999</v>
      </c>
    </row>
    <row r="20" spans="1:8" x14ac:dyDescent="0.35">
      <c r="A20" s="270">
        <v>42125</v>
      </c>
      <c r="B20" s="128">
        <f t="shared" si="0"/>
        <v>1228564.8999999999</v>
      </c>
      <c r="C20" s="464">
        <v>680294.9</v>
      </c>
      <c r="D20" s="464">
        <v>548270</v>
      </c>
      <c r="E20" s="490">
        <v>38797.800000000003</v>
      </c>
      <c r="F20" s="126" t="s">
        <v>385</v>
      </c>
      <c r="G20" s="126" t="s">
        <v>385</v>
      </c>
      <c r="H20" s="492">
        <v>684381.7</v>
      </c>
    </row>
    <row r="21" spans="1:8" x14ac:dyDescent="0.35">
      <c r="A21" s="270">
        <v>42156</v>
      </c>
      <c r="B21" s="128">
        <f t="shared" si="0"/>
        <v>874302.5</v>
      </c>
      <c r="C21" s="464">
        <v>3999</v>
      </c>
      <c r="D21" s="464">
        <v>870303.5</v>
      </c>
      <c r="E21" s="490">
        <v>46645.7</v>
      </c>
      <c r="F21" s="126" t="s">
        <v>385</v>
      </c>
      <c r="G21" s="126" t="s">
        <v>385</v>
      </c>
      <c r="H21" s="492">
        <v>790511.9</v>
      </c>
    </row>
    <row r="22" spans="1:8" x14ac:dyDescent="0.35">
      <c r="A22" s="270">
        <v>42186</v>
      </c>
      <c r="B22" s="128">
        <f t="shared" si="0"/>
        <v>712691.29999999993</v>
      </c>
      <c r="C22" s="464">
        <v>2010.2</v>
      </c>
      <c r="D22" s="464">
        <v>710681.1</v>
      </c>
      <c r="E22" s="490">
        <v>52580.5</v>
      </c>
      <c r="F22" s="126" t="s">
        <v>385</v>
      </c>
      <c r="G22" s="126" t="s">
        <v>385</v>
      </c>
      <c r="H22" s="492">
        <v>811242.6</v>
      </c>
    </row>
    <row r="23" spans="1:8" x14ac:dyDescent="0.35">
      <c r="A23" s="270">
        <v>42217</v>
      </c>
      <c r="B23" s="128">
        <f t="shared" si="0"/>
        <v>755644</v>
      </c>
      <c r="C23" s="464">
        <v>388882.7</v>
      </c>
      <c r="D23" s="464">
        <v>366761.3</v>
      </c>
      <c r="E23" s="490">
        <v>48097.8</v>
      </c>
      <c r="F23" s="126" t="s">
        <v>385</v>
      </c>
      <c r="G23" s="126" t="s">
        <v>385</v>
      </c>
      <c r="H23" s="492">
        <v>870918.5</v>
      </c>
    </row>
    <row r="24" spans="1:8" x14ac:dyDescent="0.35">
      <c r="A24" s="270">
        <v>42248</v>
      </c>
      <c r="B24" s="128">
        <f t="shared" si="0"/>
        <v>780404.8</v>
      </c>
      <c r="C24" s="464">
        <v>37369.5</v>
      </c>
      <c r="D24" s="464">
        <v>743035.3</v>
      </c>
      <c r="E24" s="490">
        <v>48747.6</v>
      </c>
      <c r="F24" s="481" t="s">
        <v>385</v>
      </c>
      <c r="G24" s="481" t="s">
        <v>385</v>
      </c>
      <c r="H24" s="492">
        <v>839279.3</v>
      </c>
    </row>
    <row r="25" spans="1:8" x14ac:dyDescent="0.35">
      <c r="A25" s="270">
        <v>42278</v>
      </c>
      <c r="B25" s="128">
        <f t="shared" si="0"/>
        <v>939620.8</v>
      </c>
      <c r="C25" s="464">
        <v>-195.5</v>
      </c>
      <c r="D25" s="464">
        <v>939816.3</v>
      </c>
      <c r="E25" s="490">
        <v>48234.400000000001</v>
      </c>
      <c r="F25" s="481" t="s">
        <v>385</v>
      </c>
      <c r="G25" s="481" t="s">
        <v>385</v>
      </c>
      <c r="H25" s="492">
        <v>1243523.6000000001</v>
      </c>
    </row>
    <row r="26" spans="1:8" x14ac:dyDescent="0.35">
      <c r="A26" s="270">
        <v>42309</v>
      </c>
      <c r="B26" s="128">
        <f t="shared" si="0"/>
        <v>1706623.8</v>
      </c>
      <c r="C26" s="464">
        <v>911151.5</v>
      </c>
      <c r="D26" s="464">
        <v>795472.3</v>
      </c>
      <c r="E26" s="490">
        <v>59109.5</v>
      </c>
      <c r="F26" s="481" t="s">
        <v>385</v>
      </c>
      <c r="G26" s="481" t="s">
        <v>385</v>
      </c>
      <c r="H26" s="492">
        <v>1213142.5</v>
      </c>
    </row>
    <row r="27" spans="1:8" x14ac:dyDescent="0.35">
      <c r="A27" s="270">
        <v>42339</v>
      </c>
      <c r="B27" s="128">
        <f t="shared" si="0"/>
        <v>3396567.1000000006</v>
      </c>
      <c r="C27" s="464">
        <v>30017.49</v>
      </c>
      <c r="D27" s="464">
        <v>3366549.6100000003</v>
      </c>
      <c r="E27" s="490">
        <v>51325.4</v>
      </c>
      <c r="F27" s="481" t="s">
        <v>385</v>
      </c>
      <c r="G27" s="481" t="s">
        <v>385</v>
      </c>
      <c r="H27" s="492">
        <v>1139582</v>
      </c>
    </row>
    <row r="28" spans="1:8" x14ac:dyDescent="0.35">
      <c r="A28" s="270">
        <v>42370</v>
      </c>
      <c r="B28" s="128">
        <f t="shared" si="0"/>
        <v>5101869.9999999991</v>
      </c>
      <c r="C28" s="464">
        <v>1851.5433333333101</v>
      </c>
      <c r="D28" s="464">
        <v>5100018.4566666661</v>
      </c>
      <c r="E28" s="490">
        <v>38913.599999999999</v>
      </c>
      <c r="F28" s="481" t="s">
        <v>385</v>
      </c>
      <c r="G28" s="481" t="s">
        <v>385</v>
      </c>
      <c r="H28" s="492">
        <v>1550541.1</v>
      </c>
    </row>
    <row r="29" spans="1:8" x14ac:dyDescent="0.35">
      <c r="A29" s="270">
        <v>42401</v>
      </c>
      <c r="B29" s="128">
        <f t="shared" si="0"/>
        <v>5755793.8000000007</v>
      </c>
      <c r="C29" s="464">
        <v>2948636.3137931032</v>
      </c>
      <c r="D29" s="464">
        <v>2807157.4862068971</v>
      </c>
      <c r="E29" s="490">
        <v>44357.599999999999</v>
      </c>
      <c r="F29" s="481" t="s">
        <v>385</v>
      </c>
      <c r="G29" s="481" t="s">
        <v>385</v>
      </c>
      <c r="H29" s="492">
        <v>1334142.3999999999</v>
      </c>
    </row>
    <row r="30" spans="1:8" x14ac:dyDescent="0.35">
      <c r="A30" s="270">
        <v>42430</v>
      </c>
      <c r="B30" s="128">
        <f t="shared" si="0"/>
        <v>3951842.2</v>
      </c>
      <c r="C30" s="464">
        <v>21564.2</v>
      </c>
      <c r="D30" s="464">
        <v>3930278</v>
      </c>
      <c r="E30" s="491">
        <v>62703.9</v>
      </c>
      <c r="F30" s="481" t="s">
        <v>385</v>
      </c>
      <c r="G30" s="481" t="s">
        <v>385</v>
      </c>
      <c r="H30" s="492">
        <v>1149144.5</v>
      </c>
    </row>
    <row r="31" spans="1:8" x14ac:dyDescent="0.35">
      <c r="A31" s="270">
        <v>42461</v>
      </c>
      <c r="B31" s="128">
        <f t="shared" si="0"/>
        <v>2284040.8000000003</v>
      </c>
      <c r="C31" s="464">
        <v>-192.9</v>
      </c>
      <c r="D31" s="464">
        <v>2284233.7000000002</v>
      </c>
      <c r="E31" s="491">
        <v>48217.2</v>
      </c>
      <c r="F31" s="481" t="s">
        <v>385</v>
      </c>
      <c r="G31" s="481" t="s">
        <v>385</v>
      </c>
      <c r="H31" s="492">
        <v>946160.2</v>
      </c>
    </row>
    <row r="32" spans="1:8" x14ac:dyDescent="0.35">
      <c r="A32" s="270">
        <v>42491</v>
      </c>
      <c r="B32" s="128">
        <f t="shared" si="0"/>
        <v>1293125.8999999999</v>
      </c>
      <c r="C32" s="464">
        <v>761452.1</v>
      </c>
      <c r="D32" s="464">
        <v>531673.80000000005</v>
      </c>
      <c r="E32" s="491">
        <v>60031.700000000004</v>
      </c>
      <c r="F32" s="482"/>
      <c r="G32" s="482"/>
      <c r="H32" s="491">
        <v>997249.19999999949</v>
      </c>
    </row>
    <row r="33" spans="1:10" x14ac:dyDescent="0.35">
      <c r="A33" s="270">
        <v>42522</v>
      </c>
      <c r="B33" s="128">
        <f t="shared" si="0"/>
        <v>985404.8</v>
      </c>
      <c r="C33" s="464">
        <v>-24004</v>
      </c>
      <c r="D33" s="464">
        <v>1009408.8</v>
      </c>
      <c r="E33" s="491">
        <v>63204.2</v>
      </c>
      <c r="F33" s="482"/>
      <c r="G33" s="482"/>
      <c r="H33" s="491">
        <v>1003164.8000000003</v>
      </c>
    </row>
    <row r="34" spans="1:10" x14ac:dyDescent="0.35">
      <c r="A34" s="270">
        <v>42552</v>
      </c>
      <c r="B34" s="128">
        <f t="shared" si="0"/>
        <v>733329.6</v>
      </c>
      <c r="C34" s="464">
        <v>-2543.8000000000002</v>
      </c>
      <c r="D34" s="464">
        <v>735873.4</v>
      </c>
      <c r="E34" s="491">
        <v>66386.900000000009</v>
      </c>
      <c r="F34" s="482"/>
      <c r="G34" s="482"/>
      <c r="H34" s="491">
        <v>955069.90000000037</v>
      </c>
    </row>
    <row r="35" spans="1:10" x14ac:dyDescent="0.35">
      <c r="A35" s="270">
        <v>42583</v>
      </c>
      <c r="B35" s="128">
        <f t="shared" si="0"/>
        <v>692908.5</v>
      </c>
      <c r="C35" s="464">
        <v>331185.3</v>
      </c>
      <c r="D35" s="464">
        <v>361723.2</v>
      </c>
      <c r="E35" s="491">
        <v>68114.100000000006</v>
      </c>
      <c r="F35" s="482"/>
      <c r="G35" s="482"/>
      <c r="H35" s="491">
        <v>876335.09999999986</v>
      </c>
    </row>
    <row r="36" spans="1:10" x14ac:dyDescent="0.35">
      <c r="A36" s="270">
        <v>42614</v>
      </c>
      <c r="B36" s="128">
        <f t="shared" si="0"/>
        <v>743780.79999999993</v>
      </c>
      <c r="C36" s="464">
        <v>38101.599999999999</v>
      </c>
      <c r="D36" s="464">
        <v>705679.2</v>
      </c>
      <c r="E36" s="491">
        <v>57661.3</v>
      </c>
      <c r="F36" s="482"/>
      <c r="G36" s="482"/>
      <c r="H36" s="491">
        <v>919238.3000000004</v>
      </c>
    </row>
    <row r="37" spans="1:10" x14ac:dyDescent="0.35">
      <c r="A37" s="270">
        <v>42644</v>
      </c>
      <c r="B37" s="128">
        <f t="shared" si="0"/>
        <v>756617.3</v>
      </c>
      <c r="C37" s="464">
        <v>-1307.7</v>
      </c>
      <c r="D37" s="464">
        <v>757925</v>
      </c>
      <c r="E37" s="491">
        <v>57444.7</v>
      </c>
      <c r="F37" s="482"/>
      <c r="G37" s="482"/>
      <c r="H37" s="491">
        <v>946073.50000000012</v>
      </c>
    </row>
    <row r="38" spans="1:10" x14ac:dyDescent="0.35">
      <c r="A38" s="270">
        <v>42675</v>
      </c>
      <c r="B38" s="128">
        <f t="shared" si="0"/>
        <v>1530329.5</v>
      </c>
      <c r="C38" s="464">
        <v>725498.4</v>
      </c>
      <c r="D38" s="464">
        <v>804831.1</v>
      </c>
      <c r="E38" s="491">
        <v>55279.3</v>
      </c>
      <c r="F38" s="3"/>
      <c r="G38" s="3"/>
      <c r="H38" s="491">
        <v>1104299.3</v>
      </c>
      <c r="J38" s="6"/>
    </row>
    <row r="39" spans="1:10" x14ac:dyDescent="0.35">
      <c r="A39" s="270">
        <v>42705</v>
      </c>
      <c r="B39" s="128">
        <f t="shared" si="0"/>
        <v>4306093.4000000004</v>
      </c>
      <c r="C39" s="464">
        <v>80981.2</v>
      </c>
      <c r="D39" s="464">
        <v>4225112.2</v>
      </c>
      <c r="E39" s="491">
        <v>48387</v>
      </c>
      <c r="F39" s="3"/>
      <c r="G39" s="3"/>
      <c r="H39" s="491">
        <v>1438293.6</v>
      </c>
      <c r="J39" s="6"/>
    </row>
    <row r="40" spans="1:10" x14ac:dyDescent="0.35">
      <c r="A40" s="270">
        <v>42736</v>
      </c>
      <c r="B40" s="128">
        <f t="shared" si="0"/>
        <v>5551143</v>
      </c>
      <c r="C40" s="464">
        <v>13960.5</v>
      </c>
      <c r="D40" s="464">
        <v>5537182.5</v>
      </c>
      <c r="E40" s="491">
        <v>39568.300000000003</v>
      </c>
      <c r="F40" s="3"/>
      <c r="G40" s="3"/>
      <c r="H40" s="491">
        <v>1414213.5</v>
      </c>
      <c r="J40" s="6"/>
    </row>
    <row r="41" spans="1:10" x14ac:dyDescent="0.35">
      <c r="A41" s="270">
        <v>42767</v>
      </c>
      <c r="B41" s="128">
        <f t="shared" si="0"/>
        <v>4168435</v>
      </c>
      <c r="C41" s="489">
        <v>2245129.2000000002</v>
      </c>
      <c r="D41" s="489">
        <v>1923305.8</v>
      </c>
      <c r="E41" s="491">
        <v>36948.399999999994</v>
      </c>
      <c r="F41" s="3"/>
      <c r="G41" s="3"/>
      <c r="H41" s="491">
        <v>1144202.1999999997</v>
      </c>
    </row>
    <row r="42" spans="1:10" x14ac:dyDescent="0.35">
      <c r="A42" s="270">
        <v>42795</v>
      </c>
      <c r="B42" s="128">
        <f t="shared" si="0"/>
        <v>3270421.2392857103</v>
      </c>
      <c r="C42" s="490">
        <v>32074.6</v>
      </c>
      <c r="D42" s="490">
        <v>3238346.6392857102</v>
      </c>
      <c r="E42" s="491">
        <v>40814.300000000003</v>
      </c>
      <c r="F42" s="3"/>
      <c r="G42" s="3"/>
      <c r="H42" s="491">
        <v>1315531.9000000004</v>
      </c>
    </row>
    <row r="43" spans="1:10" x14ac:dyDescent="0.35">
      <c r="A43" s="270">
        <v>42826</v>
      </c>
      <c r="B43" s="128">
        <f t="shared" si="0"/>
        <v>2342627.1</v>
      </c>
      <c r="C43" s="490">
        <v>12936.7</v>
      </c>
      <c r="D43" s="490">
        <v>2329690.4</v>
      </c>
      <c r="E43" s="491">
        <v>40503.400000000009</v>
      </c>
      <c r="F43" s="3"/>
      <c r="G43" s="3"/>
      <c r="H43" s="491">
        <v>921728.1999999996</v>
      </c>
    </row>
    <row r="44" spans="1:10" x14ac:dyDescent="0.35">
      <c r="A44" s="270">
        <v>42856</v>
      </c>
      <c r="B44" s="128">
        <f t="shared" si="0"/>
        <v>1213560</v>
      </c>
      <c r="C44" s="490">
        <v>686289</v>
      </c>
      <c r="D44" s="490">
        <v>527271</v>
      </c>
      <c r="E44" s="491">
        <v>43878.400000000001</v>
      </c>
      <c r="F44" s="3"/>
      <c r="G44" s="3"/>
      <c r="H44" s="491">
        <v>915798.99999999965</v>
      </c>
    </row>
    <row r="45" spans="1:10" x14ac:dyDescent="0.35">
      <c r="A45" s="270">
        <v>42887</v>
      </c>
      <c r="B45" s="128">
        <f t="shared" ref="B45:B65" si="1">SUM(C45:D45)</f>
        <v>953320.2</v>
      </c>
      <c r="C45" s="490">
        <v>-29289.8</v>
      </c>
      <c r="D45" s="490">
        <v>982610</v>
      </c>
      <c r="E45" s="491">
        <v>54708.800000000003</v>
      </c>
      <c r="F45" s="3"/>
      <c r="G45" s="3"/>
      <c r="H45" s="491">
        <v>756321.6</v>
      </c>
    </row>
    <row r="46" spans="1:10" x14ac:dyDescent="0.35">
      <c r="A46" s="270">
        <v>42917</v>
      </c>
      <c r="B46" s="128">
        <f t="shared" si="1"/>
        <v>690751.8</v>
      </c>
      <c r="C46" s="490">
        <v>-16222.5</v>
      </c>
      <c r="D46" s="490">
        <v>706974.3</v>
      </c>
      <c r="E46" s="491">
        <v>48362.000000000007</v>
      </c>
      <c r="F46" s="3"/>
      <c r="G46" s="3"/>
      <c r="H46" s="491">
        <v>716804.49999999977</v>
      </c>
    </row>
    <row r="47" spans="1:10" x14ac:dyDescent="0.35">
      <c r="A47" s="270">
        <v>42948</v>
      </c>
      <c r="B47" s="128">
        <f t="shared" si="1"/>
        <v>718478.3</v>
      </c>
      <c r="C47" s="490">
        <v>355634.1</v>
      </c>
      <c r="D47" s="490">
        <v>362844.2</v>
      </c>
      <c r="E47" s="491">
        <v>45766</v>
      </c>
      <c r="F47" s="3"/>
      <c r="G47" s="3"/>
      <c r="H47" s="491">
        <v>840284.59999999974</v>
      </c>
    </row>
    <row r="48" spans="1:10" x14ac:dyDescent="0.35">
      <c r="A48" s="270">
        <v>42979</v>
      </c>
      <c r="B48" s="128">
        <f t="shared" si="1"/>
        <v>744894.2</v>
      </c>
      <c r="C48" s="490">
        <v>1356</v>
      </c>
      <c r="D48" s="490">
        <v>743538.2</v>
      </c>
      <c r="E48" s="490">
        <v>35794.299999999996</v>
      </c>
      <c r="H48" s="491">
        <v>772573.20000000042</v>
      </c>
    </row>
    <row r="49" spans="1:8" x14ac:dyDescent="0.35">
      <c r="A49" s="270">
        <v>43009</v>
      </c>
      <c r="B49" s="128">
        <f t="shared" si="1"/>
        <v>840387.5</v>
      </c>
      <c r="C49" s="490">
        <v>775.5</v>
      </c>
      <c r="D49" s="490">
        <v>839612</v>
      </c>
      <c r="E49" s="490">
        <v>46965.4</v>
      </c>
      <c r="H49" s="491">
        <v>953232.1</v>
      </c>
    </row>
    <row r="50" spans="1:8" x14ac:dyDescent="0.35">
      <c r="A50" s="270">
        <v>43040</v>
      </c>
      <c r="B50" s="128">
        <f t="shared" si="1"/>
        <v>2259484.9000000004</v>
      </c>
      <c r="C50" s="490">
        <v>1001146.8</v>
      </c>
      <c r="D50" s="490">
        <v>1258338.1000000001</v>
      </c>
      <c r="E50" s="490">
        <v>71898.899999999994</v>
      </c>
      <c r="H50" s="491">
        <v>1247351.9999999995</v>
      </c>
    </row>
    <row r="51" spans="1:8" x14ac:dyDescent="0.35">
      <c r="A51" s="270">
        <v>43070</v>
      </c>
      <c r="B51" s="128">
        <f t="shared" si="1"/>
        <v>4228872.7</v>
      </c>
      <c r="C51" s="490">
        <v>190745.5</v>
      </c>
      <c r="D51" s="490">
        <v>4038127.2</v>
      </c>
      <c r="E51" s="490">
        <v>64229.900000000009</v>
      </c>
      <c r="H51" s="491">
        <v>1431459</v>
      </c>
    </row>
    <row r="52" spans="1:8" x14ac:dyDescent="0.35">
      <c r="A52" s="270">
        <v>43101</v>
      </c>
      <c r="B52" s="128">
        <f t="shared" si="1"/>
        <v>7315147.2000000002</v>
      </c>
      <c r="C52" s="490">
        <v>28073.3</v>
      </c>
      <c r="D52" s="490">
        <v>7287073.9000000004</v>
      </c>
      <c r="E52" s="490">
        <v>43872.100000000006</v>
      </c>
      <c r="H52" s="491">
        <v>1669754.7000000002</v>
      </c>
    </row>
    <row r="53" spans="1:8" x14ac:dyDescent="0.35">
      <c r="A53" s="270">
        <v>43132</v>
      </c>
      <c r="B53" s="128">
        <f t="shared" si="1"/>
        <v>5484180.5999999996</v>
      </c>
      <c r="C53" s="490">
        <v>2955290.3</v>
      </c>
      <c r="D53" s="490">
        <v>2528890.2999999998</v>
      </c>
      <c r="E53" s="490">
        <v>25385.3</v>
      </c>
      <c r="H53" s="491">
        <v>1268158.8</v>
      </c>
    </row>
    <row r="54" spans="1:8" x14ac:dyDescent="0.35">
      <c r="A54" s="270">
        <v>43160</v>
      </c>
      <c r="B54" s="128">
        <f t="shared" si="1"/>
        <v>3758171.9</v>
      </c>
      <c r="C54" s="490">
        <v>18600.099999999999</v>
      </c>
      <c r="D54" s="490">
        <v>3739571.8</v>
      </c>
      <c r="E54" s="490">
        <v>47315.5</v>
      </c>
      <c r="H54" s="491">
        <v>1432002.6</v>
      </c>
    </row>
    <row r="55" spans="1:8" x14ac:dyDescent="0.35">
      <c r="A55" s="270">
        <v>43191</v>
      </c>
      <c r="B55" s="128">
        <f t="shared" si="1"/>
        <v>3574415.6</v>
      </c>
      <c r="C55" s="490">
        <v>13452</v>
      </c>
      <c r="D55" s="490">
        <v>3560963.6</v>
      </c>
      <c r="E55" s="490">
        <v>49975.5</v>
      </c>
      <c r="H55" s="491">
        <v>1183734.8000000003</v>
      </c>
    </row>
    <row r="56" spans="1:8" x14ac:dyDescent="0.35">
      <c r="A56" s="270">
        <v>43221</v>
      </c>
      <c r="B56" s="128">
        <f t="shared" si="1"/>
        <v>1717818.4</v>
      </c>
      <c r="C56" s="490">
        <v>999212.2</v>
      </c>
      <c r="D56" s="490">
        <v>718606.2</v>
      </c>
      <c r="E56" s="490">
        <v>58553.2</v>
      </c>
      <c r="H56" s="491">
        <v>904837.89999999944</v>
      </c>
    </row>
    <row r="57" spans="1:8" x14ac:dyDescent="0.35">
      <c r="A57" s="270">
        <v>43252</v>
      </c>
      <c r="B57" s="128">
        <f t="shared" si="1"/>
        <v>804407.9</v>
      </c>
      <c r="C57" s="490">
        <v>17672.5</v>
      </c>
      <c r="D57" s="490">
        <v>786735.4</v>
      </c>
      <c r="E57" s="490">
        <v>55149.7</v>
      </c>
      <c r="H57" s="491">
        <v>821425.50000000035</v>
      </c>
    </row>
    <row r="58" spans="1:8" x14ac:dyDescent="0.35">
      <c r="A58" s="270">
        <v>43282</v>
      </c>
      <c r="B58" s="128">
        <f t="shared" si="1"/>
        <v>711177.6</v>
      </c>
      <c r="C58" s="490">
        <v>691707.5</v>
      </c>
      <c r="D58" s="490">
        <v>19470.099999999999</v>
      </c>
      <c r="E58" s="490">
        <v>47377.000000000007</v>
      </c>
      <c r="H58" s="491">
        <v>788728.29999999981</v>
      </c>
    </row>
    <row r="59" spans="1:8" x14ac:dyDescent="0.35">
      <c r="A59" s="270">
        <v>43313</v>
      </c>
      <c r="B59" s="128">
        <f t="shared" si="1"/>
        <v>685611.4</v>
      </c>
      <c r="C59" s="490">
        <v>310354.90000000002</v>
      </c>
      <c r="D59" s="490">
        <v>375256.5</v>
      </c>
      <c r="E59" s="490">
        <v>60415.3</v>
      </c>
      <c r="H59" s="491">
        <v>775443.69999999984</v>
      </c>
    </row>
    <row r="60" spans="1:8" x14ac:dyDescent="0.35">
      <c r="A60" s="270">
        <v>43344</v>
      </c>
      <c r="B60" s="128">
        <f t="shared" si="1"/>
        <v>715644</v>
      </c>
      <c r="C60" s="490">
        <v>9481.6</v>
      </c>
      <c r="D60" s="490">
        <v>706162.4</v>
      </c>
      <c r="E60" s="490">
        <v>62054.6</v>
      </c>
      <c r="H60" s="491">
        <v>803754.6</v>
      </c>
    </row>
    <row r="61" spans="1:8" x14ac:dyDescent="0.35">
      <c r="A61" s="270">
        <v>43374</v>
      </c>
      <c r="B61" s="128">
        <f t="shared" si="1"/>
        <v>1074864.5999999999</v>
      </c>
      <c r="C61" s="490">
        <v>2196.1999999999998</v>
      </c>
      <c r="D61" s="490">
        <v>1072668.3999999999</v>
      </c>
      <c r="E61" s="490">
        <v>71891.399999999994</v>
      </c>
      <c r="H61" s="491">
        <v>1080228.7</v>
      </c>
    </row>
    <row r="62" spans="1:8" x14ac:dyDescent="0.35">
      <c r="A62" s="270">
        <v>43405</v>
      </c>
      <c r="B62" s="128">
        <f t="shared" si="1"/>
        <v>2736023.9</v>
      </c>
      <c r="C62" s="490">
        <v>1167553.5</v>
      </c>
      <c r="D62" s="490">
        <v>1568470.4</v>
      </c>
      <c r="E62" s="490">
        <v>42525</v>
      </c>
      <c r="H62" s="491">
        <v>1394920.4999999998</v>
      </c>
    </row>
    <row r="63" spans="1:8" x14ac:dyDescent="0.35">
      <c r="A63" s="270">
        <v>43435</v>
      </c>
      <c r="B63" s="128">
        <f t="shared" si="1"/>
        <v>4747676.1000000006</v>
      </c>
      <c r="C63" s="490">
        <v>58966.400000000001</v>
      </c>
      <c r="D63" s="490">
        <v>4688709.7</v>
      </c>
      <c r="E63" s="490">
        <v>29030.399999999998</v>
      </c>
      <c r="H63" s="491">
        <v>1418792.7000000002</v>
      </c>
    </row>
    <row r="64" spans="1:8" x14ac:dyDescent="0.35">
      <c r="A64" s="270">
        <v>43466</v>
      </c>
      <c r="B64" s="128">
        <f t="shared" si="1"/>
        <v>5209144.6000000006</v>
      </c>
      <c r="C64" s="490">
        <v>19312.2</v>
      </c>
      <c r="D64" s="490">
        <v>5189832.4000000004</v>
      </c>
      <c r="E64" s="490">
        <v>12021.099999999999</v>
      </c>
      <c r="H64" s="491">
        <v>1678701.0999999996</v>
      </c>
    </row>
    <row r="65" spans="1:8" x14ac:dyDescent="0.35">
      <c r="A65" s="270">
        <v>43497</v>
      </c>
      <c r="B65" s="128">
        <f t="shared" si="1"/>
        <v>5879594.9000000004</v>
      </c>
      <c r="C65" s="490">
        <v>2943537.6</v>
      </c>
      <c r="D65" s="490">
        <v>2936057.3</v>
      </c>
      <c r="E65" s="490">
        <v>4909</v>
      </c>
      <c r="H65" s="491">
        <v>1421391.6</v>
      </c>
    </row>
    <row r="66" spans="1:8" x14ac:dyDescent="0.35">
      <c r="A66" s="270">
        <v>43525</v>
      </c>
      <c r="B66" s="128">
        <f t="shared" ref="B66:B86" si="2">SUM(C66:D66)</f>
        <v>4866844.2</v>
      </c>
      <c r="C66" s="490">
        <v>5396.7</v>
      </c>
      <c r="D66" s="490">
        <v>4861447.5</v>
      </c>
      <c r="E66" s="490">
        <v>13299.199999999999</v>
      </c>
      <c r="H66" s="491">
        <v>1444982.8000000003</v>
      </c>
    </row>
    <row r="67" spans="1:8" x14ac:dyDescent="0.35">
      <c r="A67" s="270">
        <v>43556</v>
      </c>
      <c r="B67" s="128">
        <f t="shared" si="2"/>
        <v>2742152.5</v>
      </c>
      <c r="C67" s="490">
        <v>1167</v>
      </c>
      <c r="D67" s="490">
        <v>2740985.5</v>
      </c>
      <c r="E67" s="490">
        <v>36260.5</v>
      </c>
      <c r="H67" s="491">
        <v>1088354.5000000002</v>
      </c>
    </row>
    <row r="68" spans="1:8" x14ac:dyDescent="0.35">
      <c r="A68" s="270">
        <v>43586</v>
      </c>
      <c r="B68" s="128">
        <f t="shared" si="2"/>
        <v>1295028.3999999999</v>
      </c>
      <c r="C68" s="490">
        <v>712344.8</v>
      </c>
      <c r="D68" s="490">
        <v>582683.6</v>
      </c>
      <c r="E68" s="490">
        <v>36467</v>
      </c>
      <c r="H68" s="491">
        <v>981057.20000000019</v>
      </c>
    </row>
    <row r="69" spans="1:8" x14ac:dyDescent="0.35">
      <c r="A69" s="270">
        <v>43617</v>
      </c>
      <c r="B69" s="128">
        <f t="shared" si="2"/>
        <v>825371.1</v>
      </c>
      <c r="C69" s="490">
        <v>12729.2</v>
      </c>
      <c r="D69" s="490">
        <v>812641.9</v>
      </c>
      <c r="E69" s="490">
        <v>33022.6</v>
      </c>
      <c r="H69" s="491">
        <v>897842.49999999965</v>
      </c>
    </row>
    <row r="70" spans="1:8" x14ac:dyDescent="0.35">
      <c r="A70" s="270">
        <v>43647</v>
      </c>
      <c r="B70" s="128">
        <f t="shared" si="2"/>
        <v>702726.8</v>
      </c>
      <c r="C70" s="490">
        <v>-1864.5</v>
      </c>
      <c r="D70" s="490">
        <v>704591.3</v>
      </c>
      <c r="E70" s="490">
        <v>29285.5</v>
      </c>
      <c r="H70" s="491">
        <v>826414.2</v>
      </c>
    </row>
    <row r="71" spans="1:8" x14ac:dyDescent="0.35">
      <c r="A71" s="270">
        <v>43678</v>
      </c>
      <c r="B71" s="128">
        <f t="shared" si="2"/>
        <v>645750.69999999995</v>
      </c>
      <c r="C71" s="490">
        <v>336861.2</v>
      </c>
      <c r="D71" s="490">
        <v>308889.5</v>
      </c>
      <c r="E71" s="490">
        <v>44427.100000000006</v>
      </c>
      <c r="H71" s="491">
        <v>812061.09999999986</v>
      </c>
    </row>
    <row r="72" spans="1:8" x14ac:dyDescent="0.35">
      <c r="A72" s="270">
        <v>43709</v>
      </c>
      <c r="B72" s="128">
        <f t="shared" si="2"/>
        <v>665202.89999999991</v>
      </c>
      <c r="C72" s="490">
        <v>1232.7</v>
      </c>
      <c r="D72" s="490">
        <v>663970.19999999995</v>
      </c>
      <c r="E72" s="490">
        <v>62264.80000000001</v>
      </c>
      <c r="H72" s="491">
        <v>850497.50000000023</v>
      </c>
    </row>
    <row r="73" spans="1:8" x14ac:dyDescent="0.35">
      <c r="A73" s="270">
        <v>43739</v>
      </c>
      <c r="B73" s="128">
        <f t="shared" si="2"/>
        <v>819786</v>
      </c>
      <c r="C73" s="490">
        <v>-1112.7</v>
      </c>
      <c r="D73" s="490">
        <v>820898.7</v>
      </c>
      <c r="E73" s="490">
        <v>63703.9</v>
      </c>
      <c r="H73" s="491">
        <v>1127313.6000000001</v>
      </c>
    </row>
    <row r="74" spans="1:8" x14ac:dyDescent="0.35">
      <c r="A74" s="270">
        <v>43770</v>
      </c>
      <c r="B74" s="128">
        <f t="shared" si="2"/>
        <v>2484181.5</v>
      </c>
      <c r="C74" s="490">
        <v>1196569.1000000001</v>
      </c>
      <c r="D74" s="490">
        <v>1287612.3999999999</v>
      </c>
      <c r="E74" s="490">
        <v>53399.9</v>
      </c>
      <c r="H74" s="491">
        <v>1347937.3000000003</v>
      </c>
    </row>
    <row r="75" spans="1:8" x14ac:dyDescent="0.35">
      <c r="A75" s="270">
        <v>43800</v>
      </c>
      <c r="B75" s="128">
        <f t="shared" si="2"/>
        <v>4914992.7</v>
      </c>
      <c r="C75" s="490">
        <v>130919.4</v>
      </c>
      <c r="D75" s="490">
        <v>4784073.3</v>
      </c>
      <c r="E75" s="490">
        <v>36610</v>
      </c>
      <c r="H75" s="491">
        <v>1430878.8</v>
      </c>
    </row>
    <row r="76" spans="1:8" x14ac:dyDescent="0.35">
      <c r="A76" s="270">
        <v>43831</v>
      </c>
      <c r="B76" s="128">
        <f t="shared" si="2"/>
        <v>4666287.8</v>
      </c>
      <c r="C76" s="490">
        <v>846.5</v>
      </c>
      <c r="D76" s="490">
        <v>4665441.3</v>
      </c>
      <c r="E76" s="490">
        <v>48318.1</v>
      </c>
      <c r="H76" s="491">
        <v>1497866.7</v>
      </c>
    </row>
    <row r="77" spans="1:8" x14ac:dyDescent="0.35">
      <c r="A77" s="270">
        <v>43862</v>
      </c>
      <c r="B77" s="128">
        <f t="shared" si="2"/>
        <v>4895025.5999999996</v>
      </c>
      <c r="C77" s="490">
        <v>2534081.5</v>
      </c>
      <c r="D77" s="490">
        <v>2360944.1</v>
      </c>
      <c r="E77" s="490">
        <v>24878.199999999997</v>
      </c>
      <c r="H77" s="491">
        <v>1485084.9000000004</v>
      </c>
    </row>
    <row r="78" spans="1:8" x14ac:dyDescent="0.35">
      <c r="A78" s="270">
        <v>43891</v>
      </c>
      <c r="B78" s="128">
        <f t="shared" si="2"/>
        <v>4167631.8</v>
      </c>
      <c r="C78" s="490">
        <v>13828.5</v>
      </c>
      <c r="D78" s="490">
        <v>4153803.3</v>
      </c>
      <c r="E78" s="490">
        <v>30252.1</v>
      </c>
      <c r="H78" s="491">
        <v>1184225</v>
      </c>
    </row>
    <row r="79" spans="1:8" x14ac:dyDescent="0.35">
      <c r="A79" s="270">
        <v>43922</v>
      </c>
      <c r="B79" s="128">
        <f t="shared" si="2"/>
        <v>2380089.7000000002</v>
      </c>
      <c r="C79" s="490">
        <v>140</v>
      </c>
      <c r="D79" s="490">
        <v>2379949.7000000002</v>
      </c>
      <c r="E79" s="490">
        <v>55664.100000000006</v>
      </c>
      <c r="H79" s="491">
        <v>832221</v>
      </c>
    </row>
    <row r="80" spans="1:8" x14ac:dyDescent="0.35">
      <c r="A80" s="270">
        <v>43952</v>
      </c>
      <c r="B80" s="128">
        <f t="shared" si="2"/>
        <v>1668456.8</v>
      </c>
      <c r="C80" s="490">
        <v>957976.3</v>
      </c>
      <c r="D80" s="490">
        <v>710480.5</v>
      </c>
      <c r="E80" s="490">
        <v>39270.19999999999</v>
      </c>
      <c r="H80" s="491">
        <v>837007.4</v>
      </c>
    </row>
    <row r="81" spans="1:8" x14ac:dyDescent="0.35">
      <c r="A81" s="270">
        <v>43983</v>
      </c>
      <c r="B81" s="128">
        <f t="shared" si="2"/>
        <v>937602.9</v>
      </c>
      <c r="C81" s="490">
        <v>-908.6</v>
      </c>
      <c r="D81" s="490">
        <v>938511.5</v>
      </c>
      <c r="E81" s="490">
        <v>49416.5</v>
      </c>
      <c r="H81" s="491">
        <v>811277.5</v>
      </c>
    </row>
    <row r="82" spans="1:8" x14ac:dyDescent="0.35">
      <c r="A82" s="270">
        <v>44013</v>
      </c>
      <c r="B82" s="128">
        <f t="shared" si="2"/>
        <v>687225.60000000009</v>
      </c>
      <c r="C82" s="490">
        <v>-7213.2</v>
      </c>
      <c r="D82" s="490">
        <v>694438.8</v>
      </c>
      <c r="E82" s="490">
        <v>30957.200000000001</v>
      </c>
      <c r="H82" s="491">
        <v>802016.7</v>
      </c>
    </row>
    <row r="83" spans="1:8" x14ac:dyDescent="0.35">
      <c r="A83" s="270">
        <v>44044</v>
      </c>
      <c r="B83" s="128">
        <f t="shared" si="2"/>
        <v>630697.30000000005</v>
      </c>
      <c r="C83" s="490">
        <v>317154</v>
      </c>
      <c r="D83" s="490">
        <v>313543.3</v>
      </c>
      <c r="E83" s="490">
        <v>54045.3</v>
      </c>
      <c r="F83" s="3"/>
      <c r="G83" s="3"/>
      <c r="H83" s="491">
        <v>763198</v>
      </c>
    </row>
    <row r="84" spans="1:8" x14ac:dyDescent="0.35">
      <c r="A84" s="270">
        <v>44075</v>
      </c>
      <c r="B84" s="128">
        <f t="shared" si="2"/>
        <v>670179.9</v>
      </c>
      <c r="C84" s="490">
        <v>-8181</v>
      </c>
      <c r="D84" s="490">
        <v>678360.9</v>
      </c>
      <c r="E84" s="490">
        <v>66050.899999999994</v>
      </c>
      <c r="F84" s="3"/>
      <c r="G84" s="3"/>
      <c r="H84" s="491">
        <v>819663.4</v>
      </c>
    </row>
    <row r="85" spans="1:8" x14ac:dyDescent="0.35">
      <c r="A85" s="270">
        <v>44105</v>
      </c>
      <c r="B85" s="128">
        <f t="shared" si="2"/>
        <v>953506.2</v>
      </c>
      <c r="C85" s="490">
        <v>-1335.4</v>
      </c>
      <c r="D85" s="490">
        <v>954841.59999999998</v>
      </c>
      <c r="E85" s="490">
        <v>74502</v>
      </c>
      <c r="F85" s="3"/>
      <c r="G85" s="3"/>
      <c r="H85" s="491">
        <v>824280.5</v>
      </c>
    </row>
    <row r="86" spans="1:8" x14ac:dyDescent="0.35">
      <c r="A86" s="270">
        <v>44136</v>
      </c>
      <c r="B86" s="128">
        <f t="shared" si="2"/>
        <v>1919239</v>
      </c>
      <c r="C86" s="490">
        <v>1057236.6000000001</v>
      </c>
      <c r="D86" s="490">
        <v>862002.4</v>
      </c>
      <c r="E86" s="490">
        <v>71473.600000000006</v>
      </c>
      <c r="F86" s="3"/>
      <c r="G86" s="3"/>
      <c r="H86" s="491">
        <v>1045220.2</v>
      </c>
    </row>
    <row r="87" spans="1:8" x14ac:dyDescent="0.35">
      <c r="A87" s="270">
        <v>44166</v>
      </c>
      <c r="B87" s="128">
        <v>3979897.4</v>
      </c>
      <c r="C87" s="490">
        <v>-4050.2</v>
      </c>
      <c r="D87" s="490">
        <v>3983947.6</v>
      </c>
      <c r="E87" s="490">
        <v>44430.3</v>
      </c>
      <c r="F87" s="3"/>
      <c r="G87" s="3"/>
      <c r="H87" s="491">
        <v>1147614.3999999999</v>
      </c>
    </row>
    <row r="88" spans="1:8" x14ac:dyDescent="0.35">
      <c r="A88" s="270">
        <v>44197</v>
      </c>
      <c r="B88" s="128">
        <v>5828853.2000000002</v>
      </c>
      <c r="C88" s="490">
        <v>199994.6</v>
      </c>
      <c r="D88" s="490">
        <v>5628858.5999999996</v>
      </c>
      <c r="E88" s="490">
        <v>22918.3</v>
      </c>
      <c r="F88" s="3"/>
      <c r="G88" s="3"/>
      <c r="H88" s="491">
        <v>1615941.5</v>
      </c>
    </row>
    <row r="89" spans="1:8" x14ac:dyDescent="0.35">
      <c r="A89" s="270">
        <v>44228</v>
      </c>
      <c r="B89" s="128">
        <v>6106907.0999999996</v>
      </c>
      <c r="C89" s="490">
        <v>3239192.3</v>
      </c>
      <c r="D89" s="490">
        <v>2867714.8</v>
      </c>
      <c r="E89" s="490">
        <v>29602.1</v>
      </c>
      <c r="F89" s="3"/>
      <c r="G89" s="3"/>
      <c r="H89" s="491">
        <v>1588920.3</v>
      </c>
    </row>
    <row r="90" spans="1:8" x14ac:dyDescent="0.35">
      <c r="A90" s="270">
        <v>44256</v>
      </c>
      <c r="B90" s="128">
        <v>4908337.5</v>
      </c>
      <c r="C90" s="490">
        <v>60505.3</v>
      </c>
      <c r="D90" s="490">
        <v>4847832.2</v>
      </c>
      <c r="E90" s="490">
        <v>40091.300000000003</v>
      </c>
      <c r="F90" s="3"/>
      <c r="G90" s="3"/>
      <c r="H90" s="491">
        <v>1544351.3</v>
      </c>
    </row>
    <row r="91" spans="1:8" x14ac:dyDescent="0.35">
      <c r="A91" s="270">
        <v>44287</v>
      </c>
      <c r="B91" s="128">
        <v>2308518.7000000002</v>
      </c>
      <c r="C91" s="490">
        <v>1218.4000000000001</v>
      </c>
      <c r="D91" s="490">
        <v>2307300.2999999998</v>
      </c>
      <c r="E91" s="490">
        <v>65875.899999999994</v>
      </c>
      <c r="F91" s="3"/>
      <c r="G91" s="3"/>
      <c r="H91" s="491">
        <v>1336298.3999999999</v>
      </c>
    </row>
    <row r="92" spans="1:8" x14ac:dyDescent="0.35">
      <c r="A92" s="270">
        <v>44317</v>
      </c>
      <c r="B92" s="128">
        <v>1429557.8</v>
      </c>
      <c r="C92" s="490">
        <v>794953.8</v>
      </c>
      <c r="D92" s="490">
        <v>634604</v>
      </c>
      <c r="E92" s="490">
        <v>64697.2</v>
      </c>
      <c r="F92" s="3"/>
      <c r="G92" s="3"/>
      <c r="H92" s="491">
        <v>1077815.8999999999</v>
      </c>
    </row>
    <row r="93" spans="1:8" x14ac:dyDescent="0.35">
      <c r="A93" s="270">
        <v>44348</v>
      </c>
      <c r="B93" s="128">
        <v>905633.5</v>
      </c>
      <c r="C93" s="490">
        <v>-523.4</v>
      </c>
      <c r="D93" s="490">
        <v>906156.9</v>
      </c>
      <c r="E93" s="490">
        <v>63211.8</v>
      </c>
      <c r="F93" s="3"/>
      <c r="G93" s="3"/>
      <c r="H93" s="491">
        <v>1048042.8</v>
      </c>
    </row>
    <row r="94" spans="1:8" x14ac:dyDescent="0.35">
      <c r="A94" s="270">
        <v>44378</v>
      </c>
      <c r="B94" s="128">
        <v>669470.69999999995</v>
      </c>
      <c r="C94" s="490">
        <v>9877.7999999999993</v>
      </c>
      <c r="D94" s="490">
        <v>659592.9</v>
      </c>
      <c r="E94" s="490">
        <v>57936.4</v>
      </c>
      <c r="F94" s="3"/>
      <c r="G94" s="3"/>
      <c r="H94" s="491">
        <v>870160.8</v>
      </c>
    </row>
    <row r="95" spans="1:8" x14ac:dyDescent="0.35">
      <c r="A95" s="270">
        <v>44409</v>
      </c>
      <c r="B95" s="128">
        <v>663187.69999999995</v>
      </c>
      <c r="C95" s="490">
        <v>335208</v>
      </c>
      <c r="D95" s="490">
        <v>327979.7</v>
      </c>
      <c r="E95" s="490">
        <v>48256.7</v>
      </c>
      <c r="F95" s="3"/>
      <c r="G95" s="3"/>
      <c r="H95" s="491">
        <v>797062.9</v>
      </c>
    </row>
    <row r="96" spans="1:8" x14ac:dyDescent="0.35">
      <c r="A96" s="270">
        <v>44440</v>
      </c>
      <c r="B96" s="706">
        <v>687871.9</v>
      </c>
      <c r="C96" s="490">
        <v>-2890.7</v>
      </c>
      <c r="D96" s="490">
        <v>690762.6</v>
      </c>
      <c r="E96" s="490">
        <v>55443.4</v>
      </c>
      <c r="F96" s="3"/>
      <c r="G96" s="3"/>
      <c r="H96" s="491">
        <v>890211.9</v>
      </c>
    </row>
    <row r="97" spans="1:8" x14ac:dyDescent="0.35">
      <c r="A97" s="270">
        <v>44470</v>
      </c>
      <c r="B97" s="705">
        <v>836296.1</v>
      </c>
      <c r="C97" s="490">
        <v>-1665.6</v>
      </c>
      <c r="D97" s="490">
        <v>837961.7</v>
      </c>
      <c r="E97" s="490">
        <v>74420.2</v>
      </c>
      <c r="F97" s="3"/>
      <c r="G97" s="3"/>
      <c r="H97" s="491">
        <v>932009.1</v>
      </c>
    </row>
    <row r="98" spans="1:8" x14ac:dyDescent="0.35">
      <c r="A98" s="270">
        <v>44501</v>
      </c>
      <c r="B98" s="706">
        <v>2112663.9</v>
      </c>
      <c r="C98" s="490">
        <v>1026208.6</v>
      </c>
      <c r="D98" s="490">
        <v>1086455.3</v>
      </c>
      <c r="E98" s="490">
        <v>74117</v>
      </c>
      <c r="F98" s="3"/>
      <c r="G98" s="3"/>
      <c r="H98" s="491">
        <v>987647.6</v>
      </c>
    </row>
    <row r="99" spans="1:8" x14ac:dyDescent="0.35">
      <c r="A99" s="270">
        <v>44531</v>
      </c>
      <c r="B99" s="706">
        <v>3990717.4</v>
      </c>
      <c r="C99" s="490">
        <v>168526.3</v>
      </c>
      <c r="D99" s="490">
        <v>3822191.1</v>
      </c>
      <c r="E99" s="490">
        <v>65082.8</v>
      </c>
      <c r="F99" s="3"/>
      <c r="G99" s="3"/>
      <c r="H99" s="491">
        <v>1309531.7</v>
      </c>
    </row>
    <row r="100" spans="1:8" x14ac:dyDescent="0.35">
      <c r="A100" s="270">
        <v>44562</v>
      </c>
      <c r="B100" s="706">
        <v>5236357</v>
      </c>
      <c r="C100" s="490">
        <v>243769.8</v>
      </c>
      <c r="D100" s="490">
        <v>4992587.2</v>
      </c>
      <c r="E100" s="490">
        <v>48783.3</v>
      </c>
      <c r="F100" s="3"/>
      <c r="G100" s="3"/>
      <c r="H100" s="491">
        <v>1283454</v>
      </c>
    </row>
    <row r="101" spans="1:8" x14ac:dyDescent="0.35">
      <c r="A101" s="270">
        <v>44593</v>
      </c>
      <c r="B101" s="706">
        <v>5840316.2000000002</v>
      </c>
      <c r="C101" s="490">
        <v>3206661</v>
      </c>
      <c r="D101" s="490">
        <v>2633655.2000000002</v>
      </c>
      <c r="E101" s="490">
        <v>54563.3</v>
      </c>
      <c r="F101" s="3"/>
      <c r="G101" s="3"/>
      <c r="H101" s="491">
        <v>1780261.6</v>
      </c>
    </row>
    <row r="102" spans="1:8" x14ac:dyDescent="0.35">
      <c r="A102" s="270">
        <v>44621</v>
      </c>
      <c r="B102" s="706">
        <v>4334416.8</v>
      </c>
      <c r="C102" s="490">
        <v>7307</v>
      </c>
      <c r="D102" s="490">
        <v>4327109.8</v>
      </c>
      <c r="E102" s="490">
        <v>68708.7</v>
      </c>
      <c r="H102" s="491">
        <v>1497491.6</v>
      </c>
    </row>
    <row r="103" spans="1:8" x14ac:dyDescent="0.35">
      <c r="A103" s="270">
        <v>44652</v>
      </c>
      <c r="B103" s="706">
        <v>2797541.7</v>
      </c>
      <c r="C103" s="490">
        <v>13235.3</v>
      </c>
      <c r="D103" s="490">
        <v>2784306.4</v>
      </c>
      <c r="E103" s="490">
        <v>71265.7</v>
      </c>
      <c r="H103" s="491">
        <v>1405096</v>
      </c>
    </row>
    <row r="104" spans="1:8" x14ac:dyDescent="0.35">
      <c r="A104" s="270">
        <v>44682</v>
      </c>
      <c r="B104" s="706">
        <v>1353023.2</v>
      </c>
      <c r="C104" s="490">
        <v>791440.7</v>
      </c>
      <c r="D104" s="490">
        <v>561582.5</v>
      </c>
      <c r="H104" s="491">
        <v>1201967.3999999999</v>
      </c>
    </row>
  </sheetData>
  <pageMargins left="0.7" right="0.7" top="0.75" bottom="0.75" header="0.3" footer="0.3"/>
  <pageSetup scale="84"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X7" sqref="X7"/>
    </sheetView>
  </sheetViews>
  <sheetFormatPr defaultColWidth="8.84375" defaultRowHeight="15.5" x14ac:dyDescent="0.35"/>
  <cols>
    <col min="1" max="1" width="10.4609375" style="6" customWidth="1"/>
    <col min="2" max="4" width="12.3046875" style="6" hidden="1" customWidth="1"/>
    <col min="5" max="5" width="4" style="6" hidden="1" customWidth="1"/>
    <col min="6" max="6" width="9.53515625" style="6" hidden="1" customWidth="1"/>
    <col min="7" max="7" width="11.4609375" style="6" hidden="1" customWidth="1"/>
    <col min="8" max="8" width="6" style="6" hidden="1" customWidth="1"/>
    <col min="9" max="10" width="12.3046875" style="6" hidden="1" customWidth="1"/>
    <col min="11" max="11" width="4.3046875" style="6" hidden="1" customWidth="1"/>
    <col min="12" max="13" width="12.3046875" style="6" customWidth="1"/>
    <col min="14" max="14" width="5.3046875" style="6" hidden="1" customWidth="1"/>
    <col min="15" max="16" width="12.3046875" style="6" hidden="1" customWidth="1"/>
    <col min="17" max="17" width="1" style="6" hidden="1" customWidth="1"/>
    <col min="18" max="19" width="12.3046875" style="6" hidden="1" customWidth="1"/>
    <col min="20" max="20" width="4.69140625" style="6" hidden="1" customWidth="1"/>
    <col min="21" max="22" width="12.3046875" style="6" customWidth="1"/>
    <col min="23" max="23" width="4.3046875" style="6" customWidth="1"/>
    <col min="24" max="24" width="12.3046875" style="6" customWidth="1"/>
    <col min="25" max="25" width="5" style="6" customWidth="1"/>
    <col min="26" max="26" width="10.23046875" style="6" bestFit="1" customWidth="1"/>
    <col min="27" max="27" width="4.07421875" style="6" customWidth="1"/>
    <col min="28" max="28" width="11.07421875" style="6" hidden="1" customWidth="1"/>
    <col min="29" max="29" width="9.07421875" style="6" hidden="1" customWidth="1"/>
    <col min="30" max="30" width="4.07421875" style="6" hidden="1" customWidth="1"/>
    <col min="31" max="31" width="10.53515625" style="6" hidden="1" customWidth="1"/>
    <col min="32" max="32" width="4.4609375" style="6" hidden="1" customWidth="1"/>
    <col min="33" max="33" width="10.4609375" style="6" hidden="1" customWidth="1"/>
    <col min="34" max="34" width="4.4609375" style="6" hidden="1" customWidth="1"/>
    <col min="35" max="35" width="9" style="6" hidden="1" customWidth="1"/>
    <col min="36" max="36" width="4.4609375" style="6" customWidth="1"/>
    <col min="37" max="37" width="9.3046875" style="6" bestFit="1" customWidth="1"/>
    <col min="38" max="38" width="11.765625" style="6" hidden="1" customWidth="1"/>
    <col min="39" max="39" width="11.3046875" style="6" hidden="1" customWidth="1"/>
    <col min="40" max="40" width="10.84375" style="6" hidden="1" customWidth="1"/>
    <col min="41" max="41" width="4" style="6" hidden="1" customWidth="1"/>
    <col min="42" max="42" width="10.3046875" style="6" hidden="1" customWidth="1"/>
    <col min="43" max="43" width="4.07421875" style="6" hidden="1" customWidth="1"/>
    <col min="44" max="44" width="9" style="6" hidden="1" customWidth="1"/>
    <col min="45" max="45" width="4.07421875" style="6" hidden="1" customWidth="1"/>
    <col min="46" max="46" width="9" style="6" hidden="1" customWidth="1"/>
    <col min="47" max="47" width="4.07421875" style="6" hidden="1" customWidth="1"/>
    <col min="48" max="48" width="9" style="6" hidden="1" customWidth="1"/>
    <col min="49" max="49" width="3.84375" style="6" hidden="1" customWidth="1"/>
    <col min="50" max="50" width="9" style="6" hidden="1" customWidth="1"/>
    <col min="51" max="51" width="3.84375" style="6" hidden="1" customWidth="1"/>
    <col min="52" max="52" width="9" style="6" hidden="1" customWidth="1"/>
    <col min="53" max="53" width="3.84375" style="6" hidden="1" customWidth="1"/>
    <col min="54" max="54" width="9.53515625" style="6" hidden="1" customWidth="1"/>
    <col min="55" max="55" width="3.84375" style="6" hidden="1" customWidth="1"/>
    <col min="56" max="56" width="9.53515625" style="6" hidden="1" customWidth="1"/>
    <col min="57" max="57" width="3.84375" style="6" hidden="1" customWidth="1"/>
    <col min="58" max="58" width="9" style="6" hidden="1" customWidth="1"/>
    <col min="59" max="59" width="4.23046875" style="6" hidden="1" customWidth="1"/>
    <col min="60" max="60" width="10.23046875" style="6" hidden="1" customWidth="1"/>
    <col min="61" max="61" width="5.23046875" style="6" hidden="1" customWidth="1"/>
    <col min="62" max="62" width="10.4609375" style="6" hidden="1" customWidth="1"/>
    <col min="63" max="63" width="0" style="6" hidden="1" customWidth="1"/>
    <col min="64" max="64" width="10.765625" style="6" hidden="1" customWidth="1"/>
    <col min="65" max="65" width="0" style="6" hidden="1" customWidth="1"/>
    <col min="66" max="16384" width="8.84375" style="6"/>
  </cols>
  <sheetData>
    <row r="1" spans="1:65" customFormat="1" x14ac:dyDescent="0.35">
      <c r="A1" s="353">
        <v>-1</v>
      </c>
      <c r="B1" s="353">
        <v>-2</v>
      </c>
      <c r="C1" s="353">
        <v>-3</v>
      </c>
      <c r="D1" s="353">
        <v>-4</v>
      </c>
      <c r="E1" s="353">
        <v>-5</v>
      </c>
      <c r="F1" s="353">
        <v>-6</v>
      </c>
      <c r="G1" s="353">
        <v>-7</v>
      </c>
      <c r="H1" s="353">
        <v>-8</v>
      </c>
      <c r="I1" s="353">
        <v>-9</v>
      </c>
      <c r="J1" s="353">
        <v>-10</v>
      </c>
      <c r="K1" s="353">
        <v>-11</v>
      </c>
      <c r="L1" s="353">
        <v>-12</v>
      </c>
      <c r="M1" s="353">
        <v>-13</v>
      </c>
      <c r="N1" s="353">
        <v>-14</v>
      </c>
      <c r="O1" s="353">
        <v>-15</v>
      </c>
      <c r="P1" s="353">
        <v>-16</v>
      </c>
      <c r="Q1" s="353">
        <v>-17</v>
      </c>
      <c r="R1" s="353">
        <v>-18</v>
      </c>
      <c r="S1" s="353">
        <v>-19</v>
      </c>
      <c r="T1" s="353">
        <v>-20</v>
      </c>
      <c r="U1" s="353">
        <v>-21</v>
      </c>
      <c r="V1" s="353">
        <v>-22</v>
      </c>
      <c r="W1" s="353">
        <v>-23</v>
      </c>
      <c r="X1" s="353">
        <v>-24</v>
      </c>
      <c r="Y1" s="353">
        <v>-25</v>
      </c>
      <c r="Z1" s="353">
        <v>-26</v>
      </c>
      <c r="AA1" s="353">
        <v>-27</v>
      </c>
      <c r="AB1" s="353">
        <v>-28</v>
      </c>
      <c r="AC1" s="353">
        <v>-29</v>
      </c>
      <c r="AD1" s="353">
        <v>-30</v>
      </c>
      <c r="AE1" s="353">
        <v>-31</v>
      </c>
      <c r="AF1" s="353">
        <v>-32</v>
      </c>
      <c r="AG1" s="353">
        <v>-33</v>
      </c>
      <c r="AH1" s="353">
        <v>-34</v>
      </c>
      <c r="AI1" s="353">
        <v>-35</v>
      </c>
      <c r="AJ1" s="353">
        <v>-36</v>
      </c>
      <c r="AK1" s="353">
        <v>-37</v>
      </c>
      <c r="AL1" s="353">
        <v>-38</v>
      </c>
      <c r="AM1" s="353">
        <v>-39</v>
      </c>
      <c r="AN1" s="353">
        <v>-40</v>
      </c>
      <c r="AO1" s="353">
        <v>-41</v>
      </c>
      <c r="AP1" s="353">
        <v>-42</v>
      </c>
      <c r="AQ1" s="353">
        <v>-43</v>
      </c>
      <c r="AR1" s="353">
        <v>-44</v>
      </c>
      <c r="AS1" s="353">
        <v>-45</v>
      </c>
      <c r="AT1" s="353"/>
      <c r="AU1" s="353"/>
      <c r="AV1" s="353"/>
      <c r="AW1" s="353"/>
      <c r="AX1" s="353">
        <v>-46</v>
      </c>
      <c r="AY1" s="353">
        <v>-47</v>
      </c>
      <c r="AZ1" s="353">
        <v>-48</v>
      </c>
      <c r="BA1" s="353">
        <v>-49</v>
      </c>
      <c r="BB1" s="353">
        <v>-50</v>
      </c>
      <c r="BC1" s="353">
        <v>-51</v>
      </c>
      <c r="BD1" s="353">
        <v>-52</v>
      </c>
      <c r="BE1" s="353">
        <v>-53</v>
      </c>
      <c r="BF1" s="353">
        <v>-54</v>
      </c>
      <c r="BG1" s="353">
        <v>-55</v>
      </c>
      <c r="BH1" s="353">
        <v>-56</v>
      </c>
      <c r="BI1" s="353">
        <v>-57</v>
      </c>
      <c r="BJ1" s="353">
        <v>-58</v>
      </c>
    </row>
    <row r="2" spans="1:65" x14ac:dyDescent="0.35">
      <c r="B2" s="342"/>
      <c r="C2" s="342"/>
      <c r="D2" s="340"/>
      <c r="E2" s="339"/>
      <c r="F2" s="342"/>
      <c r="G2" s="340"/>
      <c r="H2" s="339"/>
      <c r="I2" s="340"/>
      <c r="J2" s="340"/>
      <c r="K2" s="339"/>
      <c r="L2" s="340"/>
      <c r="M2" s="340"/>
      <c r="N2" s="339"/>
      <c r="O2" s="127"/>
      <c r="P2" s="340"/>
      <c r="Q2" s="339"/>
      <c r="R2" s="342"/>
      <c r="S2" s="340"/>
      <c r="T2" s="339"/>
      <c r="U2" s="127"/>
      <c r="V2" s="340"/>
      <c r="W2" s="339"/>
      <c r="X2" s="340"/>
      <c r="Y2" s="339"/>
      <c r="Z2" s="340"/>
      <c r="AA2" s="339"/>
      <c r="AB2" s="127"/>
      <c r="AC2" s="340"/>
      <c r="AD2" s="339"/>
      <c r="AE2" s="340"/>
      <c r="AF2" s="340"/>
      <c r="AG2" s="340"/>
      <c r="AH2" s="340"/>
      <c r="AI2" s="340"/>
      <c r="AJ2" s="339"/>
      <c r="AK2" s="342"/>
      <c r="AL2" s="340"/>
      <c r="AM2" s="340"/>
      <c r="AN2" s="340"/>
      <c r="AO2" s="339"/>
      <c r="AP2" s="340"/>
      <c r="AQ2" s="339"/>
      <c r="AR2" s="340"/>
      <c r="AS2" s="339"/>
      <c r="AT2" s="339"/>
      <c r="AU2" s="339"/>
      <c r="AV2" s="339"/>
      <c r="AW2" s="339"/>
      <c r="AX2" s="339"/>
      <c r="AY2" s="339"/>
      <c r="AZ2" s="340"/>
      <c r="BA2" s="339"/>
      <c r="BB2" s="339"/>
      <c r="BC2" s="339"/>
      <c r="BD2" s="339"/>
      <c r="BE2" s="339"/>
      <c r="BF2" s="340"/>
      <c r="BG2" s="339"/>
      <c r="BH2" s="340"/>
      <c r="BI2" s="339"/>
      <c r="BJ2" s="340"/>
      <c r="BK2" s="350"/>
    </row>
    <row r="3" spans="1:65" x14ac:dyDescent="0.35">
      <c r="A3" s="337"/>
      <c r="B3" s="768" t="s">
        <v>506</v>
      </c>
      <c r="C3" s="768"/>
      <c r="D3" s="768"/>
      <c r="E3" s="341"/>
      <c r="F3" s="768" t="s">
        <v>546</v>
      </c>
      <c r="G3" s="768"/>
      <c r="H3" s="341"/>
      <c r="I3" s="768" t="s">
        <v>514</v>
      </c>
      <c r="J3" s="768"/>
      <c r="K3" s="341"/>
      <c r="L3" s="768" t="s">
        <v>515</v>
      </c>
      <c r="M3" s="768"/>
      <c r="N3" s="341"/>
      <c r="O3" s="768" t="s">
        <v>535</v>
      </c>
      <c r="P3" s="768"/>
      <c r="Q3" s="341"/>
      <c r="R3" s="768" t="s">
        <v>536</v>
      </c>
      <c r="S3" s="768"/>
      <c r="T3" s="341"/>
      <c r="U3" s="768" t="s">
        <v>537</v>
      </c>
      <c r="V3" s="768"/>
      <c r="W3" s="341"/>
      <c r="X3" s="344" t="s">
        <v>509</v>
      </c>
      <c r="Y3" s="341"/>
      <c r="Z3" s="344" t="s">
        <v>538</v>
      </c>
      <c r="AA3" s="341"/>
      <c r="AB3" s="351" t="s">
        <v>539</v>
      </c>
      <c r="AC3" s="349" t="s">
        <v>539</v>
      </c>
      <c r="AD3" s="341"/>
      <c r="AE3" s="349" t="s">
        <v>407</v>
      </c>
      <c r="AF3" s="349"/>
      <c r="AG3" s="349" t="s">
        <v>617</v>
      </c>
      <c r="AH3" s="349"/>
      <c r="AI3" s="349" t="s">
        <v>519</v>
      </c>
      <c r="AJ3" s="341"/>
      <c r="AK3" s="768" t="s">
        <v>69</v>
      </c>
      <c r="AL3" s="768"/>
      <c r="AM3" s="768"/>
      <c r="AN3" s="768"/>
      <c r="AO3" s="341"/>
      <c r="AP3" s="344" t="s">
        <v>540</v>
      </c>
      <c r="AQ3" s="341"/>
      <c r="AR3" s="344" t="s">
        <v>518</v>
      </c>
      <c r="AS3" s="349"/>
      <c r="AT3" s="349" t="s">
        <v>634</v>
      </c>
      <c r="AU3" s="349"/>
      <c r="AV3" s="349" t="s">
        <v>73</v>
      </c>
      <c r="AW3" s="349"/>
      <c r="AX3" s="349"/>
      <c r="AY3" s="349"/>
      <c r="AZ3" s="344" t="s">
        <v>516</v>
      </c>
      <c r="BA3" s="349"/>
      <c r="BB3" s="349" t="s">
        <v>407</v>
      </c>
      <c r="BC3" s="349"/>
      <c r="BD3" s="349" t="s">
        <v>617</v>
      </c>
      <c r="BE3" s="349"/>
      <c r="BF3" s="344" t="s">
        <v>30</v>
      </c>
      <c r="BG3" s="349"/>
      <c r="BH3" s="344" t="s">
        <v>30</v>
      </c>
      <c r="BI3" s="349"/>
      <c r="BJ3" s="344" t="s">
        <v>30</v>
      </c>
      <c r="BK3" s="127"/>
      <c r="BL3" s="364" t="s">
        <v>221</v>
      </c>
      <c r="BM3" s="465"/>
    </row>
    <row r="4" spans="1:65" x14ac:dyDescent="0.35">
      <c r="A4" s="77" t="s">
        <v>263</v>
      </c>
      <c r="B4" s="346" t="s">
        <v>90</v>
      </c>
      <c r="C4" s="346" t="s">
        <v>521</v>
      </c>
      <c r="D4" s="348" t="s">
        <v>404</v>
      </c>
      <c r="E4" s="345"/>
      <c r="F4" s="346" t="s">
        <v>90</v>
      </c>
      <c r="G4" s="348" t="s">
        <v>528</v>
      </c>
      <c r="H4" s="345"/>
      <c r="I4" s="346" t="s">
        <v>90</v>
      </c>
      <c r="J4" s="348" t="s">
        <v>528</v>
      </c>
      <c r="K4" s="345"/>
      <c r="L4" s="346" t="s">
        <v>90</v>
      </c>
      <c r="M4" s="348" t="s">
        <v>528</v>
      </c>
      <c r="N4" s="345"/>
      <c r="O4" s="352" t="s">
        <v>90</v>
      </c>
      <c r="P4" s="348" t="s">
        <v>528</v>
      </c>
      <c r="Q4" s="345"/>
      <c r="R4" s="346" t="s">
        <v>90</v>
      </c>
      <c r="S4" s="348" t="s">
        <v>528</v>
      </c>
      <c r="T4" s="345"/>
      <c r="U4" s="352" t="s">
        <v>90</v>
      </c>
      <c r="V4" s="348" t="s">
        <v>528</v>
      </c>
      <c r="W4" s="345"/>
      <c r="X4" s="348" t="s">
        <v>541</v>
      </c>
      <c r="Y4" s="345"/>
      <c r="Z4" s="348" t="s">
        <v>528</v>
      </c>
      <c r="AA4" s="345"/>
      <c r="AB4" s="352" t="s">
        <v>542</v>
      </c>
      <c r="AC4" s="347" t="s">
        <v>543</v>
      </c>
      <c r="AD4" s="345"/>
      <c r="AE4" s="347" t="s">
        <v>619</v>
      </c>
      <c r="AF4" s="347"/>
      <c r="AG4" s="557" t="s">
        <v>618</v>
      </c>
      <c r="AH4" s="557"/>
      <c r="AI4" s="347" t="s">
        <v>531</v>
      </c>
      <c r="AJ4" s="345"/>
      <c r="AK4" s="346" t="s">
        <v>90</v>
      </c>
      <c r="AL4" s="348" t="s">
        <v>528</v>
      </c>
      <c r="AM4" s="348" t="s">
        <v>533</v>
      </c>
      <c r="AN4" s="348" t="s">
        <v>534</v>
      </c>
      <c r="AO4" s="345"/>
      <c r="AP4" s="348" t="s">
        <v>528</v>
      </c>
      <c r="AQ4" s="345"/>
      <c r="AR4" s="348" t="s">
        <v>529</v>
      </c>
      <c r="AS4" s="345"/>
      <c r="AT4" s="559" t="s">
        <v>635</v>
      </c>
      <c r="AU4" s="559"/>
      <c r="AV4" s="559" t="s">
        <v>529</v>
      </c>
      <c r="AW4" s="559"/>
      <c r="AX4" s="345" t="s">
        <v>404</v>
      </c>
      <c r="AY4" s="345"/>
      <c r="AZ4" s="348" t="s">
        <v>529</v>
      </c>
      <c r="BA4" s="345"/>
      <c r="BB4" s="345" t="s">
        <v>606</v>
      </c>
      <c r="BC4" s="345"/>
      <c r="BD4" s="559" t="s">
        <v>618</v>
      </c>
      <c r="BE4" s="559"/>
      <c r="BF4" s="348" t="s">
        <v>544</v>
      </c>
      <c r="BG4" s="345"/>
      <c r="BH4" s="348" t="s">
        <v>545</v>
      </c>
      <c r="BI4" s="345"/>
      <c r="BJ4" s="348" t="s">
        <v>528</v>
      </c>
      <c r="BK4" s="127"/>
      <c r="BL4" s="364" t="s">
        <v>30</v>
      </c>
      <c r="BM4" s="465"/>
    </row>
    <row r="5" spans="1:65" x14ac:dyDescent="0.35">
      <c r="A5" s="361">
        <f>'Input Data'!C7</f>
        <v>44593</v>
      </c>
      <c r="B5" s="496">
        <v>821863.49999999988</v>
      </c>
      <c r="C5" s="497">
        <v>31230.809999999994</v>
      </c>
      <c r="D5" s="497">
        <v>546.01</v>
      </c>
      <c r="E5" s="498"/>
      <c r="F5" s="492">
        <v>8851.499999999849</v>
      </c>
      <c r="G5" s="562">
        <v>24230.399999999998</v>
      </c>
      <c r="H5" s="498"/>
      <c r="I5" s="496">
        <v>-2916.000000000151</v>
      </c>
      <c r="J5" s="497">
        <v>-4967.1100000000006</v>
      </c>
      <c r="K5" s="498"/>
      <c r="L5" s="496">
        <v>940</v>
      </c>
      <c r="M5" s="497">
        <v>6065.44</v>
      </c>
      <c r="N5" s="498">
        <v>0</v>
      </c>
      <c r="O5" s="491">
        <v>73</v>
      </c>
      <c r="P5" s="562">
        <v>135.68</v>
      </c>
      <c r="Q5" s="498"/>
      <c r="R5" s="496">
        <v>-26</v>
      </c>
      <c r="S5" s="497">
        <v>-39.33</v>
      </c>
      <c r="T5" s="498"/>
      <c r="U5" s="496">
        <v>0</v>
      </c>
      <c r="V5" s="497">
        <v>0</v>
      </c>
      <c r="W5" s="498"/>
      <c r="X5" s="497">
        <v>4044.26</v>
      </c>
      <c r="Y5" s="498"/>
      <c r="Z5" s="497">
        <v>21637.9</v>
      </c>
      <c r="AA5" s="498"/>
      <c r="AB5" s="496">
        <v>7785.2999999999993</v>
      </c>
      <c r="AC5" s="497">
        <v>295.84000000000003</v>
      </c>
      <c r="AD5" s="498"/>
      <c r="AE5" s="497">
        <v>8054.2199999999975</v>
      </c>
      <c r="AF5" s="497"/>
      <c r="AG5" s="497">
        <v>0</v>
      </c>
      <c r="AH5" s="497"/>
      <c r="AI5" s="497">
        <v>450.72</v>
      </c>
      <c r="AJ5" s="498"/>
      <c r="AK5" s="496">
        <v>75790</v>
      </c>
      <c r="AL5" s="497">
        <v>9467.83</v>
      </c>
      <c r="AM5" s="497">
        <v>2838.7777208187354</v>
      </c>
      <c r="AN5" s="497">
        <v>6629.0522791812655</v>
      </c>
      <c r="AO5" s="498"/>
      <c r="AP5" s="497">
        <v>46025</v>
      </c>
      <c r="AQ5" s="498"/>
      <c r="AR5" s="497">
        <v>0</v>
      </c>
      <c r="AS5" s="498"/>
      <c r="AT5" s="498">
        <v>55500</v>
      </c>
      <c r="AU5" s="498"/>
      <c r="AV5" s="498">
        <v>378244.46999999986</v>
      </c>
      <c r="AW5" s="498"/>
      <c r="AX5" s="498">
        <v>0</v>
      </c>
      <c r="AY5" s="498"/>
      <c r="AZ5" s="497">
        <v>0.15</v>
      </c>
      <c r="BA5" s="498"/>
      <c r="BB5" s="498">
        <v>0.04</v>
      </c>
      <c r="BC5" s="498"/>
      <c r="BD5" s="560">
        <v>0</v>
      </c>
      <c r="BE5" s="498"/>
      <c r="BF5" s="497">
        <v>1037.02</v>
      </c>
      <c r="BG5" s="498"/>
      <c r="BH5" s="497">
        <v>19997.599999999999</v>
      </c>
      <c r="BI5" s="498"/>
      <c r="BJ5" s="497">
        <v>575215.79</v>
      </c>
      <c r="BK5" s="127"/>
      <c r="BL5" s="365">
        <f>C5+D5+J5+M5+S5+V5+X5+Z5+AC5+AE5+AG5+AI5+AL5+AP5+AR5+AT5+AV5+AZ5+BB5+BD5+BF5+BH5+AX5</f>
        <v>577590.86999999988</v>
      </c>
      <c r="BM5" s="364" t="str">
        <f>IF(BJ5=BL5,"ok","error")</f>
        <v>error</v>
      </c>
    </row>
    <row r="6" spans="1:65" x14ac:dyDescent="0.35">
      <c r="A6" s="361">
        <f>EOMONTH(A5,1)</f>
        <v>44651</v>
      </c>
      <c r="B6" s="496">
        <v>826413.50000000012</v>
      </c>
      <c r="C6" s="497">
        <v>31403.730000000003</v>
      </c>
      <c r="D6" s="497">
        <v>548.52</v>
      </c>
      <c r="E6" s="498"/>
      <c r="F6" s="492">
        <f>I6+L6</f>
        <v>3502.6000000000531</v>
      </c>
      <c r="G6" s="562">
        <f>J6+M6</f>
        <v>60048.569999999992</v>
      </c>
      <c r="H6" s="498"/>
      <c r="I6" s="496">
        <v>-10321.399999999947</v>
      </c>
      <c r="J6" s="497">
        <v>-13640.579999999998</v>
      </c>
      <c r="K6" s="498"/>
      <c r="L6" s="496">
        <v>13824</v>
      </c>
      <c r="M6" s="497">
        <v>73689.149999999994</v>
      </c>
      <c r="N6" s="498">
        <v>0</v>
      </c>
      <c r="O6" s="491">
        <f>R6+U6</f>
        <v>-14</v>
      </c>
      <c r="P6" s="562">
        <f>S6+V6</f>
        <v>-26.95</v>
      </c>
      <c r="Q6" s="498"/>
      <c r="R6" s="496">
        <v>-14</v>
      </c>
      <c r="S6" s="497">
        <v>-26.95</v>
      </c>
      <c r="T6" s="498"/>
      <c r="U6" s="496">
        <v>0</v>
      </c>
      <c r="V6" s="497">
        <v>0</v>
      </c>
      <c r="W6" s="498"/>
      <c r="X6" s="497">
        <v>3498.95</v>
      </c>
      <c r="Y6" s="498"/>
      <c r="Z6" s="497">
        <v>0</v>
      </c>
      <c r="AA6" s="498"/>
      <c r="AB6" s="496">
        <v>6835.2</v>
      </c>
      <c r="AC6" s="497">
        <v>259.73</v>
      </c>
      <c r="AD6" s="498"/>
      <c r="AE6" s="497">
        <v>8098.88</v>
      </c>
      <c r="AF6" s="497"/>
      <c r="AG6" s="497">
        <v>0</v>
      </c>
      <c r="AH6" s="497"/>
      <c r="AI6" s="497">
        <v>450.4</v>
      </c>
      <c r="AJ6" s="498"/>
      <c r="AK6" s="496">
        <v>53126</v>
      </c>
      <c r="AL6" s="562">
        <v>16826.89</v>
      </c>
      <c r="AM6" s="497">
        <v>5045.2744126867055</v>
      </c>
      <c r="AN6" s="497">
        <v>11781.615587313294</v>
      </c>
      <c r="AO6" s="498"/>
      <c r="AP6" s="497">
        <v>46025</v>
      </c>
      <c r="AQ6" s="498"/>
      <c r="AR6" s="497">
        <v>0</v>
      </c>
      <c r="AS6" s="498"/>
      <c r="AT6" s="498">
        <v>55500</v>
      </c>
      <c r="AU6" s="498"/>
      <c r="AV6" s="498">
        <v>378639.58999999985</v>
      </c>
      <c r="AW6" s="498"/>
      <c r="AX6" s="498">
        <v>0</v>
      </c>
      <c r="AY6" s="498"/>
      <c r="AZ6" s="497">
        <v>0</v>
      </c>
      <c r="BA6" s="498"/>
      <c r="BB6" s="498">
        <v>0</v>
      </c>
      <c r="BC6" s="498"/>
      <c r="BD6" s="560">
        <v>0</v>
      </c>
      <c r="BE6" s="498"/>
      <c r="BF6" s="497">
        <v>1038.69</v>
      </c>
      <c r="BG6" s="498"/>
      <c r="BH6" s="497">
        <v>19993.459999999995</v>
      </c>
      <c r="BI6" s="498"/>
      <c r="BJ6" s="497">
        <v>576303.05000000005</v>
      </c>
      <c r="BK6" s="127"/>
      <c r="BL6" s="365">
        <f>C6+D6+J6+M6+S6+V6+X6+Z6+AC6+AE6+AG6+AI6+AL6+AP6+AR6+AT6+AV6+AZ6+BB6+BD6+BF6+BH6+AX6</f>
        <v>622305.45999999973</v>
      </c>
      <c r="BM6" s="364" t="str">
        <f>IF(BJ6=BL6,"ok","error")</f>
        <v>error</v>
      </c>
    </row>
    <row r="7" spans="1:65" x14ac:dyDescent="0.35">
      <c r="A7" s="361">
        <f>EOMONTH(A6,1)</f>
        <v>44681</v>
      </c>
      <c r="B7" s="491">
        <v>1025608.5999999999</v>
      </c>
      <c r="C7" s="562">
        <v>38973.14</v>
      </c>
      <c r="D7" s="562">
        <v>591.17999999999995</v>
      </c>
      <c r="E7" s="563"/>
      <c r="F7" s="492">
        <f>I7+L7</f>
        <v>-7483.4000000000633</v>
      </c>
      <c r="G7" s="562">
        <f>J7+M7</f>
        <v>-8127.72</v>
      </c>
      <c r="H7" s="563"/>
      <c r="I7" s="491">
        <v>-7483.4000000000633</v>
      </c>
      <c r="J7" s="562">
        <v>-8127.72</v>
      </c>
      <c r="K7" s="563"/>
      <c r="L7" s="491">
        <v>0</v>
      </c>
      <c r="M7" s="562">
        <v>0</v>
      </c>
      <c r="N7" s="564">
        <v>0</v>
      </c>
      <c r="O7" s="491">
        <f>R7+U7</f>
        <v>-2599</v>
      </c>
      <c r="P7" s="562">
        <f>S7+V7</f>
        <v>-4659.6299999999992</v>
      </c>
      <c r="Q7" s="563"/>
      <c r="R7" s="491">
        <v>-2599</v>
      </c>
      <c r="S7" s="562">
        <v>-4659.6299999999992</v>
      </c>
      <c r="T7" s="563"/>
      <c r="U7" s="491">
        <v>0</v>
      </c>
      <c r="V7" s="562">
        <v>0</v>
      </c>
      <c r="W7" s="563"/>
      <c r="X7" s="562">
        <v>2800.09</v>
      </c>
      <c r="Y7" s="563"/>
      <c r="Z7" s="562">
        <v>0</v>
      </c>
      <c r="AA7" s="563"/>
      <c r="AB7" s="491">
        <v>4129.9000000000005</v>
      </c>
      <c r="AC7" s="562">
        <v>156.92999999999995</v>
      </c>
      <c r="AD7" s="563"/>
      <c r="AE7" s="562">
        <v>10050.920000000002</v>
      </c>
      <c r="AF7" s="562"/>
      <c r="AG7" s="562">
        <v>0</v>
      </c>
      <c r="AH7" s="562"/>
      <c r="AI7" s="562">
        <v>454.75999999999993</v>
      </c>
      <c r="AJ7" s="563"/>
      <c r="AK7" s="491">
        <v>54190</v>
      </c>
      <c r="AL7" s="562">
        <v>18434.580000000002</v>
      </c>
      <c r="AM7" s="562">
        <v>5527.314600774479</v>
      </c>
      <c r="AN7" s="562">
        <v>12907.265399225522</v>
      </c>
      <c r="AO7" s="563"/>
      <c r="AP7" s="562">
        <v>45400</v>
      </c>
      <c r="AQ7" s="563"/>
      <c r="AR7" s="562">
        <v>0</v>
      </c>
      <c r="AS7" s="563"/>
      <c r="AT7" s="564">
        <v>54750</v>
      </c>
      <c r="AU7" s="563"/>
      <c r="AV7" s="564">
        <v>378553.02999999991</v>
      </c>
      <c r="AW7" s="563"/>
      <c r="AX7" s="564">
        <v>1.88</v>
      </c>
      <c r="AY7" s="563"/>
      <c r="AZ7" s="562">
        <v>15.09</v>
      </c>
      <c r="BA7" s="563"/>
      <c r="BB7" s="564">
        <v>3.89</v>
      </c>
      <c r="BC7" s="563"/>
      <c r="BD7" s="565">
        <v>0</v>
      </c>
      <c r="BE7" s="563"/>
      <c r="BF7" s="562">
        <v>1091.5900000000001</v>
      </c>
      <c r="BG7" s="563"/>
      <c r="BH7" s="562">
        <v>19637.5</v>
      </c>
      <c r="BI7" s="563"/>
      <c r="BJ7" s="562">
        <v>574304.44000000018</v>
      </c>
      <c r="BK7" s="127"/>
      <c r="BL7" s="365">
        <f>C7+D7+J7+M7+S7+V7+X7+Z7+AC7+AE7+AG7+AI7+AL7+AP7+AR7+AT7+AV7+AZ7+BB7+BD7+BF7+BH7+AX7</f>
        <v>558127.22999999986</v>
      </c>
      <c r="BM7" s="364" t="str">
        <f>IF(BJ7=BL7,"ok","error")</f>
        <v>error</v>
      </c>
    </row>
    <row r="8" spans="1:65" customFormat="1" x14ac:dyDescent="0.3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354"/>
    </row>
    <row r="9" spans="1:65" customFormat="1" x14ac:dyDescent="0.35">
      <c r="A9" s="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65" customFormat="1" x14ac:dyDescent="0.35"/>
    <row r="11" spans="1:65" customFormat="1" x14ac:dyDescent="0.35"/>
    <row r="12" spans="1:65" customFormat="1" x14ac:dyDescent="0.35"/>
    <row r="13" spans="1:65" customFormat="1" x14ac:dyDescent="0.35"/>
    <row r="14" spans="1:65" customFormat="1" x14ac:dyDescent="0.35"/>
    <row r="15" spans="1:65" customFormat="1" x14ac:dyDescent="0.35"/>
    <row r="16" spans="1:65" customFormat="1" x14ac:dyDescent="0.35"/>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38</vt:i4>
      </vt:variant>
      <vt:variant>
        <vt:lpstr>Named Ranges</vt:lpstr>
      </vt:variant>
      <vt:variant>
        <vt:i4>29</vt:i4>
      </vt:variant>
    </vt:vector>
  </HeadingPairs>
  <TitlesOfParts>
    <vt:vector size="67" baseType="lpstr">
      <vt:lpstr>Change Version Control Log</vt: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'Change Version Control Log'!Print_Area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'Change Version Control Log'!Print_Titles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Wright, Samuel</cp:lastModifiedBy>
  <cp:lastPrinted>2022-06-28T13:42:30Z</cp:lastPrinted>
  <dcterms:created xsi:type="dcterms:W3CDTF">2006-10-04T20:02:49Z</dcterms:created>
  <dcterms:modified xsi:type="dcterms:W3CDTF">2022-06-28T15:43:44Z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2020-12-23T16:38:23Z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a209245f-6fc9-4e75-b1fe-000013019352</vt:lpwstr>
  </property>
  <property fmtid="{D5CDD505-2E9C-101B-9397-08002B2CF9AE}" pid="8" name="MSIP_Label_e965de27-20ef-4eb5-94ff-abaf6a06cb9e_ContentBits">
    <vt:lpwstr>0</vt:lpwstr>
  </property>
</Properties>
</file>