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2 PSC Rate Case\Data Requests\Data Request 1 - Due 08.03.2022\Final\"/>
    </mc:Choice>
  </mc:AlternateContent>
  <xr:revisionPtr revIDLastSave="0" documentId="13_ncr:1_{D8544FD8-1E3B-4C82-B5F8-407BA7C4839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JEs and Explanation" sheetId="1" r:id="rId1"/>
    <sheet name="revenue detail" sheetId="3" r:id="rId2"/>
    <sheet name="Proforma to COS Rec" sheetId="4" r:id="rId3"/>
  </sheets>
  <definedNames>
    <definedName name="_xlnm.Print_Area" localSheetId="0">'JEs and Explanation'!$A$1:$K$96</definedName>
    <definedName name="_xlnm.Print_Area" localSheetId="2">'Proforma to COS Rec'!$E$4:$H$40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1" l="1"/>
  <c r="J35" i="1"/>
  <c r="J42" i="1"/>
  <c r="J28" i="1"/>
  <c r="F19" i="4"/>
  <c r="G17" i="4"/>
  <c r="G16" i="4"/>
  <c r="G15" i="4"/>
  <c r="G8" i="3"/>
  <c r="G9" i="4"/>
  <c r="E57" i="1" l="1"/>
  <c r="D54" i="1"/>
  <c r="J52" i="1" l="1"/>
  <c r="J36" i="1"/>
  <c r="D46" i="1"/>
  <c r="E50" i="1" s="1"/>
  <c r="D38" i="1" l="1"/>
  <c r="J32" i="1" s="1"/>
  <c r="E35" i="1"/>
  <c r="E18" i="1" l="1"/>
  <c r="J12" i="1" s="1"/>
  <c r="J51" i="1" l="1"/>
  <c r="E74" i="1" l="1"/>
  <c r="F21" i="4" l="1"/>
  <c r="G19" i="4" s="1"/>
  <c r="G23" i="4" l="1"/>
  <c r="F23" i="3"/>
  <c r="F22" i="3"/>
  <c r="F21" i="3"/>
  <c r="F17" i="3"/>
  <c r="E70" i="1" s="1"/>
  <c r="F16" i="3"/>
  <c r="F12" i="3"/>
  <c r="E69" i="1" s="1"/>
  <c r="F11" i="3"/>
  <c r="E68" i="1" s="1"/>
  <c r="F10" i="3"/>
  <c r="E67" i="1" s="1"/>
  <c r="F9" i="3"/>
  <c r="E66" i="1" s="1"/>
  <c r="F8" i="3"/>
  <c r="E65" i="1" s="1"/>
  <c r="F7" i="3"/>
  <c r="E64" i="1" s="1"/>
  <c r="G28" i="3"/>
  <c r="D63" i="1" l="1"/>
  <c r="F14" i="3"/>
  <c r="F19" i="3" s="1"/>
  <c r="F25" i="3" s="1"/>
  <c r="G14" i="3"/>
  <c r="G19" i="3" s="1"/>
  <c r="G10" i="4" s="1"/>
  <c r="G11" i="4" s="1"/>
  <c r="G25" i="3" l="1"/>
  <c r="G27" i="3"/>
  <c r="G29" i="3" s="1"/>
  <c r="G35" i="4" l="1"/>
  <c r="G40" i="4"/>
  <c r="J41" i="1" l="1"/>
  <c r="E28" i="3" l="1"/>
  <c r="D23" i="3"/>
  <c r="D22" i="3"/>
  <c r="D21" i="3"/>
  <c r="D17" i="3"/>
  <c r="E60" i="1" s="1"/>
  <c r="D16" i="3"/>
  <c r="E14" i="3"/>
  <c r="E19" i="3" s="1"/>
  <c r="C14" i="3"/>
  <c r="C19" i="3" s="1"/>
  <c r="C25" i="3" s="1"/>
  <c r="D12" i="3"/>
  <c r="E59" i="1" s="1"/>
  <c r="D11" i="3"/>
  <c r="E58" i="1" s="1"/>
  <c r="D10" i="3"/>
  <c r="D9" i="3"/>
  <c r="E56" i="1" s="1"/>
  <c r="D8" i="3"/>
  <c r="E55" i="1" s="1"/>
  <c r="D7" i="3"/>
  <c r="D53" i="1" l="1"/>
  <c r="J46" i="1"/>
  <c r="E27" i="3"/>
  <c r="E29" i="3" s="1"/>
  <c r="E25" i="3"/>
  <c r="D14" i="3"/>
  <c r="D19" i="3" s="1"/>
  <c r="D25" i="3" s="1"/>
  <c r="J39" i="1" l="1"/>
  <c r="J31" i="1" l="1"/>
  <c r="J33" i="1" l="1"/>
  <c r="J15" i="1"/>
  <c r="E39" i="1"/>
  <c r="J20" i="1"/>
  <c r="J22" i="1" s="1"/>
  <c r="E26" i="1" l="1"/>
  <c r="J14" i="1" l="1"/>
  <c r="E30" i="1"/>
  <c r="J11" i="1" l="1"/>
  <c r="J10" i="1"/>
  <c r="J13" i="1"/>
  <c r="J16" i="1" l="1"/>
  <c r="E8" i="1"/>
  <c r="E22" i="1"/>
  <c r="E12" i="1"/>
  <c r="J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Lindsey Rechtin</author>
    <author>Stacey Kampsen</author>
  </authors>
  <commentList>
    <comment ref="H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Lindsey Rechtin:</t>
        </r>
        <r>
          <rPr>
            <sz val="9"/>
            <color indexed="81"/>
            <rFont val="Tahoma"/>
            <family val="2"/>
          </rPr>
          <t xml:space="preserve">
131-0020-000</t>
        </r>
      </text>
    </comment>
    <comment ref="H27" authorId="1" shapeId="0" xr:uid="{88BD4220-B107-47A6-BAD3-BD50F9C07C08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132-0053-000</t>
        </r>
      </text>
    </comment>
    <comment ref="H2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Lindsey Rechtin:</t>
        </r>
        <r>
          <rPr>
            <sz val="9"/>
            <color indexed="81"/>
            <rFont val="Tahoma"/>
            <family val="2"/>
          </rPr>
          <t xml:space="preserve">
132-0001-000</t>
        </r>
      </text>
    </comment>
    <comment ref="D46" authorId="1" shapeId="0" xr:uid="{F59E1004-3A4F-470C-A0A1-1A8A4F73CBA7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rounding per Plan of Finance Use of Funds plus interest earned on capitalized interest account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Stacey Kampsen</author>
  </authors>
  <commentList>
    <comment ref="G8" authorId="0" shapeId="0" xr:uid="{52304416-0C88-4AFE-A6F5-6838A14C2EA2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-1 rounding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Stacey Kampsen</author>
  </authors>
  <commentList>
    <comment ref="F19" authorId="0" shapeId="0" xr:uid="{1E0A0E4B-87B9-4891-A63D-F54EFA4EBA2D}">
      <text>
        <r>
          <rPr>
            <b/>
            <sz val="9"/>
            <color indexed="81"/>
            <rFont val="Tahoma"/>
            <family val="2"/>
          </rPr>
          <t>Stacey Kampsen:</t>
        </r>
        <r>
          <rPr>
            <sz val="9"/>
            <color indexed="81"/>
            <rFont val="Tahoma"/>
            <family val="2"/>
          </rPr>
          <t xml:space="preserve">
+2 rounding</t>
        </r>
      </text>
    </comment>
  </commentList>
</comments>
</file>

<file path=xl/sharedStrings.xml><?xml version="1.0" encoding="utf-8"?>
<sst xmlns="http://schemas.openxmlformats.org/spreadsheetml/2006/main" count="253" uniqueCount="182">
  <si>
    <t>Northern Kentucky Water District</t>
  </si>
  <si>
    <t>Proforma Journal Entries</t>
  </si>
  <si>
    <t>to record proforma wages</t>
  </si>
  <si>
    <t>to record proforma capitalized wages</t>
  </si>
  <si>
    <t>to record proforma pension expense</t>
  </si>
  <si>
    <t>to record proforma health, dental, life and AD&amp;D expense</t>
  </si>
  <si>
    <t>Operating &amp; Maintenance Expense Adjustments</t>
  </si>
  <si>
    <t>Salaries</t>
  </si>
  <si>
    <t>Less: Capitalized</t>
  </si>
  <si>
    <t>Employee Insurance</t>
  </si>
  <si>
    <t>Pension</t>
  </si>
  <si>
    <t>to record proforma chemical expense</t>
  </si>
  <si>
    <t>Chemical</t>
  </si>
  <si>
    <t>Taxes Other Than Income Adjustments</t>
  </si>
  <si>
    <t>FICA</t>
  </si>
  <si>
    <t>to record proforma FICA expense</t>
  </si>
  <si>
    <t>Total O&amp;M Adj</t>
  </si>
  <si>
    <t>Total Taxes Other</t>
  </si>
  <si>
    <t xml:space="preserve"> Than Income Adj</t>
  </si>
  <si>
    <t>Contractual Svcs - Resevoir Cleaning</t>
  </si>
  <si>
    <t>to record proforma FTTP solids (sludge) removal</t>
  </si>
  <si>
    <t>to record one year exp. of  proforma FTTP solids (sludge) removal</t>
  </si>
  <si>
    <t>Balance Sheet Adjustments</t>
  </si>
  <si>
    <t>Regulatory Asset</t>
  </si>
  <si>
    <t>Less: Amortization</t>
  </si>
  <si>
    <t>Net Regulatory Adjustments</t>
  </si>
  <si>
    <t>Bond Anticipation Notes Payable</t>
  </si>
  <si>
    <t>Other Accrued Liabilities</t>
  </si>
  <si>
    <t>Current Portion of LTD</t>
  </si>
  <si>
    <t>Total Water Sales</t>
  </si>
  <si>
    <t>Revenue Adjustments</t>
  </si>
  <si>
    <t>Dr. Underwriter's discount</t>
  </si>
  <si>
    <t>Dr. Debt Service Reserve Fund</t>
  </si>
  <si>
    <t>Explanations/Assumptions:</t>
  </si>
  <si>
    <t>All payroll related items (wages, cap labor, health, pension,</t>
  </si>
  <si>
    <t>expense will be amortized.</t>
  </si>
  <si>
    <t>Operating Revenues</t>
  </si>
  <si>
    <t>Metered Sales</t>
  </si>
  <si>
    <t>Sales to Residential Customers</t>
  </si>
  <si>
    <t>Sales to Commercial Customers</t>
  </si>
  <si>
    <t>Sales to Industrial Customers</t>
  </si>
  <si>
    <t>Sales to Public Authorities</t>
  </si>
  <si>
    <t>Sales to Multiple Family Dwellings</t>
  </si>
  <si>
    <t>Sales Through Bulk Loading Stations</t>
  </si>
  <si>
    <t>Total Metered Sales</t>
  </si>
  <si>
    <t>Fire Protection Revenue</t>
  </si>
  <si>
    <t>Sales for Resale</t>
  </si>
  <si>
    <t>Rents from Water Property</t>
  </si>
  <si>
    <t>Other Water Revenues</t>
  </si>
  <si>
    <t>Total Operating Revenues</t>
  </si>
  <si>
    <t>Current</t>
  </si>
  <si>
    <t>Adjustments</t>
  </si>
  <si>
    <t>Proforma</t>
  </si>
  <si>
    <t>Forfeited Discounts</t>
  </si>
  <si>
    <t>Amortization</t>
  </si>
  <si>
    <t>Debt Service Reserve</t>
  </si>
  <si>
    <t>Increase (Decrease)</t>
  </si>
  <si>
    <t>Nonoperating Adjustments</t>
  </si>
  <si>
    <t>Revenues Water Sales - COS</t>
  </si>
  <si>
    <t>Reconciliation of Proforma to COS</t>
  </si>
  <si>
    <t>Revenues Water Sales - Proforma</t>
  </si>
  <si>
    <t>Difference</t>
  </si>
  <si>
    <t>Other Operating/Non-Operating Revenue - COS</t>
  </si>
  <si>
    <t>Forfeited Discounts - Proforma</t>
  </si>
  <si>
    <t>Rents from Property - Proforma</t>
  </si>
  <si>
    <t>Other Water Revenues - Proforma</t>
  </si>
  <si>
    <t>Operation and Maintenance - COS</t>
  </si>
  <si>
    <t>Utility Plant Acquistion Adj. - COS</t>
  </si>
  <si>
    <t>Amort. Of Sludge Removal - COS</t>
  </si>
  <si>
    <t>Depreciation - COS</t>
  </si>
  <si>
    <t>Depreciation - Proforma</t>
  </si>
  <si>
    <t>Taxes Other Than Income - COS</t>
  </si>
  <si>
    <t>O&amp;M Expenses - Proforma</t>
  </si>
  <si>
    <t>rounding</t>
  </si>
  <si>
    <t>Reconciliation of Operating Expenses:</t>
  </si>
  <si>
    <t>PV of Rates</t>
  </si>
  <si>
    <t>Step 2 Rates</t>
  </si>
  <si>
    <t>to record proforma revenue - adjust to revenues, present rates</t>
  </si>
  <si>
    <t>to record proforma revenue - adjust to revenues, step 2 rates</t>
  </si>
  <si>
    <t>agrees to Gannett Fleming Sch A, Revenues, Step 2</t>
  </si>
  <si>
    <t>Surcharge Revenue</t>
  </si>
  <si>
    <t>Miscellaneous</t>
  </si>
  <si>
    <t>Sub-Total: Interest Earnings - Proforma</t>
  </si>
  <si>
    <t>Dividend &amp; Interest Income</t>
  </si>
  <si>
    <t>Unrealized Gain/Loss</t>
  </si>
  <si>
    <t>Reconciliation of Revenues:</t>
  </si>
  <si>
    <t>to adjust restricted debt service to 3 year average payment</t>
  </si>
  <si>
    <t>Cash - Bond Proceeds Fund</t>
  </si>
  <si>
    <t>JE #</t>
  </si>
  <si>
    <t>Cash - O&amp;M</t>
  </si>
  <si>
    <t>Account Description</t>
  </si>
  <si>
    <t>Account Number</t>
  </si>
  <si>
    <t xml:space="preserve">Dr. Wage Expense </t>
  </si>
  <si>
    <t>601-3100-001</t>
  </si>
  <si>
    <t>Cr. Cash</t>
  </si>
  <si>
    <t xml:space="preserve">Dr. Capitalized Labor </t>
  </si>
  <si>
    <t>184-4005-000</t>
  </si>
  <si>
    <t>Cr. Wage Expense</t>
  </si>
  <si>
    <t xml:space="preserve">Dr. Health Insurance Expense </t>
  </si>
  <si>
    <t xml:space="preserve">Cr. Cash </t>
  </si>
  <si>
    <t xml:space="preserve">Dr. Pension Expense </t>
  </si>
  <si>
    <t>Dr. FICA Expense</t>
  </si>
  <si>
    <t xml:space="preserve">Dr. Chemical Expense </t>
  </si>
  <si>
    <t xml:space="preserve">Dr. Prepaid Reservoir Cleaning </t>
  </si>
  <si>
    <t xml:space="preserve">Cr. Prepaid Reservoir Cleaning </t>
  </si>
  <si>
    <t>Dr. Accrued Interest Payable</t>
  </si>
  <si>
    <t xml:space="preserve">Dr. Cost of Issuance </t>
  </si>
  <si>
    <t>Dr. Cash</t>
  </si>
  <si>
    <t xml:space="preserve">Cr. Revenue - Residential </t>
  </si>
  <si>
    <t>Cr. Revenue - Commercial</t>
  </si>
  <si>
    <t xml:space="preserve">Cr. Revenue - Industrial </t>
  </si>
  <si>
    <t xml:space="preserve">Cr. Revenue - Public Authority </t>
  </si>
  <si>
    <t xml:space="preserve">Cr. Revenue - Multi-family </t>
  </si>
  <si>
    <t>Cr. Revenue - Income - Resale Water Sales</t>
  </si>
  <si>
    <t xml:space="preserve">Dr. Cash </t>
  </si>
  <si>
    <t>604-3400-001</t>
  </si>
  <si>
    <t xml:space="preserve"> 699-3000-001</t>
  </si>
  <si>
    <t>618-3000-001</t>
  </si>
  <si>
    <t>162-0006-000</t>
  </si>
  <si>
    <t>635-4000-027</t>
  </si>
  <si>
    <t>232-0012-000</t>
  </si>
  <si>
    <t>528-0002-000</t>
  </si>
  <si>
    <t>132-0001-000</t>
  </si>
  <si>
    <t>131-0020-000</t>
  </si>
  <si>
    <t>237-0000-000</t>
  </si>
  <si>
    <t>461-0100-000</t>
  </si>
  <si>
    <t>461-0101-000</t>
  </si>
  <si>
    <t>461-0102-000</t>
  </si>
  <si>
    <t>461-0103-000</t>
  </si>
  <si>
    <t>461-0104-000</t>
  </si>
  <si>
    <t>461-0011-000</t>
  </si>
  <si>
    <t>466-0001-000</t>
  </si>
  <si>
    <t xml:space="preserve"> 461-0101-000</t>
  </si>
  <si>
    <t xml:space="preserve"> 466-0001-000</t>
  </si>
  <si>
    <t xml:space="preserve">Dr. Contractual Svcs - Reservoir Cleaning </t>
  </si>
  <si>
    <t xml:space="preserve">Cr. Revenue - Commercial </t>
  </si>
  <si>
    <t xml:space="preserve">Cr. Revenue - Bulk loading </t>
  </si>
  <si>
    <t xml:space="preserve">Cr. Revenue - Income - Resale Water Sales </t>
  </si>
  <si>
    <t xml:space="preserve">Dr. </t>
  </si>
  <si>
    <t xml:space="preserve">Cr. </t>
  </si>
  <si>
    <t xml:space="preserve">Agrees </t>
  </si>
  <si>
    <t>to VL</t>
  </si>
  <si>
    <t>Cr. Cash - O&amp;M</t>
  </si>
  <si>
    <t>Dr. Cash - Bond P&amp;I</t>
  </si>
  <si>
    <t>133-0181-000</t>
  </si>
  <si>
    <t>Long-term debt - bonds</t>
  </si>
  <si>
    <t>Long-term debt - notes</t>
  </si>
  <si>
    <t>Cash - Debt Service Account NC</t>
  </si>
  <si>
    <t>Cash - Debt Service Account Current</t>
  </si>
  <si>
    <t>Dr. Dental Insurance Expense</t>
  </si>
  <si>
    <t>604-3401-001</t>
  </si>
  <si>
    <t>Dr. Life Insurance Expense</t>
  </si>
  <si>
    <t>604-3402-001</t>
  </si>
  <si>
    <t>604-3300-001</t>
  </si>
  <si>
    <t>Test Year December 31, 2021</t>
  </si>
  <si>
    <t>Cr. FTTP N. Reservoir Residual Removal</t>
  </si>
  <si>
    <t>184-4007-000</t>
  </si>
  <si>
    <t>Dr. 2021A BAN Payable</t>
  </si>
  <si>
    <t>Cr. Capitalized Interest BAN 2021A</t>
  </si>
  <si>
    <t>132-0054-000</t>
  </si>
  <si>
    <t>132-0053-000</t>
  </si>
  <si>
    <t>Dr. Interest Expense</t>
  </si>
  <si>
    <t>527-0001-000</t>
  </si>
  <si>
    <t>Dr. Bond Proceeds Fund BAN 2021A</t>
  </si>
  <si>
    <t>Cr. Long Term Debt - Bond 2023</t>
  </si>
  <si>
    <t>to record proforma payoff of BAN 2021A and issuance of Bond 2023</t>
  </si>
  <si>
    <t>221-0042-000</t>
  </si>
  <si>
    <t>Interest Expense</t>
  </si>
  <si>
    <t>as of 12/31/21</t>
  </si>
  <si>
    <t>The proforma chemical expense is an adjustment applying chemical bid prices</t>
  </si>
  <si>
    <t>and GAC contactors at bid prices effective 4/1/22</t>
  </si>
  <si>
    <t xml:space="preserve">for an in service no later than 12/31/2022. One year of the </t>
  </si>
  <si>
    <t>The FTTP north resevoir cleaning expense is expected to be fully paid</t>
  </si>
  <si>
    <t xml:space="preserve">The 2021A BAN will come due February 1, 2023 for $24.7M. </t>
  </si>
  <si>
    <t>A bond is expected to be issued 2/1/23 for $27.3M to pay off</t>
  </si>
  <si>
    <t>the $24.7 2021A BAN.</t>
  </si>
  <si>
    <t>x</t>
  </si>
  <si>
    <t>Construction in Progress</t>
  </si>
  <si>
    <t>Accrued Interest Payable</t>
  </si>
  <si>
    <t>The proforma revenues have been adjusted for normalization.</t>
  </si>
  <si>
    <t>FICA) should go into effect January 1, 2023.</t>
  </si>
  <si>
    <t xml:space="preserve">effective 7/1/2022 to the three year average of chemical usage for 7/1/2018-6/30/2021,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</si>
</sst>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0" xfId="0" applyNumberFormat="1"/>
    <xf numFmtId="164" fontId="0" fillId="0" borderId="2" xfId="0" applyNumberFormat="1" applyBorder="1"/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1" applyNumberFormat="1" applyFont="1" applyBorder="1"/>
    <xf numFmtId="0" fontId="2" fillId="0" borderId="0" xfId="0" applyFont="1" applyFill="1" applyAlignment="1">
      <alignment horizontal="left"/>
    </xf>
    <xf numFmtId="0" fontId="5" fillId="0" borderId="0" xfId="0" applyFont="1" applyAlignment="1">
      <alignment horizontal="left" indent="2"/>
    </xf>
    <xf numFmtId="0" fontId="4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164" fontId="0" fillId="0" borderId="3" xfId="1" applyNumberFormat="1" applyFont="1" applyBorder="1"/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164" fontId="1" fillId="0" borderId="0" xfId="1" applyNumberFormat="1" applyFont="1"/>
    <xf numFmtId="164" fontId="0" fillId="0" borderId="4" xfId="0" applyNumberFormat="1" applyBorder="1"/>
    <xf numFmtId="0" fontId="0" fillId="0" borderId="0" xfId="0" applyAlignment="1">
      <alignment horizontal="center"/>
    </xf>
    <xf numFmtId="164" fontId="0" fillId="0" borderId="4" xfId="1" applyNumberFormat="1" applyFont="1" applyBorder="1"/>
    <xf numFmtId="164" fontId="0" fillId="0" borderId="2" xfId="1" applyNumberFormat="1" applyFont="1" applyBorder="1"/>
    <xf numFmtId="164" fontId="1" fillId="0" borderId="3" xfId="1" applyNumberFormat="1" applyFont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164" fontId="8" fillId="0" borderId="0" xfId="1" applyNumberFormat="1" applyFont="1" applyFill="1"/>
    <xf numFmtId="0" fontId="8" fillId="0" borderId="0" xfId="0" applyFont="1" applyFill="1" applyAlignment="1">
      <alignment horizontal="left" indent="2"/>
    </xf>
    <xf numFmtId="0" fontId="8" fillId="0" borderId="0" xfId="0" applyFont="1" applyFill="1" applyAlignment="1">
      <alignment horizontal="left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/>
    <xf numFmtId="0" fontId="2" fillId="0" borderId="0" xfId="0" applyFont="1" applyFill="1"/>
    <xf numFmtId="164" fontId="0" fillId="0" borderId="0" xfId="0" applyNumberFormat="1" applyFill="1"/>
    <xf numFmtId="0" fontId="0" fillId="0" borderId="0" xfId="0" applyFill="1" applyAlignment="1">
      <alignment horizontal="left" indent="2"/>
    </xf>
    <xf numFmtId="164" fontId="0" fillId="0" borderId="0" xfId="0" applyNumberFormat="1" applyFill="1" applyBorder="1"/>
    <xf numFmtId="164" fontId="0" fillId="0" borderId="4" xfId="0" applyNumberFormat="1" applyFill="1" applyBorder="1"/>
    <xf numFmtId="164" fontId="0" fillId="0" borderId="3" xfId="0" applyNumberFormat="1" applyFill="1" applyBorder="1"/>
    <xf numFmtId="0" fontId="0" fillId="0" borderId="0" xfId="0" applyFill="1" applyAlignment="1">
      <alignment horizontal="left" indent="3"/>
    </xf>
    <xf numFmtId="164" fontId="0" fillId="0" borderId="1" xfId="0" applyNumberFormat="1" applyFill="1" applyBorder="1"/>
    <xf numFmtId="0" fontId="0" fillId="0" borderId="0" xfId="0" applyFill="1" applyAlignment="1">
      <alignment horizontal="left" indent="1"/>
    </xf>
    <xf numFmtId="164" fontId="0" fillId="0" borderId="2" xfId="0" applyNumberFormat="1" applyFill="1" applyBorder="1"/>
    <xf numFmtId="164" fontId="0" fillId="0" borderId="0" xfId="0" applyNumberFormat="1" applyFill="1" applyAlignment="1">
      <alignment horizontal="center"/>
    </xf>
    <xf numFmtId="164" fontId="0" fillId="0" borderId="0" xfId="1" applyNumberFormat="1" applyFont="1" applyFill="1" applyBorder="1"/>
    <xf numFmtId="0" fontId="0" fillId="0" borderId="0" xfId="0" applyFill="1" applyBorder="1"/>
    <xf numFmtId="43" fontId="0" fillId="0" borderId="0" xfId="1" applyFont="1" applyFill="1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tabSelected="1" zoomScaleNormal="100" zoomScaleSheetLayoutView="100" workbookViewId="0">
      <selection activeCell="B12" sqref="B12"/>
    </sheetView>
  </sheetViews>
  <sheetFormatPr defaultRowHeight="15" x14ac:dyDescent="0.25"/>
  <cols>
    <col min="1" max="1" width="8.7109375" style="29" customWidth="1"/>
    <col min="2" max="2" width="60.140625" style="29" bestFit="1" customWidth="1"/>
    <col min="3" max="3" width="16" style="29" bestFit="1" customWidth="1"/>
    <col min="4" max="4" width="13.42578125" style="29" customWidth="1"/>
    <col min="5" max="5" width="11.5703125" style="29" bestFit="1" customWidth="1"/>
    <col min="8" max="8" width="29" customWidth="1"/>
    <col min="9" max="9" width="11" customWidth="1"/>
    <col min="10" max="10" width="18.140625" customWidth="1"/>
    <col min="11" max="11" width="11.5703125" bestFit="1" customWidth="1"/>
    <col min="12" max="12" width="10" bestFit="1" customWidth="1"/>
    <col min="15" max="15" width="11.5703125" bestFit="1" customWidth="1"/>
  </cols>
  <sheetData>
    <row r="1" spans="1:13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13" x14ac:dyDescent="0.25">
      <c r="A2" s="49" t="s">
        <v>1</v>
      </c>
      <c r="B2" s="49"/>
      <c r="C2" s="49"/>
      <c r="D2" s="49"/>
      <c r="E2" s="49"/>
      <c r="F2" s="49"/>
      <c r="G2" s="49"/>
      <c r="H2" s="49"/>
    </row>
    <row r="3" spans="1:13" x14ac:dyDescent="0.25">
      <c r="A3" s="50" t="s">
        <v>154</v>
      </c>
      <c r="B3" s="50"/>
      <c r="C3" s="50"/>
      <c r="D3" s="50"/>
      <c r="E3" s="50"/>
      <c r="F3" s="50"/>
      <c r="G3" s="50"/>
      <c r="H3" s="50"/>
    </row>
    <row r="5" spans="1:13" x14ac:dyDescent="0.25">
      <c r="F5" s="27" t="s">
        <v>140</v>
      </c>
    </row>
    <row r="6" spans="1:13" x14ac:dyDescent="0.25">
      <c r="A6" s="28" t="s">
        <v>88</v>
      </c>
      <c r="B6" s="29" t="s">
        <v>90</v>
      </c>
      <c r="C6" s="29" t="s">
        <v>91</v>
      </c>
      <c r="D6" s="28" t="s">
        <v>138</v>
      </c>
      <c r="E6" s="28" t="s">
        <v>139</v>
      </c>
      <c r="F6" s="28" t="s">
        <v>141</v>
      </c>
    </row>
    <row r="7" spans="1:13" x14ac:dyDescent="0.25">
      <c r="A7" s="28">
        <v>1</v>
      </c>
      <c r="B7" s="29" t="s">
        <v>92</v>
      </c>
      <c r="C7" s="28" t="s">
        <v>93</v>
      </c>
      <c r="D7" s="30">
        <v>2419627</v>
      </c>
      <c r="E7" s="30"/>
      <c r="F7" s="33"/>
      <c r="G7" s="34"/>
      <c r="H7" s="6"/>
      <c r="I7" s="6"/>
      <c r="J7" s="6"/>
      <c r="K7" s="26" t="s">
        <v>140</v>
      </c>
    </row>
    <row r="8" spans="1:13" x14ac:dyDescent="0.25">
      <c r="A8" s="28"/>
      <c r="B8" s="31" t="s">
        <v>94</v>
      </c>
      <c r="C8" s="28" t="s">
        <v>123</v>
      </c>
      <c r="D8" s="30"/>
      <c r="E8" s="30">
        <f>D7</f>
        <v>2419627</v>
      </c>
      <c r="F8" s="33"/>
      <c r="G8" s="34"/>
      <c r="H8" s="35" t="s">
        <v>6</v>
      </c>
      <c r="I8" s="6"/>
      <c r="J8" s="6"/>
      <c r="K8" s="28" t="s">
        <v>141</v>
      </c>
    </row>
    <row r="9" spans="1:13" x14ac:dyDescent="0.25">
      <c r="A9" s="28"/>
      <c r="B9" s="29" t="s">
        <v>2</v>
      </c>
      <c r="C9" s="28"/>
      <c r="D9" s="30"/>
      <c r="E9" s="30"/>
      <c r="F9" s="33"/>
      <c r="G9" s="34"/>
      <c r="H9" s="6"/>
      <c r="I9" s="6"/>
      <c r="J9" s="6" t="s">
        <v>56</v>
      </c>
      <c r="K9" s="6"/>
    </row>
    <row r="10" spans="1:13" x14ac:dyDescent="0.25">
      <c r="A10" s="28"/>
      <c r="C10" s="28"/>
      <c r="D10" s="30"/>
      <c r="E10" s="30"/>
      <c r="F10" s="33"/>
      <c r="G10" s="34"/>
      <c r="H10" s="6" t="s">
        <v>7</v>
      </c>
      <c r="I10" s="6"/>
      <c r="J10" s="36">
        <f>D7</f>
        <v>2419627</v>
      </c>
      <c r="K10" s="6" t="s">
        <v>176</v>
      </c>
    </row>
    <row r="11" spans="1:13" x14ac:dyDescent="0.25">
      <c r="A11" s="28">
        <v>2</v>
      </c>
      <c r="B11" s="29" t="s">
        <v>95</v>
      </c>
      <c r="C11" s="28" t="s">
        <v>96</v>
      </c>
      <c r="D11" s="30">
        <v>310243</v>
      </c>
      <c r="E11" s="30"/>
      <c r="F11" s="33"/>
      <c r="G11" s="34"/>
      <c r="H11" s="37" t="s">
        <v>8</v>
      </c>
      <c r="I11" s="6"/>
      <c r="J11" s="36">
        <f>-D11</f>
        <v>-310243</v>
      </c>
      <c r="K11" s="6" t="s">
        <v>176</v>
      </c>
    </row>
    <row r="12" spans="1:13" x14ac:dyDescent="0.25">
      <c r="A12" s="28"/>
      <c r="B12" s="31" t="s">
        <v>97</v>
      </c>
      <c r="C12" s="28" t="s">
        <v>93</v>
      </c>
      <c r="D12" s="30"/>
      <c r="E12" s="30">
        <f>D11</f>
        <v>310243</v>
      </c>
      <c r="F12" s="33"/>
      <c r="G12" s="34"/>
      <c r="H12" s="6" t="s">
        <v>9</v>
      </c>
      <c r="I12" s="6"/>
      <c r="J12" s="36">
        <f>E18</f>
        <v>51769</v>
      </c>
      <c r="K12" s="6" t="s">
        <v>176</v>
      </c>
    </row>
    <row r="13" spans="1:13" x14ac:dyDescent="0.25">
      <c r="A13" s="28"/>
      <c r="B13" s="29" t="s">
        <v>3</v>
      </c>
      <c r="C13" s="28"/>
      <c r="D13" s="30"/>
      <c r="E13" s="30"/>
      <c r="F13" s="33"/>
      <c r="G13" s="34"/>
      <c r="H13" s="7" t="s">
        <v>10</v>
      </c>
      <c r="I13" s="6"/>
      <c r="J13" s="36">
        <f>D21</f>
        <v>704574</v>
      </c>
      <c r="K13" s="6" t="s">
        <v>176</v>
      </c>
    </row>
    <row r="14" spans="1:13" x14ac:dyDescent="0.25">
      <c r="A14" s="28"/>
      <c r="C14" s="28"/>
      <c r="D14" s="30"/>
      <c r="E14" s="30"/>
      <c r="F14" s="33"/>
      <c r="G14" s="34"/>
      <c r="H14" s="7" t="s">
        <v>12</v>
      </c>
      <c r="I14" s="6"/>
      <c r="J14" s="38">
        <f>D29</f>
        <v>932324</v>
      </c>
      <c r="K14" s="6" t="s">
        <v>176</v>
      </c>
    </row>
    <row r="15" spans="1:13" x14ac:dyDescent="0.25">
      <c r="A15" s="28">
        <v>3</v>
      </c>
      <c r="B15" s="29" t="s">
        <v>98</v>
      </c>
      <c r="C15" s="28" t="s">
        <v>115</v>
      </c>
      <c r="D15" s="30">
        <v>11948</v>
      </c>
      <c r="E15" s="30"/>
      <c r="F15" s="33"/>
      <c r="G15" s="34"/>
      <c r="H15" s="6" t="s">
        <v>19</v>
      </c>
      <c r="I15" s="6"/>
      <c r="J15" s="36">
        <f>D38</f>
        <v>434470</v>
      </c>
      <c r="K15" s="6" t="s">
        <v>176</v>
      </c>
    </row>
    <row r="16" spans="1:13" ht="15.75" thickBot="1" x14ac:dyDescent="0.3">
      <c r="A16" s="28"/>
      <c r="B16" s="29" t="s">
        <v>149</v>
      </c>
      <c r="C16" s="28" t="s">
        <v>150</v>
      </c>
      <c r="D16" s="30">
        <v>1232</v>
      </c>
      <c r="E16" s="30"/>
      <c r="F16" s="33"/>
      <c r="G16" s="34"/>
      <c r="H16" s="37" t="s">
        <v>16</v>
      </c>
      <c r="I16" s="6"/>
      <c r="J16" s="39">
        <f>SUM(J10:J15)</f>
        <v>4232521</v>
      </c>
      <c r="K16" s="6" t="s">
        <v>176</v>
      </c>
      <c r="M16" s="2"/>
    </row>
    <row r="17" spans="1:13" ht="15.75" thickTop="1" x14ac:dyDescent="0.25">
      <c r="A17" s="28"/>
      <c r="B17" s="29" t="s">
        <v>151</v>
      </c>
      <c r="C17" s="28" t="s">
        <v>152</v>
      </c>
      <c r="D17" s="30">
        <v>38589</v>
      </c>
      <c r="E17" s="30"/>
      <c r="F17" s="33"/>
      <c r="G17" s="34"/>
      <c r="H17" s="37"/>
      <c r="I17" s="6"/>
      <c r="J17" s="38"/>
      <c r="K17" s="6"/>
    </row>
    <row r="18" spans="1:13" x14ac:dyDescent="0.25">
      <c r="A18" s="28"/>
      <c r="B18" s="31" t="s">
        <v>99</v>
      </c>
      <c r="C18" s="28" t="s">
        <v>123</v>
      </c>
      <c r="D18" s="30"/>
      <c r="E18" s="30">
        <f>SUM(D15:D17)</f>
        <v>51769</v>
      </c>
      <c r="F18" s="33"/>
      <c r="G18" s="34"/>
      <c r="H18" s="35" t="s">
        <v>13</v>
      </c>
      <c r="I18" s="6"/>
      <c r="J18" s="6"/>
      <c r="K18" s="6"/>
    </row>
    <row r="19" spans="1:13" x14ac:dyDescent="0.25">
      <c r="A19" s="28"/>
      <c r="B19" s="29" t="s">
        <v>5</v>
      </c>
      <c r="C19" s="28"/>
      <c r="D19" s="30"/>
      <c r="E19" s="30"/>
      <c r="F19" s="33"/>
      <c r="G19" s="34"/>
      <c r="H19" s="6"/>
      <c r="I19" s="6"/>
      <c r="J19" s="36"/>
      <c r="K19" s="6"/>
    </row>
    <row r="20" spans="1:13" x14ac:dyDescent="0.25">
      <c r="A20" s="28"/>
      <c r="C20" s="28"/>
      <c r="D20" s="30"/>
      <c r="E20" s="30"/>
      <c r="F20" s="33"/>
      <c r="G20" s="34"/>
      <c r="H20" s="6" t="s">
        <v>14</v>
      </c>
      <c r="I20" s="6"/>
      <c r="J20" s="40">
        <f>D25</f>
        <v>95025</v>
      </c>
      <c r="K20" s="6" t="s">
        <v>176</v>
      </c>
    </row>
    <row r="21" spans="1:13" x14ac:dyDescent="0.25">
      <c r="A21" s="28">
        <v>4</v>
      </c>
      <c r="B21" s="29" t="s">
        <v>100</v>
      </c>
      <c r="C21" s="28" t="s">
        <v>153</v>
      </c>
      <c r="D21" s="30">
        <v>704574</v>
      </c>
      <c r="E21" s="30"/>
      <c r="F21" s="33"/>
      <c r="G21" s="34"/>
      <c r="H21" s="37" t="s">
        <v>17</v>
      </c>
      <c r="I21" s="6"/>
      <c r="J21" s="6"/>
      <c r="K21" s="6"/>
    </row>
    <row r="22" spans="1:13" ht="15.75" thickBot="1" x14ac:dyDescent="0.3">
      <c r="A22" s="28"/>
      <c r="B22" s="31" t="s">
        <v>99</v>
      </c>
      <c r="C22" s="28" t="s">
        <v>123</v>
      </c>
      <c r="D22" s="30"/>
      <c r="E22" s="30">
        <f>D21</f>
        <v>704574</v>
      </c>
      <c r="F22" s="33"/>
      <c r="G22" s="34"/>
      <c r="H22" s="41" t="s">
        <v>18</v>
      </c>
      <c r="I22" s="6"/>
      <c r="J22" s="42">
        <f>SUM(J20:J21)</f>
        <v>95025</v>
      </c>
      <c r="K22" s="6"/>
    </row>
    <row r="23" spans="1:13" ht="15.75" thickTop="1" x14ac:dyDescent="0.25">
      <c r="A23" s="28"/>
      <c r="B23" s="29" t="s">
        <v>4</v>
      </c>
      <c r="C23" s="28"/>
      <c r="D23" s="30"/>
      <c r="E23" s="30"/>
      <c r="F23" s="33"/>
      <c r="G23" s="34"/>
      <c r="H23" s="6"/>
      <c r="I23" s="6"/>
      <c r="J23" s="6"/>
      <c r="K23" s="6"/>
    </row>
    <row r="24" spans="1:13" ht="15.75" thickTop="1" x14ac:dyDescent="0.25">
      <c r="A24" s="28"/>
      <c r="C24" s="28"/>
      <c r="D24" s="30"/>
      <c r="E24" s="30"/>
      <c r="F24" s="33"/>
      <c r="G24" s="34"/>
      <c r="H24" s="35" t="s">
        <v>22</v>
      </c>
      <c r="I24" s="6"/>
      <c r="J24" s="6"/>
      <c r="K24" s="6"/>
    </row>
    <row r="25" spans="1:13" x14ac:dyDescent="0.25">
      <c r="A25" s="28">
        <v>5</v>
      </c>
      <c r="B25" s="29" t="s">
        <v>101</v>
      </c>
      <c r="C25" s="28" t="s">
        <v>116</v>
      </c>
      <c r="D25" s="30">
        <v>95025</v>
      </c>
      <c r="F25" s="26"/>
      <c r="G25" s="6"/>
      <c r="H25" s="6"/>
      <c r="I25" s="6"/>
      <c r="J25" s="6"/>
      <c r="K25" s="6"/>
    </row>
    <row r="26" spans="1:13" x14ac:dyDescent="0.25">
      <c r="A26" s="28"/>
      <c r="B26" s="31" t="s">
        <v>99</v>
      </c>
      <c r="C26" s="28" t="s">
        <v>123</v>
      </c>
      <c r="D26" s="30"/>
      <c r="E26" s="30">
        <f>D25</f>
        <v>95025</v>
      </c>
      <c r="F26" s="26"/>
      <c r="G26" s="6"/>
      <c r="H26" s="6" t="s">
        <v>89</v>
      </c>
      <c r="I26" s="6"/>
      <c r="J26" s="36">
        <f>SUMIF(C7:C82,"131-0020-000",D7:D82)-SUMIF(C7:C82,"131-0020-000",E7:E82)</f>
        <v>2022298</v>
      </c>
      <c r="K26" s="6" t="s">
        <v>176</v>
      </c>
    </row>
    <row r="27" spans="1:13" x14ac:dyDescent="0.25">
      <c r="A27" s="28"/>
      <c r="B27" s="29" t="s">
        <v>15</v>
      </c>
      <c r="C27" s="28"/>
      <c r="D27" s="30"/>
      <c r="E27" s="30"/>
      <c r="F27" s="26"/>
      <c r="G27" s="6"/>
      <c r="H27" s="6" t="s">
        <v>87</v>
      </c>
      <c r="I27" s="6"/>
      <c r="J27" s="36">
        <f>SUMIF($C$7:$C$82,"132-0053-000",$D$7:$D$82)-SUMIF($C$7:$C$82,"132-0053-000",$E$7:$E$82)-E49</f>
        <v>-91739</v>
      </c>
      <c r="K27" s="6" t="s">
        <v>176</v>
      </c>
      <c r="L27" s="3"/>
    </row>
    <row r="28" spans="1:13" x14ac:dyDescent="0.25">
      <c r="A28" s="28"/>
      <c r="C28" s="28"/>
      <c r="F28" s="26"/>
      <c r="G28" s="6"/>
      <c r="H28" s="6" t="s">
        <v>147</v>
      </c>
      <c r="I28" s="6"/>
      <c r="J28" s="36">
        <f>SUMIF($C$7:$C$82,"132-0001-000",$D$7:$D$82)-SUMIF($C$7:$C$82,"132-0001-000",$E$7:$E$82)</f>
        <v>975690</v>
      </c>
      <c r="K28" s="6" t="s">
        <v>176</v>
      </c>
      <c r="L28" s="3"/>
      <c r="M28" s="3"/>
    </row>
    <row r="29" spans="1:13" x14ac:dyDescent="0.25">
      <c r="A29" s="28">
        <v>6</v>
      </c>
      <c r="B29" s="29" t="s">
        <v>102</v>
      </c>
      <c r="C29" s="28" t="s">
        <v>117</v>
      </c>
      <c r="D29" s="30">
        <v>932324</v>
      </c>
      <c r="F29" s="26"/>
      <c r="G29" s="6"/>
      <c r="H29" s="6" t="s">
        <v>148</v>
      </c>
      <c r="I29" s="6"/>
      <c r="J29" s="36"/>
      <c r="K29" s="6"/>
    </row>
    <row r="30" spans="1:13" x14ac:dyDescent="0.25">
      <c r="A30" s="28"/>
      <c r="B30" s="31" t="s">
        <v>99</v>
      </c>
      <c r="C30" s="28" t="s">
        <v>123</v>
      </c>
      <c r="D30" s="30"/>
      <c r="E30" s="30">
        <f>D29</f>
        <v>932324</v>
      </c>
      <c r="F30" s="26"/>
      <c r="G30" s="6"/>
      <c r="H30" s="6"/>
      <c r="I30" s="6"/>
      <c r="J30" s="36"/>
      <c r="K30" s="6"/>
    </row>
    <row r="31" spans="1:13" x14ac:dyDescent="0.25">
      <c r="A31" s="28"/>
      <c r="B31" s="29" t="s">
        <v>11</v>
      </c>
      <c r="C31" s="28"/>
      <c r="D31" s="30"/>
      <c r="E31" s="30"/>
      <c r="F31" s="26"/>
      <c r="G31" s="6"/>
      <c r="H31" s="6" t="s">
        <v>23</v>
      </c>
      <c r="I31" s="6"/>
      <c r="J31" s="36">
        <f>D33</f>
        <v>4589442</v>
      </c>
      <c r="K31" s="6" t="s">
        <v>176</v>
      </c>
    </row>
    <row r="32" spans="1:13" x14ac:dyDescent="0.25">
      <c r="A32" s="28"/>
      <c r="C32" s="28"/>
      <c r="F32" s="26"/>
      <c r="G32" s="6"/>
      <c r="H32" s="43" t="s">
        <v>24</v>
      </c>
      <c r="I32" s="6"/>
      <c r="J32" s="36">
        <f>-D38</f>
        <v>-434470</v>
      </c>
      <c r="K32" s="6" t="s">
        <v>176</v>
      </c>
    </row>
    <row r="33" spans="1:12" x14ac:dyDescent="0.25">
      <c r="A33" s="28">
        <v>7</v>
      </c>
      <c r="B33" s="29" t="s">
        <v>103</v>
      </c>
      <c r="C33" s="28" t="s">
        <v>118</v>
      </c>
      <c r="D33" s="30">
        <v>4589442</v>
      </c>
      <c r="F33" s="26"/>
      <c r="G33" s="6"/>
      <c r="H33" s="6" t="s">
        <v>25</v>
      </c>
      <c r="I33" s="6"/>
      <c r="J33" s="44">
        <f>SUM(J31:J32)</f>
        <v>4154972</v>
      </c>
      <c r="K33" s="6" t="s">
        <v>176</v>
      </c>
    </row>
    <row r="34" spans="1:12" x14ac:dyDescent="0.25">
      <c r="A34" s="28"/>
      <c r="B34" s="31" t="s">
        <v>155</v>
      </c>
      <c r="C34" s="28" t="s">
        <v>156</v>
      </c>
      <c r="D34" s="30"/>
      <c r="E34" s="30">
        <v>2452588</v>
      </c>
      <c r="F34" s="26"/>
      <c r="G34" s="6"/>
      <c r="H34" s="6"/>
      <c r="I34" s="6"/>
      <c r="J34" s="6"/>
      <c r="K34" s="6"/>
    </row>
    <row r="35" spans="1:12" x14ac:dyDescent="0.25">
      <c r="A35" s="28"/>
      <c r="B35" s="31" t="s">
        <v>99</v>
      </c>
      <c r="C35" s="28" t="s">
        <v>123</v>
      </c>
      <c r="E35" s="30">
        <f>D33-E34</f>
        <v>2136854</v>
      </c>
      <c r="F35" s="26"/>
      <c r="G35" s="6"/>
      <c r="H35" s="6" t="s">
        <v>177</v>
      </c>
      <c r="I35" s="6"/>
      <c r="J35" s="36">
        <f>-E34+D11</f>
        <v>-2142345</v>
      </c>
      <c r="K35" s="6" t="s">
        <v>176</v>
      </c>
      <c r="L35" s="3"/>
    </row>
    <row r="36" spans="1:12" x14ac:dyDescent="0.25">
      <c r="A36" s="28"/>
      <c r="B36" s="29" t="s">
        <v>20</v>
      </c>
      <c r="C36" s="28"/>
      <c r="F36" s="26"/>
      <c r="G36" s="6"/>
      <c r="H36" s="6" t="s">
        <v>26</v>
      </c>
      <c r="I36" s="6"/>
      <c r="J36" s="36">
        <f>-D44</f>
        <v>-24685000</v>
      </c>
      <c r="K36" s="6" t="s">
        <v>176</v>
      </c>
    </row>
    <row r="37" spans="1:12" x14ac:dyDescent="0.25">
      <c r="A37" s="28"/>
      <c r="C37" s="28"/>
      <c r="F37" s="26"/>
      <c r="G37" s="6"/>
      <c r="H37" s="6" t="s">
        <v>27</v>
      </c>
      <c r="I37" s="6"/>
      <c r="J37" s="36"/>
      <c r="K37" s="6"/>
    </row>
    <row r="38" spans="1:12" x14ac:dyDescent="0.25">
      <c r="A38" s="28">
        <v>8</v>
      </c>
      <c r="B38" s="29" t="s">
        <v>134</v>
      </c>
      <c r="C38" s="28" t="s">
        <v>119</v>
      </c>
      <c r="D38" s="30">
        <f>458944-24474</f>
        <v>434470</v>
      </c>
      <c r="F38" s="26"/>
      <c r="G38" s="6"/>
      <c r="H38" s="6" t="s">
        <v>28</v>
      </c>
      <c r="I38" s="6"/>
      <c r="J38" s="36"/>
      <c r="K38" s="6"/>
    </row>
    <row r="39" spans="1:12" x14ac:dyDescent="0.25">
      <c r="A39" s="28"/>
      <c r="B39" s="31" t="s">
        <v>104</v>
      </c>
      <c r="C39" s="28" t="s">
        <v>118</v>
      </c>
      <c r="D39" s="30"/>
      <c r="E39" s="30">
        <f>D38</f>
        <v>434470</v>
      </c>
      <c r="F39" s="26"/>
      <c r="G39" s="6"/>
      <c r="H39" s="6" t="s">
        <v>145</v>
      </c>
      <c r="I39" s="6"/>
      <c r="J39" s="36">
        <f>+E50</f>
        <v>27335000</v>
      </c>
      <c r="K39" s="6" t="s">
        <v>176</v>
      </c>
    </row>
    <row r="40" spans="1:12" x14ac:dyDescent="0.25">
      <c r="A40" s="28"/>
      <c r="B40" s="29" t="s">
        <v>21</v>
      </c>
      <c r="C40" s="28"/>
      <c r="D40" s="30"/>
      <c r="E40" s="30"/>
      <c r="F40" s="26"/>
      <c r="G40" s="6"/>
      <c r="H40" s="6" t="s">
        <v>146</v>
      </c>
      <c r="I40" s="6"/>
      <c r="J40" s="36"/>
      <c r="K40" s="6"/>
    </row>
    <row r="41" spans="1:12" x14ac:dyDescent="0.25">
      <c r="A41" s="28"/>
      <c r="C41" s="28"/>
      <c r="F41" s="26"/>
      <c r="G41" s="6"/>
      <c r="H41" s="6" t="s">
        <v>55</v>
      </c>
      <c r="I41" s="6"/>
      <c r="J41" s="36">
        <f>D45</f>
        <v>1786950</v>
      </c>
      <c r="K41" s="6" t="s">
        <v>176</v>
      </c>
    </row>
    <row r="42" spans="1:12" x14ac:dyDescent="0.25">
      <c r="A42" s="28">
        <v>11</v>
      </c>
      <c r="B42" s="29" t="s">
        <v>31</v>
      </c>
      <c r="C42" s="28" t="s">
        <v>121</v>
      </c>
      <c r="D42" s="30">
        <v>546700</v>
      </c>
      <c r="E42" s="30"/>
      <c r="F42" s="26"/>
      <c r="G42" s="6"/>
      <c r="H42" s="6" t="s">
        <v>178</v>
      </c>
      <c r="I42" s="6"/>
      <c r="J42" s="36">
        <f>-SUMIF($C$7:$C$82,"237-0000-000",$D$7:$D$82)+SUMIF($C$7:$C$82,"237-0000-000",$E$7:$E$82)</f>
        <v>-38570</v>
      </c>
      <c r="K42" s="6" t="s">
        <v>176</v>
      </c>
    </row>
    <row r="43" spans="1:12" x14ac:dyDescent="0.25">
      <c r="A43" s="28"/>
      <c r="B43" s="29" t="s">
        <v>106</v>
      </c>
      <c r="C43" s="28" t="s">
        <v>121</v>
      </c>
      <c r="D43" s="30">
        <v>273350</v>
      </c>
      <c r="E43" s="30"/>
      <c r="F43" s="26"/>
      <c r="G43" s="6"/>
      <c r="H43" s="6"/>
      <c r="I43" s="6"/>
      <c r="J43" s="6"/>
      <c r="K43" s="6"/>
    </row>
    <row r="44" spans="1:12" x14ac:dyDescent="0.25">
      <c r="A44" s="28"/>
      <c r="B44" s="29" t="s">
        <v>157</v>
      </c>
      <c r="C44" s="28" t="s">
        <v>120</v>
      </c>
      <c r="D44" s="30">
        <v>24685000</v>
      </c>
      <c r="E44" s="30"/>
      <c r="F44" s="26"/>
      <c r="G44" s="6"/>
      <c r="H44" s="35" t="s">
        <v>30</v>
      </c>
      <c r="I44" s="6"/>
      <c r="J44" s="6"/>
      <c r="K44" s="6"/>
    </row>
    <row r="45" spans="1:12" x14ac:dyDescent="0.25">
      <c r="A45" s="28"/>
      <c r="B45" s="29" t="s">
        <v>32</v>
      </c>
      <c r="C45" s="28" t="s">
        <v>144</v>
      </c>
      <c r="D45" s="30">
        <v>1786950</v>
      </c>
      <c r="E45" s="30"/>
      <c r="F45" s="26"/>
      <c r="G45" s="6"/>
      <c r="H45" s="6"/>
      <c r="I45" s="6"/>
      <c r="J45" s="6"/>
      <c r="K45" s="6"/>
    </row>
    <row r="46" spans="1:12" x14ac:dyDescent="0.25">
      <c r="A46" s="28"/>
      <c r="B46" s="29" t="s">
        <v>163</v>
      </c>
      <c r="C46" s="28" t="s">
        <v>160</v>
      </c>
      <c r="D46" s="30">
        <f>830+7</f>
        <v>837</v>
      </c>
      <c r="E46" s="30"/>
      <c r="F46" s="26"/>
      <c r="G46" s="6"/>
      <c r="H46" s="7" t="s">
        <v>29</v>
      </c>
      <c r="I46" s="6"/>
      <c r="J46" s="34">
        <f>SUM(E54:E60)-D54+SUM(E64:E70)</f>
        <v>9338161</v>
      </c>
      <c r="K46" s="6" t="s">
        <v>176</v>
      </c>
    </row>
    <row r="47" spans="1:12" x14ac:dyDescent="0.25">
      <c r="A47" s="28"/>
      <c r="B47" s="29" t="s">
        <v>161</v>
      </c>
      <c r="C47" s="28" t="s">
        <v>162</v>
      </c>
      <c r="D47" s="30">
        <v>96169</v>
      </c>
      <c r="E47" s="30"/>
      <c r="F47" s="26"/>
      <c r="G47" s="6"/>
      <c r="H47" s="7"/>
      <c r="I47" s="6"/>
      <c r="J47" s="34"/>
      <c r="K47" s="6"/>
    </row>
    <row r="48" spans="1:12" x14ac:dyDescent="0.25">
      <c r="A48" s="28"/>
      <c r="B48" s="29" t="s">
        <v>105</v>
      </c>
      <c r="C48" s="28" t="s">
        <v>124</v>
      </c>
      <c r="D48" s="30">
        <v>38570</v>
      </c>
      <c r="E48" s="30"/>
      <c r="F48" s="26"/>
      <c r="G48" s="6"/>
      <c r="H48" s="7"/>
      <c r="I48" s="6"/>
      <c r="J48" s="34"/>
      <c r="K48" s="6"/>
    </row>
    <row r="49" spans="1:11" x14ac:dyDescent="0.25">
      <c r="A49" s="28"/>
      <c r="B49" s="31" t="s">
        <v>158</v>
      </c>
      <c r="C49" s="28" t="s">
        <v>159</v>
      </c>
      <c r="D49" s="30"/>
      <c r="E49" s="30">
        <v>92576</v>
      </c>
      <c r="F49" s="45"/>
      <c r="G49" s="6"/>
      <c r="H49" s="9" t="s">
        <v>57</v>
      </c>
      <c r="I49" s="6"/>
      <c r="J49" s="34"/>
      <c r="K49" s="6"/>
    </row>
    <row r="50" spans="1:11" x14ac:dyDescent="0.25">
      <c r="A50" s="28"/>
      <c r="B50" s="31" t="s">
        <v>164</v>
      </c>
      <c r="C50" s="28" t="s">
        <v>166</v>
      </c>
      <c r="D50" s="30"/>
      <c r="E50" s="30">
        <f>SUM(D42:D48)-E49</f>
        <v>27335000</v>
      </c>
      <c r="F50" s="26"/>
      <c r="G50" s="6"/>
      <c r="H50" s="6"/>
      <c r="I50" s="6"/>
      <c r="J50" s="34"/>
      <c r="K50" s="6"/>
    </row>
    <row r="51" spans="1:11" x14ac:dyDescent="0.25">
      <c r="A51" s="28"/>
      <c r="B51" s="29" t="s">
        <v>165</v>
      </c>
      <c r="C51" s="28"/>
      <c r="D51" s="30"/>
      <c r="E51" s="30"/>
      <c r="F51" s="26"/>
      <c r="G51" s="6"/>
      <c r="H51" s="6" t="s">
        <v>54</v>
      </c>
      <c r="I51" s="6"/>
      <c r="J51" s="46">
        <f>D42+D43</f>
        <v>820050</v>
      </c>
      <c r="K51" s="6" t="s">
        <v>176</v>
      </c>
    </row>
    <row r="52" spans="1:11" x14ac:dyDescent="0.25">
      <c r="A52" s="28"/>
      <c r="C52" s="28"/>
      <c r="D52" s="30"/>
      <c r="E52" s="30"/>
      <c r="F52" s="26"/>
      <c r="G52" s="6"/>
      <c r="H52" s="6" t="s">
        <v>167</v>
      </c>
      <c r="I52" s="6"/>
      <c r="J52" s="46">
        <f>D47</f>
        <v>96169</v>
      </c>
      <c r="K52" s="6" t="s">
        <v>176</v>
      </c>
    </row>
    <row r="53" spans="1:11" x14ac:dyDescent="0.25">
      <c r="A53" s="28">
        <v>15</v>
      </c>
      <c r="B53" s="29" t="s">
        <v>107</v>
      </c>
      <c r="C53" s="28" t="s">
        <v>123</v>
      </c>
      <c r="D53" s="30">
        <f>SUM(E54:E60)-SUM(D54:D60)</f>
        <v>186958</v>
      </c>
      <c r="E53" s="30"/>
      <c r="F53" s="26"/>
      <c r="G53" s="6"/>
      <c r="H53" s="6"/>
      <c r="I53" s="6"/>
      <c r="J53" s="38"/>
      <c r="K53" s="6"/>
    </row>
    <row r="54" spans="1:11" x14ac:dyDescent="0.25">
      <c r="A54" s="28"/>
      <c r="B54" s="31" t="s">
        <v>108</v>
      </c>
      <c r="C54" s="28" t="s">
        <v>125</v>
      </c>
      <c r="D54" s="30">
        <f>-'revenue detail'!D7</f>
        <v>11534</v>
      </c>
      <c r="E54" s="30"/>
      <c r="F54" s="26"/>
      <c r="G54" s="6"/>
      <c r="H54" s="9" t="s">
        <v>33</v>
      </c>
      <c r="I54" s="6"/>
      <c r="J54" s="47"/>
      <c r="K54" s="6"/>
    </row>
    <row r="55" spans="1:11" x14ac:dyDescent="0.25">
      <c r="A55" s="28"/>
      <c r="B55" s="31" t="s">
        <v>135</v>
      </c>
      <c r="C55" s="28" t="s">
        <v>126</v>
      </c>
      <c r="D55" s="30"/>
      <c r="E55" s="30">
        <f>'revenue detail'!D8</f>
        <v>59812</v>
      </c>
      <c r="F55" s="26"/>
      <c r="G55" s="6"/>
      <c r="H55" s="7" t="s">
        <v>34</v>
      </c>
      <c r="I55" s="6"/>
      <c r="J55" s="38"/>
      <c r="K55" s="6"/>
    </row>
    <row r="56" spans="1:11" x14ac:dyDescent="0.25">
      <c r="A56" s="28"/>
      <c r="B56" s="31" t="s">
        <v>110</v>
      </c>
      <c r="C56" s="28" t="s">
        <v>127</v>
      </c>
      <c r="D56" s="30"/>
      <c r="E56" s="30">
        <f>'revenue detail'!D9</f>
        <v>68241</v>
      </c>
      <c r="F56" s="26"/>
      <c r="G56" s="6"/>
      <c r="H56" s="7" t="s">
        <v>180</v>
      </c>
      <c r="I56" s="6"/>
      <c r="J56" s="47"/>
      <c r="K56" s="6"/>
    </row>
    <row r="57" spans="1:11" x14ac:dyDescent="0.25">
      <c r="A57" s="28"/>
      <c r="B57" s="31" t="s">
        <v>111</v>
      </c>
      <c r="C57" s="28" t="s">
        <v>128</v>
      </c>
      <c r="D57" s="30"/>
      <c r="E57" s="30">
        <f>'revenue detail'!D10</f>
        <v>23978</v>
      </c>
      <c r="F57" s="26"/>
      <c r="G57" s="6"/>
      <c r="H57" s="6"/>
      <c r="I57" s="6"/>
      <c r="J57" s="48"/>
      <c r="K57" s="6"/>
    </row>
    <row r="58" spans="1:11" x14ac:dyDescent="0.25">
      <c r="A58" s="28"/>
      <c r="B58" s="31" t="s">
        <v>112</v>
      </c>
      <c r="C58" s="28" t="s">
        <v>129</v>
      </c>
      <c r="D58" s="30"/>
      <c r="E58" s="30">
        <f>'revenue detail'!D11</f>
        <v>46372</v>
      </c>
      <c r="F58" s="26"/>
      <c r="G58" s="6"/>
      <c r="H58" s="7" t="s">
        <v>169</v>
      </c>
      <c r="I58" s="6"/>
      <c r="J58" s="47"/>
      <c r="K58" s="6"/>
    </row>
    <row r="59" spans="1:11" x14ac:dyDescent="0.25">
      <c r="A59" s="28"/>
      <c r="B59" s="31" t="s">
        <v>136</v>
      </c>
      <c r="C59" s="28" t="s">
        <v>130</v>
      </c>
      <c r="D59" s="30"/>
      <c r="E59" s="30">
        <f>'revenue detail'!D12</f>
        <v>0</v>
      </c>
      <c r="F59" s="26"/>
      <c r="G59" s="6"/>
      <c r="H59" s="7" t="s">
        <v>181</v>
      </c>
      <c r="I59" s="6"/>
      <c r="J59" s="38"/>
      <c r="K59" s="6"/>
    </row>
    <row r="60" spans="1:11" x14ac:dyDescent="0.25">
      <c r="A60" s="28"/>
      <c r="B60" s="31" t="s">
        <v>137</v>
      </c>
      <c r="C60" s="28" t="s">
        <v>131</v>
      </c>
      <c r="D60" s="30"/>
      <c r="E60" s="30">
        <f>'revenue detail'!D17</f>
        <v>89</v>
      </c>
      <c r="F60" s="26"/>
      <c r="G60" s="6"/>
      <c r="H60" s="7" t="s">
        <v>170</v>
      </c>
      <c r="I60" s="6"/>
      <c r="J60" s="38"/>
      <c r="K60" s="6"/>
    </row>
    <row r="61" spans="1:11" x14ac:dyDescent="0.25">
      <c r="A61" s="28"/>
      <c r="B61" s="32" t="s">
        <v>77</v>
      </c>
      <c r="C61" s="28"/>
      <c r="D61" s="30"/>
      <c r="E61" s="30"/>
      <c r="F61" s="26"/>
      <c r="G61" s="6"/>
      <c r="H61" s="6"/>
      <c r="I61" s="6"/>
      <c r="J61" s="47"/>
      <c r="K61" s="6"/>
    </row>
    <row r="62" spans="1:11" x14ac:dyDescent="0.25">
      <c r="A62" s="28"/>
      <c r="C62" s="28"/>
      <c r="D62" s="30"/>
      <c r="E62" s="30"/>
      <c r="F62" s="26"/>
      <c r="G62" s="6"/>
      <c r="H62" s="7" t="s">
        <v>172</v>
      </c>
      <c r="I62" s="6"/>
      <c r="J62" s="47"/>
      <c r="K62" s="6"/>
    </row>
    <row r="63" spans="1:11" x14ac:dyDescent="0.25">
      <c r="A63" s="28">
        <v>16</v>
      </c>
      <c r="B63" s="29" t="s">
        <v>114</v>
      </c>
      <c r="C63" s="28" t="s">
        <v>123</v>
      </c>
      <c r="D63" s="30">
        <f>SUM(E64:E70)</f>
        <v>9151203</v>
      </c>
      <c r="E63" s="30"/>
      <c r="F63" s="26"/>
      <c r="G63" s="6"/>
      <c r="H63" s="7" t="s">
        <v>171</v>
      </c>
      <c r="I63" s="6"/>
      <c r="J63" s="6"/>
      <c r="K63" s="6"/>
    </row>
    <row r="64" spans="1:11" x14ac:dyDescent="0.25">
      <c r="A64" s="28"/>
      <c r="B64" s="31" t="s">
        <v>108</v>
      </c>
      <c r="C64" s="28" t="s">
        <v>125</v>
      </c>
      <c r="D64" s="30"/>
      <c r="E64" s="30">
        <f>'revenue detail'!F7</f>
        <v>5644656</v>
      </c>
      <c r="F64" s="26"/>
      <c r="G64" s="6"/>
      <c r="H64" s="7" t="s">
        <v>35</v>
      </c>
      <c r="I64" s="6"/>
      <c r="J64" s="6"/>
      <c r="K64" s="6"/>
    </row>
    <row r="65" spans="1:11" x14ac:dyDescent="0.25">
      <c r="A65" s="28"/>
      <c r="B65" s="31" t="s">
        <v>109</v>
      </c>
      <c r="C65" s="28" t="s">
        <v>132</v>
      </c>
      <c r="D65" s="30"/>
      <c r="E65" s="30">
        <f>'revenue detail'!F8</f>
        <v>1224929</v>
      </c>
      <c r="F65" s="26"/>
      <c r="G65" s="6"/>
      <c r="H65" s="7"/>
      <c r="I65" s="6"/>
      <c r="J65" s="6"/>
      <c r="K65" s="6"/>
    </row>
    <row r="66" spans="1:11" x14ac:dyDescent="0.25">
      <c r="A66" s="28"/>
      <c r="B66" s="31" t="s">
        <v>110</v>
      </c>
      <c r="C66" s="28" t="s">
        <v>127</v>
      </c>
      <c r="D66" s="30"/>
      <c r="E66" s="30">
        <f>'revenue detail'!F9</f>
        <v>667368</v>
      </c>
      <c r="F66" s="26"/>
      <c r="G66" s="6"/>
      <c r="H66" s="7" t="s">
        <v>173</v>
      </c>
      <c r="I66" s="6"/>
      <c r="J66" s="6"/>
      <c r="K66" s="6"/>
    </row>
    <row r="67" spans="1:11" x14ac:dyDescent="0.25">
      <c r="A67" s="28"/>
      <c r="B67" s="31" t="s">
        <v>111</v>
      </c>
      <c r="C67" s="28" t="s">
        <v>128</v>
      </c>
      <c r="D67" s="30"/>
      <c r="E67" s="30">
        <f>'revenue detail'!F10</f>
        <v>360592</v>
      </c>
      <c r="F67" s="26"/>
      <c r="G67" s="6"/>
      <c r="H67" s="7" t="s">
        <v>174</v>
      </c>
      <c r="I67" s="6"/>
      <c r="J67" s="6"/>
      <c r="K67" s="6"/>
    </row>
    <row r="68" spans="1:11" x14ac:dyDescent="0.25">
      <c r="A68" s="28"/>
      <c r="B68" s="31" t="s">
        <v>112</v>
      </c>
      <c r="C68" s="28" t="s">
        <v>129</v>
      </c>
      <c r="D68" s="30"/>
      <c r="E68" s="30">
        <f>'revenue detail'!F11</f>
        <v>938073</v>
      </c>
      <c r="F68" s="26"/>
      <c r="G68" s="6"/>
      <c r="H68" s="7" t="s">
        <v>175</v>
      </c>
      <c r="I68" s="6"/>
      <c r="J68" s="6"/>
      <c r="K68" s="6"/>
    </row>
    <row r="69" spans="1:11" x14ac:dyDescent="0.25">
      <c r="A69" s="28"/>
      <c r="B69" s="31" t="s">
        <v>136</v>
      </c>
      <c r="C69" s="28" t="s">
        <v>130</v>
      </c>
      <c r="D69" s="30"/>
      <c r="E69" s="30">
        <f>'revenue detail'!F12</f>
        <v>10294</v>
      </c>
      <c r="F69" s="26"/>
      <c r="G69" s="6"/>
      <c r="H69" s="6"/>
      <c r="I69" s="6"/>
      <c r="J69" s="6"/>
      <c r="K69" s="6"/>
    </row>
    <row r="70" spans="1:11" x14ac:dyDescent="0.25">
      <c r="A70" s="28"/>
      <c r="B70" s="31" t="s">
        <v>113</v>
      </c>
      <c r="C70" s="28" t="s">
        <v>133</v>
      </c>
      <c r="D70" s="30"/>
      <c r="E70" s="30">
        <f>'revenue detail'!F17</f>
        <v>305291</v>
      </c>
      <c r="F70" s="26"/>
      <c r="G70" s="6"/>
      <c r="H70" s="7" t="s">
        <v>179</v>
      </c>
      <c r="I70" s="6"/>
      <c r="J70" s="6"/>
      <c r="K70" s="6"/>
    </row>
    <row r="71" spans="1:11" x14ac:dyDescent="0.25">
      <c r="A71" s="28"/>
      <c r="B71" s="32" t="s">
        <v>78</v>
      </c>
      <c r="C71" s="28"/>
      <c r="D71" s="30"/>
      <c r="E71" s="30"/>
      <c r="F71" s="26"/>
      <c r="G71" s="6"/>
      <c r="H71" s="7"/>
      <c r="I71" s="6"/>
      <c r="J71" s="6"/>
      <c r="K71" s="6"/>
    </row>
    <row r="72" spans="1:11" x14ac:dyDescent="0.25">
      <c r="A72" s="28"/>
      <c r="C72" s="28"/>
      <c r="D72" s="30"/>
      <c r="E72" s="30"/>
      <c r="F72" s="26"/>
      <c r="G72" s="6"/>
      <c r="H72" s="7"/>
      <c r="I72" s="6"/>
      <c r="J72" s="6"/>
      <c r="K72" s="6"/>
    </row>
    <row r="73" spans="1:11" x14ac:dyDescent="0.25">
      <c r="A73" s="28">
        <v>17</v>
      </c>
      <c r="B73" s="32" t="s">
        <v>143</v>
      </c>
      <c r="C73" s="28" t="s">
        <v>122</v>
      </c>
      <c r="D73" s="30">
        <v>975690</v>
      </c>
      <c r="E73" s="30"/>
      <c r="F73" s="26"/>
      <c r="G73" s="6"/>
      <c r="H73" s="6"/>
      <c r="I73" s="6"/>
      <c r="J73" s="6"/>
      <c r="K73" s="6"/>
    </row>
    <row r="74" spans="1:11" x14ac:dyDescent="0.25">
      <c r="B74" s="31" t="s">
        <v>142</v>
      </c>
      <c r="C74" s="28" t="s">
        <v>123</v>
      </c>
      <c r="D74" s="30"/>
      <c r="E74" s="30">
        <f>D73</f>
        <v>975690</v>
      </c>
      <c r="F74" s="26"/>
      <c r="G74" s="6"/>
      <c r="I74" s="6"/>
      <c r="J74" s="6"/>
      <c r="K74" s="6"/>
    </row>
    <row r="75" spans="1:11" x14ac:dyDescent="0.25">
      <c r="B75" s="29" t="s">
        <v>86</v>
      </c>
      <c r="D75" s="30"/>
      <c r="E75" s="30"/>
      <c r="F75" s="6"/>
      <c r="G75" s="6"/>
      <c r="I75" s="6"/>
      <c r="J75" s="6"/>
      <c r="K75" s="6"/>
    </row>
    <row r="76" spans="1:11" x14ac:dyDescent="0.25">
      <c r="D76" s="30"/>
      <c r="E76" s="30"/>
      <c r="F76" s="6"/>
      <c r="G76" s="6"/>
      <c r="I76" s="6"/>
      <c r="J76" s="6"/>
      <c r="K76" s="6"/>
    </row>
    <row r="77" spans="1:11" x14ac:dyDescent="0.25">
      <c r="D77" s="30"/>
      <c r="E77" s="30"/>
      <c r="F77" s="6"/>
      <c r="G77" s="6"/>
      <c r="I77" s="6"/>
      <c r="J77" s="6"/>
      <c r="K77" s="6"/>
    </row>
    <row r="78" spans="1:11" x14ac:dyDescent="0.25">
      <c r="D78" s="30"/>
      <c r="E78" s="30"/>
      <c r="F78" s="6"/>
      <c r="G78" s="6"/>
      <c r="I78" s="6"/>
      <c r="J78" s="6"/>
      <c r="K78" s="6"/>
    </row>
    <row r="79" spans="1:11" x14ac:dyDescent="0.25">
      <c r="D79" s="30"/>
      <c r="E79" s="30"/>
      <c r="F79" s="6"/>
      <c r="G79" s="6"/>
      <c r="H79" s="6"/>
      <c r="I79" s="6"/>
      <c r="J79" s="6"/>
      <c r="K79" s="6"/>
    </row>
    <row r="80" spans="1:11" x14ac:dyDescent="0.25">
      <c r="D80" s="30"/>
      <c r="E80" s="30"/>
      <c r="F80" s="6"/>
      <c r="G80" s="6"/>
      <c r="H80" s="6"/>
      <c r="I80" s="6"/>
      <c r="J80" s="6"/>
      <c r="K80" s="6"/>
    </row>
    <row r="81" spans="4:11" x14ac:dyDescent="0.25">
      <c r="D81" s="30"/>
      <c r="E81" s="30"/>
      <c r="F81" s="6"/>
      <c r="G81" s="6"/>
      <c r="H81" s="6"/>
      <c r="I81" s="6"/>
      <c r="J81" s="36"/>
      <c r="K81" s="6"/>
    </row>
    <row r="82" spans="4:11" x14ac:dyDescent="0.25">
      <c r="D82" s="30"/>
      <c r="E82" s="30"/>
      <c r="F82" s="6"/>
      <c r="G82" s="6"/>
      <c r="H82" s="6"/>
      <c r="I82" s="6"/>
      <c r="J82" s="34"/>
      <c r="K82" s="6"/>
    </row>
    <row r="83" spans="4:11" x14ac:dyDescent="0.25">
      <c r="D83" s="30"/>
      <c r="E83" s="30"/>
      <c r="F83" s="6"/>
      <c r="G83" s="6"/>
      <c r="H83" s="6"/>
      <c r="I83" s="6"/>
      <c r="J83" s="36"/>
      <c r="K83" s="6"/>
    </row>
    <row r="84" spans="4:11" x14ac:dyDescent="0.25">
      <c r="D84" s="30"/>
      <c r="E84" s="30"/>
      <c r="H84" s="6"/>
      <c r="I84" s="6"/>
      <c r="J84" s="36"/>
      <c r="K84" s="6"/>
    </row>
    <row r="85" spans="4:11" x14ac:dyDescent="0.25">
      <c r="D85" s="30"/>
      <c r="E85" s="30"/>
      <c r="H85" s="6"/>
      <c r="I85" s="6"/>
      <c r="J85" s="6"/>
      <c r="K85" s="6"/>
    </row>
    <row r="86" spans="4:11" x14ac:dyDescent="0.25">
      <c r="D86" s="30"/>
      <c r="E86" s="30"/>
      <c r="H86" s="6"/>
      <c r="I86" s="6"/>
      <c r="J86" s="6"/>
      <c r="K86" s="6"/>
    </row>
    <row r="87" spans="4:11" x14ac:dyDescent="0.25">
      <c r="D87" s="30"/>
      <c r="E87" s="30"/>
    </row>
    <row r="88" spans="4:11" x14ac:dyDescent="0.25">
      <c r="D88" s="30"/>
      <c r="E88" s="30"/>
    </row>
    <row r="89" spans="4:11" x14ac:dyDescent="0.25">
      <c r="D89" s="30"/>
      <c r="E89" s="30"/>
    </row>
  </sheetData>
  <mergeCells count="3">
    <mergeCell ref="A1:H1"/>
    <mergeCell ref="A2:H2"/>
    <mergeCell ref="A3:H3"/>
  </mergeCells>
  <pageMargins left="0.7" right="0.7" top="0.75" bottom="0.75" header="0.3" footer="0.3"/>
  <pageSetup scale="46" orientation="portrait" r:id="rId1"/>
  <colBreaks count="1" manualBreakCount="1">
    <brk id="11" max="9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L29"/>
  <sheetViews>
    <sheetView workbookViewId="0">
      <selection activeCell="J21" sqref="J21"/>
    </sheetView>
  </sheetViews>
  <sheetFormatPr defaultRowHeight="15" x14ac:dyDescent="0.25"/>
  <cols>
    <col min="2" max="2" width="32.28515625" bestFit="1" customWidth="1"/>
    <col min="3" max="3" width="14.28515625" bestFit="1" customWidth="1"/>
    <col min="4" max="4" width="12.28515625" bestFit="1" customWidth="1"/>
    <col min="5" max="5" width="14.7109375" customWidth="1"/>
    <col min="6" max="6" width="13.28515625" customWidth="1"/>
    <col min="7" max="7" width="11.7109375" bestFit="1" customWidth="1"/>
    <col min="8" max="8" width="16.28515625" bestFit="1" customWidth="1"/>
    <col min="9" max="9" width="11.85546875" bestFit="1" customWidth="1"/>
    <col min="10" max="10" width="12.42578125" bestFit="1" customWidth="1"/>
  </cols>
  <sheetData>
    <row r="3" spans="2:12" x14ac:dyDescent="0.25">
      <c r="G3" s="17"/>
      <c r="H3" s="17"/>
      <c r="I3" s="17"/>
      <c r="J3" s="17"/>
    </row>
    <row r="4" spans="2:12" x14ac:dyDescent="0.25">
      <c r="C4" s="14" t="s">
        <v>50</v>
      </c>
      <c r="D4" s="14"/>
      <c r="E4" s="14" t="s">
        <v>52</v>
      </c>
      <c r="F4" s="14"/>
      <c r="G4" s="14" t="s">
        <v>52</v>
      </c>
      <c r="H4" s="18"/>
      <c r="I4" s="18"/>
      <c r="J4" s="18"/>
      <c r="K4" s="19"/>
      <c r="L4" s="19"/>
    </row>
    <row r="5" spans="2:12" x14ac:dyDescent="0.25">
      <c r="B5" s="11" t="s">
        <v>36</v>
      </c>
      <c r="C5" s="14" t="s">
        <v>168</v>
      </c>
      <c r="D5" s="14" t="s">
        <v>51</v>
      </c>
      <c r="E5" s="14" t="s">
        <v>75</v>
      </c>
      <c r="F5" s="14" t="s">
        <v>51</v>
      </c>
      <c r="G5" s="14" t="s">
        <v>76</v>
      </c>
      <c r="H5" s="18"/>
      <c r="I5" s="18"/>
      <c r="J5" s="18"/>
      <c r="K5" s="19"/>
      <c r="L5" s="19"/>
    </row>
    <row r="6" spans="2:12" x14ac:dyDescent="0.25">
      <c r="B6" s="12" t="s">
        <v>37</v>
      </c>
      <c r="G6" s="19"/>
      <c r="H6" s="19"/>
      <c r="I6" s="19"/>
      <c r="J6" s="19"/>
      <c r="K6" s="19"/>
      <c r="L6" s="19"/>
    </row>
    <row r="7" spans="2:12" x14ac:dyDescent="0.25">
      <c r="B7" s="15" t="s">
        <v>38</v>
      </c>
      <c r="C7" s="2">
        <v>36916772</v>
      </c>
      <c r="D7" s="2">
        <f>E7-C7</f>
        <v>-11534</v>
      </c>
      <c r="E7" s="2">
        <v>36905238</v>
      </c>
      <c r="F7" s="2">
        <f>G7-E7</f>
        <v>5644656</v>
      </c>
      <c r="G7" s="20">
        <v>42549894</v>
      </c>
      <c r="H7" s="20"/>
      <c r="I7" s="20"/>
      <c r="J7" s="19"/>
      <c r="K7" s="19"/>
      <c r="L7" s="19"/>
    </row>
    <row r="8" spans="2:12" x14ac:dyDescent="0.25">
      <c r="B8" s="15" t="s">
        <v>39</v>
      </c>
      <c r="C8" s="2">
        <v>7749227</v>
      </c>
      <c r="D8" s="2">
        <f t="shared" ref="D8:D12" si="0">E8-C8</f>
        <v>59812</v>
      </c>
      <c r="E8" s="2">
        <v>7809039</v>
      </c>
      <c r="F8" s="2">
        <f t="shared" ref="F8:F12" si="1">G8-E8</f>
        <v>1224929</v>
      </c>
      <c r="G8" s="20">
        <f>9033969-1</f>
        <v>9033968</v>
      </c>
      <c r="H8" s="20"/>
      <c r="I8" s="20"/>
      <c r="J8" s="19"/>
      <c r="K8" s="19"/>
      <c r="L8" s="19"/>
    </row>
    <row r="9" spans="2:12" x14ac:dyDescent="0.25">
      <c r="B9" s="15" t="s">
        <v>40</v>
      </c>
      <c r="C9" s="2">
        <v>4034073</v>
      </c>
      <c r="D9" s="2">
        <f t="shared" si="0"/>
        <v>68241</v>
      </c>
      <c r="E9" s="2">
        <v>4102314</v>
      </c>
      <c r="F9" s="2">
        <f t="shared" si="1"/>
        <v>667368</v>
      </c>
      <c r="G9" s="20">
        <v>4769682</v>
      </c>
      <c r="H9" s="20"/>
      <c r="I9" s="20"/>
      <c r="J9" s="19"/>
      <c r="K9" s="19"/>
      <c r="L9" s="19"/>
    </row>
    <row r="10" spans="2:12" x14ac:dyDescent="0.25">
      <c r="B10" s="15" t="s">
        <v>41</v>
      </c>
      <c r="C10" s="2">
        <v>2243348</v>
      </c>
      <c r="D10" s="2">
        <f t="shared" si="0"/>
        <v>23978</v>
      </c>
      <c r="E10" s="2">
        <v>2267326</v>
      </c>
      <c r="F10" s="2">
        <f t="shared" si="1"/>
        <v>360592</v>
      </c>
      <c r="G10" s="20">
        <v>2627918</v>
      </c>
      <c r="H10" s="20"/>
      <c r="I10" s="20"/>
      <c r="J10" s="19"/>
      <c r="K10" s="19"/>
      <c r="L10" s="19"/>
    </row>
    <row r="11" spans="2:12" x14ac:dyDescent="0.25">
      <c r="B11" s="15" t="s">
        <v>42</v>
      </c>
      <c r="C11" s="2">
        <v>5907716</v>
      </c>
      <c r="D11" s="2">
        <f t="shared" si="0"/>
        <v>46372</v>
      </c>
      <c r="E11" s="2">
        <v>5954088</v>
      </c>
      <c r="F11" s="2">
        <f t="shared" si="1"/>
        <v>938073</v>
      </c>
      <c r="G11" s="20">
        <v>6892161</v>
      </c>
      <c r="H11" s="20"/>
      <c r="I11" s="20"/>
      <c r="J11" s="19"/>
      <c r="K11" s="19"/>
      <c r="L11" s="19"/>
    </row>
    <row r="12" spans="2:12" x14ac:dyDescent="0.25">
      <c r="B12" s="15" t="s">
        <v>43</v>
      </c>
      <c r="C12" s="16">
        <v>66507</v>
      </c>
      <c r="D12" s="16">
        <f t="shared" si="0"/>
        <v>0</v>
      </c>
      <c r="E12" s="16">
        <v>66507</v>
      </c>
      <c r="F12" s="16">
        <f t="shared" si="1"/>
        <v>10294</v>
      </c>
      <c r="G12" s="25">
        <v>76801</v>
      </c>
      <c r="H12" s="20"/>
      <c r="I12" s="20"/>
      <c r="J12" s="19"/>
      <c r="K12" s="19"/>
      <c r="L12" s="19"/>
    </row>
    <row r="13" spans="2:12" x14ac:dyDescent="0.25">
      <c r="B13" s="13"/>
      <c r="C13" s="2"/>
      <c r="D13" s="2"/>
      <c r="E13" s="2"/>
      <c r="F13" s="2"/>
      <c r="G13" s="2"/>
      <c r="H13" s="2"/>
      <c r="I13" s="2"/>
    </row>
    <row r="14" spans="2:12" x14ac:dyDescent="0.25">
      <c r="B14" s="10" t="s">
        <v>44</v>
      </c>
      <c r="C14" s="2">
        <f>SUM(C7:C13)</f>
        <v>56917643</v>
      </c>
      <c r="D14" s="2">
        <f t="shared" ref="D14:G14" si="2">SUM(D7:D13)</f>
        <v>186869</v>
      </c>
      <c r="E14" s="2">
        <f t="shared" si="2"/>
        <v>57104512</v>
      </c>
      <c r="F14" s="2">
        <f t="shared" si="2"/>
        <v>8845912</v>
      </c>
      <c r="G14" s="2">
        <f t="shared" si="2"/>
        <v>65950424</v>
      </c>
      <c r="H14" s="2"/>
      <c r="I14" s="2"/>
    </row>
    <row r="15" spans="2:12" x14ac:dyDescent="0.25">
      <c r="B15" s="13"/>
      <c r="C15" s="2"/>
      <c r="D15" s="2"/>
      <c r="E15" s="2"/>
      <c r="F15" s="2"/>
      <c r="G15" s="2"/>
      <c r="H15" s="2"/>
      <c r="I15" s="2"/>
    </row>
    <row r="16" spans="2:12" x14ac:dyDescent="0.25">
      <c r="B16" s="15" t="s">
        <v>45</v>
      </c>
      <c r="C16" s="2">
        <v>43306</v>
      </c>
      <c r="D16" s="2">
        <f t="shared" ref="D16:D17" si="3">E16-C16</f>
        <v>0</v>
      </c>
      <c r="E16" s="2">
        <v>43306</v>
      </c>
      <c r="F16" s="2">
        <f t="shared" ref="F16:F17" si="4">G16-E16</f>
        <v>0</v>
      </c>
      <c r="G16" s="2">
        <v>43306</v>
      </c>
      <c r="H16" s="2"/>
      <c r="I16" s="2"/>
    </row>
    <row r="17" spans="2:9" x14ac:dyDescent="0.25">
      <c r="B17" s="15" t="s">
        <v>46</v>
      </c>
      <c r="C17" s="16">
        <v>2022746</v>
      </c>
      <c r="D17" s="16">
        <f t="shared" si="3"/>
        <v>89</v>
      </c>
      <c r="E17" s="16">
        <v>2022835</v>
      </c>
      <c r="F17" s="16">
        <f t="shared" si="4"/>
        <v>305291</v>
      </c>
      <c r="G17" s="16">
        <v>2328126</v>
      </c>
      <c r="H17" s="2"/>
      <c r="I17" s="2"/>
    </row>
    <row r="18" spans="2:9" x14ac:dyDescent="0.25">
      <c r="B18" s="13"/>
      <c r="C18" s="2"/>
      <c r="D18" s="2"/>
      <c r="E18" s="2"/>
      <c r="F18" s="2"/>
      <c r="G18" s="2"/>
      <c r="H18" s="2"/>
      <c r="I18" s="2"/>
    </row>
    <row r="19" spans="2:9" x14ac:dyDescent="0.25">
      <c r="B19" s="10" t="s">
        <v>29</v>
      </c>
      <c r="C19" s="2">
        <f>SUM(C14:C18)</f>
        <v>58983695</v>
      </c>
      <c r="D19" s="2">
        <f t="shared" ref="D19:G19" si="5">SUM(D14:D18)</f>
        <v>186958</v>
      </c>
      <c r="E19" s="2">
        <f t="shared" si="5"/>
        <v>59170653</v>
      </c>
      <c r="F19" s="2">
        <f t="shared" si="5"/>
        <v>9151203</v>
      </c>
      <c r="G19" s="2">
        <f t="shared" si="5"/>
        <v>68321856</v>
      </c>
      <c r="H19" s="2"/>
      <c r="I19" s="2"/>
    </row>
    <row r="20" spans="2:9" x14ac:dyDescent="0.25">
      <c r="B20" s="13"/>
      <c r="C20" s="2"/>
      <c r="D20" s="2"/>
      <c r="E20" s="2"/>
      <c r="F20" s="2"/>
      <c r="G20" s="2"/>
      <c r="H20" s="2"/>
      <c r="I20" s="2"/>
    </row>
    <row r="21" spans="2:9" x14ac:dyDescent="0.25">
      <c r="B21" s="15" t="s">
        <v>53</v>
      </c>
      <c r="C21" s="2">
        <v>442082</v>
      </c>
      <c r="D21" s="2">
        <f t="shared" ref="D21:D23" si="6">E21-C21</f>
        <v>0</v>
      </c>
      <c r="E21" s="2">
        <v>442082</v>
      </c>
      <c r="F21" s="8">
        <f t="shared" ref="F21:F23" si="7">G21-E21</f>
        <v>0</v>
      </c>
      <c r="G21" s="2">
        <v>442082</v>
      </c>
      <c r="H21" s="2"/>
      <c r="I21" s="2"/>
    </row>
    <row r="22" spans="2:9" x14ac:dyDescent="0.25">
      <c r="B22" s="15" t="s">
        <v>47</v>
      </c>
      <c r="C22" s="2">
        <v>383269</v>
      </c>
      <c r="D22" s="2">
        <f t="shared" si="6"/>
        <v>0</v>
      </c>
      <c r="E22" s="2">
        <v>383269</v>
      </c>
      <c r="F22" s="8">
        <f t="shared" si="7"/>
        <v>0</v>
      </c>
      <c r="G22" s="2">
        <v>383269</v>
      </c>
      <c r="H22" s="2"/>
      <c r="I22" s="2"/>
    </row>
    <row r="23" spans="2:9" x14ac:dyDescent="0.25">
      <c r="B23" s="15" t="s">
        <v>48</v>
      </c>
      <c r="C23" s="16">
        <v>266276</v>
      </c>
      <c r="D23" s="16">
        <f t="shared" si="6"/>
        <v>0</v>
      </c>
      <c r="E23" s="16">
        <v>266276</v>
      </c>
      <c r="F23" s="16">
        <f t="shared" si="7"/>
        <v>0</v>
      </c>
      <c r="G23" s="16">
        <v>266276</v>
      </c>
      <c r="H23" s="2"/>
      <c r="I23" s="2"/>
    </row>
    <row r="24" spans="2:9" x14ac:dyDescent="0.25">
      <c r="B24" s="13"/>
      <c r="C24" s="2"/>
      <c r="D24" s="2"/>
      <c r="E24" s="2"/>
      <c r="F24" s="2"/>
      <c r="G24" s="2"/>
      <c r="H24" s="2"/>
      <c r="I24" s="2"/>
    </row>
    <row r="25" spans="2:9" x14ac:dyDescent="0.25">
      <c r="B25" s="10" t="s">
        <v>49</v>
      </c>
      <c r="C25" s="2">
        <f>SUM(C19:C23)</f>
        <v>60075322</v>
      </c>
      <c r="D25" s="2">
        <f t="shared" ref="D25:G25" si="8">SUM(D19:D23)</f>
        <v>186958</v>
      </c>
      <c r="E25" s="2">
        <f t="shared" si="8"/>
        <v>60262280</v>
      </c>
      <c r="F25" s="2">
        <f t="shared" si="8"/>
        <v>9151203</v>
      </c>
      <c r="G25" s="2">
        <f t="shared" si="8"/>
        <v>69413483</v>
      </c>
      <c r="H25" s="2"/>
      <c r="I25" s="2"/>
    </row>
    <row r="27" spans="2:9" x14ac:dyDescent="0.25">
      <c r="E27" s="3">
        <f>E19</f>
        <v>59170653</v>
      </c>
      <c r="G27" s="3">
        <f>G19</f>
        <v>68321856</v>
      </c>
    </row>
    <row r="28" spans="2:9" x14ac:dyDescent="0.25">
      <c r="E28" s="3">
        <f>-E16</f>
        <v>-43306</v>
      </c>
      <c r="G28" s="3">
        <f>-G16</f>
        <v>-43306</v>
      </c>
    </row>
    <row r="29" spans="2:9" x14ac:dyDescent="0.25">
      <c r="E29" s="4">
        <f>SUM(E27:E28)</f>
        <v>59127347</v>
      </c>
      <c r="G29" s="4">
        <f>SUM(G27:G28)</f>
        <v>68278550</v>
      </c>
      <c r="H29" t="s">
        <v>79</v>
      </c>
    </row>
  </sheetData>
  <pageMargins left="0.7" right="0.7" top="0.75" bottom="0.75" header="0.3" footer="0.3"/>
  <pageSetup scale="7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4:H45"/>
  <sheetViews>
    <sheetView zoomScaleNormal="100" workbookViewId="0">
      <selection activeCell="D26" sqref="D26"/>
    </sheetView>
  </sheetViews>
  <sheetFormatPr defaultRowHeight="15" x14ac:dyDescent="0.25"/>
  <cols>
    <col min="5" max="5" width="44.140625" bestFit="1" customWidth="1"/>
    <col min="6" max="6" width="11.28515625" bestFit="1" customWidth="1"/>
    <col min="7" max="7" width="14" customWidth="1"/>
    <col min="8" max="8" width="14.28515625" bestFit="1" customWidth="1"/>
  </cols>
  <sheetData>
    <row r="4" spans="5:8" x14ac:dyDescent="0.25">
      <c r="E4" s="5" t="s">
        <v>59</v>
      </c>
    </row>
    <row r="5" spans="5:8" x14ac:dyDescent="0.25">
      <c r="F5" s="22"/>
    </row>
    <row r="6" spans="5:8" x14ac:dyDescent="0.25">
      <c r="E6" t="s">
        <v>85</v>
      </c>
      <c r="F6" s="22"/>
    </row>
    <row r="7" spans="5:8" x14ac:dyDescent="0.25">
      <c r="F7" s="22"/>
    </row>
    <row r="8" spans="5:8" x14ac:dyDescent="0.25">
      <c r="E8" t="s">
        <v>58</v>
      </c>
      <c r="G8" s="2">
        <v>68278550</v>
      </c>
      <c r="H8" t="s">
        <v>176</v>
      </c>
    </row>
    <row r="9" spans="5:8" x14ac:dyDescent="0.25">
      <c r="E9" t="s">
        <v>45</v>
      </c>
      <c r="G9" s="2">
        <f>'revenue detail'!C16</f>
        <v>43306</v>
      </c>
      <c r="H9" t="s">
        <v>176</v>
      </c>
    </row>
    <row r="10" spans="5:8" x14ac:dyDescent="0.25">
      <c r="E10" t="s">
        <v>60</v>
      </c>
      <c r="G10" s="2">
        <f>-'revenue detail'!G19</f>
        <v>-68321856</v>
      </c>
      <c r="H10" s="2" t="s">
        <v>176</v>
      </c>
    </row>
    <row r="11" spans="5:8" ht="15.75" thickBot="1" x14ac:dyDescent="0.3">
      <c r="E11" t="s">
        <v>61</v>
      </c>
      <c r="G11" s="23">
        <f>SUM(G8:G10)</f>
        <v>0</v>
      </c>
    </row>
    <row r="12" spans="5:8" ht="15.75" thickTop="1" x14ac:dyDescent="0.25">
      <c r="F12" s="2"/>
    </row>
    <row r="13" spans="5:8" x14ac:dyDescent="0.25">
      <c r="F13" s="2"/>
    </row>
    <row r="14" spans="5:8" x14ac:dyDescent="0.25">
      <c r="E14" t="s">
        <v>62</v>
      </c>
      <c r="G14" s="2">
        <v>2081883</v>
      </c>
      <c r="H14" t="s">
        <v>176</v>
      </c>
    </row>
    <row r="15" spans="5:8" x14ac:dyDescent="0.25">
      <c r="E15" t="s">
        <v>63</v>
      </c>
      <c r="G15" s="2">
        <f>-'revenue detail'!G21</f>
        <v>-442082</v>
      </c>
      <c r="H15" t="s">
        <v>176</v>
      </c>
    </row>
    <row r="16" spans="5:8" x14ac:dyDescent="0.25">
      <c r="E16" t="s">
        <v>64</v>
      </c>
      <c r="G16" s="2">
        <f>-'revenue detail'!G22</f>
        <v>-383269</v>
      </c>
      <c r="H16" t="s">
        <v>176</v>
      </c>
    </row>
    <row r="17" spans="5:8" x14ac:dyDescent="0.25">
      <c r="E17" t="s">
        <v>65</v>
      </c>
      <c r="G17" s="2">
        <f>-'revenue detail'!G23</f>
        <v>-266276</v>
      </c>
      <c r="H17" t="s">
        <v>176</v>
      </c>
    </row>
    <row r="18" spans="5:8" x14ac:dyDescent="0.25">
      <c r="E18" t="s">
        <v>80</v>
      </c>
      <c r="G18" s="2">
        <v>-508932</v>
      </c>
      <c r="H18" t="s">
        <v>176</v>
      </c>
    </row>
    <row r="19" spans="5:8" x14ac:dyDescent="0.25">
      <c r="E19" t="s">
        <v>83</v>
      </c>
      <c r="F19" s="2">
        <f>-482867+2</f>
        <v>-482865</v>
      </c>
      <c r="G19" s="3">
        <f>F21</f>
        <v>-481324</v>
      </c>
      <c r="H19" t="s">
        <v>176</v>
      </c>
    </row>
    <row r="20" spans="5:8" x14ac:dyDescent="0.25">
      <c r="E20" t="s">
        <v>84</v>
      </c>
      <c r="F20" s="2">
        <v>1541</v>
      </c>
    </row>
    <row r="21" spans="5:8" x14ac:dyDescent="0.25">
      <c r="E21" s="1" t="s">
        <v>82</v>
      </c>
      <c r="F21" s="24">
        <f>SUM(F19:F20)</f>
        <v>-481324</v>
      </c>
    </row>
    <row r="22" spans="5:8" x14ac:dyDescent="0.25">
      <c r="E22" t="s">
        <v>81</v>
      </c>
      <c r="G22" s="2"/>
    </row>
    <row r="23" spans="5:8" ht="15.75" thickBot="1" x14ac:dyDescent="0.3">
      <c r="E23" t="s">
        <v>61</v>
      </c>
      <c r="G23" s="23">
        <f>SUM(G14:G22)</f>
        <v>0</v>
      </c>
    </row>
    <row r="24" spans="5:8" ht="15.75" thickTop="1" x14ac:dyDescent="0.25"/>
    <row r="28" spans="5:8" x14ac:dyDescent="0.25">
      <c r="E28" t="s">
        <v>74</v>
      </c>
      <c r="F28" s="2"/>
    </row>
    <row r="30" spans="5:8" x14ac:dyDescent="0.25">
      <c r="E30" t="s">
        <v>66</v>
      </c>
      <c r="G30" s="2">
        <v>32809879</v>
      </c>
      <c r="H30" t="s">
        <v>176</v>
      </c>
    </row>
    <row r="31" spans="5:8" x14ac:dyDescent="0.25">
      <c r="E31" t="s">
        <v>71</v>
      </c>
      <c r="G31" s="2">
        <v>1024368</v>
      </c>
      <c r="H31" t="s">
        <v>176</v>
      </c>
    </row>
    <row r="32" spans="5:8" x14ac:dyDescent="0.25">
      <c r="E32" t="s">
        <v>68</v>
      </c>
      <c r="G32" s="2">
        <v>458944</v>
      </c>
      <c r="H32" t="s">
        <v>176</v>
      </c>
    </row>
    <row r="33" spans="5:8" x14ac:dyDescent="0.25">
      <c r="E33" t="s">
        <v>72</v>
      </c>
      <c r="G33" s="2">
        <v>-34293201</v>
      </c>
      <c r="H33" t="s">
        <v>176</v>
      </c>
    </row>
    <row r="34" spans="5:8" x14ac:dyDescent="0.25">
      <c r="E34" t="s">
        <v>73</v>
      </c>
      <c r="G34" s="2">
        <v>10</v>
      </c>
    </row>
    <row r="35" spans="5:8" ht="15.75" thickBot="1" x14ac:dyDescent="0.3">
      <c r="E35" t="s">
        <v>61</v>
      </c>
      <c r="G35" s="21">
        <f>SUM(G30:G34)</f>
        <v>0</v>
      </c>
    </row>
    <row r="36" spans="5:8" ht="15.75" thickTop="1" x14ac:dyDescent="0.25"/>
    <row r="37" spans="5:8" x14ac:dyDescent="0.25">
      <c r="E37" t="s">
        <v>69</v>
      </c>
      <c r="G37" s="2">
        <v>12235799</v>
      </c>
      <c r="H37" t="s">
        <v>176</v>
      </c>
    </row>
    <row r="38" spans="5:8" x14ac:dyDescent="0.25">
      <c r="E38" t="s">
        <v>67</v>
      </c>
      <c r="G38" s="2">
        <v>201120</v>
      </c>
      <c r="H38" t="s">
        <v>176</v>
      </c>
    </row>
    <row r="39" spans="5:8" x14ac:dyDescent="0.25">
      <c r="E39" t="s">
        <v>70</v>
      </c>
      <c r="G39" s="2">
        <v>-12436919</v>
      </c>
      <c r="H39" t="s">
        <v>176</v>
      </c>
    </row>
    <row r="40" spans="5:8" ht="15.75" thickBot="1" x14ac:dyDescent="0.3">
      <c r="E40" t="s">
        <v>61</v>
      </c>
      <c r="G40" s="21">
        <f>SUM(G37:G39)</f>
        <v>0</v>
      </c>
    </row>
    <row r="41" spans="5:8" ht="15.75" thickTop="1" x14ac:dyDescent="0.25"/>
    <row r="44" spans="5:8" x14ac:dyDescent="0.25">
      <c r="F44" s="2"/>
    </row>
    <row r="45" spans="5:8" x14ac:dyDescent="0.25">
      <c r="F45" s="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JEs and Explanation</vt:lpstr>
      <vt:lpstr>revenue detail</vt:lpstr>
      <vt:lpstr>Proforma to COS Rec</vt:lpstr>
      <vt:lpstr>'JEs and Explanation'!Print_Area</vt:lpstr>
      <vt:lpstr>'Proforma to COS Rec'!Print_Area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 Rechtin</dc:creator>
  <cp:lastModifiedBy>Stacey Kampsen</cp:lastModifiedBy>
  <cp:lastPrinted>2022-08-03T19:50:31Z</cp:lastPrinted>
  <dcterms:created xsi:type="dcterms:W3CDTF">2018-09-11T11:49:51Z</dcterms:created>
  <dcterms:modified xsi:type="dcterms:W3CDTF">2022-08-03T19:50:47Z</dcterms:modified>
</cp:coreProperties>
</file>