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P:\Finance Dept Files\PSC Rate Cases &amp; Applications\2022\2022-00161 Rate Case\Data Requests\1. Data Request 1\Complete\"/>
    </mc:Choice>
  </mc:AlternateContent>
  <xr:revisionPtr revIDLastSave="0" documentId="8_{A36EF1AC-D8F5-4545-930C-1C943439B29E}" xr6:coauthVersionLast="47" xr6:coauthVersionMax="47" xr10:uidLastSave="{00000000-0000-0000-0000-000000000000}"/>
  <bookViews>
    <workbookView xWindow="22932" yWindow="-108" windowWidth="23256" windowHeight="12576" xr2:uid="{72E60E7F-274C-48AB-8394-4F9F0F07816A}"/>
  </bookViews>
  <sheets>
    <sheet name="SCH-A" sheetId="27" r:id="rId1"/>
    <sheet name="SCH-B - COS" sheetId="19" r:id="rId2"/>
    <sheet name="SCH-C - F 1-2" sheetId="1" r:id="rId3"/>
    <sheet name="SCH-C - F 2 B" sheetId="2" r:id="rId4"/>
    <sheet name="SCH-C - F 3-4" sheetId="4" r:id="rId5"/>
    <sheet name="SCH-C - F 3B 4B" sheetId="5" r:id="rId6"/>
    <sheet name="SCH-C - F 5" sheetId="6" r:id="rId7"/>
    <sheet name="SCH-C - F 5B" sheetId="7" r:id="rId8"/>
    <sheet name="SCH-C - F6" sheetId="8" r:id="rId9"/>
    <sheet name="SCH-C - F7-9" sheetId="9" r:id="rId10"/>
    <sheet name="SCH-C - Meters" sheetId="13" r:id="rId11"/>
    <sheet name="SCH-C - F10-11" sheetId="11" r:id="rId12"/>
    <sheet name="SCH-C - F12-13" sheetId="10" r:id="rId13"/>
    <sheet name="SCH-C -F 14-20" sheetId="12" r:id="rId14"/>
    <sheet name="SCH-D" sheetId="28" r:id="rId15"/>
    <sheet name="SCH-E - cust charge" sheetId="29" r:id="rId16"/>
    <sheet name="Fire" sheetId="16" r:id="rId17"/>
  </sheets>
  <definedNames>
    <definedName name="comp">'SCH-B - COS'!$Y$310:$AN$310</definedName>
    <definedName name="CUST">'SCH-C - F 1-2'!$D$53:$M$70</definedName>
    <definedName name="ds">'SCH-B - COS'!$I$176</definedName>
    <definedName name="fact">#REF!</definedName>
    <definedName name="FACT3" localSheetId="4">'SCH-C - F 3-4'!$A$1:$FL$1319</definedName>
    <definedName name="FACT3A" localSheetId="2">'SCH-C - F 1-2'!$Z$14:$BE$257</definedName>
    <definedName name="FACT3A" localSheetId="3">'SCH-C - F 2 B'!$Z$14:$BE$265</definedName>
    <definedName name="FACT3A" localSheetId="4">'SCH-C - F 3-4'!$W$14:$BB$229</definedName>
    <definedName name="factor">'SCH-B - COS'!$Z$310:$AN$315</definedName>
    <definedName name="Factors">'SCH-B - COS'!$J$316:$Y$351</definedName>
    <definedName name="FIRE" localSheetId="2">'SCH-C - F 1-2'!$AC$70:$EU$904</definedName>
    <definedName name="FIRE" localSheetId="3">'SCH-C - F 2 B'!$AC$78:$EU$912</definedName>
    <definedName name="FIRE" localSheetId="4">'SCH-C - F 3-4'!$Z$67:$ER$876</definedName>
    <definedName name="func">'SCH-B - COS'!$AG$320:$AT$341</definedName>
    <definedName name="_xlnm.Print_Area" localSheetId="16">Fire!$C$1:$O$20</definedName>
    <definedName name="_xlnm.Print_Area" localSheetId="0">'SCH-A'!$B$6:$R$37</definedName>
    <definedName name="_xlnm.Print_Area" localSheetId="1">'SCH-B - COS'!$C$1:$W$290</definedName>
    <definedName name="_xlnm.Print_Area" localSheetId="2">'SCH-C - F 1-2'!$B$1:$M$48</definedName>
    <definedName name="_xlnm.Print_Area" localSheetId="3">'SCH-C - F 2 B'!$A$1:$J$41</definedName>
    <definedName name="_xlnm.Print_Area" localSheetId="4">'SCH-C - F 3-4'!$A$1:$P$27,'SCH-C - F 3-4'!$A$30:$R$57</definedName>
    <definedName name="_xlnm.Print_Area" localSheetId="5">'SCH-C - F 3B 4B'!$A$1:$K$72</definedName>
    <definedName name="_xlnm.Print_Area" localSheetId="7">'SCH-C - F 5B'!$A$1:$J$46</definedName>
    <definedName name="_xlnm.Print_Area" localSheetId="11">'SCH-C - F10-11'!$A$1:$G$70</definedName>
    <definedName name="_xlnm.Print_Area" localSheetId="12">'SCH-C - F12-13'!$A$1:$G$42</definedName>
    <definedName name="_xlnm.Print_Area" localSheetId="8">'SCH-C - F6'!$A$1:$P$37</definedName>
    <definedName name="_xlnm.Print_Area" localSheetId="9">'SCH-C - F7-9'!$A$1:$G$60</definedName>
    <definedName name="_xlnm.Print_Area" localSheetId="10">'SCH-C - Meters'!$A$1:$AA$32,'SCH-C - Meters'!$A$36:$AA$66</definedName>
    <definedName name="_xlnm.Print_Area" localSheetId="14">'SCH-D'!$A$1:$H$36</definedName>
    <definedName name="_xlnm.Print_Area" localSheetId="15">'SCH-E - cust charge'!$A$1:$F$26</definedName>
    <definedName name="_xlnm.Print_Titles" localSheetId="1">'SCH-B - COS'!$1:$9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324" i="19" l="1"/>
  <c r="AH323" i="19"/>
  <c r="AH322" i="19"/>
  <c r="AT324" i="19"/>
  <c r="AT323" i="19"/>
  <c r="AT322" i="19"/>
  <c r="AT321" i="19"/>
  <c r="AT320" i="19"/>
  <c r="U17" i="8"/>
  <c r="S17" i="8"/>
  <c r="H34" i="27"/>
  <c r="B35" i="28" l="1"/>
  <c r="G32" i="28"/>
  <c r="G33" i="28"/>
  <c r="G34" i="28"/>
  <c r="G35" i="28"/>
  <c r="D32" i="28"/>
  <c r="C14" i="13" l="1"/>
  <c r="B32" i="28" l="1"/>
  <c r="B33" i="28" s="1"/>
  <c r="B34" i="28" s="1"/>
  <c r="AD144" i="19" l="1"/>
  <c r="AD110" i="19"/>
  <c r="AV328" i="19" l="1"/>
  <c r="AV340" i="19"/>
  <c r="AD221" i="19"/>
  <c r="AD222" i="19"/>
  <c r="AD223" i="19"/>
  <c r="AD224" i="19"/>
  <c r="AD225" i="19"/>
  <c r="AD226" i="19"/>
  <c r="AD227" i="19"/>
  <c r="AD228" i="19"/>
  <c r="AD229" i="19"/>
  <c r="AD230" i="19"/>
  <c r="AD231" i="19"/>
  <c r="AD232" i="19"/>
  <c r="AD233" i="19"/>
  <c r="AD234" i="19"/>
  <c r="AD235" i="19"/>
  <c r="AD236" i="19"/>
  <c r="AD237" i="19"/>
  <c r="AD238" i="19"/>
  <c r="AD239" i="19"/>
  <c r="AD240" i="19"/>
  <c r="AD241" i="19"/>
  <c r="AD242" i="19"/>
  <c r="AD243" i="19"/>
  <c r="AD244" i="19"/>
  <c r="AD245" i="19"/>
  <c r="AD246" i="19"/>
  <c r="AD247" i="19"/>
  <c r="AD248" i="19"/>
  <c r="AD249" i="19"/>
  <c r="AD250" i="19"/>
  <c r="AD251" i="19"/>
  <c r="AD252" i="19"/>
  <c r="AD253" i="19"/>
  <c r="AD254" i="19"/>
  <c r="AD255" i="19"/>
  <c r="AD256" i="19"/>
  <c r="AD257" i="19"/>
  <c r="AD258" i="19"/>
  <c r="AD259" i="19"/>
  <c r="AD260" i="19"/>
  <c r="AF246" i="19" l="1"/>
  <c r="AF245" i="19"/>
  <c r="AF244" i="19"/>
  <c r="AF243" i="19"/>
  <c r="AF242" i="19"/>
  <c r="AF241" i="19"/>
  <c r="AJ242" i="19" l="1"/>
  <c r="AN242" i="19"/>
  <c r="AR242" i="19"/>
  <c r="AP242" i="19"/>
  <c r="AR243" i="19"/>
  <c r="AP243" i="19"/>
  <c r="AL243" i="19"/>
  <c r="AN243" i="19"/>
  <c r="AR241" i="19"/>
  <c r="AN241" i="19"/>
  <c r="AP241" i="19"/>
  <c r="AL241" i="19"/>
  <c r="AN244" i="19"/>
  <c r="AR244" i="19"/>
  <c r="AJ244" i="19"/>
  <c r="AP244" i="19"/>
  <c r="AP245" i="19"/>
  <c r="AR245" i="19"/>
  <c r="AL245" i="19"/>
  <c r="AN245" i="19"/>
  <c r="AR246" i="19"/>
  <c r="AJ246" i="19"/>
  <c r="AN246" i="19"/>
  <c r="AP246" i="19"/>
  <c r="AF260" i="19"/>
  <c r="AF259" i="19"/>
  <c r="AF258" i="19"/>
  <c r="AF257" i="19"/>
  <c r="AF256" i="19"/>
  <c r="AF255" i="19"/>
  <c r="AF254" i="19"/>
  <c r="AF253" i="19"/>
  <c r="AF252" i="19"/>
  <c r="AF251" i="19"/>
  <c r="AF250" i="19"/>
  <c r="AF249" i="19"/>
  <c r="AF248" i="19"/>
  <c r="AF247" i="19"/>
  <c r="AF240" i="19"/>
  <c r="AJ249" i="19" l="1"/>
  <c r="AT249" i="19"/>
  <c r="AH249" i="19"/>
  <c r="AN249" i="19"/>
  <c r="AR249" i="19"/>
  <c r="AP249" i="19"/>
  <c r="AL249" i="19"/>
  <c r="AR250" i="19"/>
  <c r="AN250" i="19"/>
  <c r="AL250" i="19"/>
  <c r="AP250" i="19"/>
  <c r="AH250" i="19"/>
  <c r="AJ250" i="19"/>
  <c r="AP240" i="19"/>
  <c r="AR240" i="19"/>
  <c r="AJ240" i="19"/>
  <c r="AN240" i="19"/>
  <c r="AP257" i="19"/>
  <c r="AR257" i="19"/>
  <c r="AL257" i="19"/>
  <c r="AN257" i="19"/>
  <c r="AN248" i="19"/>
  <c r="AL248" i="19"/>
  <c r="AJ248" i="19"/>
  <c r="AH248" i="19"/>
  <c r="AR248" i="19"/>
  <c r="AR251" i="19"/>
  <c r="AH251" i="19"/>
  <c r="AN251" i="19"/>
  <c r="AP251" i="19"/>
  <c r="AL251" i="19"/>
  <c r="AJ251" i="19"/>
  <c r="AN247" i="19"/>
  <c r="AR247" i="19"/>
  <c r="AH247" i="19"/>
  <c r="AL247" i="19"/>
  <c r="AJ247" i="19"/>
  <c r="AF239" i="19"/>
  <c r="AF238" i="19"/>
  <c r="AF237" i="19"/>
  <c r="AF236" i="19"/>
  <c r="AF235" i="19"/>
  <c r="AF234" i="19"/>
  <c r="AF233" i="19"/>
  <c r="AF232" i="19"/>
  <c r="AF231" i="19"/>
  <c r="AF230" i="19"/>
  <c r="AF229" i="19"/>
  <c r="AF228" i="19"/>
  <c r="AF227" i="19"/>
  <c r="AF226" i="19"/>
  <c r="AF225" i="19"/>
  <c r="AF224" i="19"/>
  <c r="AF223" i="19"/>
  <c r="AF222" i="19"/>
  <c r="AF221" i="19"/>
  <c r="AF144" i="19"/>
  <c r="AN221" i="19" l="1"/>
  <c r="AP221" i="19"/>
  <c r="AR221" i="19"/>
  <c r="AL221" i="19"/>
  <c r="AN229" i="19"/>
  <c r="AP229" i="19"/>
  <c r="AL229" i="19"/>
  <c r="AR229" i="19"/>
  <c r="AR237" i="19"/>
  <c r="AN237" i="19"/>
  <c r="AP237" i="19"/>
  <c r="AL237" i="19"/>
  <c r="AR222" i="19"/>
  <c r="AP222" i="19"/>
  <c r="AN222" i="19"/>
  <c r="AL222" i="19"/>
  <c r="AN230" i="19"/>
  <c r="AP230" i="19"/>
  <c r="AR230" i="19"/>
  <c r="AL230" i="19"/>
  <c r="AL238" i="19"/>
  <c r="AN238" i="19"/>
  <c r="AP238" i="19"/>
  <c r="AR238" i="19"/>
  <c r="AN223" i="19"/>
  <c r="AR223" i="19"/>
  <c r="AP223" i="19"/>
  <c r="AL223" i="19"/>
  <c r="AP231" i="19"/>
  <c r="AR231" i="19"/>
  <c r="AL231" i="19"/>
  <c r="AN231" i="19"/>
  <c r="AN239" i="19"/>
  <c r="AP239" i="19"/>
  <c r="AR239" i="19"/>
  <c r="AL239" i="19"/>
  <c r="AL224" i="19"/>
  <c r="AR224" i="19"/>
  <c r="AN224" i="19"/>
  <c r="AP224" i="19"/>
  <c r="AN232" i="19"/>
  <c r="AP232" i="19"/>
  <c r="AR232" i="19"/>
  <c r="AL232" i="19"/>
  <c r="AL225" i="19"/>
  <c r="AP225" i="19"/>
  <c r="AR225" i="19"/>
  <c r="AN225" i="19"/>
  <c r="AL233" i="19"/>
  <c r="AR233" i="19"/>
  <c r="AP233" i="19"/>
  <c r="AN233" i="19"/>
  <c r="AR226" i="19"/>
  <c r="AP226" i="19"/>
  <c r="AL226" i="19"/>
  <c r="AN226" i="19"/>
  <c r="AP234" i="19"/>
  <c r="AL234" i="19"/>
  <c r="AN234" i="19"/>
  <c r="AR234" i="19"/>
  <c r="AR144" i="19"/>
  <c r="AN144" i="19"/>
  <c r="AP144" i="19"/>
  <c r="AL144" i="19"/>
  <c r="AR235" i="19"/>
  <c r="AL235" i="19"/>
  <c r="AP235" i="19"/>
  <c r="AN235" i="19"/>
  <c r="AR236" i="19"/>
  <c r="AP236" i="19"/>
  <c r="AN236" i="19"/>
  <c r="AL236" i="19"/>
  <c r="AF110" i="19" l="1"/>
  <c r="AD192" i="19" l="1"/>
  <c r="AD174" i="19"/>
  <c r="AF174" i="19"/>
  <c r="AP174" i="19" l="1"/>
  <c r="AJ174" i="19"/>
  <c r="AR174" i="19"/>
  <c r="AL174" i="19"/>
  <c r="AN174" i="19"/>
  <c r="AF192" i="19" l="1"/>
  <c r="D31" i="28" l="1"/>
  <c r="F31" i="28"/>
  <c r="G31" i="28"/>
  <c r="AD270" i="19" l="1"/>
  <c r="I273" i="19" l="1"/>
  <c r="AF270" i="19" l="1"/>
  <c r="W270" i="19"/>
  <c r="AH270" i="19" l="1"/>
  <c r="AT270" i="19"/>
  <c r="AR270" i="19"/>
  <c r="AL270" i="19"/>
  <c r="AN270" i="19"/>
  <c r="AJ270" i="19"/>
  <c r="AP270" i="19"/>
  <c r="K16" i="16" l="1"/>
  <c r="G30" i="28" l="1"/>
  <c r="G29" i="28"/>
  <c r="AF142" i="19" l="1"/>
  <c r="AD142" i="19"/>
  <c r="AR142" i="19" l="1"/>
  <c r="AN142" i="19"/>
  <c r="AP142" i="19"/>
  <c r="AL142" i="19"/>
  <c r="AD280" i="19" l="1"/>
  <c r="AD281" i="19"/>
  <c r="AD282" i="19"/>
  <c r="AD283" i="19"/>
  <c r="AD285" i="19"/>
  <c r="AF285" i="19"/>
  <c r="W281" i="19"/>
  <c r="AF280" i="19"/>
  <c r="AN285" i="19" l="1"/>
  <c r="AP285" i="19"/>
  <c r="AL285" i="19"/>
  <c r="AF281" i="19"/>
  <c r="AR285" i="19"/>
  <c r="AN281" i="19" l="1"/>
  <c r="AR281" i="19"/>
  <c r="AP281" i="19"/>
  <c r="AT281" i="19"/>
  <c r="AL281" i="19"/>
  <c r="AJ281" i="19"/>
  <c r="AH281" i="19"/>
  <c r="W14" i="13" l="1"/>
  <c r="S14" i="13"/>
  <c r="O14" i="13"/>
  <c r="K14" i="13"/>
  <c r="G14" i="13"/>
  <c r="AA14" i="13" l="1"/>
  <c r="Y14" i="13"/>
  <c r="AD117" i="19" l="1"/>
  <c r="AD73" i="19"/>
  <c r="AF73" i="19" l="1"/>
  <c r="AF117" i="19" l="1"/>
  <c r="AN73" i="19"/>
  <c r="AP73" i="19"/>
  <c r="AR73" i="19"/>
  <c r="AJ73" i="19"/>
  <c r="G27" i="28" l="1"/>
  <c r="G26" i="28"/>
  <c r="G28" i="28" l="1"/>
  <c r="U46" i="13"/>
  <c r="G284" i="19" l="1"/>
  <c r="AF284" i="19"/>
  <c r="AD284" i="19" l="1"/>
  <c r="AN284" i="19" l="1"/>
  <c r="AP284" i="19"/>
  <c r="AR284" i="19"/>
  <c r="AJ284" i="19"/>
  <c r="G24" i="28" l="1"/>
  <c r="G25" i="28"/>
  <c r="AD15" i="19" l="1"/>
  <c r="AF15" i="19" l="1"/>
  <c r="AN15" i="19" s="1"/>
  <c r="AP15" i="19" l="1"/>
  <c r="AR15" i="19"/>
  <c r="AL15" i="19"/>
  <c r="AF191" i="19"/>
  <c r="AF193" i="19"/>
  <c r="AF196" i="19"/>
  <c r="AF198" i="19"/>
  <c r="AF199" i="19"/>
  <c r="AF112" i="19"/>
  <c r="AF115" i="19"/>
  <c r="AF124" i="19"/>
  <c r="AF97" i="19"/>
  <c r="S72" i="19"/>
  <c r="AF20" i="19"/>
  <c r="AF136" i="19"/>
  <c r="AF137" i="19"/>
  <c r="AF138" i="19"/>
  <c r="AF139" i="19"/>
  <c r="AF140" i="19"/>
  <c r="AF141" i="19"/>
  <c r="AF145" i="19"/>
  <c r="AF147" i="19"/>
  <c r="AF148" i="19"/>
  <c r="AF149" i="19"/>
  <c r="AF151" i="19"/>
  <c r="AF152" i="19"/>
  <c r="AF153" i="19"/>
  <c r="AF154" i="19"/>
  <c r="AF155" i="19"/>
  <c r="AF156" i="19"/>
  <c r="AF157" i="19"/>
  <c r="AF159" i="19"/>
  <c r="W160" i="19"/>
  <c r="S161" i="19"/>
  <c r="AF162" i="19"/>
  <c r="AF163" i="19"/>
  <c r="AF164" i="19"/>
  <c r="AF166" i="19"/>
  <c r="AF167" i="19"/>
  <c r="AF168" i="19"/>
  <c r="AF169" i="19"/>
  <c r="E17" i="5"/>
  <c r="S19" i="8"/>
  <c r="C64" i="13"/>
  <c r="D27" i="7"/>
  <c r="D29" i="7" s="1"/>
  <c r="C12" i="7"/>
  <c r="F38" i="7"/>
  <c r="F39" i="7"/>
  <c r="F40" i="7"/>
  <c r="F41" i="7"/>
  <c r="F42" i="7"/>
  <c r="W247" i="19"/>
  <c r="O251" i="19"/>
  <c r="AF282" i="19"/>
  <c r="AF283" i="19"/>
  <c r="AD220" i="19"/>
  <c r="AD20" i="19"/>
  <c r="AD21" i="19"/>
  <c r="AD14" i="19"/>
  <c r="AD16" i="19"/>
  <c r="AD28" i="19"/>
  <c r="AD29" i="19"/>
  <c r="AD30" i="19"/>
  <c r="AD31" i="19"/>
  <c r="AD32" i="19"/>
  <c r="AD33" i="19"/>
  <c r="AD34" i="19"/>
  <c r="AD35" i="19"/>
  <c r="AD36" i="19"/>
  <c r="AD37" i="19"/>
  <c r="AD38" i="19"/>
  <c r="AD39" i="19"/>
  <c r="AD43" i="19"/>
  <c r="AD44" i="19"/>
  <c r="AD45" i="19"/>
  <c r="AD46" i="19"/>
  <c r="AD53" i="19"/>
  <c r="AD54" i="19"/>
  <c r="AD55" i="19"/>
  <c r="AD56" i="19"/>
  <c r="AD57" i="19"/>
  <c r="AD58" i="19"/>
  <c r="AD59" i="19"/>
  <c r="AD60" i="19"/>
  <c r="AD66" i="19"/>
  <c r="AD67" i="19"/>
  <c r="AD68" i="19"/>
  <c r="AD69" i="19"/>
  <c r="AD70" i="19"/>
  <c r="AD71" i="19"/>
  <c r="AD72" i="19"/>
  <c r="AD77" i="19"/>
  <c r="AD78" i="19"/>
  <c r="AD79" i="19"/>
  <c r="AD80" i="19"/>
  <c r="AD65" i="19"/>
  <c r="AD74" i="19"/>
  <c r="AD75" i="19"/>
  <c r="AD76" i="19"/>
  <c r="AD81" i="19"/>
  <c r="AD82" i="19"/>
  <c r="AD88" i="19"/>
  <c r="AD89" i="19"/>
  <c r="AD90" i="19"/>
  <c r="AD91" i="19"/>
  <c r="AD92" i="19"/>
  <c r="AD93" i="19"/>
  <c r="AD94" i="19"/>
  <c r="AD95" i="19"/>
  <c r="AD96" i="19"/>
  <c r="AD97" i="19"/>
  <c r="AD98" i="19"/>
  <c r="AD99" i="19"/>
  <c r="AD100" i="19"/>
  <c r="AD101" i="19"/>
  <c r="AD102" i="19"/>
  <c r="AD107" i="19"/>
  <c r="AT327" i="19"/>
  <c r="AF268" i="19"/>
  <c r="AF269" i="19"/>
  <c r="AF271" i="19"/>
  <c r="AF275" i="19"/>
  <c r="AD198" i="19"/>
  <c r="AD197" i="19"/>
  <c r="AD207" i="19"/>
  <c r="AA64" i="13"/>
  <c r="AD108" i="19"/>
  <c r="AD109" i="19"/>
  <c r="AD111" i="19"/>
  <c r="AD112" i="19"/>
  <c r="AD113" i="19"/>
  <c r="AD114" i="19"/>
  <c r="AD115" i="19"/>
  <c r="AD116" i="19"/>
  <c r="AD118" i="19"/>
  <c r="AD119" i="19"/>
  <c r="AD120" i="19"/>
  <c r="AD121" i="19"/>
  <c r="AD122" i="19"/>
  <c r="AD123" i="19"/>
  <c r="AD125" i="19"/>
  <c r="AD126" i="19"/>
  <c r="AF134" i="19"/>
  <c r="AD134" i="19"/>
  <c r="AD135" i="19"/>
  <c r="AD136" i="19"/>
  <c r="AD137" i="19"/>
  <c r="AD138" i="19"/>
  <c r="AD139" i="19"/>
  <c r="AD140" i="19"/>
  <c r="AD141" i="19"/>
  <c r="AF143" i="19"/>
  <c r="AD143" i="19"/>
  <c r="AD145" i="19"/>
  <c r="AD146" i="19"/>
  <c r="AD147" i="19"/>
  <c r="AD148" i="19"/>
  <c r="AD149" i="19"/>
  <c r="AD150" i="19"/>
  <c r="AD151" i="19"/>
  <c r="AD152" i="19"/>
  <c r="AD153" i="19"/>
  <c r="AD154" i="19"/>
  <c r="AD155" i="19"/>
  <c r="AD156" i="19"/>
  <c r="AD157" i="19"/>
  <c r="AD158" i="19"/>
  <c r="AD159" i="19"/>
  <c r="AD160" i="19"/>
  <c r="AD161" i="19"/>
  <c r="AD162" i="19"/>
  <c r="AD163" i="19"/>
  <c r="AD164" i="19"/>
  <c r="AF165" i="19"/>
  <c r="AD165" i="19"/>
  <c r="AD166" i="19"/>
  <c r="AD167" i="19"/>
  <c r="AD168" i="19"/>
  <c r="AD169" i="19"/>
  <c r="AD279" i="19"/>
  <c r="AD265" i="19"/>
  <c r="AD266" i="19"/>
  <c r="AD267" i="19"/>
  <c r="AD268" i="19"/>
  <c r="AD269" i="19"/>
  <c r="AD271" i="19"/>
  <c r="AD275" i="19"/>
  <c r="W8" i="19"/>
  <c r="Y64" i="13"/>
  <c r="E54" i="13"/>
  <c r="G54" i="13" s="1"/>
  <c r="E56" i="13"/>
  <c r="E58" i="13"/>
  <c r="E60" i="13"/>
  <c r="U48" i="13"/>
  <c r="U50" i="13"/>
  <c r="U52" i="13"/>
  <c r="U54" i="13"/>
  <c r="W54" i="13" s="1"/>
  <c r="U60" i="13"/>
  <c r="W22" i="8"/>
  <c r="X22" i="8"/>
  <c r="W12" i="13"/>
  <c r="AD176" i="19"/>
  <c r="AD177" i="19"/>
  <c r="AD173" i="19"/>
  <c r="G21" i="5"/>
  <c r="AH330" i="19"/>
  <c r="AJ330" i="19"/>
  <c r="AL330" i="19"/>
  <c r="AN330" i="19"/>
  <c r="AP330" i="19"/>
  <c r="AR330" i="19"/>
  <c r="AT330" i="19"/>
  <c r="B16" i="16"/>
  <c r="A16" i="16"/>
  <c r="G12" i="28"/>
  <c r="G13" i="28"/>
  <c r="G14" i="28"/>
  <c r="G15" i="28"/>
  <c r="G16" i="28"/>
  <c r="G17" i="28"/>
  <c r="G18" i="28"/>
  <c r="G19" i="28"/>
  <c r="G20" i="28"/>
  <c r="G21" i="28"/>
  <c r="G22" i="28"/>
  <c r="G23" i="28"/>
  <c r="B15" i="28"/>
  <c r="B16" i="28" s="1"/>
  <c r="B17" i="28" s="1"/>
  <c r="B18" i="28" s="1"/>
  <c r="B19" i="28" s="1"/>
  <c r="B20" i="28" s="1"/>
  <c r="B21" i="28" s="1"/>
  <c r="B22" i="28" s="1"/>
  <c r="B23" i="28" s="1"/>
  <c r="B24" i="28" s="1"/>
  <c r="B25" i="28" s="1"/>
  <c r="B26" i="28" s="1"/>
  <c r="B27" i="28" s="1"/>
  <c r="B28" i="28" s="1"/>
  <c r="B29" i="28" s="1"/>
  <c r="B30" i="28" s="1"/>
  <c r="B31" i="28" s="1"/>
  <c r="F37" i="2"/>
  <c r="H33" i="2" s="1"/>
  <c r="AF173" i="19"/>
  <c r="AD193" i="19"/>
  <c r="AD195" i="19"/>
  <c r="AD196" i="19"/>
  <c r="AF194" i="19"/>
  <c r="AD194" i="19"/>
  <c r="AD199" i="19"/>
  <c r="AD191" i="19"/>
  <c r="AD182" i="19"/>
  <c r="AD181" i="19"/>
  <c r="AD124" i="19"/>
  <c r="AI339" i="19"/>
  <c r="AK339" i="19"/>
  <c r="AM339" i="19"/>
  <c r="AO339" i="19"/>
  <c r="AQ339" i="19"/>
  <c r="AS339" i="19"/>
  <c r="AI338" i="19"/>
  <c r="AK338" i="19"/>
  <c r="AM338" i="19"/>
  <c r="AO338" i="19"/>
  <c r="AQ338" i="19"/>
  <c r="AS338" i="19"/>
  <c r="AI337" i="19"/>
  <c r="AK337" i="19"/>
  <c r="AM337" i="19"/>
  <c r="AO337" i="19"/>
  <c r="AQ337" i="19"/>
  <c r="AS337" i="19"/>
  <c r="AI336" i="19"/>
  <c r="AK336" i="19"/>
  <c r="AM336" i="19"/>
  <c r="AO336" i="19"/>
  <c r="AQ336" i="19"/>
  <c r="AS336" i="19"/>
  <c r="AI334" i="19"/>
  <c r="AK334" i="19"/>
  <c r="AM334" i="19"/>
  <c r="AO334" i="19"/>
  <c r="AQ334" i="19"/>
  <c r="AS334" i="19"/>
  <c r="AI331" i="19"/>
  <c r="AK331" i="19"/>
  <c r="AM331" i="19"/>
  <c r="AO331" i="19"/>
  <c r="AQ331" i="19"/>
  <c r="AS331" i="19"/>
  <c r="AI330" i="19"/>
  <c r="AK330" i="19"/>
  <c r="AM330" i="19"/>
  <c r="AO330" i="19"/>
  <c r="AQ330" i="19"/>
  <c r="AS330" i="19"/>
  <c r="A10" i="29"/>
  <c r="A12" i="29" s="1"/>
  <c r="A14" i="29" s="1"/>
  <c r="A16" i="29" s="1"/>
  <c r="A18" i="29" s="1"/>
  <c r="A20" i="29" s="1"/>
  <c r="A22" i="29" s="1"/>
  <c r="A24" i="29" s="1"/>
  <c r="A26" i="29" s="1"/>
  <c r="T337" i="19"/>
  <c r="T336" i="19"/>
  <c r="T334" i="19"/>
  <c r="Y327" i="19"/>
  <c r="F21" i="11"/>
  <c r="F22" i="11"/>
  <c r="F23" i="11"/>
  <c r="F24" i="11"/>
  <c r="F19" i="11"/>
  <c r="F20" i="11"/>
  <c r="F18" i="11"/>
  <c r="D18" i="11"/>
  <c r="D24" i="11"/>
  <c r="D23" i="11"/>
  <c r="D22" i="11"/>
  <c r="D21" i="11"/>
  <c r="D20" i="11"/>
  <c r="D19" i="11"/>
  <c r="E19" i="5"/>
  <c r="E48" i="5"/>
  <c r="D50" i="11"/>
  <c r="F42" i="11" s="1"/>
  <c r="F17" i="9"/>
  <c r="AO74" i="9"/>
  <c r="P167" i="9"/>
  <c r="T167" i="9"/>
  <c r="X167" i="9"/>
  <c r="AB167" i="9"/>
  <c r="AF167" i="9"/>
  <c r="AJ167" i="9"/>
  <c r="AL167" i="9"/>
  <c r="P169" i="9"/>
  <c r="T169" i="9"/>
  <c r="X169" i="9"/>
  <c r="AB169" i="9"/>
  <c r="AF169" i="9"/>
  <c r="AJ169" i="9"/>
  <c r="AL169" i="9"/>
  <c r="P171" i="9"/>
  <c r="T171" i="9"/>
  <c r="X171" i="9"/>
  <c r="AB171" i="9"/>
  <c r="AF171" i="9"/>
  <c r="AJ171" i="9"/>
  <c r="AL171" i="9"/>
  <c r="P173" i="9"/>
  <c r="T173" i="9"/>
  <c r="X173" i="9"/>
  <c r="AB173" i="9"/>
  <c r="AF173" i="9"/>
  <c r="AJ173" i="9"/>
  <c r="AL173" i="9"/>
  <c r="P175" i="9"/>
  <c r="T175" i="9"/>
  <c r="X175" i="9"/>
  <c r="AB175" i="9"/>
  <c r="AF175" i="9"/>
  <c r="AJ175" i="9"/>
  <c r="AL175" i="9"/>
  <c r="P177" i="9"/>
  <c r="T177" i="9"/>
  <c r="X177" i="9"/>
  <c r="AB177" i="9"/>
  <c r="AF177" i="9"/>
  <c r="AJ177" i="9"/>
  <c r="AL177" i="9"/>
  <c r="P179" i="9"/>
  <c r="T179" i="9"/>
  <c r="X179" i="9"/>
  <c r="AB179" i="9"/>
  <c r="AF179" i="9"/>
  <c r="AJ179" i="9"/>
  <c r="AL179" i="9"/>
  <c r="P181" i="9"/>
  <c r="T181" i="9"/>
  <c r="X181" i="9"/>
  <c r="AB181" i="9"/>
  <c r="AF181" i="9"/>
  <c r="AJ181" i="9"/>
  <c r="AL181" i="9"/>
  <c r="P183" i="9"/>
  <c r="T183" i="9"/>
  <c r="X183" i="9"/>
  <c r="AB183" i="9"/>
  <c r="AF183" i="9"/>
  <c r="AJ183" i="9"/>
  <c r="AL183" i="9"/>
  <c r="P185" i="9"/>
  <c r="T185" i="9"/>
  <c r="X185" i="9"/>
  <c r="AB185" i="9"/>
  <c r="AF185" i="9"/>
  <c r="AJ185" i="9"/>
  <c r="AL185" i="9"/>
  <c r="N187" i="9"/>
  <c r="R187" i="9"/>
  <c r="V187" i="9"/>
  <c r="Z187" i="9"/>
  <c r="AD187" i="9"/>
  <c r="AH187" i="9"/>
  <c r="AF207" i="19"/>
  <c r="AF266" i="19"/>
  <c r="H37" i="8"/>
  <c r="N35" i="8" s="1"/>
  <c r="L16" i="8" s="1"/>
  <c r="F47" i="11" l="1"/>
  <c r="AV330" i="19"/>
  <c r="AV327" i="19"/>
  <c r="AT251" i="19"/>
  <c r="AT250" i="19"/>
  <c r="F46" i="11"/>
  <c r="F45" i="11"/>
  <c r="F43" i="11"/>
  <c r="F50" i="11" s="1"/>
  <c r="AN177" i="9"/>
  <c r="F44" i="11"/>
  <c r="F48" i="11"/>
  <c r="H12" i="7"/>
  <c r="P16" i="6" s="1"/>
  <c r="I16" i="16"/>
  <c r="AF66" i="19"/>
  <c r="AR66" i="19" s="1"/>
  <c r="AN175" i="9"/>
  <c r="AN183" i="9"/>
  <c r="H35" i="2"/>
  <c r="AJ321" i="19" s="1"/>
  <c r="AP283" i="19"/>
  <c r="AN283" i="19"/>
  <c r="AJ283" i="19"/>
  <c r="AR283" i="19"/>
  <c r="AR207" i="19"/>
  <c r="AL157" i="19"/>
  <c r="AF94" i="19"/>
  <c r="AL94" i="19" s="1"/>
  <c r="AF37" i="19"/>
  <c r="AP207" i="19"/>
  <c r="AR134" i="19"/>
  <c r="AH207" i="19"/>
  <c r="AB187" i="9"/>
  <c r="AJ207" i="19"/>
  <c r="AN179" i="9"/>
  <c r="AN173" i="9"/>
  <c r="X187" i="9"/>
  <c r="AL207" i="19"/>
  <c r="AN166" i="19"/>
  <c r="AL153" i="19"/>
  <c r="AL149" i="19"/>
  <c r="AN156" i="19"/>
  <c r="AP143" i="19"/>
  <c r="AP147" i="19"/>
  <c r="AP154" i="19"/>
  <c r="AR145" i="19"/>
  <c r="AN147" i="19"/>
  <c r="W249" i="19"/>
  <c r="G56" i="13"/>
  <c r="AP145" i="19"/>
  <c r="AP134" i="19"/>
  <c r="G60" i="13"/>
  <c r="AN275" i="19"/>
  <c r="AR275" i="19"/>
  <c r="AP275" i="19"/>
  <c r="AJ275" i="19"/>
  <c r="S160" i="19"/>
  <c r="W159" i="19"/>
  <c r="AJ156" i="19"/>
  <c r="W60" i="13"/>
  <c r="N33" i="8"/>
  <c r="AR268" i="19"/>
  <c r="AN268" i="19"/>
  <c r="AL268" i="19"/>
  <c r="AP268" i="19"/>
  <c r="AL155" i="19"/>
  <c r="AP155" i="19"/>
  <c r="AN155" i="19"/>
  <c r="AR155" i="19"/>
  <c r="AJ193" i="19"/>
  <c r="AR193" i="19"/>
  <c r="AT193" i="19"/>
  <c r="AN193" i="19"/>
  <c r="AL193" i="19"/>
  <c r="AP136" i="19"/>
  <c r="AN136" i="19"/>
  <c r="W193" i="19"/>
  <c r="AN134" i="19"/>
  <c r="AR147" i="19"/>
  <c r="AL147" i="19"/>
  <c r="K251" i="19"/>
  <c r="S251" i="19"/>
  <c r="AL134" i="19"/>
  <c r="AF160" i="19"/>
  <c r="AH160" i="19" s="1"/>
  <c r="W251" i="19"/>
  <c r="D26" i="11"/>
  <c r="O161" i="19"/>
  <c r="AH193" i="19"/>
  <c r="F26" i="11"/>
  <c r="O160" i="19"/>
  <c r="AF118" i="19"/>
  <c r="AF96" i="19"/>
  <c r="AN96" i="19" s="1"/>
  <c r="AF182" i="19"/>
  <c r="S68" i="19"/>
  <c r="AF181" i="19"/>
  <c r="AP20" i="19"/>
  <c r="AL20" i="19"/>
  <c r="AN20" i="19"/>
  <c r="AR20" i="19"/>
  <c r="AF120" i="19"/>
  <c r="AF113" i="19"/>
  <c r="AF125" i="19"/>
  <c r="AH125" i="19" s="1"/>
  <c r="AR159" i="19"/>
  <c r="AL159" i="19"/>
  <c r="AJ159" i="19"/>
  <c r="AN159" i="19"/>
  <c r="AP159" i="19"/>
  <c r="AT159" i="19"/>
  <c r="AH159" i="19"/>
  <c r="AR152" i="19"/>
  <c r="AN152" i="19"/>
  <c r="W157" i="19"/>
  <c r="AR156" i="19"/>
  <c r="Q161" i="19"/>
  <c r="AP156" i="19"/>
  <c r="U160" i="19"/>
  <c r="AJ157" i="19"/>
  <c r="AR153" i="19"/>
  <c r="M161" i="19"/>
  <c r="AR136" i="19"/>
  <c r="AL143" i="19"/>
  <c r="AR143" i="19"/>
  <c r="AL136" i="19"/>
  <c r="AN143" i="19"/>
  <c r="AF79" i="19"/>
  <c r="U250" i="19"/>
  <c r="M250" i="19"/>
  <c r="Q250" i="19"/>
  <c r="K250" i="19"/>
  <c r="W250" i="19"/>
  <c r="S250" i="19"/>
  <c r="O250" i="19"/>
  <c r="AF109" i="19"/>
  <c r="AF123" i="19"/>
  <c r="AF195" i="19"/>
  <c r="AR195" i="19" s="1"/>
  <c r="AN167" i="9"/>
  <c r="AJ187" i="9"/>
  <c r="W72" i="19"/>
  <c r="K72" i="19"/>
  <c r="AF72" i="19"/>
  <c r="Q72" i="19"/>
  <c r="O72" i="19"/>
  <c r="U72" i="19"/>
  <c r="M72" i="19"/>
  <c r="AF146" i="19"/>
  <c r="AL146" i="19" s="1"/>
  <c r="G36" i="1"/>
  <c r="AF267" i="19"/>
  <c r="AL267" i="19" s="1"/>
  <c r="AL97" i="19"/>
  <c r="AJ97" i="19"/>
  <c r="AN97" i="19"/>
  <c r="AH97" i="19"/>
  <c r="AP97" i="19"/>
  <c r="AJ154" i="19"/>
  <c r="AR154" i="19"/>
  <c r="AF150" i="19"/>
  <c r="W71" i="19"/>
  <c r="AF71" i="19"/>
  <c r="AJ71" i="19" s="1"/>
  <c r="AP149" i="19"/>
  <c r="AR149" i="19"/>
  <c r="AN149" i="19"/>
  <c r="AF119" i="19"/>
  <c r="AR141" i="19"/>
  <c r="AN141" i="19"/>
  <c r="AP141" i="19"/>
  <c r="AL141" i="19"/>
  <c r="AF265" i="19"/>
  <c r="AL265" i="19" s="1"/>
  <c r="AF279" i="19"/>
  <c r="AF288" i="19" s="1"/>
  <c r="I288" i="19"/>
  <c r="AJ266" i="19"/>
  <c r="AP266" i="19"/>
  <c r="AR266" i="19"/>
  <c r="AN266" i="19"/>
  <c r="AL139" i="19"/>
  <c r="AP139" i="19"/>
  <c r="V18" i="8"/>
  <c r="V15" i="8"/>
  <c r="F24" i="7"/>
  <c r="F27" i="7"/>
  <c r="AL187" i="9"/>
  <c r="AN157" i="19"/>
  <c r="AH157" i="19"/>
  <c r="AR157" i="19"/>
  <c r="AP152" i="19"/>
  <c r="AJ152" i="19"/>
  <c r="AP148" i="19"/>
  <c r="AL148" i="19"/>
  <c r="AN148" i="19"/>
  <c r="AR148" i="19"/>
  <c r="I62" i="13"/>
  <c r="W80" i="19"/>
  <c r="AF80" i="19"/>
  <c r="AR140" i="19"/>
  <c r="AP140" i="19"/>
  <c r="AF135" i="19"/>
  <c r="I171" i="19"/>
  <c r="AF187" i="9"/>
  <c r="AN169" i="9"/>
  <c r="W46" i="13"/>
  <c r="AL140" i="19"/>
  <c r="AP153" i="19"/>
  <c r="AN153" i="19"/>
  <c r="AF114" i="19"/>
  <c r="AN181" i="9"/>
  <c r="K18" i="16"/>
  <c r="K20" i="16" s="1"/>
  <c r="AL151" i="19"/>
  <c r="AR151" i="19"/>
  <c r="AP151" i="19"/>
  <c r="AN151" i="19"/>
  <c r="W158" i="19"/>
  <c r="AF158" i="19"/>
  <c r="AF122" i="19"/>
  <c r="G58" i="13"/>
  <c r="AJ269" i="19"/>
  <c r="AN269" i="19"/>
  <c r="T187" i="9"/>
  <c r="AP269" i="19"/>
  <c r="AR269" i="19"/>
  <c r="AL166" i="19"/>
  <c r="AP166" i="19"/>
  <c r="AR166" i="19"/>
  <c r="AN139" i="19"/>
  <c r="AR139" i="19"/>
  <c r="W248" i="19"/>
  <c r="K161" i="19"/>
  <c r="U161" i="19"/>
  <c r="W161" i="19"/>
  <c r="AF161" i="19"/>
  <c r="AN185" i="9"/>
  <c r="P187" i="9"/>
  <c r="AL145" i="19"/>
  <c r="AN145" i="19"/>
  <c r="K160" i="19"/>
  <c r="M160" i="19"/>
  <c r="Q160" i="19"/>
  <c r="AN171" i="9"/>
  <c r="AN154" i="19"/>
  <c r="U251" i="19"/>
  <c r="M251" i="19"/>
  <c r="Q251" i="19"/>
  <c r="AF220" i="19"/>
  <c r="AP220" i="19" s="1"/>
  <c r="AP193" i="19"/>
  <c r="AN140" i="19"/>
  <c r="M16" i="16" l="1"/>
  <c r="M18" i="16" s="1"/>
  <c r="M20" i="16" s="1"/>
  <c r="AJ15" i="19"/>
  <c r="AJ225" i="19"/>
  <c r="AJ230" i="19"/>
  <c r="AJ239" i="19"/>
  <c r="AJ223" i="19"/>
  <c r="AJ231" i="19"/>
  <c r="AJ229" i="19"/>
  <c r="AJ232" i="19"/>
  <c r="AJ224" i="19"/>
  <c r="AJ238" i="19"/>
  <c r="AJ233" i="19"/>
  <c r="AJ221" i="19"/>
  <c r="AJ257" i="19"/>
  <c r="AF74" i="19"/>
  <c r="AF111" i="19"/>
  <c r="AF121" i="19"/>
  <c r="AF76" i="19"/>
  <c r="K36" i="1"/>
  <c r="H27" i="7"/>
  <c r="L16" i="6" s="1"/>
  <c r="AL324" i="19" s="1"/>
  <c r="H37" i="2"/>
  <c r="AJ141" i="19"/>
  <c r="AJ149" i="19"/>
  <c r="AJ268" i="19"/>
  <c r="AJ166" i="19"/>
  <c r="AJ20" i="19"/>
  <c r="AJ148" i="19"/>
  <c r="AF77" i="19"/>
  <c r="AJ285" i="19"/>
  <c r="AJ139" i="19"/>
  <c r="AJ140" i="19"/>
  <c r="AJ134" i="19"/>
  <c r="AJ37" i="19"/>
  <c r="F15" i="7"/>
  <c r="H15" i="7" s="1"/>
  <c r="AN66" i="19"/>
  <c r="AP66" i="19"/>
  <c r="AR37" i="19"/>
  <c r="AF69" i="19"/>
  <c r="AP69" i="19" s="1"/>
  <c r="AL37" i="19"/>
  <c r="AP37" i="19"/>
  <c r="AN37" i="19"/>
  <c r="AH94" i="19"/>
  <c r="AF126" i="19"/>
  <c r="AF38" i="19"/>
  <c r="AR38" i="19" s="1"/>
  <c r="AF16" i="19"/>
  <c r="AN16" i="19" s="1"/>
  <c r="AF34" i="19"/>
  <c r="AJ34" i="19" s="1"/>
  <c r="AF35" i="19"/>
  <c r="AL35" i="19" s="1"/>
  <c r="AJ94" i="19"/>
  <c r="AN94" i="19"/>
  <c r="AP94" i="19"/>
  <c r="AP160" i="19"/>
  <c r="AJ160" i="19"/>
  <c r="AN265" i="19"/>
  <c r="H16" i="8"/>
  <c r="N37" i="8"/>
  <c r="AN160" i="19"/>
  <c r="AP265" i="19"/>
  <c r="AR160" i="19"/>
  <c r="AL160" i="19"/>
  <c r="AR267" i="19"/>
  <c r="AP267" i="19"/>
  <c r="AT160" i="19"/>
  <c r="AL96" i="19"/>
  <c r="AJ96" i="19"/>
  <c r="AP96" i="19"/>
  <c r="AF21" i="19"/>
  <c r="AL21" i="19" s="1"/>
  <c r="AL22" i="19" s="1"/>
  <c r="AH96" i="19"/>
  <c r="AF89" i="19"/>
  <c r="AF184" i="19"/>
  <c r="U68" i="19"/>
  <c r="W68" i="19"/>
  <c r="AF68" i="19"/>
  <c r="AT68" i="19" s="1"/>
  <c r="I184" i="19"/>
  <c r="Q68" i="19"/>
  <c r="K68" i="19"/>
  <c r="AR71" i="19"/>
  <c r="AF100" i="19"/>
  <c r="AN100" i="19" s="1"/>
  <c r="M68" i="19"/>
  <c r="O68" i="19"/>
  <c r="AP125" i="19"/>
  <c r="AL71" i="19"/>
  <c r="AN71" i="19"/>
  <c r="AJ125" i="19"/>
  <c r="AL125" i="19"/>
  <c r="AH71" i="19"/>
  <c r="AN125" i="19"/>
  <c r="AP71" i="19"/>
  <c r="AL220" i="19"/>
  <c r="K62" i="13"/>
  <c r="AF59" i="19"/>
  <c r="AF31" i="19"/>
  <c r="AF44" i="19"/>
  <c r="AF36" i="19"/>
  <c r="AN267" i="19"/>
  <c r="AT71" i="19"/>
  <c r="AL72" i="19"/>
  <c r="AN72" i="19"/>
  <c r="AR72" i="19"/>
  <c r="AP72" i="19"/>
  <c r="AH72" i="19"/>
  <c r="AT72" i="19"/>
  <c r="AJ72" i="19"/>
  <c r="AN187" i="9"/>
  <c r="AF29" i="19"/>
  <c r="AN195" i="19"/>
  <c r="AP195" i="19"/>
  <c r="AL195" i="19"/>
  <c r="AJ195" i="19"/>
  <c r="AF58" i="19"/>
  <c r="AF56" i="19"/>
  <c r="AF78" i="19"/>
  <c r="H24" i="7"/>
  <c r="F29" i="7"/>
  <c r="AF81" i="19"/>
  <c r="AJ220" i="19"/>
  <c r="AR220" i="19"/>
  <c r="AN220" i="19"/>
  <c r="AF75" i="19"/>
  <c r="AF101" i="19"/>
  <c r="AF171" i="19"/>
  <c r="AJ135" i="19"/>
  <c r="AN135" i="19"/>
  <c r="AP135" i="19"/>
  <c r="AR135" i="19"/>
  <c r="AL135" i="19"/>
  <c r="AJ80" i="19"/>
  <c r="AN80" i="19"/>
  <c r="AH80" i="19"/>
  <c r="AL80" i="19"/>
  <c r="AR80" i="19"/>
  <c r="AF116" i="19"/>
  <c r="AF273" i="19"/>
  <c r="AR265" i="19"/>
  <c r="AR146" i="19"/>
  <c r="AN146" i="19"/>
  <c r="AP146" i="19"/>
  <c r="AF33" i="19"/>
  <c r="W70" i="19"/>
  <c r="AF70" i="19"/>
  <c r="AF176" i="19"/>
  <c r="G17" i="5"/>
  <c r="G44" i="5"/>
  <c r="AF60" i="19"/>
  <c r="AP161" i="19"/>
  <c r="AL161" i="19"/>
  <c r="AR161" i="19"/>
  <c r="AT161" i="19"/>
  <c r="AN161" i="19"/>
  <c r="AH161" i="19"/>
  <c r="AJ161" i="19"/>
  <c r="AF95" i="19"/>
  <c r="AJ150" i="19"/>
  <c r="AP150" i="19"/>
  <c r="AR150" i="19"/>
  <c r="AN150" i="19"/>
  <c r="AF102" i="19"/>
  <c r="AF54" i="19"/>
  <c r="AR158" i="19"/>
  <c r="AJ158" i="19"/>
  <c r="AL158" i="19"/>
  <c r="AN158" i="19"/>
  <c r="AH158" i="19"/>
  <c r="AF57" i="19"/>
  <c r="AF55" i="19"/>
  <c r="AP79" i="19"/>
  <c r="AN79" i="19"/>
  <c r="AR79" i="19"/>
  <c r="AF107" i="19"/>
  <c r="AL240" i="19" l="1"/>
  <c r="AF88" i="19"/>
  <c r="AH88" i="19" s="1"/>
  <c r="I17" i="19"/>
  <c r="AF43" i="19"/>
  <c r="AR43" i="19" s="1"/>
  <c r="I47" i="19"/>
  <c r="AL284" i="19"/>
  <c r="AL150" i="19"/>
  <c r="AL283" i="19"/>
  <c r="AL73" i="19"/>
  <c r="AL269" i="19"/>
  <c r="I297" i="19"/>
  <c r="O18" i="16"/>
  <c r="O20" i="16" s="1"/>
  <c r="AF82" i="19"/>
  <c r="I128" i="19"/>
  <c r="AN69" i="19"/>
  <c r="AR69" i="19"/>
  <c r="AR35" i="19"/>
  <c r="AP35" i="19"/>
  <c r="AN35" i="19"/>
  <c r="AN38" i="19"/>
  <c r="AJ35" i="19"/>
  <c r="AL16" i="19"/>
  <c r="AP16" i="19"/>
  <c r="AJ38" i="19"/>
  <c r="AP38" i="19"/>
  <c r="AJ16" i="19"/>
  <c r="AL38" i="19"/>
  <c r="AF45" i="19"/>
  <c r="AP45" i="19" s="1"/>
  <c r="AN34" i="19"/>
  <c r="AF39" i="19"/>
  <c r="AL39" i="19" s="1"/>
  <c r="AP34" i="19"/>
  <c r="AR16" i="19"/>
  <c r="AR34" i="19"/>
  <c r="AL34" i="19"/>
  <c r="AF108" i="19"/>
  <c r="AF128" i="19" s="1"/>
  <c r="W89" i="19"/>
  <c r="T19" i="8"/>
  <c r="T15" i="8"/>
  <c r="AH100" i="19"/>
  <c r="AP100" i="19"/>
  <c r="AL100" i="19"/>
  <c r="AJ100" i="19"/>
  <c r="AN68" i="19"/>
  <c r="AJ21" i="19"/>
  <c r="AJ22" i="19" s="1"/>
  <c r="AP21" i="19"/>
  <c r="AP22" i="19" s="1"/>
  <c r="AF22" i="19"/>
  <c r="AR21" i="19"/>
  <c r="AR22" i="19" s="1"/>
  <c r="AN21" i="19"/>
  <c r="AN22" i="19" s="1"/>
  <c r="I22" i="19"/>
  <c r="AF67" i="19"/>
  <c r="AH68" i="19"/>
  <c r="AP68" i="19"/>
  <c r="AL68" i="19"/>
  <c r="AR68" i="19"/>
  <c r="AJ68" i="19"/>
  <c r="W67" i="19"/>
  <c r="I61" i="19"/>
  <c r="AF53" i="19"/>
  <c r="I83" i="19"/>
  <c r="AN55" i="19"/>
  <c r="AP55" i="19"/>
  <c r="AR55" i="19"/>
  <c r="AF177" i="19"/>
  <c r="AF178" i="19" s="1"/>
  <c r="AL78" i="19"/>
  <c r="AP78" i="19"/>
  <c r="AJ78" i="19"/>
  <c r="AR78" i="19"/>
  <c r="AN78" i="19"/>
  <c r="AL29" i="19"/>
  <c r="AN29" i="19"/>
  <c r="AR29" i="19"/>
  <c r="AJ29" i="19"/>
  <c r="AP29" i="19"/>
  <c r="AF30" i="19"/>
  <c r="AJ31" i="19"/>
  <c r="AL31" i="19"/>
  <c r="AP31" i="19"/>
  <c r="AN31" i="19"/>
  <c r="AR31" i="19"/>
  <c r="AN95" i="19"/>
  <c r="AP95" i="19"/>
  <c r="AH95" i="19"/>
  <c r="AL95" i="19"/>
  <c r="AJ95" i="19"/>
  <c r="AP44" i="19"/>
  <c r="AR44" i="19"/>
  <c r="AN44" i="19"/>
  <c r="AL44" i="19"/>
  <c r="AJ44" i="19"/>
  <c r="AL70" i="19"/>
  <c r="AN70" i="19"/>
  <c r="AR70" i="19"/>
  <c r="AH70" i="19"/>
  <c r="AJ70" i="19"/>
  <c r="AP57" i="19"/>
  <c r="AN57" i="19"/>
  <c r="AR57" i="19"/>
  <c r="AF91" i="19"/>
  <c r="AF32" i="19"/>
  <c r="AP59" i="19"/>
  <c r="AR59" i="19"/>
  <c r="AN59" i="19"/>
  <c r="AF65" i="19"/>
  <c r="AF99" i="19"/>
  <c r="AF93" i="19"/>
  <c r="AR56" i="19"/>
  <c r="AP56" i="19"/>
  <c r="AN56" i="19"/>
  <c r="AP58" i="19"/>
  <c r="AR58" i="19"/>
  <c r="AN58" i="19"/>
  <c r="AJ33" i="19"/>
  <c r="AN33" i="19"/>
  <c r="AR33" i="19"/>
  <c r="AP33" i="19"/>
  <c r="AL33" i="19"/>
  <c r="AN101" i="19"/>
  <c r="AH101" i="19"/>
  <c r="AJ101" i="19"/>
  <c r="AP101" i="19"/>
  <c r="AL101" i="19"/>
  <c r="AF92" i="19"/>
  <c r="AF46" i="19"/>
  <c r="I178" i="19"/>
  <c r="H16" i="6"/>
  <c r="H29" i="7"/>
  <c r="AR36" i="19"/>
  <c r="AN36" i="19"/>
  <c r="AL36" i="19"/>
  <c r="AP36" i="19"/>
  <c r="AJ36" i="19"/>
  <c r="AP102" i="19"/>
  <c r="AJ102" i="19"/>
  <c r="AL102" i="19"/>
  <c r="AH102" i="19"/>
  <c r="AN102" i="19"/>
  <c r="G46" i="5"/>
  <c r="G19" i="5"/>
  <c r="AP54" i="19"/>
  <c r="AR54" i="19"/>
  <c r="AJ54" i="19"/>
  <c r="AN54" i="19"/>
  <c r="AL54" i="19"/>
  <c r="AF98" i="19"/>
  <c r="AR60" i="19"/>
  <c r="AP60" i="19"/>
  <c r="AN60" i="19"/>
  <c r="AP77" i="19"/>
  <c r="AL77" i="19"/>
  <c r="AJ77" i="19"/>
  <c r="AN77" i="19"/>
  <c r="AR77" i="19"/>
  <c r="AR89" i="19"/>
  <c r="AN89" i="19"/>
  <c r="AL89" i="19"/>
  <c r="AT89" i="19"/>
  <c r="AP89" i="19"/>
  <c r="AJ89" i="19"/>
  <c r="AH89" i="19"/>
  <c r="N23" i="6" l="1"/>
  <c r="P23" i="6" s="1"/>
  <c r="AN43" i="19"/>
  <c r="AL88" i="19"/>
  <c r="AP43" i="19"/>
  <c r="AJ88" i="19"/>
  <c r="AN88" i="19"/>
  <c r="AF14" i="19"/>
  <c r="AR14" i="19" s="1"/>
  <c r="AR17" i="19" s="1"/>
  <c r="AR24" i="19" s="1"/>
  <c r="AJ43" i="19"/>
  <c r="AP88" i="19"/>
  <c r="AL43" i="19"/>
  <c r="G48" i="5"/>
  <c r="G52" i="5" s="1"/>
  <c r="L24" i="4"/>
  <c r="L26" i="4" s="1"/>
  <c r="D23" i="6"/>
  <c r="N53" i="4"/>
  <c r="N55" i="4" s="1"/>
  <c r="AJ67" i="19"/>
  <c r="AF297" i="19"/>
  <c r="AN39" i="19"/>
  <c r="AJ45" i="19"/>
  <c r="AN45" i="19"/>
  <c r="AF47" i="19"/>
  <c r="AJ39" i="19"/>
  <c r="AP39" i="19"/>
  <c r="AR39" i="19"/>
  <c r="AR45" i="19"/>
  <c r="AL45" i="19"/>
  <c r="AF83" i="19"/>
  <c r="AR67" i="19"/>
  <c r="I24" i="19"/>
  <c r="AL67" i="19"/>
  <c r="AH67" i="19"/>
  <c r="AN67" i="19"/>
  <c r="I85" i="19"/>
  <c r="AR53" i="19"/>
  <c r="AR61" i="19" s="1"/>
  <c r="AP53" i="19"/>
  <c r="AP61" i="19" s="1"/>
  <c r="AN53" i="19"/>
  <c r="AN61" i="19" s="1"/>
  <c r="AF61" i="19"/>
  <c r="AL93" i="19"/>
  <c r="AH93" i="19"/>
  <c r="AN93" i="19"/>
  <c r="AJ93" i="19"/>
  <c r="AP93" i="19"/>
  <c r="AH98" i="19"/>
  <c r="AJ98" i="19"/>
  <c r="AN98" i="19"/>
  <c r="AL98" i="19"/>
  <c r="AP98" i="19"/>
  <c r="G23" i="5"/>
  <c r="AP32" i="19"/>
  <c r="AJ32" i="19"/>
  <c r="AN32" i="19"/>
  <c r="AR32" i="19"/>
  <c r="AL32" i="19"/>
  <c r="AN92" i="19"/>
  <c r="AL92" i="19"/>
  <c r="AP92" i="19"/>
  <c r="AJ92" i="19"/>
  <c r="AH92" i="19"/>
  <c r="AJ30" i="19"/>
  <c r="AN30" i="19"/>
  <c r="AR30" i="19"/>
  <c r="AP30" i="19"/>
  <c r="AL30" i="19"/>
  <c r="AL99" i="19"/>
  <c r="AP99" i="19"/>
  <c r="AJ99" i="19"/>
  <c r="AH99" i="19"/>
  <c r="AN99" i="19"/>
  <c r="AL91" i="19"/>
  <c r="AH91" i="19"/>
  <c r="AJ91" i="19"/>
  <c r="AP91" i="19"/>
  <c r="AN91" i="19"/>
  <c r="P25" i="6"/>
  <c r="N25" i="6"/>
  <c r="AN46" i="19"/>
  <c r="AR46" i="19"/>
  <c r="AL46" i="19"/>
  <c r="AP46" i="19"/>
  <c r="AJ46" i="19"/>
  <c r="I46" i="5" l="1"/>
  <c r="I44" i="5"/>
  <c r="I15" i="5"/>
  <c r="I17" i="5"/>
  <c r="AN14" i="19"/>
  <c r="AN17" i="19" s="1"/>
  <c r="AN24" i="19" s="1"/>
  <c r="AP47" i="19"/>
  <c r="AP14" i="19"/>
  <c r="AP17" i="19" s="1"/>
  <c r="AP24" i="19" s="1"/>
  <c r="AF17" i="19"/>
  <c r="AF24" i="19" s="1"/>
  <c r="AL14" i="19"/>
  <c r="AL17" i="19" s="1"/>
  <c r="AL24" i="19" s="1"/>
  <c r="AJ14" i="19"/>
  <c r="AJ17" i="19" s="1"/>
  <c r="AJ24" i="19" s="1"/>
  <c r="D53" i="4"/>
  <c r="L46" i="4"/>
  <c r="AR297" i="19"/>
  <c r="AR298" i="19" s="1"/>
  <c r="AR331" i="19" s="1"/>
  <c r="AN297" i="19"/>
  <c r="AN298" i="19" s="1"/>
  <c r="AN331" i="19" s="1"/>
  <c r="AN47" i="19"/>
  <c r="AJ47" i="19"/>
  <c r="AR47" i="19"/>
  <c r="AL47" i="19"/>
  <c r="AF85" i="19"/>
  <c r="I21" i="5"/>
  <c r="N17" i="4" s="1"/>
  <c r="J17" i="4"/>
  <c r="W125" i="19"/>
  <c r="W96" i="19"/>
  <c r="W97" i="19"/>
  <c r="W94" i="19"/>
  <c r="W88" i="19"/>
  <c r="W100" i="19"/>
  <c r="W95" i="19"/>
  <c r="W102" i="19"/>
  <c r="W101" i="19"/>
  <c r="W99" i="19"/>
  <c r="W92" i="19"/>
  <c r="W91" i="19"/>
  <c r="W93" i="19"/>
  <c r="W98" i="19"/>
  <c r="I50" i="5"/>
  <c r="P46" i="4" s="1"/>
  <c r="AL323" i="19" l="1"/>
  <c r="AL152" i="19" s="1"/>
  <c r="U19" i="8"/>
  <c r="V19" i="8" s="1"/>
  <c r="Y19" i="8" s="1"/>
  <c r="AL326" i="19" s="1"/>
  <c r="AL66" i="19" s="1"/>
  <c r="AN65" i="19"/>
  <c r="AN82" i="19"/>
  <c r="AN76" i="19"/>
  <c r="AN75" i="19"/>
  <c r="AN81" i="19"/>
  <c r="AN74" i="19"/>
  <c r="AR65" i="19"/>
  <c r="AR81" i="19"/>
  <c r="AR75" i="19"/>
  <c r="AR74" i="19"/>
  <c r="AR76" i="19"/>
  <c r="AR82" i="19"/>
  <c r="AJ322" i="19"/>
  <c r="S18" i="8"/>
  <c r="T18" i="8" s="1"/>
  <c r="Y18" i="8" s="1"/>
  <c r="AJ326" i="19" s="1"/>
  <c r="N24" i="4"/>
  <c r="H46" i="4"/>
  <c r="I48" i="5"/>
  <c r="I52" i="5" s="1"/>
  <c r="AL266" i="19"/>
  <c r="P53" i="4"/>
  <c r="P55" i="4" s="1"/>
  <c r="F17" i="4"/>
  <c r="I19" i="5"/>
  <c r="I23" i="5" s="1"/>
  <c r="AL154" i="19" l="1"/>
  <c r="AL156" i="19"/>
  <c r="AL275" i="19"/>
  <c r="AL244" i="19"/>
  <c r="AL246" i="19"/>
  <c r="AL242" i="19"/>
  <c r="AJ144" i="19"/>
  <c r="AJ236" i="19"/>
  <c r="AJ234" i="19"/>
  <c r="AJ226" i="19"/>
  <c r="AJ235" i="19"/>
  <c r="AJ222" i="19"/>
  <c r="AJ237" i="19"/>
  <c r="AJ245" i="19"/>
  <c r="AJ241" i="19"/>
  <c r="AJ243" i="19"/>
  <c r="AL58" i="19"/>
  <c r="AL57" i="19"/>
  <c r="AL60" i="19"/>
  <c r="AL79" i="19"/>
  <c r="AL53" i="19"/>
  <c r="AL59" i="19"/>
  <c r="AL56" i="19"/>
  <c r="AL55" i="19"/>
  <c r="AL69" i="19"/>
  <c r="AJ142" i="19"/>
  <c r="AR83" i="19"/>
  <c r="AR85" i="19" s="1"/>
  <c r="AN83" i="19"/>
  <c r="AN85" i="19" s="1"/>
  <c r="N26" i="4"/>
  <c r="AJ145" i="19"/>
  <c r="AJ151" i="19"/>
  <c r="AJ143" i="19"/>
  <c r="AJ153" i="19"/>
  <c r="AJ147" i="19"/>
  <c r="AJ136" i="19"/>
  <c r="AJ155" i="19"/>
  <c r="AJ265" i="19"/>
  <c r="AJ267" i="19"/>
  <c r="AJ146" i="19"/>
  <c r="AJ69" i="19"/>
  <c r="AJ66" i="19"/>
  <c r="AJ53" i="19"/>
  <c r="AJ79" i="19"/>
  <c r="AJ58" i="19"/>
  <c r="AJ60" i="19"/>
  <c r="AJ57" i="19"/>
  <c r="AJ59" i="19"/>
  <c r="AJ55" i="19"/>
  <c r="AJ56" i="19"/>
  <c r="AL297" i="19" l="1"/>
  <c r="AL298" i="19" s="1"/>
  <c r="AL331" i="19" s="1"/>
  <c r="AL75" i="19" s="1"/>
  <c r="AL61" i="19"/>
  <c r="AJ297" i="19"/>
  <c r="AJ298" i="19" s="1"/>
  <c r="AJ331" i="19" s="1"/>
  <c r="AJ61" i="19"/>
  <c r="AL82" i="19" l="1"/>
  <c r="AL65" i="19"/>
  <c r="AL74" i="19"/>
  <c r="AL76" i="19"/>
  <c r="AL81" i="19"/>
  <c r="AJ65" i="19"/>
  <c r="AJ74" i="19"/>
  <c r="AJ82" i="19"/>
  <c r="AJ76" i="19"/>
  <c r="AJ75" i="19"/>
  <c r="AJ81" i="19"/>
  <c r="AL83" i="19" l="1"/>
  <c r="AL85" i="19" s="1"/>
  <c r="AJ83" i="19"/>
  <c r="AJ85" i="19" s="1"/>
  <c r="C30" i="13" l="1"/>
  <c r="W16" i="13"/>
  <c r="W20" i="13"/>
  <c r="W18" i="13"/>
  <c r="W22" i="13" l="1"/>
  <c r="G26" i="13"/>
  <c r="G22" i="13"/>
  <c r="W28" i="13"/>
  <c r="G28" i="13"/>
  <c r="G24" i="13"/>
  <c r="W48" i="13"/>
  <c r="G30" i="13"/>
  <c r="K30" i="13"/>
  <c r="W50" i="13" l="1"/>
  <c r="W52" i="13"/>
  <c r="AF90" i="19" l="1"/>
  <c r="W90" i="19"/>
  <c r="I104" i="19"/>
  <c r="W104" i="19" l="1"/>
  <c r="AT90" i="19"/>
  <c r="AL90" i="19"/>
  <c r="AN90" i="19"/>
  <c r="AH90" i="19"/>
  <c r="AF104" i="19"/>
  <c r="AR90" i="19"/>
  <c r="AP90" i="19"/>
  <c r="AJ90" i="19"/>
  <c r="AJ104" i="19" l="1"/>
  <c r="AH104" i="19"/>
  <c r="AP104" i="19"/>
  <c r="AN104" i="19"/>
  <c r="AL104" i="19"/>
  <c r="I262" i="19" l="1"/>
  <c r="I290" i="19" s="1"/>
  <c r="I307" i="19" s="1"/>
  <c r="I305" i="19" l="1"/>
  <c r="AF305" i="19" l="1"/>
  <c r="AF262" i="19"/>
  <c r="AF307" i="19" s="1"/>
  <c r="AF290" i="19" l="1"/>
  <c r="I40" i="19" l="1"/>
  <c r="I49" i="19" s="1"/>
  <c r="I309" i="19" s="1"/>
  <c r="AF28" i="19"/>
  <c r="AL28" i="19" s="1"/>
  <c r="I303" i="19"/>
  <c r="AJ28" i="19"/>
  <c r="AF40" i="19"/>
  <c r="AN28" i="19"/>
  <c r="AR28" i="19" l="1"/>
  <c r="AR40" i="19" s="1"/>
  <c r="AR49" i="19" s="1"/>
  <c r="AF303" i="19"/>
  <c r="AP28" i="19"/>
  <c r="AP40" i="19" s="1"/>
  <c r="AP49" i="19" s="1"/>
  <c r="AN40" i="19"/>
  <c r="AN49" i="19" s="1"/>
  <c r="AL40" i="19"/>
  <c r="AL49" i="19" s="1"/>
  <c r="AF49" i="19"/>
  <c r="AF309" i="19" s="1"/>
  <c r="AJ40" i="19"/>
  <c r="AJ49" i="19" s="1"/>
  <c r="I130" i="19"/>
  <c r="I299" i="19"/>
  <c r="I188" i="19" l="1"/>
  <c r="AN299" i="19"/>
  <c r="AN300" i="19" s="1"/>
  <c r="AN334" i="19" s="1"/>
  <c r="AN110" i="19" s="1"/>
  <c r="AL299" i="19"/>
  <c r="AL300" i="19" s="1"/>
  <c r="AL334" i="19" s="1"/>
  <c r="AL110" i="19" s="1"/>
  <c r="I301" i="19"/>
  <c r="AF130" i="19"/>
  <c r="AF299" i="19"/>
  <c r="AJ299" i="19"/>
  <c r="AJ300" i="19" s="1"/>
  <c r="AJ334" i="19" s="1"/>
  <c r="AJ110" i="19" s="1"/>
  <c r="AJ254" i="19" l="1"/>
  <c r="AJ260" i="19"/>
  <c r="AJ259" i="19"/>
  <c r="AJ258" i="19"/>
  <c r="AJ253" i="19"/>
  <c r="AJ256" i="19"/>
  <c r="AJ255" i="19"/>
  <c r="AJ252" i="19"/>
  <c r="AJ227" i="19"/>
  <c r="AJ228" i="19"/>
  <c r="AL259" i="19"/>
  <c r="AL253" i="19"/>
  <c r="AL252" i="19"/>
  <c r="AL258" i="19"/>
  <c r="AL256" i="19"/>
  <c r="AL227" i="19"/>
  <c r="AL228" i="19"/>
  <c r="AL254" i="19"/>
  <c r="AL255" i="19"/>
  <c r="AL260" i="19"/>
  <c r="AN253" i="19"/>
  <c r="AN259" i="19"/>
  <c r="AN252" i="19"/>
  <c r="AN258" i="19"/>
  <c r="AN254" i="19"/>
  <c r="AN260" i="19"/>
  <c r="AN228" i="19"/>
  <c r="AN256" i="19"/>
  <c r="AN255" i="19"/>
  <c r="AN227" i="19"/>
  <c r="AF188" i="19"/>
  <c r="AF301" i="19"/>
  <c r="AN107" i="19"/>
  <c r="AN109" i="19"/>
  <c r="AN111" i="19"/>
  <c r="AN112" i="19"/>
  <c r="AN113" i="19"/>
  <c r="AN114" i="19"/>
  <c r="AN116" i="19"/>
  <c r="AN117" i="19"/>
  <c r="AN118" i="19"/>
  <c r="AN119" i="19"/>
  <c r="AN120" i="19"/>
  <c r="AN122" i="19"/>
  <c r="AN123" i="19"/>
  <c r="AN126" i="19"/>
  <c r="AN137" i="19"/>
  <c r="AN138" i="19"/>
  <c r="AN162" i="19"/>
  <c r="AN163" i="19"/>
  <c r="AN164" i="19"/>
  <c r="AN168" i="19"/>
  <c r="AN196" i="19"/>
  <c r="AN165" i="19"/>
  <c r="AN167" i="19"/>
  <c r="AN169" i="19"/>
  <c r="AN271" i="19"/>
  <c r="AN273" i="19" s="1"/>
  <c r="AN280" i="19"/>
  <c r="AN282" i="19"/>
  <c r="AL107" i="19"/>
  <c r="AL109" i="19"/>
  <c r="AL111" i="19"/>
  <c r="AL112" i="19"/>
  <c r="AL113" i="19"/>
  <c r="AL114" i="19"/>
  <c r="AL116" i="19"/>
  <c r="AL117" i="19"/>
  <c r="AL118" i="19"/>
  <c r="AL119" i="19"/>
  <c r="AL120" i="19"/>
  <c r="AL122" i="19"/>
  <c r="AL123" i="19"/>
  <c r="AL126" i="19"/>
  <c r="AL137" i="19"/>
  <c r="AL138" i="19"/>
  <c r="AL162" i="19"/>
  <c r="AL163" i="19"/>
  <c r="AL164" i="19"/>
  <c r="AL165" i="19"/>
  <c r="AL167" i="19"/>
  <c r="AL168" i="19"/>
  <c r="AL196" i="19"/>
  <c r="AL169" i="19"/>
  <c r="AL271" i="19"/>
  <c r="AL273" i="19" s="1"/>
  <c r="AL280" i="19"/>
  <c r="AL282" i="19"/>
  <c r="AJ107" i="19"/>
  <c r="AJ109" i="19"/>
  <c r="AJ111" i="19"/>
  <c r="AJ112" i="19"/>
  <c r="AJ113" i="19"/>
  <c r="AJ114" i="19"/>
  <c r="AJ116" i="19"/>
  <c r="AJ117" i="19"/>
  <c r="AJ118" i="19"/>
  <c r="AJ119" i="19"/>
  <c r="AJ120" i="19"/>
  <c r="AJ122" i="19"/>
  <c r="AJ123" i="19"/>
  <c r="AJ126" i="19"/>
  <c r="AJ137" i="19"/>
  <c r="AJ162" i="19"/>
  <c r="AJ164" i="19"/>
  <c r="AJ168" i="19"/>
  <c r="AJ196" i="19"/>
  <c r="AJ165" i="19"/>
  <c r="AJ163" i="19"/>
  <c r="AJ138" i="19"/>
  <c r="AJ167" i="19"/>
  <c r="AJ169" i="19"/>
  <c r="AJ271" i="19"/>
  <c r="AJ273" i="19" s="1"/>
  <c r="AJ282" i="19"/>
  <c r="AJ280" i="19"/>
  <c r="AJ303" i="19" l="1"/>
  <c r="AJ304" i="19" s="1"/>
  <c r="AJ336" i="19" s="1"/>
  <c r="AJ171" i="19"/>
  <c r="AL303" i="19"/>
  <c r="AL304" i="19" s="1"/>
  <c r="AL336" i="19" s="1"/>
  <c r="AL171" i="19"/>
  <c r="AJ305" i="19"/>
  <c r="AJ306" i="19" s="1"/>
  <c r="AJ337" i="19" s="1"/>
  <c r="AJ279" i="19" s="1"/>
  <c r="AJ288" i="19" s="1"/>
  <c r="AJ262" i="19"/>
  <c r="AN262" i="19"/>
  <c r="AN305" i="19"/>
  <c r="AN306" i="19" s="1"/>
  <c r="AN337" i="19" s="1"/>
  <c r="AN279" i="19" s="1"/>
  <c r="AN288" i="19" s="1"/>
  <c r="AN303" i="19"/>
  <c r="AN304" i="19" s="1"/>
  <c r="AN336" i="19" s="1"/>
  <c r="AN171" i="19"/>
  <c r="AL262" i="19"/>
  <c r="AL305" i="19"/>
  <c r="AL306" i="19" s="1"/>
  <c r="AL337" i="19" s="1"/>
  <c r="AL279" i="19" s="1"/>
  <c r="AL288" i="19" s="1"/>
  <c r="AJ307" i="19" l="1"/>
  <c r="AJ308" i="19" s="1"/>
  <c r="AJ338" i="19" s="1"/>
  <c r="AJ173" i="19" s="1"/>
  <c r="AN307" i="19"/>
  <c r="AN308" i="19" s="1"/>
  <c r="AN338" i="19" s="1"/>
  <c r="AN176" i="19" s="1"/>
  <c r="AL307" i="19"/>
  <c r="AL308" i="19" s="1"/>
  <c r="AL338" i="19" s="1"/>
  <c r="AJ290" i="19"/>
  <c r="AJ108" i="19"/>
  <c r="AJ115" i="19"/>
  <c r="AJ121" i="19"/>
  <c r="AJ182" i="19"/>
  <c r="AN108" i="19"/>
  <c r="AN115" i="19"/>
  <c r="AN121" i="19"/>
  <c r="AN182" i="19"/>
  <c r="AL290" i="19"/>
  <c r="AN290" i="19"/>
  <c r="AL108" i="19"/>
  <c r="AL115" i="19"/>
  <c r="AL121" i="19"/>
  <c r="AL182" i="19"/>
  <c r="AJ176" i="19" l="1"/>
  <c r="AJ177" i="19"/>
  <c r="AJ192" i="19"/>
  <c r="AN177" i="19"/>
  <c r="AN178" i="19" s="1"/>
  <c r="AN192" i="19"/>
  <c r="AN173" i="19"/>
  <c r="AL173" i="19"/>
  <c r="AL192" i="19"/>
  <c r="AL177" i="19"/>
  <c r="AL176" i="19"/>
  <c r="AN309" i="19" l="1"/>
  <c r="AN310" i="19" s="1"/>
  <c r="AN339" i="19" s="1"/>
  <c r="AJ178" i="19"/>
  <c r="AJ309" i="19" s="1"/>
  <c r="AL178" i="19"/>
  <c r="AL309" i="19" s="1"/>
  <c r="AN199" i="19" l="1"/>
  <c r="AN181" i="19"/>
  <c r="AN184" i="19" s="1"/>
  <c r="AN191" i="19"/>
  <c r="AN194" i="19"/>
  <c r="AN124" i="19"/>
  <c r="AN128" i="19" s="1"/>
  <c r="AN130" i="19" s="1"/>
  <c r="AN301" i="19" s="1"/>
  <c r="AN302" i="19" s="1"/>
  <c r="AN335" i="19" s="1"/>
  <c r="AN198" i="19"/>
  <c r="AL310" i="19"/>
  <c r="AL339" i="19" s="1"/>
  <c r="AJ310" i="19"/>
  <c r="AJ339" i="19" s="1"/>
  <c r="AN188" i="19" l="1"/>
  <c r="AL194" i="19"/>
  <c r="AL199" i="19"/>
  <c r="AL181" i="19"/>
  <c r="AL184" i="19" s="1"/>
  <c r="AL191" i="19"/>
  <c r="AL124" i="19"/>
  <c r="AL128" i="19" s="1"/>
  <c r="AL130" i="19" s="1"/>
  <c r="AL301" i="19" s="1"/>
  <c r="AL302" i="19" s="1"/>
  <c r="AL335" i="19" s="1"/>
  <c r="AL198" i="19"/>
  <c r="AJ199" i="19"/>
  <c r="AJ124" i="19"/>
  <c r="AJ128" i="19" s="1"/>
  <c r="AJ130" i="19" s="1"/>
  <c r="AJ301" i="19" s="1"/>
  <c r="AJ302" i="19" s="1"/>
  <c r="AJ335" i="19" s="1"/>
  <c r="AJ198" i="19"/>
  <c r="AJ194" i="19"/>
  <c r="AJ191" i="19"/>
  <c r="AJ181" i="19"/>
  <c r="AJ184" i="19" s="1"/>
  <c r="AJ188" i="19" l="1"/>
  <c r="AL188" i="19"/>
  <c r="Q54" i="13" l="1"/>
  <c r="S54" i="13" s="1"/>
  <c r="S22" i="13"/>
  <c r="S26" i="13"/>
  <c r="Q58" i="13"/>
  <c r="S58" i="13" s="1"/>
  <c r="O20" i="13"/>
  <c r="M52" i="13"/>
  <c r="O52" i="13" s="1"/>
  <c r="E48" i="13"/>
  <c r="G16" i="13"/>
  <c r="E50" i="13" l="1"/>
  <c r="Y18" i="13"/>
  <c r="G18" i="13"/>
  <c r="S18" i="13"/>
  <c r="Q50" i="13"/>
  <c r="S50" i="13" s="1"/>
  <c r="S20" i="13"/>
  <c r="Q52" i="13"/>
  <c r="S52" i="13" s="1"/>
  <c r="G48" i="13"/>
  <c r="S24" i="13"/>
  <c r="Q56" i="13"/>
  <c r="S56" i="13" s="1"/>
  <c r="I48" i="13"/>
  <c r="K48" i="13" s="1"/>
  <c r="K16" i="13"/>
  <c r="I58" i="13"/>
  <c r="Y26" i="13"/>
  <c r="K26" i="13"/>
  <c r="I56" i="13"/>
  <c r="K56" i="13" s="1"/>
  <c r="K24" i="13"/>
  <c r="D34" i="10"/>
  <c r="U58" i="13"/>
  <c r="W58" i="13" s="1"/>
  <c r="W26" i="13"/>
  <c r="E46" i="13"/>
  <c r="G12" i="13"/>
  <c r="E32" i="13"/>
  <c r="I60" i="13"/>
  <c r="Y28" i="13"/>
  <c r="K28" i="13"/>
  <c r="O16" i="13"/>
  <c r="M48" i="13"/>
  <c r="O48" i="13" s="1"/>
  <c r="O18" i="13"/>
  <c r="M50" i="13"/>
  <c r="O50" i="13" s="1"/>
  <c r="M54" i="13"/>
  <c r="O54" i="13" s="1"/>
  <c r="O22" i="13"/>
  <c r="O24" i="13"/>
  <c r="M56" i="13"/>
  <c r="O56" i="13" s="1"/>
  <c r="O26" i="13"/>
  <c r="M58" i="13"/>
  <c r="O58" i="13" s="1"/>
  <c r="K18" i="13"/>
  <c r="I50" i="13"/>
  <c r="K50" i="13" s="1"/>
  <c r="O28" i="13"/>
  <c r="M60" i="13"/>
  <c r="O60" i="13" s="1"/>
  <c r="Y12" i="13"/>
  <c r="Q60" i="13"/>
  <c r="S60" i="13" s="1"/>
  <c r="S28" i="13"/>
  <c r="G20" i="13"/>
  <c r="E52" i="13"/>
  <c r="Y20" i="13"/>
  <c r="Q32" i="13"/>
  <c r="S12" i="13"/>
  <c r="Q46" i="13"/>
  <c r="K20" i="13"/>
  <c r="I52" i="13"/>
  <c r="K52" i="13" s="1"/>
  <c r="Q48" i="13"/>
  <c r="S48" i="13" s="1"/>
  <c r="S16" i="13"/>
  <c r="Y16" i="13"/>
  <c r="AA16" i="13" l="1"/>
  <c r="K60" i="13"/>
  <c r="AA60" i="13" s="1"/>
  <c r="Y60" i="13"/>
  <c r="Y58" i="13"/>
  <c r="K58" i="13"/>
  <c r="AA58" i="13" s="1"/>
  <c r="G32" i="13"/>
  <c r="G46" i="13"/>
  <c r="E66" i="13"/>
  <c r="Y48" i="13"/>
  <c r="G52" i="13"/>
  <c r="AA52" i="13" s="1"/>
  <c r="Y52" i="13"/>
  <c r="AA48" i="13"/>
  <c r="S46" i="13"/>
  <c r="S66" i="13" s="1"/>
  <c r="D55" i="9" s="1"/>
  <c r="Q66" i="13"/>
  <c r="AA20" i="13"/>
  <c r="D35" i="10"/>
  <c r="Y22" i="13"/>
  <c r="K22" i="13"/>
  <c r="AA22" i="13" s="1"/>
  <c r="I54" i="13"/>
  <c r="S30" i="13"/>
  <c r="Q62" i="13"/>
  <c r="S62" i="13" s="1"/>
  <c r="I32" i="13"/>
  <c r="I46" i="13"/>
  <c r="Y46" i="13" s="1"/>
  <c r="K12" i="13"/>
  <c r="K32" i="13" s="1"/>
  <c r="S32" i="13"/>
  <c r="Y24" i="13"/>
  <c r="W24" i="13"/>
  <c r="W32" i="13" s="1"/>
  <c r="D33" i="9" s="1"/>
  <c r="U56" i="13"/>
  <c r="U32" i="13"/>
  <c r="D37" i="10"/>
  <c r="D38" i="10"/>
  <c r="O12" i="13"/>
  <c r="M46" i="13"/>
  <c r="AA18" i="13"/>
  <c r="AA28" i="13"/>
  <c r="AA26" i="13"/>
  <c r="Y50" i="13"/>
  <c r="G50" i="13"/>
  <c r="AA50" i="13" s="1"/>
  <c r="Y56" i="13" l="1"/>
  <c r="W56" i="13"/>
  <c r="U66" i="13"/>
  <c r="D32" i="9"/>
  <c r="D154" i="12"/>
  <c r="G66" i="13"/>
  <c r="D52" i="9" s="1"/>
  <c r="D152" i="12"/>
  <c r="D30" i="9"/>
  <c r="AA12" i="13"/>
  <c r="AA24" i="13"/>
  <c r="K54" i="13"/>
  <c r="AA54" i="13" s="1"/>
  <c r="Y54" i="13"/>
  <c r="D151" i="12"/>
  <c r="D29" i="9"/>
  <c r="K46" i="13"/>
  <c r="AA46" i="13" s="1"/>
  <c r="I66" i="13"/>
  <c r="O46" i="13"/>
  <c r="W66" i="13" l="1"/>
  <c r="D56" i="9" s="1"/>
  <c r="AA56" i="13"/>
  <c r="K66" i="13"/>
  <c r="D53" i="9" s="1"/>
  <c r="D36" i="10" l="1"/>
  <c r="D22" i="10"/>
  <c r="Y30" i="13"/>
  <c r="Y32" i="13" s="1"/>
  <c r="M62" i="13"/>
  <c r="O30" i="13"/>
  <c r="M32" i="13"/>
  <c r="AA30" i="13" l="1"/>
  <c r="AA32" i="13" s="1"/>
  <c r="C10" i="29" s="1"/>
  <c r="O32" i="13"/>
  <c r="Y62" i="13"/>
  <c r="Y66" i="13" s="1"/>
  <c r="O62" i="13"/>
  <c r="M66" i="13"/>
  <c r="C22" i="29"/>
  <c r="F20" i="10"/>
  <c r="F15" i="10"/>
  <c r="F16" i="10"/>
  <c r="M332" i="19" s="1"/>
  <c r="F18" i="10"/>
  <c r="Q332" i="19" s="1"/>
  <c r="F19" i="10"/>
  <c r="S332" i="19" s="1"/>
  <c r="F17" i="10"/>
  <c r="O332" i="19" s="1"/>
  <c r="D40" i="10"/>
  <c r="F36" i="10" s="1"/>
  <c r="D21" i="2" l="1"/>
  <c r="H21" i="2" s="1"/>
  <c r="D22" i="6"/>
  <c r="D52" i="4"/>
  <c r="F34" i="10"/>
  <c r="F37" i="10"/>
  <c r="F35" i="10"/>
  <c r="F38" i="10"/>
  <c r="D19" i="2"/>
  <c r="H19" i="2" s="1"/>
  <c r="D50" i="4"/>
  <c r="D20" i="6"/>
  <c r="O96" i="19"/>
  <c r="O125" i="19"/>
  <c r="O99" i="19"/>
  <c r="O92" i="19"/>
  <c r="O97" i="19"/>
  <c r="O88" i="19"/>
  <c r="O100" i="19"/>
  <c r="O93" i="19"/>
  <c r="O91" i="19"/>
  <c r="O95" i="19"/>
  <c r="O102" i="19"/>
  <c r="O101" i="19"/>
  <c r="O98" i="19"/>
  <c r="O94" i="19"/>
  <c r="D20" i="2"/>
  <c r="H20" i="2" s="1"/>
  <c r="D51" i="4"/>
  <c r="D21" i="6"/>
  <c r="S92" i="19"/>
  <c r="S99" i="19"/>
  <c r="S98" i="19"/>
  <c r="S91" i="19"/>
  <c r="S101" i="19"/>
  <c r="S97" i="19"/>
  <c r="S100" i="19"/>
  <c r="S95" i="19"/>
  <c r="S88" i="19"/>
  <c r="S102" i="19"/>
  <c r="S93" i="19"/>
  <c r="S96" i="19"/>
  <c r="S125" i="19"/>
  <c r="S94" i="19"/>
  <c r="Q92" i="19"/>
  <c r="Q97" i="19"/>
  <c r="Q96" i="19"/>
  <c r="Q99" i="19"/>
  <c r="Q94" i="19"/>
  <c r="Q102" i="19"/>
  <c r="Q98" i="19"/>
  <c r="Q100" i="19"/>
  <c r="Q88" i="19"/>
  <c r="Q95" i="19"/>
  <c r="Q91" i="19"/>
  <c r="Q125" i="19"/>
  <c r="Q93" i="19"/>
  <c r="Q101" i="19"/>
  <c r="M102" i="19"/>
  <c r="M101" i="19"/>
  <c r="M97" i="19"/>
  <c r="M100" i="19"/>
  <c r="M94" i="19"/>
  <c r="M88" i="19"/>
  <c r="M99" i="19"/>
  <c r="M92" i="19"/>
  <c r="M98" i="19"/>
  <c r="M96" i="19"/>
  <c r="M125" i="19"/>
  <c r="M91" i="19"/>
  <c r="M93" i="19"/>
  <c r="M95" i="19"/>
  <c r="F22" i="10"/>
  <c r="K332" i="19"/>
  <c r="AT332" i="19"/>
  <c r="AA62" i="13"/>
  <c r="AA66" i="13" s="1"/>
  <c r="C16" i="29" s="1"/>
  <c r="O66" i="13"/>
  <c r="D54" i="9" s="1"/>
  <c r="D59" i="9" s="1"/>
  <c r="D153" i="12"/>
  <c r="D31" i="9"/>
  <c r="F54" i="9" l="1"/>
  <c r="O329" i="19" s="1"/>
  <c r="F57" i="9"/>
  <c r="F55" i="9"/>
  <c r="Q329" i="19" s="1"/>
  <c r="F52" i="9"/>
  <c r="F53" i="9"/>
  <c r="M329" i="19" s="1"/>
  <c r="F56" i="9"/>
  <c r="S329" i="19" s="1"/>
  <c r="D41" i="7"/>
  <c r="H41" i="7" s="1"/>
  <c r="AT94" i="19"/>
  <c r="AT92" i="19"/>
  <c r="AT100" i="19"/>
  <c r="AT98" i="19"/>
  <c r="AT88" i="19"/>
  <c r="AT102" i="19"/>
  <c r="AT91" i="19"/>
  <c r="AT99" i="19"/>
  <c r="AT95" i="19"/>
  <c r="AT96" i="19"/>
  <c r="AR332" i="19"/>
  <c r="AT93" i="19"/>
  <c r="AT125" i="19"/>
  <c r="AT101" i="19"/>
  <c r="AT97" i="19"/>
  <c r="E65" i="5"/>
  <c r="I65" i="5" s="1"/>
  <c r="U125" i="19"/>
  <c r="U97" i="19"/>
  <c r="U101" i="19"/>
  <c r="U100" i="19"/>
  <c r="U102" i="19"/>
  <c r="U99" i="19"/>
  <c r="U93" i="19"/>
  <c r="U94" i="19"/>
  <c r="U88" i="19"/>
  <c r="U95" i="19"/>
  <c r="U92" i="19"/>
  <c r="U91" i="19"/>
  <c r="U96" i="19"/>
  <c r="U98" i="19"/>
  <c r="D40" i="7"/>
  <c r="H40" i="7" s="1"/>
  <c r="D19" i="6"/>
  <c r="D18" i="2"/>
  <c r="H18" i="2" s="1"/>
  <c r="D49" i="4"/>
  <c r="K92" i="19"/>
  <c r="K101" i="19"/>
  <c r="K97" i="19"/>
  <c r="K94" i="19"/>
  <c r="K100" i="19"/>
  <c r="Y332" i="19"/>
  <c r="K88" i="19"/>
  <c r="K95" i="19"/>
  <c r="K96" i="19"/>
  <c r="K91" i="19"/>
  <c r="K125" i="19"/>
  <c r="K102" i="19"/>
  <c r="K93" i="19"/>
  <c r="K98" i="19"/>
  <c r="K99" i="19"/>
  <c r="E64" i="5"/>
  <c r="I64" i="5" s="1"/>
  <c r="F40" i="10"/>
  <c r="E66" i="5"/>
  <c r="I66" i="5" s="1"/>
  <c r="D36" i="9"/>
  <c r="D42" i="7"/>
  <c r="H42" i="7" s="1"/>
  <c r="D156" i="12"/>
  <c r="F153" i="12" s="1"/>
  <c r="O340" i="19" s="1"/>
  <c r="E63" i="5" l="1"/>
  <c r="I63" i="5" s="1"/>
  <c r="D39" i="7"/>
  <c r="H39" i="7" s="1"/>
  <c r="AT104" i="19"/>
  <c r="F34" i="9"/>
  <c r="F33" i="9"/>
  <c r="S328" i="19" s="1"/>
  <c r="F29" i="9"/>
  <c r="F30" i="9"/>
  <c r="M328" i="19" s="1"/>
  <c r="F32" i="9"/>
  <c r="Q328" i="19" s="1"/>
  <c r="F151" i="12"/>
  <c r="F154" i="12"/>
  <c r="Q340" i="19" s="1"/>
  <c r="F152" i="12"/>
  <c r="M340" i="19" s="1"/>
  <c r="F31" i="9"/>
  <c r="O328" i="19" s="1"/>
  <c r="S70" i="19"/>
  <c r="S158" i="19"/>
  <c r="S80" i="19"/>
  <c r="S247" i="19"/>
  <c r="S248" i="19"/>
  <c r="S67" i="19"/>
  <c r="S157" i="19"/>
  <c r="M70" i="19"/>
  <c r="M157" i="19"/>
  <c r="M158" i="19"/>
  <c r="M247" i="19"/>
  <c r="M67" i="19"/>
  <c r="M248" i="19"/>
  <c r="M80" i="19"/>
  <c r="AR100" i="19"/>
  <c r="AR99" i="19"/>
  <c r="AR98" i="19"/>
  <c r="AR92" i="19"/>
  <c r="AR96" i="19"/>
  <c r="AR102" i="19"/>
  <c r="AR88" i="19"/>
  <c r="AV332" i="19"/>
  <c r="AR97" i="19"/>
  <c r="AR91" i="19"/>
  <c r="AR94" i="19"/>
  <c r="AR125" i="19"/>
  <c r="AR101" i="19"/>
  <c r="AR93" i="19"/>
  <c r="AR95" i="19"/>
  <c r="F59" i="9"/>
  <c r="K329" i="19"/>
  <c r="Q248" i="19"/>
  <c r="Q70" i="19"/>
  <c r="Q80" i="19"/>
  <c r="Q157" i="19"/>
  <c r="Q158" i="19"/>
  <c r="Q67" i="19"/>
  <c r="Q247" i="19"/>
  <c r="AT329" i="19"/>
  <c r="O157" i="19"/>
  <c r="O67" i="19"/>
  <c r="O70" i="19"/>
  <c r="O248" i="19"/>
  <c r="O158" i="19"/>
  <c r="O247" i="19"/>
  <c r="O80" i="19"/>
  <c r="K340" i="19" l="1"/>
  <c r="F156" i="12"/>
  <c r="Q270" i="19"/>
  <c r="Q71" i="19"/>
  <c r="Q193" i="19"/>
  <c r="Q249" i="19"/>
  <c r="Q159" i="19"/>
  <c r="Q89" i="19"/>
  <c r="Q281" i="19"/>
  <c r="Q90" i="19"/>
  <c r="M249" i="19"/>
  <c r="M281" i="19"/>
  <c r="M71" i="19"/>
  <c r="M159" i="19"/>
  <c r="M89" i="19"/>
  <c r="M193" i="19"/>
  <c r="M270" i="19"/>
  <c r="M90" i="19"/>
  <c r="F36" i="9"/>
  <c r="K328" i="19"/>
  <c r="S90" i="19"/>
  <c r="S71" i="19"/>
  <c r="S89" i="19"/>
  <c r="S270" i="19"/>
  <c r="S249" i="19"/>
  <c r="S159" i="19"/>
  <c r="S193" i="19"/>
  <c r="S281" i="19"/>
  <c r="U89" i="19"/>
  <c r="U90" i="19"/>
  <c r="U159" i="19"/>
  <c r="U270" i="19"/>
  <c r="U193" i="19"/>
  <c r="U281" i="19"/>
  <c r="U71" i="19"/>
  <c r="U249" i="19"/>
  <c r="K157" i="19"/>
  <c r="K247" i="19"/>
  <c r="Y329" i="19"/>
  <c r="K248" i="19"/>
  <c r="K67" i="19"/>
  <c r="K80" i="19"/>
  <c r="K158" i="19"/>
  <c r="K70" i="19"/>
  <c r="AT248" i="19"/>
  <c r="AT67" i="19"/>
  <c r="AT158" i="19"/>
  <c r="AP329" i="19"/>
  <c r="AT247" i="19"/>
  <c r="AT157" i="19"/>
  <c r="AT70" i="19"/>
  <c r="AT80" i="19"/>
  <c r="P22" i="27"/>
  <c r="U157" i="19"/>
  <c r="U158" i="19"/>
  <c r="U248" i="19"/>
  <c r="U247" i="19"/>
  <c r="U80" i="19"/>
  <c r="U67" i="19"/>
  <c r="U70" i="19"/>
  <c r="AR104" i="19"/>
  <c r="O249" i="19"/>
  <c r="O270" i="19"/>
  <c r="O71" i="19"/>
  <c r="O281" i="19"/>
  <c r="O193" i="19"/>
  <c r="O89" i="19"/>
  <c r="O90" i="19"/>
  <c r="O159" i="19"/>
  <c r="P18" i="27"/>
  <c r="P24" i="27"/>
  <c r="P20" i="27"/>
  <c r="S104" i="19" l="1"/>
  <c r="L28" i="27"/>
  <c r="Q104" i="19"/>
  <c r="R24" i="27"/>
  <c r="K281" i="19"/>
  <c r="K89" i="19"/>
  <c r="K71" i="19"/>
  <c r="K159" i="19"/>
  <c r="K249" i="19"/>
  <c r="K193" i="19"/>
  <c r="Y328" i="19"/>
  <c r="K90" i="19"/>
  <c r="K270" i="19"/>
  <c r="AP157" i="19"/>
  <c r="AP248" i="19"/>
  <c r="AP158" i="19"/>
  <c r="AP70" i="19"/>
  <c r="AP67" i="19"/>
  <c r="AP80" i="19"/>
  <c r="AP247" i="19"/>
  <c r="AV329" i="19"/>
  <c r="R22" i="27"/>
  <c r="R20" i="27"/>
  <c r="O104" i="19"/>
  <c r="AR299" i="19"/>
  <c r="AR300" i="19" s="1"/>
  <c r="AR334" i="19" s="1"/>
  <c r="P26" i="27"/>
  <c r="P28" i="27" s="1"/>
  <c r="U104" i="19"/>
  <c r="D17" i="2"/>
  <c r="D18" i="6"/>
  <c r="D48" i="4"/>
  <c r="AH212" i="19"/>
  <c r="G23" i="1"/>
  <c r="M104" i="19"/>
  <c r="R18" i="27"/>
  <c r="Y340" i="19"/>
  <c r="H28" i="27"/>
  <c r="K104" i="19" l="1"/>
  <c r="AP297" i="19"/>
  <c r="AP298" i="19" s="1"/>
  <c r="AP331" i="19" s="1"/>
  <c r="J26" i="27"/>
  <c r="H32" i="27"/>
  <c r="J18" i="27"/>
  <c r="J20" i="27"/>
  <c r="J22" i="27"/>
  <c r="K16" i="1"/>
  <c r="K21" i="1"/>
  <c r="K20" i="1"/>
  <c r="K18" i="1"/>
  <c r="K19" i="1"/>
  <c r="K17" i="1"/>
  <c r="J24" i="27"/>
  <c r="R26" i="27"/>
  <c r="D55" i="4"/>
  <c r="E62" i="5"/>
  <c r="AR122" i="19"/>
  <c r="AR196" i="19"/>
  <c r="AR280" i="19"/>
  <c r="AR282" i="19"/>
  <c r="AR256" i="19"/>
  <c r="AR107" i="19"/>
  <c r="AR303" i="19" s="1"/>
  <c r="AR304" i="19" s="1"/>
  <c r="AR336" i="19" s="1"/>
  <c r="AR116" i="19"/>
  <c r="AR260" i="19"/>
  <c r="AR112" i="19"/>
  <c r="AR113" i="19"/>
  <c r="AR114" i="19"/>
  <c r="AR168" i="19"/>
  <c r="AR259" i="19"/>
  <c r="AR109" i="19"/>
  <c r="AR163" i="19"/>
  <c r="AR255" i="19"/>
  <c r="AR165" i="19"/>
  <c r="AR162" i="19"/>
  <c r="AR167" i="19"/>
  <c r="AR227" i="19"/>
  <c r="AR164" i="19"/>
  <c r="AR137" i="19"/>
  <c r="AR123" i="19"/>
  <c r="AR111" i="19"/>
  <c r="AR126" i="19"/>
  <c r="AR258" i="19"/>
  <c r="AR110" i="19"/>
  <c r="AR271" i="19"/>
  <c r="AR273" i="19" s="1"/>
  <c r="AR119" i="19"/>
  <c r="AR228" i="19"/>
  <c r="AR117" i="19"/>
  <c r="AR120" i="19"/>
  <c r="AR252" i="19"/>
  <c r="AR169" i="19"/>
  <c r="AR118" i="19"/>
  <c r="AR253" i="19"/>
  <c r="AR254" i="19"/>
  <c r="AR138" i="19"/>
  <c r="D25" i="6"/>
  <c r="D38" i="7"/>
  <c r="D23" i="2"/>
  <c r="H17" i="2"/>
  <c r="H23" i="2" s="1"/>
  <c r="R28" i="27"/>
  <c r="N20" i="27"/>
  <c r="N26" i="27"/>
  <c r="N22" i="27"/>
  <c r="N24" i="27"/>
  <c r="N18" i="27"/>
  <c r="J28" i="27" l="1"/>
  <c r="I62" i="5"/>
  <c r="E68" i="5"/>
  <c r="D30" i="27"/>
  <c r="AF197" i="19"/>
  <c r="I200" i="19"/>
  <c r="AP74" i="19"/>
  <c r="AP76" i="19"/>
  <c r="AP81" i="19"/>
  <c r="AP65" i="19"/>
  <c r="AP82" i="19"/>
  <c r="AP75" i="19"/>
  <c r="J17" i="2"/>
  <c r="J19" i="2"/>
  <c r="J21" i="2"/>
  <c r="J20" i="2"/>
  <c r="J18" i="2"/>
  <c r="H38" i="7"/>
  <c r="H44" i="7" s="1"/>
  <c r="D44" i="7"/>
  <c r="AR171" i="19"/>
  <c r="D22" i="4"/>
  <c r="F22" i="4" s="1"/>
  <c r="Q320" i="19"/>
  <c r="E41" i="1"/>
  <c r="G41" i="1" s="1"/>
  <c r="F18" i="6"/>
  <c r="F23" i="6"/>
  <c r="H23" i="6" s="1"/>
  <c r="R23" i="6" s="1"/>
  <c r="W324" i="19" s="1"/>
  <c r="F22" i="6"/>
  <c r="H22" i="6" s="1"/>
  <c r="F21" i="6"/>
  <c r="H21" i="6" s="1"/>
  <c r="F20" i="6"/>
  <c r="H20" i="6" s="1"/>
  <c r="F19" i="6"/>
  <c r="H19" i="6" s="1"/>
  <c r="AR305" i="19"/>
  <c r="AR306" i="19" s="1"/>
  <c r="AR337" i="19" s="1"/>
  <c r="AR279" i="19" s="1"/>
  <c r="AR288" i="19" s="1"/>
  <c r="AR262" i="19"/>
  <c r="O320" i="19"/>
  <c r="D21" i="4"/>
  <c r="F21" i="4" s="1"/>
  <c r="E40" i="1"/>
  <c r="G40" i="1" s="1"/>
  <c r="F53" i="4"/>
  <c r="H53" i="4" s="1"/>
  <c r="R53" i="4" s="1"/>
  <c r="F50" i="4"/>
  <c r="H50" i="4" s="1"/>
  <c r="F52" i="4"/>
  <c r="H52" i="4" s="1"/>
  <c r="F51" i="4"/>
  <c r="H51" i="4" s="1"/>
  <c r="F49" i="4"/>
  <c r="H49" i="4" s="1"/>
  <c r="E42" i="1"/>
  <c r="G42" i="1" s="1"/>
  <c r="D23" i="4"/>
  <c r="F23" i="4" s="1"/>
  <c r="S320" i="19"/>
  <c r="W320" i="19"/>
  <c r="E43" i="1"/>
  <c r="G43" i="1" s="1"/>
  <c r="M43" i="1" s="1"/>
  <c r="W321" i="19" s="1"/>
  <c r="D24" i="4"/>
  <c r="F24" i="4" s="1"/>
  <c r="P24" i="4" s="1"/>
  <c r="AR121" i="19"/>
  <c r="AR115" i="19"/>
  <c r="AR182" i="19"/>
  <c r="AR108" i="19"/>
  <c r="N28" i="27"/>
  <c r="E39" i="1"/>
  <c r="G39" i="1" s="1"/>
  <c r="M320" i="19"/>
  <c r="D20" i="4"/>
  <c r="F20" i="4" s="1"/>
  <c r="F48" i="4"/>
  <c r="D19" i="4"/>
  <c r="K23" i="1"/>
  <c r="K320" i="19"/>
  <c r="E38" i="1"/>
  <c r="Q31" i="19" l="1"/>
  <c r="Q174" i="19"/>
  <c r="Q32" i="19"/>
  <c r="Q14" i="19"/>
  <c r="Q36" i="19"/>
  <c r="Q30" i="19"/>
  <c r="Q54" i="19"/>
  <c r="I204" i="19"/>
  <c r="I209" i="19" s="1"/>
  <c r="D34" i="27"/>
  <c r="U30" i="19"/>
  <c r="U31" i="19"/>
  <c r="U14" i="19"/>
  <c r="U174" i="19"/>
  <c r="U36" i="19"/>
  <c r="U32" i="19"/>
  <c r="U54" i="19"/>
  <c r="J38" i="7"/>
  <c r="J42" i="7"/>
  <c r="J22" i="6" s="1"/>
  <c r="L22" i="6" s="1"/>
  <c r="R22" i="6" s="1"/>
  <c r="S324" i="19" s="1"/>
  <c r="J41" i="7"/>
  <c r="J21" i="6" s="1"/>
  <c r="L21" i="6" s="1"/>
  <c r="R21" i="6" s="1"/>
  <c r="Q324" i="19" s="1"/>
  <c r="J40" i="7"/>
  <c r="J20" i="6" s="1"/>
  <c r="L20" i="6" s="1"/>
  <c r="R20" i="6" s="1"/>
  <c r="O324" i="19" s="1"/>
  <c r="J39" i="7"/>
  <c r="J19" i="6" s="1"/>
  <c r="L19" i="6" s="1"/>
  <c r="R19" i="6" s="1"/>
  <c r="M324" i="19" s="1"/>
  <c r="AF200" i="19"/>
  <c r="AJ197" i="19"/>
  <c r="AJ200" i="19" s="1"/>
  <c r="AJ204" i="19" s="1"/>
  <c r="AJ209" i="19" s="1"/>
  <c r="AN197" i="19"/>
  <c r="AN200" i="19" s="1"/>
  <c r="AN204" i="19" s="1"/>
  <c r="AL197" i="19"/>
  <c r="AL200" i="19" s="1"/>
  <c r="AL204" i="19" s="1"/>
  <c r="AL209" i="19" s="1"/>
  <c r="AR290" i="19"/>
  <c r="F23" i="8"/>
  <c r="H23" i="8" s="1"/>
  <c r="S21" i="8"/>
  <c r="T21" i="8" s="1"/>
  <c r="W322" i="19"/>
  <c r="W54" i="19"/>
  <c r="W30" i="19"/>
  <c r="W31" i="19"/>
  <c r="W14" i="19"/>
  <c r="W36" i="19"/>
  <c r="W32" i="19"/>
  <c r="W174" i="19"/>
  <c r="H21" i="4"/>
  <c r="J21" i="4" s="1"/>
  <c r="P21" i="4" s="1"/>
  <c r="I40" i="1"/>
  <c r="K40" i="1" s="1"/>
  <c r="M40" i="1" s="1"/>
  <c r="O321" i="19" s="1"/>
  <c r="H20" i="4"/>
  <c r="J20" i="4" s="1"/>
  <c r="P20" i="4" s="1"/>
  <c r="I39" i="1"/>
  <c r="K39" i="1" s="1"/>
  <c r="M39" i="1" s="1"/>
  <c r="M321" i="19" s="1"/>
  <c r="K14" i="19"/>
  <c r="K36" i="19"/>
  <c r="K174" i="19"/>
  <c r="K32" i="19"/>
  <c r="K54" i="19"/>
  <c r="K31" i="19"/>
  <c r="Y320" i="19"/>
  <c r="K30" i="19"/>
  <c r="L30" i="27"/>
  <c r="W46" i="19"/>
  <c r="W44" i="19"/>
  <c r="W143" i="19"/>
  <c r="W285" i="19"/>
  <c r="W257" i="19"/>
  <c r="W28" i="19"/>
  <c r="W20" i="19"/>
  <c r="W268" i="19"/>
  <c r="W34" i="19"/>
  <c r="W39" i="19"/>
  <c r="W238" i="19"/>
  <c r="W148" i="19"/>
  <c r="W230" i="19"/>
  <c r="W139" i="19"/>
  <c r="W224" i="19"/>
  <c r="W21" i="19"/>
  <c r="W233" i="19"/>
  <c r="W166" i="19"/>
  <c r="W142" i="19"/>
  <c r="W15" i="19"/>
  <c r="W140" i="19"/>
  <c r="W141" i="19"/>
  <c r="W38" i="19"/>
  <c r="W225" i="19"/>
  <c r="W232" i="19"/>
  <c r="W43" i="19"/>
  <c r="W229" i="19"/>
  <c r="W220" i="19"/>
  <c r="W134" i="19"/>
  <c r="W35" i="19"/>
  <c r="W45" i="19"/>
  <c r="W149" i="19"/>
  <c r="W37" i="19"/>
  <c r="W221" i="19"/>
  <c r="W135" i="19"/>
  <c r="W29" i="19"/>
  <c r="W16" i="19"/>
  <c r="W33" i="19"/>
  <c r="W239" i="19"/>
  <c r="W195" i="19"/>
  <c r="W223" i="19"/>
  <c r="W231" i="19"/>
  <c r="W323" i="19"/>
  <c r="U21" i="8"/>
  <c r="V21" i="8" s="1"/>
  <c r="J23" i="8"/>
  <c r="L23" i="8" s="1"/>
  <c r="W150" i="19"/>
  <c r="W283" i="19"/>
  <c r="W284" i="19"/>
  <c r="W78" i="19"/>
  <c r="W77" i="19"/>
  <c r="W240" i="19"/>
  <c r="W269" i="19"/>
  <c r="W73" i="19"/>
  <c r="H19" i="4"/>
  <c r="I38" i="1"/>
  <c r="J23" i="2"/>
  <c r="I68" i="5"/>
  <c r="F19" i="4"/>
  <c r="F26" i="4" s="1"/>
  <c r="D26" i="4"/>
  <c r="H48" i="4"/>
  <c r="F55" i="4"/>
  <c r="S32" i="19"/>
  <c r="S30" i="19"/>
  <c r="S174" i="19"/>
  <c r="S14" i="19"/>
  <c r="S36" i="19"/>
  <c r="S31" i="19"/>
  <c r="S54" i="19"/>
  <c r="H18" i="6"/>
  <c r="F25" i="6"/>
  <c r="O30" i="19"/>
  <c r="O31" i="19"/>
  <c r="O32" i="19"/>
  <c r="O36" i="19"/>
  <c r="O14" i="19"/>
  <c r="O54" i="19"/>
  <c r="O174" i="19"/>
  <c r="I41" i="1"/>
  <c r="K41" i="1" s="1"/>
  <c r="M41" i="1" s="1"/>
  <c r="Q321" i="19" s="1"/>
  <c r="H22" i="4"/>
  <c r="J22" i="4" s="1"/>
  <c r="P22" i="4" s="1"/>
  <c r="AR307" i="19"/>
  <c r="AR308" i="19" s="1"/>
  <c r="AR338" i="19" s="1"/>
  <c r="AP83" i="19"/>
  <c r="AP85" i="19" s="1"/>
  <c r="AP299" i="19" s="1"/>
  <c r="AP300" i="19" s="1"/>
  <c r="AP334" i="19" s="1"/>
  <c r="G38" i="1"/>
  <c r="E45" i="1"/>
  <c r="H23" i="4"/>
  <c r="J23" i="4" s="1"/>
  <c r="P23" i="4" s="1"/>
  <c r="I42" i="1"/>
  <c r="K42" i="1" s="1"/>
  <c r="M42" i="1" s="1"/>
  <c r="S321" i="19" s="1"/>
  <c r="M174" i="19"/>
  <c r="M54" i="19"/>
  <c r="M36" i="19"/>
  <c r="M31" i="19"/>
  <c r="M30" i="19"/>
  <c r="M14" i="19"/>
  <c r="M32" i="19"/>
  <c r="AT36" i="19"/>
  <c r="AT174" i="19"/>
  <c r="AH320" i="19"/>
  <c r="AT14" i="19"/>
  <c r="AT54" i="19"/>
  <c r="AT30" i="19"/>
  <c r="AT31" i="19"/>
  <c r="AT32" i="19"/>
  <c r="W22" i="19" l="1"/>
  <c r="Y21" i="8"/>
  <c r="N23" i="8"/>
  <c r="W326" i="19" s="1"/>
  <c r="K38" i="1"/>
  <c r="K45" i="1" s="1"/>
  <c r="I45" i="1"/>
  <c r="W66" i="19"/>
  <c r="W58" i="19"/>
  <c r="W56" i="19"/>
  <c r="W69" i="19"/>
  <c r="W79" i="19"/>
  <c r="W59" i="19"/>
  <c r="W57" i="19"/>
  <c r="W60" i="19"/>
  <c r="W55" i="19"/>
  <c r="W53" i="19"/>
  <c r="W40" i="19"/>
  <c r="M238" i="19"/>
  <c r="M134" i="19"/>
  <c r="M148" i="19"/>
  <c r="M135" i="19"/>
  <c r="M45" i="19"/>
  <c r="M223" i="19"/>
  <c r="M141" i="19"/>
  <c r="M29" i="19"/>
  <c r="M257" i="19"/>
  <c r="M230" i="19"/>
  <c r="M149" i="19"/>
  <c r="M44" i="19"/>
  <c r="M195" i="19"/>
  <c r="M43" i="19"/>
  <c r="M231" i="19"/>
  <c r="M140" i="19"/>
  <c r="M34" i="19"/>
  <c r="M268" i="19"/>
  <c r="M229" i="19"/>
  <c r="M37" i="19"/>
  <c r="M220" i="19"/>
  <c r="M21" i="19"/>
  <c r="M224" i="19"/>
  <c r="M142" i="19"/>
  <c r="M139" i="19"/>
  <c r="M46" i="19"/>
  <c r="M143" i="19"/>
  <c r="M233" i="19"/>
  <c r="M232" i="19"/>
  <c r="M28" i="19"/>
  <c r="M33" i="19"/>
  <c r="M221" i="19"/>
  <c r="M39" i="19"/>
  <c r="M239" i="19"/>
  <c r="M38" i="19"/>
  <c r="M15" i="19"/>
  <c r="M20" i="19"/>
  <c r="M285" i="19"/>
  <c r="M35" i="19"/>
  <c r="M225" i="19"/>
  <c r="M166" i="19"/>
  <c r="M16" i="19"/>
  <c r="U34" i="19"/>
  <c r="U232" i="19"/>
  <c r="U230" i="19"/>
  <c r="U224" i="19"/>
  <c r="U33" i="19"/>
  <c r="U239" i="19"/>
  <c r="U29" i="19"/>
  <c r="U37" i="19"/>
  <c r="U238" i="19"/>
  <c r="U135" i="19"/>
  <c r="U39" i="19"/>
  <c r="U149" i="19"/>
  <c r="U229" i="19"/>
  <c r="U44" i="19"/>
  <c r="U143" i="19"/>
  <c r="U134" i="19"/>
  <c r="U35" i="19"/>
  <c r="U142" i="19"/>
  <c r="U148" i="19"/>
  <c r="U43" i="19"/>
  <c r="U28" i="19"/>
  <c r="U166" i="19"/>
  <c r="U195" i="19"/>
  <c r="U225" i="19"/>
  <c r="U46" i="19"/>
  <c r="U21" i="19"/>
  <c r="U220" i="19"/>
  <c r="U139" i="19"/>
  <c r="U268" i="19"/>
  <c r="U223" i="19"/>
  <c r="U15" i="19"/>
  <c r="U20" i="19"/>
  <c r="U22" i="19" s="1"/>
  <c r="U285" i="19"/>
  <c r="U233" i="19"/>
  <c r="U141" i="19"/>
  <c r="U16" i="19"/>
  <c r="U38" i="19"/>
  <c r="U221" i="19"/>
  <c r="U257" i="19"/>
  <c r="U45" i="19"/>
  <c r="U140" i="19"/>
  <c r="U231" i="19"/>
  <c r="F19" i="8"/>
  <c r="H19" i="8" s="1"/>
  <c r="M322" i="19"/>
  <c r="H36" i="27"/>
  <c r="L34" i="27"/>
  <c r="H26" i="4"/>
  <c r="J19" i="4"/>
  <c r="O195" i="19"/>
  <c r="O43" i="19"/>
  <c r="O141" i="19"/>
  <c r="O34" i="19"/>
  <c r="O135" i="19"/>
  <c r="O46" i="19"/>
  <c r="O268" i="19"/>
  <c r="O221" i="19"/>
  <c r="O149" i="19"/>
  <c r="O233" i="19"/>
  <c r="O16" i="19"/>
  <c r="O238" i="19"/>
  <c r="O37" i="19"/>
  <c r="O15" i="19"/>
  <c r="O17" i="19" s="1"/>
  <c r="O285" i="19"/>
  <c r="O239" i="19"/>
  <c r="O225" i="19"/>
  <c r="O39" i="19"/>
  <c r="O44" i="19"/>
  <c r="O35" i="19"/>
  <c r="O143" i="19"/>
  <c r="O230" i="19"/>
  <c r="O223" i="19"/>
  <c r="O140" i="19"/>
  <c r="O232" i="19"/>
  <c r="O142" i="19"/>
  <c r="O33" i="19"/>
  <c r="O20" i="19"/>
  <c r="O231" i="19"/>
  <c r="O229" i="19"/>
  <c r="O220" i="19"/>
  <c r="O257" i="19"/>
  <c r="O139" i="19"/>
  <c r="O224" i="19"/>
  <c r="O134" i="19"/>
  <c r="O148" i="19"/>
  <c r="O28" i="19"/>
  <c r="O166" i="19"/>
  <c r="O29" i="19"/>
  <c r="O38" i="19"/>
  <c r="O45" i="19"/>
  <c r="O21" i="19"/>
  <c r="F22" i="8"/>
  <c r="H22" i="8" s="1"/>
  <c r="S322" i="19"/>
  <c r="O322" i="19"/>
  <c r="F20" i="8"/>
  <c r="H20" i="8" s="1"/>
  <c r="AF204" i="19"/>
  <c r="Q322" i="19"/>
  <c r="F21" i="8"/>
  <c r="H21" i="8" s="1"/>
  <c r="H55" i="4"/>
  <c r="M284" i="19"/>
  <c r="M269" i="19"/>
  <c r="M150" i="19"/>
  <c r="M73" i="19"/>
  <c r="M283" i="19"/>
  <c r="M240" i="19"/>
  <c r="M77" i="19"/>
  <c r="M78" i="19"/>
  <c r="AH78" i="19"/>
  <c r="AH240" i="19"/>
  <c r="AH269" i="19"/>
  <c r="AH73" i="19"/>
  <c r="AH283" i="19"/>
  <c r="AH284" i="19"/>
  <c r="AH77" i="19"/>
  <c r="AH150" i="19"/>
  <c r="AV324" i="19"/>
  <c r="L32" i="27"/>
  <c r="P30" i="27"/>
  <c r="O78" i="19"/>
  <c r="O73" i="19"/>
  <c r="O284" i="19"/>
  <c r="O240" i="19"/>
  <c r="O269" i="19"/>
  <c r="O283" i="19"/>
  <c r="O77" i="19"/>
  <c r="O150" i="19"/>
  <c r="Q240" i="19"/>
  <c r="Q283" i="19"/>
  <c r="Q78" i="19"/>
  <c r="Q77" i="19"/>
  <c r="Q269" i="19"/>
  <c r="Q284" i="19"/>
  <c r="Q150" i="19"/>
  <c r="Q73" i="19"/>
  <c r="W17" i="19"/>
  <c r="W24" i="19" s="1"/>
  <c r="S284" i="19"/>
  <c r="S283" i="19"/>
  <c r="S269" i="19"/>
  <c r="S73" i="19"/>
  <c r="S150" i="19"/>
  <c r="S240" i="19"/>
  <c r="S77" i="19"/>
  <c r="S78" i="19"/>
  <c r="AH321" i="19"/>
  <c r="AT166" i="19"/>
  <c r="AT21" i="19"/>
  <c r="AT149" i="19"/>
  <c r="AT221" i="19"/>
  <c r="AT38" i="19"/>
  <c r="AT257" i="19"/>
  <c r="AT39" i="19"/>
  <c r="AT46" i="19"/>
  <c r="AT134" i="19"/>
  <c r="AT224" i="19"/>
  <c r="AT195" i="19"/>
  <c r="AT141" i="19"/>
  <c r="AT140" i="19"/>
  <c r="AT143" i="19"/>
  <c r="AT229" i="19"/>
  <c r="AT230" i="19"/>
  <c r="AT142" i="19"/>
  <c r="AT45" i="19"/>
  <c r="AT148" i="19"/>
  <c r="AT28" i="19"/>
  <c r="AT43" i="19"/>
  <c r="AT231" i="19"/>
  <c r="AT238" i="19"/>
  <c r="AT15" i="19"/>
  <c r="AT285" i="19"/>
  <c r="AT239" i="19"/>
  <c r="AT29" i="19"/>
  <c r="AT34" i="19"/>
  <c r="AT223" i="19"/>
  <c r="AT16" i="19"/>
  <c r="AT17" i="19" s="1"/>
  <c r="AT20" i="19"/>
  <c r="AT139" i="19"/>
  <c r="AT233" i="19"/>
  <c r="AT135" i="19"/>
  <c r="AT44" i="19"/>
  <c r="AT37" i="19"/>
  <c r="AT33" i="19"/>
  <c r="AT232" i="19"/>
  <c r="AT220" i="19"/>
  <c r="AT268" i="19"/>
  <c r="AT35" i="19"/>
  <c r="AT225" i="19"/>
  <c r="V17" i="8"/>
  <c r="U22" i="8"/>
  <c r="AH275" i="19"/>
  <c r="AH242" i="19"/>
  <c r="AH244" i="19"/>
  <c r="AH246" i="19"/>
  <c r="AH152" i="19"/>
  <c r="AH156" i="19"/>
  <c r="AH266" i="19"/>
  <c r="AH154" i="19"/>
  <c r="H25" i="6"/>
  <c r="W152" i="19"/>
  <c r="W242" i="19"/>
  <c r="W244" i="19"/>
  <c r="W156" i="19"/>
  <c r="W275" i="19"/>
  <c r="W154" i="19"/>
  <c r="W266" i="19"/>
  <c r="W246" i="19"/>
  <c r="J18" i="6"/>
  <c r="J44" i="7"/>
  <c r="S39" i="19"/>
  <c r="S230" i="19"/>
  <c r="S16" i="19"/>
  <c r="S46" i="19"/>
  <c r="S166" i="19"/>
  <c r="S143" i="19"/>
  <c r="S225" i="19"/>
  <c r="S35" i="19"/>
  <c r="S140" i="19"/>
  <c r="S142" i="19"/>
  <c r="S34" i="19"/>
  <c r="S229" i="19"/>
  <c r="S28" i="19"/>
  <c r="S195" i="19"/>
  <c r="S15" i="19"/>
  <c r="S221" i="19"/>
  <c r="S232" i="19"/>
  <c r="S139" i="19"/>
  <c r="S149" i="19"/>
  <c r="S231" i="19"/>
  <c r="S224" i="19"/>
  <c r="S45" i="19"/>
  <c r="S148" i="19"/>
  <c r="S44" i="19"/>
  <c r="S135" i="19"/>
  <c r="S285" i="19"/>
  <c r="S134" i="19"/>
  <c r="S223" i="19"/>
  <c r="S38" i="19"/>
  <c r="S238" i="19"/>
  <c r="S239" i="19"/>
  <c r="S268" i="19"/>
  <c r="S21" i="19"/>
  <c r="S257" i="19"/>
  <c r="S43" i="19"/>
  <c r="S233" i="19"/>
  <c r="S141" i="19"/>
  <c r="S33" i="19"/>
  <c r="S29" i="19"/>
  <c r="S20" i="19"/>
  <c r="S37" i="19"/>
  <c r="S220" i="19"/>
  <c r="AV320" i="19"/>
  <c r="AH30" i="19"/>
  <c r="AH54" i="19"/>
  <c r="AH32" i="19"/>
  <c r="AH14" i="19"/>
  <c r="AH36" i="19"/>
  <c r="AH31" i="19"/>
  <c r="AH174" i="19"/>
  <c r="K62" i="5"/>
  <c r="K65" i="5"/>
  <c r="J51" i="4" s="1"/>
  <c r="L51" i="4" s="1"/>
  <c r="R51" i="4" s="1"/>
  <c r="K64" i="5"/>
  <c r="J50" i="4" s="1"/>
  <c r="L50" i="4" s="1"/>
  <c r="R50" i="4" s="1"/>
  <c r="K66" i="5"/>
  <c r="J52" i="4" s="1"/>
  <c r="L52" i="4" s="1"/>
  <c r="R52" i="4" s="1"/>
  <c r="K63" i="5"/>
  <c r="J49" i="4" s="1"/>
  <c r="L49" i="4" s="1"/>
  <c r="R49" i="4" s="1"/>
  <c r="G45" i="1"/>
  <c r="M38" i="1"/>
  <c r="AP137" i="19"/>
  <c r="AP126" i="19"/>
  <c r="AP252" i="19"/>
  <c r="AP109" i="19"/>
  <c r="AP282" i="19"/>
  <c r="AP165" i="19"/>
  <c r="AP228" i="19"/>
  <c r="AP167" i="19"/>
  <c r="AP119" i="19"/>
  <c r="AP162" i="19"/>
  <c r="AP253" i="19"/>
  <c r="AP258" i="19"/>
  <c r="AP164" i="19"/>
  <c r="AP112" i="19"/>
  <c r="AP114" i="19"/>
  <c r="AP123" i="19"/>
  <c r="AP111" i="19"/>
  <c r="AP110" i="19"/>
  <c r="AP168" i="19"/>
  <c r="AP163" i="19"/>
  <c r="AP260" i="19"/>
  <c r="AP196" i="19"/>
  <c r="AP259" i="19"/>
  <c r="AP138" i="19"/>
  <c r="AP118" i="19"/>
  <c r="AP256" i="19"/>
  <c r="AP113" i="19"/>
  <c r="AP169" i="19"/>
  <c r="AP117" i="19"/>
  <c r="AP255" i="19"/>
  <c r="AP116" i="19"/>
  <c r="AP120" i="19"/>
  <c r="AP107" i="19"/>
  <c r="AP303" i="19" s="1"/>
  <c r="AP304" i="19" s="1"/>
  <c r="AP336" i="19" s="1"/>
  <c r="AP280" i="19"/>
  <c r="AP227" i="19"/>
  <c r="AP122" i="19"/>
  <c r="AP254" i="19"/>
  <c r="AP271" i="19"/>
  <c r="AP273" i="19" s="1"/>
  <c r="T17" i="8"/>
  <c r="S22" i="8"/>
  <c r="W47" i="19"/>
  <c r="Q21" i="19"/>
  <c r="Q140" i="19"/>
  <c r="Q134" i="19"/>
  <c r="Q29" i="19"/>
  <c r="Q141" i="19"/>
  <c r="Q230" i="19"/>
  <c r="Q139" i="19"/>
  <c r="Q35" i="19"/>
  <c r="Q221" i="19"/>
  <c r="Q148" i="19"/>
  <c r="Q220" i="19"/>
  <c r="Q195" i="19"/>
  <c r="Q166" i="19"/>
  <c r="Q20" i="19"/>
  <c r="Q231" i="19"/>
  <c r="Q229" i="19"/>
  <c r="Q16" i="19"/>
  <c r="Q239" i="19"/>
  <c r="Q44" i="19"/>
  <c r="Q38" i="19"/>
  <c r="Q224" i="19"/>
  <c r="Q28" i="19"/>
  <c r="Q33" i="19"/>
  <c r="Q39" i="19"/>
  <c r="Q285" i="19"/>
  <c r="Q46" i="19"/>
  <c r="Q225" i="19"/>
  <c r="Q37" i="19"/>
  <c r="Q223" i="19"/>
  <c r="Q268" i="19"/>
  <c r="Q45" i="19"/>
  <c r="Q43" i="19"/>
  <c r="Q238" i="19"/>
  <c r="Q15" i="19"/>
  <c r="Q149" i="19"/>
  <c r="Q135" i="19"/>
  <c r="Q257" i="19"/>
  <c r="Q143" i="19"/>
  <c r="Q233" i="19"/>
  <c r="Q232" i="19"/>
  <c r="Q142" i="19"/>
  <c r="Q34" i="19"/>
  <c r="AR176" i="19"/>
  <c r="AR173" i="19"/>
  <c r="AR177" i="19"/>
  <c r="AR192" i="19"/>
  <c r="AH226" i="19"/>
  <c r="AH235" i="19"/>
  <c r="AH153" i="19"/>
  <c r="AH147" i="19"/>
  <c r="AH234" i="19"/>
  <c r="AH265" i="19"/>
  <c r="AH241" i="19"/>
  <c r="AH267" i="19"/>
  <c r="AH222" i="19"/>
  <c r="AH145" i="19"/>
  <c r="AH245" i="19"/>
  <c r="AH151" i="19"/>
  <c r="AH237" i="19"/>
  <c r="AH155" i="19"/>
  <c r="AH236" i="19"/>
  <c r="AH146" i="19"/>
  <c r="AH243" i="19"/>
  <c r="AH144" i="19"/>
  <c r="AH136" i="19"/>
  <c r="W245" i="19"/>
  <c r="W146" i="19"/>
  <c r="W265" i="19"/>
  <c r="W155" i="19"/>
  <c r="W153" i="19"/>
  <c r="W136" i="19"/>
  <c r="W147" i="19"/>
  <c r="W144" i="19"/>
  <c r="W241" i="19"/>
  <c r="W243" i="19"/>
  <c r="W145" i="19"/>
  <c r="W235" i="19"/>
  <c r="W234" i="19"/>
  <c r="W236" i="19"/>
  <c r="W222" i="19"/>
  <c r="W151" i="19"/>
  <c r="W237" i="19"/>
  <c r="W267" i="19"/>
  <c r="W226" i="19"/>
  <c r="S22" i="19" l="1"/>
  <c r="U66" i="19"/>
  <c r="AR178" i="19"/>
  <c r="Q22" i="19"/>
  <c r="V22" i="8"/>
  <c r="AR309" i="19"/>
  <c r="AR310" i="19" s="1"/>
  <c r="AR339" i="19" s="1"/>
  <c r="AR124" i="19" s="1"/>
  <c r="AR128" i="19" s="1"/>
  <c r="AR130" i="19" s="1"/>
  <c r="AR301" i="19" s="1"/>
  <c r="AR302" i="19" s="1"/>
  <c r="AR335" i="19" s="1"/>
  <c r="AT22" i="19"/>
  <c r="AT24" i="19" s="1"/>
  <c r="Q17" i="19"/>
  <c r="Q24" i="19" s="1"/>
  <c r="O22" i="19"/>
  <c r="O24" i="19" s="1"/>
  <c r="M22" i="19"/>
  <c r="U17" i="19"/>
  <c r="U24" i="19" s="1"/>
  <c r="AT326" i="19"/>
  <c r="AT79" i="19" s="1"/>
  <c r="AT47" i="19"/>
  <c r="M17" i="19"/>
  <c r="M24" i="19" s="1"/>
  <c r="S17" i="19"/>
  <c r="S24" i="19" s="1"/>
  <c r="AR198" i="19"/>
  <c r="S40" i="19"/>
  <c r="U246" i="19"/>
  <c r="U244" i="19"/>
  <c r="U275" i="19"/>
  <c r="U152" i="19"/>
  <c r="U154" i="19"/>
  <c r="U242" i="19"/>
  <c r="U156" i="19"/>
  <c r="U266" i="19"/>
  <c r="M323" i="19"/>
  <c r="J19" i="8"/>
  <c r="L19" i="8" s="1"/>
  <c r="N19" i="8" s="1"/>
  <c r="M326" i="19" s="1"/>
  <c r="L36" i="27"/>
  <c r="P34" i="27"/>
  <c r="R34" i="27" s="1"/>
  <c r="J22" i="8"/>
  <c r="L22" i="8" s="1"/>
  <c r="N22" i="8" s="1"/>
  <c r="S326" i="19" s="1"/>
  <c r="S323" i="19"/>
  <c r="AT40" i="19"/>
  <c r="J20" i="8"/>
  <c r="L20" i="8" s="1"/>
  <c r="N20" i="8" s="1"/>
  <c r="O326" i="19" s="1"/>
  <c r="O323" i="19"/>
  <c r="J21" i="8"/>
  <c r="L21" i="8" s="1"/>
  <c r="N21" i="8" s="1"/>
  <c r="Q326" i="19" s="1"/>
  <c r="Q323" i="19"/>
  <c r="R30" i="27"/>
  <c r="P32" i="27"/>
  <c r="T22" i="8"/>
  <c r="Y17" i="8"/>
  <c r="J48" i="4"/>
  <c r="K68" i="5"/>
  <c r="AH285" i="19"/>
  <c r="AH143" i="19"/>
  <c r="AH28" i="19"/>
  <c r="AH39" i="19"/>
  <c r="AV321" i="19"/>
  <c r="AH166" i="19"/>
  <c r="AH44" i="19"/>
  <c r="AH34" i="19"/>
  <c r="AH231" i="19"/>
  <c r="AH141" i="19"/>
  <c r="AH38" i="19"/>
  <c r="AH238" i="19"/>
  <c r="AH29" i="19"/>
  <c r="AH230" i="19"/>
  <c r="AH225" i="19"/>
  <c r="AH37" i="19"/>
  <c r="AH220" i="19"/>
  <c r="AH142" i="19"/>
  <c r="AH229" i="19"/>
  <c r="AH223" i="19"/>
  <c r="AH135" i="19"/>
  <c r="AH134" i="19"/>
  <c r="AH33" i="19"/>
  <c r="AH148" i="19"/>
  <c r="AH35" i="19"/>
  <c r="AH21" i="19"/>
  <c r="AH239" i="19"/>
  <c r="AH43" i="19"/>
  <c r="AH233" i="19"/>
  <c r="AH140" i="19"/>
  <c r="AH46" i="19"/>
  <c r="AH20" i="19"/>
  <c r="AH15" i="19"/>
  <c r="AH149" i="19"/>
  <c r="AH224" i="19"/>
  <c r="AH257" i="19"/>
  <c r="AH45" i="19"/>
  <c r="AH195" i="19"/>
  <c r="AH139" i="19"/>
  <c r="AH16" i="19"/>
  <c r="AH268" i="19"/>
  <c r="AH232" i="19"/>
  <c r="AH221" i="19"/>
  <c r="M245" i="19"/>
  <c r="M147" i="19"/>
  <c r="M146" i="19"/>
  <c r="M144" i="19"/>
  <c r="M155" i="19"/>
  <c r="M236" i="19"/>
  <c r="M241" i="19"/>
  <c r="M222" i="19"/>
  <c r="M267" i="19"/>
  <c r="M243" i="19"/>
  <c r="M234" i="19"/>
  <c r="M237" i="19"/>
  <c r="M145" i="19"/>
  <c r="M235" i="19"/>
  <c r="M153" i="19"/>
  <c r="M136" i="19"/>
  <c r="M151" i="19"/>
  <c r="M226" i="19"/>
  <c r="M265" i="19"/>
  <c r="U58" i="19"/>
  <c r="U53" i="19"/>
  <c r="U69" i="19"/>
  <c r="U57" i="19"/>
  <c r="U59" i="19"/>
  <c r="U79" i="19"/>
  <c r="U60" i="19"/>
  <c r="U56" i="19"/>
  <c r="U55" i="19"/>
  <c r="Q40" i="19"/>
  <c r="U146" i="19"/>
  <c r="U222" i="19"/>
  <c r="U155" i="19"/>
  <c r="U234" i="19"/>
  <c r="U226" i="19"/>
  <c r="U265" i="19"/>
  <c r="U151" i="19"/>
  <c r="U153" i="19"/>
  <c r="U267" i="19"/>
  <c r="U235" i="19"/>
  <c r="U236" i="19"/>
  <c r="U245" i="19"/>
  <c r="U145" i="19"/>
  <c r="U147" i="19"/>
  <c r="U144" i="19"/>
  <c r="U241" i="19"/>
  <c r="U243" i="19"/>
  <c r="U237" i="19"/>
  <c r="U136" i="19"/>
  <c r="W297" i="19"/>
  <c r="AV322" i="19"/>
  <c r="AT236" i="19"/>
  <c r="AT267" i="19"/>
  <c r="AT222" i="19"/>
  <c r="AT226" i="19"/>
  <c r="AT245" i="19"/>
  <c r="AT234" i="19"/>
  <c r="AT136" i="19"/>
  <c r="AT243" i="19"/>
  <c r="AT153" i="19"/>
  <c r="AT144" i="19"/>
  <c r="AT235" i="19"/>
  <c r="AT151" i="19"/>
  <c r="AT265" i="19"/>
  <c r="AT155" i="19"/>
  <c r="AT146" i="19"/>
  <c r="AT147" i="19"/>
  <c r="AT237" i="19"/>
  <c r="AT241" i="19"/>
  <c r="AT145" i="19"/>
  <c r="O40" i="19"/>
  <c r="AP305" i="19"/>
  <c r="AP306" i="19" s="1"/>
  <c r="AP337" i="19" s="1"/>
  <c r="AP279" i="19" s="1"/>
  <c r="AP288" i="19" s="1"/>
  <c r="AP262" i="19"/>
  <c r="S47" i="19"/>
  <c r="U284" i="19"/>
  <c r="U78" i="19"/>
  <c r="U269" i="19"/>
  <c r="U73" i="19"/>
  <c r="U150" i="19"/>
  <c r="U240" i="19"/>
  <c r="U77" i="19"/>
  <c r="U283" i="19"/>
  <c r="Q222" i="19"/>
  <c r="Q245" i="19"/>
  <c r="Q234" i="19"/>
  <c r="Q136" i="19"/>
  <c r="Q235" i="19"/>
  <c r="Q151" i="19"/>
  <c r="Q146" i="19"/>
  <c r="Q265" i="19"/>
  <c r="Q155" i="19"/>
  <c r="Q145" i="19"/>
  <c r="Q144" i="19"/>
  <c r="Q147" i="19"/>
  <c r="Q241" i="19"/>
  <c r="Q153" i="19"/>
  <c r="Q243" i="19"/>
  <c r="Q267" i="19"/>
  <c r="Q226" i="19"/>
  <c r="Q237" i="19"/>
  <c r="Q236" i="19"/>
  <c r="AT283" i="19"/>
  <c r="AT78" i="19"/>
  <c r="AT150" i="19"/>
  <c r="AT77" i="19"/>
  <c r="AT284" i="19"/>
  <c r="AT240" i="19"/>
  <c r="AT73" i="19"/>
  <c r="AT269" i="19"/>
  <c r="AP115" i="19"/>
  <c r="AP108" i="19"/>
  <c r="AP182" i="19"/>
  <c r="AP121" i="19"/>
  <c r="AP171" i="19"/>
  <c r="AF209" i="19"/>
  <c r="O47" i="19"/>
  <c r="K321" i="19"/>
  <c r="M45" i="1"/>
  <c r="U40" i="19"/>
  <c r="W49" i="19"/>
  <c r="Q47" i="19"/>
  <c r="O237" i="19"/>
  <c r="O265" i="19"/>
  <c r="O234" i="19"/>
  <c r="O245" i="19"/>
  <c r="O155" i="19"/>
  <c r="O241" i="19"/>
  <c r="O146" i="19"/>
  <c r="O235" i="19"/>
  <c r="O153" i="19"/>
  <c r="O226" i="19"/>
  <c r="O267" i="19"/>
  <c r="O222" i="19"/>
  <c r="O136" i="19"/>
  <c r="O144" i="19"/>
  <c r="O147" i="19"/>
  <c r="O243" i="19"/>
  <c r="O145" i="19"/>
  <c r="O236" i="19"/>
  <c r="O151" i="19"/>
  <c r="U47" i="19"/>
  <c r="M40" i="19"/>
  <c r="M47" i="19"/>
  <c r="L18" i="6"/>
  <c r="J25" i="6"/>
  <c r="AV323" i="19"/>
  <c r="AT244" i="19"/>
  <c r="AT266" i="19"/>
  <c r="AT246" i="19"/>
  <c r="AT152" i="19"/>
  <c r="AT275" i="19"/>
  <c r="AT242" i="19"/>
  <c r="AT156" i="19"/>
  <c r="AT154" i="19"/>
  <c r="S146" i="19"/>
  <c r="S265" i="19"/>
  <c r="S155" i="19"/>
  <c r="S151" i="19"/>
  <c r="S144" i="19"/>
  <c r="S241" i="19"/>
  <c r="S226" i="19"/>
  <c r="S243" i="19"/>
  <c r="S145" i="19"/>
  <c r="S234" i="19"/>
  <c r="S236" i="19"/>
  <c r="S237" i="19"/>
  <c r="S222" i="19"/>
  <c r="S136" i="19"/>
  <c r="S245" i="19"/>
  <c r="S153" i="19"/>
  <c r="S235" i="19"/>
  <c r="S147" i="19"/>
  <c r="S267" i="19"/>
  <c r="P19" i="4"/>
  <c r="J26" i="4"/>
  <c r="W61" i="19"/>
  <c r="AR181" i="19" l="1"/>
  <c r="AR184" i="19" s="1"/>
  <c r="AR194" i="19"/>
  <c r="AT55" i="19"/>
  <c r="AT60" i="19"/>
  <c r="AT59" i="19"/>
  <c r="AT69" i="19"/>
  <c r="AT56" i="19"/>
  <c r="AT58" i="19"/>
  <c r="AT66" i="19"/>
  <c r="AT297" i="19" s="1"/>
  <c r="AT298" i="19" s="1"/>
  <c r="AT331" i="19" s="1"/>
  <c r="AT57" i="19"/>
  <c r="AT53" i="19"/>
  <c r="AT61" i="19" s="1"/>
  <c r="U49" i="19"/>
  <c r="AP307" i="19"/>
  <c r="AP308" i="19" s="1"/>
  <c r="AP338" i="19" s="1"/>
  <c r="AP173" i="19" s="1"/>
  <c r="AR199" i="19"/>
  <c r="AR197" i="19"/>
  <c r="AR191" i="19"/>
  <c r="AT49" i="19"/>
  <c r="AH47" i="19"/>
  <c r="O49" i="19"/>
  <c r="P36" i="27"/>
  <c r="R32" i="27"/>
  <c r="M56" i="19"/>
  <c r="M66" i="19"/>
  <c r="M60" i="19"/>
  <c r="M55" i="19"/>
  <c r="M57" i="19"/>
  <c r="M59" i="19"/>
  <c r="M53" i="19"/>
  <c r="M79" i="19"/>
  <c r="M69" i="19"/>
  <c r="M58" i="19"/>
  <c r="Q266" i="19"/>
  <c r="Q152" i="19"/>
  <c r="Q275" i="19"/>
  <c r="Q156" i="19"/>
  <c r="Q244" i="19"/>
  <c r="Q242" i="19"/>
  <c r="Q154" i="19"/>
  <c r="Q246" i="19"/>
  <c r="S266" i="19"/>
  <c r="S246" i="19"/>
  <c r="S242" i="19"/>
  <c r="S244" i="19"/>
  <c r="S154" i="19"/>
  <c r="S156" i="19"/>
  <c r="S152" i="19"/>
  <c r="S275" i="19"/>
  <c r="S49" i="19"/>
  <c r="K223" i="19"/>
  <c r="K45" i="19"/>
  <c r="K224" i="19"/>
  <c r="Y321" i="19"/>
  <c r="K238" i="19"/>
  <c r="K149" i="19"/>
  <c r="K16" i="19"/>
  <c r="K38" i="19"/>
  <c r="K35" i="19"/>
  <c r="K37" i="19"/>
  <c r="K140" i="19"/>
  <c r="K166" i="19"/>
  <c r="K230" i="19"/>
  <c r="K34" i="19"/>
  <c r="K33" i="19"/>
  <c r="K233" i="19"/>
  <c r="K142" i="19"/>
  <c r="K231" i="19"/>
  <c r="K28" i="19"/>
  <c r="K29" i="19"/>
  <c r="K221" i="19"/>
  <c r="K39" i="19"/>
  <c r="K44" i="19"/>
  <c r="K239" i="19"/>
  <c r="K195" i="19"/>
  <c r="K220" i="19"/>
  <c r="K15" i="19"/>
  <c r="K268" i="19"/>
  <c r="K143" i="19"/>
  <c r="K135" i="19"/>
  <c r="K134" i="19"/>
  <c r="K285" i="19"/>
  <c r="K148" i="19"/>
  <c r="K225" i="19"/>
  <c r="K21" i="19"/>
  <c r="K46" i="19"/>
  <c r="K20" i="19"/>
  <c r="K232" i="19"/>
  <c r="K229" i="19"/>
  <c r="K43" i="19"/>
  <c r="K141" i="19"/>
  <c r="K257" i="19"/>
  <c r="K139" i="19"/>
  <c r="U297" i="19"/>
  <c r="Q79" i="19"/>
  <c r="Q69" i="19"/>
  <c r="Q58" i="19"/>
  <c r="Q56" i="19"/>
  <c r="Q60" i="19"/>
  <c r="Q53" i="19"/>
  <c r="Q57" i="19"/>
  <c r="Q66" i="19"/>
  <c r="Q59" i="19"/>
  <c r="Q55" i="19"/>
  <c r="S58" i="19"/>
  <c r="S79" i="19"/>
  <c r="S69" i="19"/>
  <c r="S53" i="19"/>
  <c r="S66" i="19"/>
  <c r="S57" i="19"/>
  <c r="S59" i="19"/>
  <c r="S60" i="19"/>
  <c r="S55" i="19"/>
  <c r="S56" i="19"/>
  <c r="W298" i="19"/>
  <c r="D68" i="11"/>
  <c r="M49" i="19"/>
  <c r="AH40" i="19"/>
  <c r="O266" i="19"/>
  <c r="O154" i="19"/>
  <c r="O152" i="19"/>
  <c r="O244" i="19"/>
  <c r="O246" i="19"/>
  <c r="O275" i="19"/>
  <c r="O242" i="19"/>
  <c r="O156" i="19"/>
  <c r="O60" i="19"/>
  <c r="O66" i="19"/>
  <c r="O56" i="19"/>
  <c r="O57" i="19"/>
  <c r="O79" i="19"/>
  <c r="O53" i="19"/>
  <c r="O69" i="19"/>
  <c r="O58" i="19"/>
  <c r="O59" i="19"/>
  <c r="O55" i="19"/>
  <c r="M156" i="19"/>
  <c r="M242" i="19"/>
  <c r="M244" i="19"/>
  <c r="M154" i="19"/>
  <c r="M275" i="19"/>
  <c r="M152" i="19"/>
  <c r="M246" i="19"/>
  <c r="M266" i="19"/>
  <c r="AR188" i="19"/>
  <c r="K322" i="19"/>
  <c r="Y322" i="19" s="1"/>
  <c r="F18" i="8"/>
  <c r="P26" i="4"/>
  <c r="Q49" i="19"/>
  <c r="U61" i="19"/>
  <c r="AH22" i="19"/>
  <c r="L25" i="6"/>
  <c r="R18" i="6"/>
  <c r="AH17" i="19"/>
  <c r="L48" i="4"/>
  <c r="J55" i="4"/>
  <c r="AH326" i="19"/>
  <c r="Y22" i="8"/>
  <c r="AP290" i="19"/>
  <c r="AP177" i="19" l="1"/>
  <c r="AP176" i="19"/>
  <c r="AP192" i="19"/>
  <c r="AR200" i="19"/>
  <c r="AR204" i="19"/>
  <c r="AR209" i="19" s="1"/>
  <c r="C20" i="29" s="1"/>
  <c r="D24" i="29" s="1"/>
  <c r="F24" i="29" s="1"/>
  <c r="S297" i="19"/>
  <c r="K17" i="19"/>
  <c r="Q61" i="19"/>
  <c r="U298" i="19"/>
  <c r="M61" i="19"/>
  <c r="S61" i="19"/>
  <c r="O61" i="19"/>
  <c r="R25" i="6"/>
  <c r="K324" i="19"/>
  <c r="K47" i="19"/>
  <c r="AH60" i="19"/>
  <c r="AH55" i="19"/>
  <c r="AV326" i="19"/>
  <c r="AH66" i="19"/>
  <c r="AH58" i="19"/>
  <c r="AH59" i="19"/>
  <c r="AH69" i="19"/>
  <c r="AH79" i="19"/>
  <c r="AH56" i="19"/>
  <c r="AH53" i="19"/>
  <c r="AH57" i="19"/>
  <c r="L55" i="4"/>
  <c r="R48" i="4"/>
  <c r="R55" i="4" s="1"/>
  <c r="AH24" i="19"/>
  <c r="K147" i="19"/>
  <c r="K153" i="19"/>
  <c r="K145" i="19"/>
  <c r="K241" i="19"/>
  <c r="K235" i="19"/>
  <c r="K267" i="19"/>
  <c r="K146" i="19"/>
  <c r="K144" i="19"/>
  <c r="K151" i="19"/>
  <c r="K236" i="19"/>
  <c r="K222" i="19"/>
  <c r="K245" i="19"/>
  <c r="K136" i="19"/>
  <c r="K265" i="19"/>
  <c r="K237" i="19"/>
  <c r="K243" i="19"/>
  <c r="K226" i="19"/>
  <c r="K234" i="19"/>
  <c r="K155" i="19"/>
  <c r="AT82" i="19"/>
  <c r="AT81" i="19"/>
  <c r="AT76" i="19"/>
  <c r="AT65" i="19"/>
  <c r="AT75" i="19"/>
  <c r="AT74" i="19"/>
  <c r="M297" i="19"/>
  <c r="F68" i="11"/>
  <c r="W331" i="19"/>
  <c r="S298" i="19"/>
  <c r="D67" i="11"/>
  <c r="AH49" i="19"/>
  <c r="O297" i="19"/>
  <c r="K22" i="19"/>
  <c r="Q297" i="19"/>
  <c r="F25" i="8"/>
  <c r="H18" i="8"/>
  <c r="AP178" i="19"/>
  <c r="AP309" i="19" s="1"/>
  <c r="AP310" i="19" s="1"/>
  <c r="AP339" i="19" s="1"/>
  <c r="K40" i="19"/>
  <c r="R36" i="27"/>
  <c r="AP198" i="19" l="1"/>
  <c r="AP194" i="19"/>
  <c r="AP181" i="19"/>
  <c r="AP184" i="19" s="1"/>
  <c r="AP191" i="19"/>
  <c r="AP124" i="19"/>
  <c r="AP128" i="19" s="1"/>
  <c r="AP130" i="19" s="1"/>
  <c r="AP301" i="19" s="1"/>
  <c r="AP302" i="19" s="1"/>
  <c r="AP335" i="19" s="1"/>
  <c r="AP199" i="19"/>
  <c r="AP197" i="19"/>
  <c r="D64" i="11"/>
  <c r="M298" i="19"/>
  <c r="AT83" i="19"/>
  <c r="AT85" i="19" s="1"/>
  <c r="AT299" i="19" s="1"/>
  <c r="AT300" i="19" s="1"/>
  <c r="AT334" i="19" s="1"/>
  <c r="AH297" i="19"/>
  <c r="J18" i="8"/>
  <c r="K323" i="19"/>
  <c r="S331" i="19"/>
  <c r="F67" i="11"/>
  <c r="W81" i="19"/>
  <c r="W74" i="19"/>
  <c r="W76" i="19"/>
  <c r="W82" i="19"/>
  <c r="W75" i="19"/>
  <c r="W65" i="19"/>
  <c r="AH61" i="19"/>
  <c r="D65" i="11"/>
  <c r="O298" i="19"/>
  <c r="Q298" i="19"/>
  <c r="D66" i="11"/>
  <c r="K24" i="19"/>
  <c r="K49" i="19"/>
  <c r="H25" i="8"/>
  <c r="K78" i="19"/>
  <c r="K150" i="19"/>
  <c r="K283" i="19"/>
  <c r="K77" i="19"/>
  <c r="K73" i="19"/>
  <c r="K240" i="19"/>
  <c r="Y324" i="19"/>
  <c r="K269" i="19"/>
  <c r="K284" i="19"/>
  <c r="AP200" i="19" l="1"/>
  <c r="K244" i="19"/>
  <c r="K156" i="19"/>
  <c r="K152" i="19"/>
  <c r="K154" i="19"/>
  <c r="Y323" i="19"/>
  <c r="K242" i="19"/>
  <c r="K246" i="19"/>
  <c r="K266" i="19"/>
  <c r="K275" i="19"/>
  <c r="F64" i="11"/>
  <c r="M331" i="19"/>
  <c r="L18" i="8"/>
  <c r="J25" i="8"/>
  <c r="W83" i="19"/>
  <c r="W85" i="19" s="1"/>
  <c r="W299" i="19" s="1"/>
  <c r="AT110" i="19"/>
  <c r="AT255" i="19"/>
  <c r="AT117" i="19"/>
  <c r="AT256" i="19"/>
  <c r="AT167" i="19"/>
  <c r="AT271" i="19"/>
  <c r="AT273" i="19" s="1"/>
  <c r="AT163" i="19"/>
  <c r="AT253" i="19"/>
  <c r="AT138" i="19"/>
  <c r="AT116" i="19"/>
  <c r="AT258" i="19"/>
  <c r="AT252" i="19"/>
  <c r="AT165" i="19"/>
  <c r="AT164" i="19"/>
  <c r="AT120" i="19"/>
  <c r="AT126" i="19"/>
  <c r="AT119" i="19"/>
  <c r="AT162" i="19"/>
  <c r="AT169" i="19"/>
  <c r="AT137" i="19"/>
  <c r="AT112" i="19"/>
  <c r="AT109" i="19"/>
  <c r="AT114" i="19"/>
  <c r="AT280" i="19"/>
  <c r="AT282" i="19"/>
  <c r="AT228" i="19"/>
  <c r="AT260" i="19"/>
  <c r="AT111" i="19"/>
  <c r="AT259" i="19"/>
  <c r="AT122" i="19"/>
  <c r="AT196" i="19"/>
  <c r="AT123" i="19"/>
  <c r="AT118" i="19"/>
  <c r="AT168" i="19"/>
  <c r="AT107" i="19"/>
  <c r="AT303" i="19" s="1"/>
  <c r="AT304" i="19" s="1"/>
  <c r="AT336" i="19" s="1"/>
  <c r="AT254" i="19"/>
  <c r="AT113" i="19"/>
  <c r="AT227" i="19"/>
  <c r="Q331" i="19"/>
  <c r="F66" i="11"/>
  <c r="AP188" i="19"/>
  <c r="AP204" i="19" s="1"/>
  <c r="AP209" i="19" s="1"/>
  <c r="C14" i="29" s="1"/>
  <c r="D18" i="29" s="1"/>
  <c r="F18" i="29" s="1"/>
  <c r="O331" i="19"/>
  <c r="F65" i="11"/>
  <c r="U75" i="19"/>
  <c r="U82" i="19"/>
  <c r="U65" i="19"/>
  <c r="U81" i="19"/>
  <c r="U74" i="19"/>
  <c r="U76" i="19"/>
  <c r="S81" i="19"/>
  <c r="S76" i="19"/>
  <c r="S82" i="19"/>
  <c r="S74" i="19"/>
  <c r="S75" i="19"/>
  <c r="S65" i="19"/>
  <c r="AH298" i="19"/>
  <c r="AV297" i="19"/>
  <c r="L25" i="8" l="1"/>
  <c r="N18" i="8"/>
  <c r="O65" i="19"/>
  <c r="O75" i="19"/>
  <c r="O81" i="19"/>
  <c r="O74" i="19"/>
  <c r="O82" i="19"/>
  <c r="O76" i="19"/>
  <c r="M75" i="19"/>
  <c r="M82" i="19"/>
  <c r="M74" i="19"/>
  <c r="M65" i="19"/>
  <c r="M81" i="19"/>
  <c r="M76" i="19"/>
  <c r="S83" i="19"/>
  <c r="S85" i="19" s="1"/>
  <c r="S299" i="19" s="1"/>
  <c r="AT305" i="19"/>
  <c r="AT306" i="19" s="1"/>
  <c r="AT337" i="19" s="1"/>
  <c r="AT279" i="19" s="1"/>
  <c r="AT288" i="19" s="1"/>
  <c r="AT262" i="19"/>
  <c r="AT121" i="19"/>
  <c r="AT182" i="19"/>
  <c r="AT115" i="19"/>
  <c r="AT108" i="19"/>
  <c r="AT171" i="19"/>
  <c r="AV298" i="19"/>
  <c r="AH331" i="19"/>
  <c r="U83" i="19"/>
  <c r="U85" i="19" s="1"/>
  <c r="U299" i="19" s="1"/>
  <c r="Q65" i="19"/>
  <c r="Q82" i="19"/>
  <c r="Q74" i="19"/>
  <c r="Q75" i="19"/>
  <c r="Q81" i="19"/>
  <c r="Q76" i="19"/>
  <c r="W300" i="19"/>
  <c r="D23" i="12"/>
  <c r="AH81" i="19" l="1"/>
  <c r="AH82" i="19"/>
  <c r="AV331" i="19"/>
  <c r="AH74" i="19"/>
  <c r="AH76" i="19"/>
  <c r="AH75" i="19"/>
  <c r="AH65" i="19"/>
  <c r="U300" i="19"/>
  <c r="M83" i="19"/>
  <c r="M85" i="19" s="1"/>
  <c r="M299" i="19" s="1"/>
  <c r="Q83" i="19"/>
  <c r="Q85" i="19" s="1"/>
  <c r="Q299" i="19" s="1"/>
  <c r="D22" i="12"/>
  <c r="S300" i="19"/>
  <c r="F23" i="12"/>
  <c r="W334" i="19"/>
  <c r="O83" i="19"/>
  <c r="O85" i="19" s="1"/>
  <c r="O299" i="19" s="1"/>
  <c r="N25" i="8"/>
  <c r="K326" i="19"/>
  <c r="AT290" i="19"/>
  <c r="AT307" i="19"/>
  <c r="AT308" i="19" s="1"/>
  <c r="AT338" i="19" s="1"/>
  <c r="S334" i="19" l="1"/>
  <c r="F22" i="12"/>
  <c r="W196" i="19"/>
  <c r="W118" i="19"/>
  <c r="W260" i="19"/>
  <c r="W163" i="19"/>
  <c r="W122" i="19"/>
  <c r="W138" i="19"/>
  <c r="W112" i="19"/>
  <c r="W110" i="19"/>
  <c r="W119" i="19"/>
  <c r="W169" i="19"/>
  <c r="W111" i="19"/>
  <c r="W126" i="19"/>
  <c r="W253" i="19"/>
  <c r="W114" i="19"/>
  <c r="W254" i="19"/>
  <c r="W137" i="19"/>
  <c r="W252" i="19"/>
  <c r="W113" i="19"/>
  <c r="W271" i="19"/>
  <c r="W273" i="19" s="1"/>
  <c r="W120" i="19"/>
  <c r="W164" i="19"/>
  <c r="W168" i="19"/>
  <c r="W162" i="19"/>
  <c r="W167" i="19"/>
  <c r="W227" i="19"/>
  <c r="W123" i="19"/>
  <c r="W165" i="19"/>
  <c r="W228" i="19"/>
  <c r="W109" i="19"/>
  <c r="W256" i="19"/>
  <c r="W280" i="19"/>
  <c r="W255" i="19"/>
  <c r="W259" i="19"/>
  <c r="W107" i="19"/>
  <c r="W303" i="19" s="1"/>
  <c r="W258" i="19"/>
  <c r="W116" i="19"/>
  <c r="W117" i="19"/>
  <c r="W282" i="19"/>
  <c r="D19" i="12"/>
  <c r="M300" i="19"/>
  <c r="AH83" i="19"/>
  <c r="K60" i="19"/>
  <c r="K57" i="19"/>
  <c r="K56" i="19"/>
  <c r="K69" i="19"/>
  <c r="Y326" i="19"/>
  <c r="K79" i="19"/>
  <c r="K58" i="19"/>
  <c r="K55" i="19"/>
  <c r="K66" i="19"/>
  <c r="K59" i="19"/>
  <c r="K53" i="19"/>
  <c r="D21" i="12"/>
  <c r="Q300" i="19"/>
  <c r="AT176" i="19"/>
  <c r="AT173" i="19"/>
  <c r="AT192" i="19"/>
  <c r="AT177" i="19"/>
  <c r="O300" i="19"/>
  <c r="D20" i="12"/>
  <c r="AT178" i="19" l="1"/>
  <c r="AT309" i="19" s="1"/>
  <c r="AT310" i="19" s="1"/>
  <c r="AT339" i="19" s="1"/>
  <c r="U259" i="19"/>
  <c r="U271" i="19"/>
  <c r="U273" i="19" s="1"/>
  <c r="U280" i="19"/>
  <c r="U282" i="19"/>
  <c r="U258" i="19"/>
  <c r="U255" i="19"/>
  <c r="U165" i="19"/>
  <c r="U137" i="19"/>
  <c r="U164" i="19"/>
  <c r="U138" i="19"/>
  <c r="U114" i="19"/>
  <c r="U168" i="19"/>
  <c r="U111" i="19"/>
  <c r="U112" i="19"/>
  <c r="U119" i="19"/>
  <c r="U256" i="19"/>
  <c r="U227" i="19"/>
  <c r="U122" i="19"/>
  <c r="U163" i="19"/>
  <c r="U118" i="19"/>
  <c r="U254" i="19"/>
  <c r="U113" i="19"/>
  <c r="U120" i="19"/>
  <c r="U167" i="19"/>
  <c r="U107" i="19"/>
  <c r="U303" i="19" s="1"/>
  <c r="U253" i="19"/>
  <c r="U110" i="19"/>
  <c r="U228" i="19"/>
  <c r="U169" i="19"/>
  <c r="U123" i="19"/>
  <c r="U162" i="19"/>
  <c r="U109" i="19"/>
  <c r="U252" i="19"/>
  <c r="U126" i="19"/>
  <c r="U196" i="19"/>
  <c r="U117" i="19"/>
  <c r="U116" i="19"/>
  <c r="U260" i="19"/>
  <c r="AH85" i="19"/>
  <c r="W305" i="19"/>
  <c r="W262" i="19"/>
  <c r="F21" i="12"/>
  <c r="Q334" i="19"/>
  <c r="M334" i="19"/>
  <c r="F19" i="12"/>
  <c r="K61" i="19"/>
  <c r="K297" i="19"/>
  <c r="W304" i="19"/>
  <c r="D69" i="12"/>
  <c r="W171" i="19"/>
  <c r="F20" i="12"/>
  <c r="O334" i="19"/>
  <c r="S164" i="19"/>
  <c r="S137" i="19"/>
  <c r="S256" i="19"/>
  <c r="S126" i="19"/>
  <c r="S258" i="19"/>
  <c r="S196" i="19"/>
  <c r="S280" i="19"/>
  <c r="S253" i="19"/>
  <c r="S165" i="19"/>
  <c r="S271" i="19"/>
  <c r="S273" i="19" s="1"/>
  <c r="S227" i="19"/>
  <c r="S252" i="19"/>
  <c r="S167" i="19"/>
  <c r="S118" i="19"/>
  <c r="S107" i="19"/>
  <c r="S303" i="19" s="1"/>
  <c r="S110" i="19"/>
  <c r="S111" i="19"/>
  <c r="S163" i="19"/>
  <c r="S228" i="19"/>
  <c r="S112" i="19"/>
  <c r="S117" i="19"/>
  <c r="S114" i="19"/>
  <c r="S254" i="19"/>
  <c r="S116" i="19"/>
  <c r="S162" i="19"/>
  <c r="S255" i="19"/>
  <c r="S122" i="19"/>
  <c r="S282" i="19"/>
  <c r="S113" i="19"/>
  <c r="S168" i="19"/>
  <c r="S259" i="19"/>
  <c r="S138" i="19"/>
  <c r="S120" i="19"/>
  <c r="S123" i="19"/>
  <c r="S119" i="19"/>
  <c r="S109" i="19"/>
  <c r="S169" i="19"/>
  <c r="S260" i="19"/>
  <c r="U304" i="19" l="1"/>
  <c r="U171" i="19"/>
  <c r="Q162" i="19"/>
  <c r="Q253" i="19"/>
  <c r="Q254" i="19"/>
  <c r="Q252" i="19"/>
  <c r="Q255" i="19"/>
  <c r="Q114" i="19"/>
  <c r="Q116" i="19"/>
  <c r="Q165" i="19"/>
  <c r="Q258" i="19"/>
  <c r="Q111" i="19"/>
  <c r="Q280" i="19"/>
  <c r="Q123" i="19"/>
  <c r="Q119" i="19"/>
  <c r="Q168" i="19"/>
  <c r="Q164" i="19"/>
  <c r="Q271" i="19"/>
  <c r="Q273" i="19" s="1"/>
  <c r="Q112" i="19"/>
  <c r="Q110" i="19"/>
  <c r="Q260" i="19"/>
  <c r="Q259" i="19"/>
  <c r="Q117" i="19"/>
  <c r="Q109" i="19"/>
  <c r="Q163" i="19"/>
  <c r="Q138" i="19"/>
  <c r="Q228" i="19"/>
  <c r="Q169" i="19"/>
  <c r="Q256" i="19"/>
  <c r="Q126" i="19"/>
  <c r="Q118" i="19"/>
  <c r="Q227" i="19"/>
  <c r="Q167" i="19"/>
  <c r="Q196" i="19"/>
  <c r="Q122" i="19"/>
  <c r="Q120" i="19"/>
  <c r="Q282" i="19"/>
  <c r="Q107" i="19"/>
  <c r="Q303" i="19" s="1"/>
  <c r="Q137" i="19"/>
  <c r="Q113" i="19"/>
  <c r="D90" i="12"/>
  <c r="W306" i="19"/>
  <c r="S171" i="19"/>
  <c r="O254" i="19"/>
  <c r="O107" i="19"/>
  <c r="O303" i="19" s="1"/>
  <c r="O163" i="19"/>
  <c r="O116" i="19"/>
  <c r="O162" i="19"/>
  <c r="O112" i="19"/>
  <c r="O120" i="19"/>
  <c r="O282" i="19"/>
  <c r="O168" i="19"/>
  <c r="O258" i="19"/>
  <c r="O196" i="19"/>
  <c r="O260" i="19"/>
  <c r="O228" i="19"/>
  <c r="O280" i="19"/>
  <c r="O122" i="19"/>
  <c r="O109" i="19"/>
  <c r="O259" i="19"/>
  <c r="O165" i="19"/>
  <c r="O110" i="19"/>
  <c r="O256" i="19"/>
  <c r="O113" i="19"/>
  <c r="O114" i="19"/>
  <c r="O255" i="19"/>
  <c r="O123" i="19"/>
  <c r="O111" i="19"/>
  <c r="O253" i="19"/>
  <c r="O164" i="19"/>
  <c r="O227" i="19"/>
  <c r="O271" i="19"/>
  <c r="O273" i="19" s="1"/>
  <c r="O119" i="19"/>
  <c r="O126" i="19"/>
  <c r="O137" i="19"/>
  <c r="O167" i="19"/>
  <c r="O117" i="19"/>
  <c r="O252" i="19"/>
  <c r="O118" i="19"/>
  <c r="O169" i="19"/>
  <c r="O138" i="19"/>
  <c r="S304" i="19"/>
  <c r="D68" i="12"/>
  <c r="F69" i="12"/>
  <c r="W336" i="19"/>
  <c r="S262" i="19"/>
  <c r="S305" i="19"/>
  <c r="K298" i="19"/>
  <c r="D63" i="11"/>
  <c r="D70" i="11" s="1"/>
  <c r="Y297" i="19"/>
  <c r="U305" i="19"/>
  <c r="U262" i="19"/>
  <c r="M113" i="19"/>
  <c r="M120" i="19"/>
  <c r="M260" i="19"/>
  <c r="M259" i="19"/>
  <c r="M165" i="19"/>
  <c r="M253" i="19"/>
  <c r="M271" i="19"/>
  <c r="M273" i="19" s="1"/>
  <c r="M116" i="19"/>
  <c r="M123" i="19"/>
  <c r="M252" i="19"/>
  <c r="M137" i="19"/>
  <c r="M254" i="19"/>
  <c r="M112" i="19"/>
  <c r="M117" i="19"/>
  <c r="M107" i="19"/>
  <c r="M303" i="19" s="1"/>
  <c r="M111" i="19"/>
  <c r="M162" i="19"/>
  <c r="M138" i="19"/>
  <c r="M169" i="19"/>
  <c r="M114" i="19"/>
  <c r="M109" i="19"/>
  <c r="M122" i="19"/>
  <c r="M164" i="19"/>
  <c r="M255" i="19"/>
  <c r="M119" i="19"/>
  <c r="M118" i="19"/>
  <c r="M258" i="19"/>
  <c r="M167" i="19"/>
  <c r="M110" i="19"/>
  <c r="M256" i="19"/>
  <c r="M163" i="19"/>
  <c r="M196" i="19"/>
  <c r="M228" i="19"/>
  <c r="M227" i="19"/>
  <c r="M282" i="19"/>
  <c r="M126" i="19"/>
  <c r="M168" i="19"/>
  <c r="M280" i="19"/>
  <c r="AH299" i="19"/>
  <c r="AT124" i="19"/>
  <c r="AT128" i="19" s="1"/>
  <c r="AT130" i="19" s="1"/>
  <c r="AT301" i="19" s="1"/>
  <c r="AT302" i="19" s="1"/>
  <c r="AT335" i="19" s="1"/>
  <c r="AT199" i="19"/>
  <c r="AT198" i="19"/>
  <c r="AT194" i="19"/>
  <c r="AT191" i="19"/>
  <c r="AT181" i="19"/>
  <c r="AT184" i="19" s="1"/>
  <c r="AT188" i="19" s="1"/>
  <c r="AT197" i="19"/>
  <c r="AT200" i="19" s="1"/>
  <c r="AT204" i="19" l="1"/>
  <c r="O304" i="19"/>
  <c r="D66" i="12"/>
  <c r="F90" i="12"/>
  <c r="W337" i="19"/>
  <c r="W279" i="19" s="1"/>
  <c r="W288" i="19" s="1"/>
  <c r="W290" i="19" s="1"/>
  <c r="W307" i="19" s="1"/>
  <c r="U306" i="19"/>
  <c r="Q171" i="19"/>
  <c r="O171" i="19"/>
  <c r="Y298" i="19"/>
  <c r="K331" i="19"/>
  <c r="F63" i="11"/>
  <c r="F70" i="11" s="1"/>
  <c r="D67" i="12"/>
  <c r="Q304" i="19"/>
  <c r="S306" i="19"/>
  <c r="D89" i="12"/>
  <c r="M171" i="19"/>
  <c r="AH300" i="19"/>
  <c r="AV299" i="19"/>
  <c r="D65" i="12"/>
  <c r="M304" i="19"/>
  <c r="W108" i="19"/>
  <c r="W121" i="19"/>
  <c r="W182" i="19"/>
  <c r="W115" i="19"/>
  <c r="F68" i="12"/>
  <c r="S336" i="19"/>
  <c r="Q305" i="19"/>
  <c r="Q262" i="19"/>
  <c r="O262" i="19"/>
  <c r="O305" i="19"/>
  <c r="M305" i="19"/>
  <c r="M262" i="19"/>
  <c r="Q306" i="19" l="1"/>
  <c r="D88" i="12"/>
  <c r="S337" i="19"/>
  <c r="S279" i="19" s="1"/>
  <c r="S288" i="19" s="1"/>
  <c r="S290" i="19" s="1"/>
  <c r="S307" i="19" s="1"/>
  <c r="F89" i="12"/>
  <c r="M306" i="19"/>
  <c r="D86" i="12"/>
  <c r="Q336" i="19"/>
  <c r="F67" i="12"/>
  <c r="K82" i="19"/>
  <c r="K75" i="19"/>
  <c r="K81" i="19"/>
  <c r="K65" i="19"/>
  <c r="Y331" i="19"/>
  <c r="K76" i="19"/>
  <c r="K74" i="19"/>
  <c r="W308" i="19"/>
  <c r="D114" i="12"/>
  <c r="U279" i="19"/>
  <c r="U288" i="19" s="1"/>
  <c r="U290" i="19" s="1"/>
  <c r="U307" i="19" s="1"/>
  <c r="O306" i="19"/>
  <c r="D87" i="12"/>
  <c r="S121" i="19"/>
  <c r="S115" i="19"/>
  <c r="S182" i="19"/>
  <c r="S108" i="19"/>
  <c r="F65" i="12"/>
  <c r="M336" i="19"/>
  <c r="U121" i="19"/>
  <c r="U115" i="19"/>
  <c r="U182" i="19"/>
  <c r="U108" i="19"/>
  <c r="AV300" i="19"/>
  <c r="AH334" i="19"/>
  <c r="F66" i="12"/>
  <c r="O336" i="19"/>
  <c r="K83" i="19" l="1"/>
  <c r="Q115" i="19"/>
  <c r="Q121" i="19"/>
  <c r="Q108" i="19"/>
  <c r="Q182" i="19"/>
  <c r="O337" i="19"/>
  <c r="O279" i="19" s="1"/>
  <c r="O288" i="19" s="1"/>
  <c r="O290" i="19" s="1"/>
  <c r="O307" i="19" s="1"/>
  <c r="F87" i="12"/>
  <c r="M108" i="19"/>
  <c r="M115" i="19"/>
  <c r="M121" i="19"/>
  <c r="M182" i="19"/>
  <c r="S308" i="19"/>
  <c r="D113" i="12"/>
  <c r="F86" i="12"/>
  <c r="M337" i="19"/>
  <c r="M279" i="19" s="1"/>
  <c r="M288" i="19" s="1"/>
  <c r="M290" i="19" s="1"/>
  <c r="M307" i="19" s="1"/>
  <c r="O121" i="19"/>
  <c r="O108" i="19"/>
  <c r="O115" i="19"/>
  <c r="O182" i="19"/>
  <c r="W338" i="19"/>
  <c r="F114" i="12"/>
  <c r="U308" i="19"/>
  <c r="AH111" i="19"/>
  <c r="AH196" i="19"/>
  <c r="AH126" i="19"/>
  <c r="AH258" i="19"/>
  <c r="AH259" i="19"/>
  <c r="AH163" i="19"/>
  <c r="AH228" i="19"/>
  <c r="AH167" i="19"/>
  <c r="AH280" i="19"/>
  <c r="AH169" i="19"/>
  <c r="AH114" i="19"/>
  <c r="AH116" i="19"/>
  <c r="AH260" i="19"/>
  <c r="AH118" i="19"/>
  <c r="AH253" i="19"/>
  <c r="AH107" i="19"/>
  <c r="AH256" i="19"/>
  <c r="AH117" i="19"/>
  <c r="AH112" i="19"/>
  <c r="AH271" i="19"/>
  <c r="AH119" i="19"/>
  <c r="AH113" i="19"/>
  <c r="AH282" i="19"/>
  <c r="AH110" i="19"/>
  <c r="AH252" i="19"/>
  <c r="AV334" i="19"/>
  <c r="AH122" i="19"/>
  <c r="AH137" i="19"/>
  <c r="AH120" i="19"/>
  <c r="AH123" i="19"/>
  <c r="AH165" i="19"/>
  <c r="AH164" i="19"/>
  <c r="AH254" i="19"/>
  <c r="AH162" i="19"/>
  <c r="AH138" i="19"/>
  <c r="AH255" i="19"/>
  <c r="AH168" i="19"/>
  <c r="AH109" i="19"/>
  <c r="AH227" i="19"/>
  <c r="F88" i="12"/>
  <c r="Q337" i="19"/>
  <c r="Q279" i="19" s="1"/>
  <c r="Q288" i="19" s="1"/>
  <c r="Q290" i="19" s="1"/>
  <c r="Q307" i="19" s="1"/>
  <c r="O308" i="19" l="1"/>
  <c r="D111" i="12"/>
  <c r="W192" i="19"/>
  <c r="W173" i="19"/>
  <c r="W176" i="19"/>
  <c r="W177" i="19"/>
  <c r="AH273" i="19"/>
  <c r="AH171" i="19"/>
  <c r="AH303" i="19"/>
  <c r="D112" i="12"/>
  <c r="Q308" i="19"/>
  <c r="AH305" i="19"/>
  <c r="AH262" i="19"/>
  <c r="F113" i="12"/>
  <c r="S338" i="19"/>
  <c r="M308" i="19"/>
  <c r="D110" i="12"/>
  <c r="K85" i="19"/>
  <c r="W178" i="19" l="1"/>
  <c r="W309" i="19" s="1"/>
  <c r="W310" i="19" s="1"/>
  <c r="K299" i="19"/>
  <c r="AH304" i="19"/>
  <c r="AV303" i="19"/>
  <c r="F110" i="12"/>
  <c r="M338" i="19"/>
  <c r="S173" i="19"/>
  <c r="S177" i="19"/>
  <c r="S176" i="19"/>
  <c r="S192" i="19"/>
  <c r="Q338" i="19"/>
  <c r="F112" i="12"/>
  <c r="U177" i="19"/>
  <c r="U192" i="19"/>
  <c r="U176" i="19"/>
  <c r="U173" i="19"/>
  <c r="AH306" i="19"/>
  <c r="AV305" i="19"/>
  <c r="O338" i="19"/>
  <c r="F111" i="12"/>
  <c r="D133" i="12" l="1"/>
  <c r="U178" i="19"/>
  <c r="U309" i="19" s="1"/>
  <c r="S178" i="19"/>
  <c r="S309" i="19" s="1"/>
  <c r="M192" i="19"/>
  <c r="M173" i="19"/>
  <c r="M177" i="19"/>
  <c r="M176" i="19"/>
  <c r="O173" i="19"/>
  <c r="O177" i="19"/>
  <c r="O176" i="19"/>
  <c r="O192" i="19"/>
  <c r="AH336" i="19"/>
  <c r="AV304" i="19"/>
  <c r="W339" i="19"/>
  <c r="F133" i="12"/>
  <c r="AV306" i="19"/>
  <c r="AH337" i="19"/>
  <c r="K300" i="19"/>
  <c r="Y299" i="19"/>
  <c r="D18" i="12"/>
  <c r="D25" i="12" s="1"/>
  <c r="Q192" i="19"/>
  <c r="Q173" i="19"/>
  <c r="Q176" i="19"/>
  <c r="Q177" i="19"/>
  <c r="U310" i="19"/>
  <c r="O178" i="19" l="1"/>
  <c r="O309" i="19" s="1"/>
  <c r="D130" i="12" s="1"/>
  <c r="M178" i="19"/>
  <c r="M309" i="19" s="1"/>
  <c r="Q178" i="19"/>
  <c r="Q309" i="19" s="1"/>
  <c r="Q310" i="19" s="1"/>
  <c r="AH279" i="19"/>
  <c r="AV337" i="19"/>
  <c r="M310" i="19"/>
  <c r="D129" i="12"/>
  <c r="AH115" i="19"/>
  <c r="AH182" i="19"/>
  <c r="AV336" i="19"/>
  <c r="AH108" i="19"/>
  <c r="AH121" i="19"/>
  <c r="W199" i="19"/>
  <c r="W124" i="19"/>
  <c r="W128" i="19" s="1"/>
  <c r="W130" i="19" s="1"/>
  <c r="W301" i="19" s="1"/>
  <c r="W181" i="19"/>
  <c r="W184" i="19" s="1"/>
  <c r="W194" i="19"/>
  <c r="W198" i="19"/>
  <c r="W191" i="19"/>
  <c r="W197" i="19"/>
  <c r="Y300" i="19"/>
  <c r="K334" i="19"/>
  <c r="F18" i="12"/>
  <c r="F25" i="12" s="1"/>
  <c r="S310" i="19"/>
  <c r="D132" i="12"/>
  <c r="D131" i="12" l="1"/>
  <c r="O310" i="19"/>
  <c r="W188" i="19"/>
  <c r="W302" i="19"/>
  <c r="D45" i="12"/>
  <c r="K138" i="19"/>
  <c r="K258" i="19"/>
  <c r="K227" i="19"/>
  <c r="K113" i="19"/>
  <c r="K169" i="19"/>
  <c r="K167" i="19"/>
  <c r="K109" i="19"/>
  <c r="K255" i="19"/>
  <c r="K256" i="19"/>
  <c r="K117" i="19"/>
  <c r="K162" i="19"/>
  <c r="K116" i="19"/>
  <c r="K253" i="19"/>
  <c r="K119" i="19"/>
  <c r="K120" i="19"/>
  <c r="K112" i="19"/>
  <c r="K259" i="19"/>
  <c r="K114" i="19"/>
  <c r="K254" i="19"/>
  <c r="K164" i="19"/>
  <c r="K260" i="19"/>
  <c r="K163" i="19"/>
  <c r="K123" i="19"/>
  <c r="K165" i="19"/>
  <c r="K168" i="19"/>
  <c r="K252" i="19"/>
  <c r="K271" i="19"/>
  <c r="K107" i="19"/>
  <c r="K280" i="19"/>
  <c r="K110" i="19"/>
  <c r="K118" i="19"/>
  <c r="K228" i="19"/>
  <c r="K122" i="19"/>
  <c r="K126" i="19"/>
  <c r="K282" i="19"/>
  <c r="Y334" i="19"/>
  <c r="K196" i="19"/>
  <c r="K137" i="19"/>
  <c r="K111" i="19"/>
  <c r="M339" i="19"/>
  <c r="F129" i="12"/>
  <c r="U124" i="19"/>
  <c r="U128" i="19" s="1"/>
  <c r="U130" i="19" s="1"/>
  <c r="U301" i="19" s="1"/>
  <c r="U181" i="19"/>
  <c r="U184" i="19" s="1"/>
  <c r="U191" i="19"/>
  <c r="U198" i="19"/>
  <c r="U199" i="19"/>
  <c r="U194" i="19"/>
  <c r="U197" i="19"/>
  <c r="F130" i="12"/>
  <c r="O339" i="19"/>
  <c r="F131" i="12"/>
  <c r="Q339" i="19"/>
  <c r="S339" i="19"/>
  <c r="F132" i="12"/>
  <c r="W200" i="19"/>
  <c r="W204" i="19" s="1"/>
  <c r="AH288" i="19"/>
  <c r="AH307" i="19"/>
  <c r="U200" i="19" l="1"/>
  <c r="K303" i="19"/>
  <c r="AH290" i="19"/>
  <c r="AH308" i="19"/>
  <c r="AV307" i="19"/>
  <c r="S191" i="19"/>
  <c r="S198" i="19"/>
  <c r="S124" i="19"/>
  <c r="S128" i="19" s="1"/>
  <c r="S130" i="19" s="1"/>
  <c r="S301" i="19" s="1"/>
  <c r="S181" i="19"/>
  <c r="S184" i="19" s="1"/>
  <c r="S194" i="19"/>
  <c r="S199" i="19"/>
  <c r="S197" i="19"/>
  <c r="Q199" i="19"/>
  <c r="Q198" i="19"/>
  <c r="Q191" i="19"/>
  <c r="Q124" i="19"/>
  <c r="Q128" i="19" s="1"/>
  <c r="Q130" i="19" s="1"/>
  <c r="Q301" i="19" s="1"/>
  <c r="Q181" i="19"/>
  <c r="Q184" i="19" s="1"/>
  <c r="Q194" i="19"/>
  <c r="Q197" i="19"/>
  <c r="K262" i="19"/>
  <c r="K305" i="19"/>
  <c r="W207" i="19"/>
  <c r="W209" i="19" s="1"/>
  <c r="K273" i="19"/>
  <c r="D44" i="12"/>
  <c r="U302" i="19"/>
  <c r="M194" i="19"/>
  <c r="M191" i="19"/>
  <c r="M124" i="19"/>
  <c r="M128" i="19" s="1"/>
  <c r="M130" i="19" s="1"/>
  <c r="M301" i="19" s="1"/>
  <c r="M199" i="19"/>
  <c r="M181" i="19"/>
  <c r="M184" i="19" s="1"/>
  <c r="M198" i="19"/>
  <c r="M197" i="19"/>
  <c r="U188" i="19"/>
  <c r="U204" i="19" s="1"/>
  <c r="K171" i="19"/>
  <c r="O194" i="19"/>
  <c r="O199" i="19"/>
  <c r="O191" i="19"/>
  <c r="O124" i="19"/>
  <c r="O128" i="19" s="1"/>
  <c r="O130" i="19" s="1"/>
  <c r="O301" i="19" s="1"/>
  <c r="O181" i="19"/>
  <c r="O184" i="19" s="1"/>
  <c r="O198" i="19"/>
  <c r="O197" i="19"/>
  <c r="W335" i="19"/>
  <c r="F45" i="12"/>
  <c r="Q188" i="19" l="1"/>
  <c r="S200" i="19"/>
  <c r="O188" i="19"/>
  <c r="M200" i="19"/>
  <c r="M188" i="19"/>
  <c r="F44" i="12"/>
  <c r="S302" i="19"/>
  <c r="D43" i="12"/>
  <c r="AV308" i="19"/>
  <c r="AH338" i="19"/>
  <c r="Q200" i="19"/>
  <c r="K306" i="19"/>
  <c r="Y305" i="19"/>
  <c r="D85" i="12"/>
  <c r="D92" i="12" s="1"/>
  <c r="D42" i="12"/>
  <c r="Q302" i="19"/>
  <c r="K304" i="19"/>
  <c r="Y303" i="19"/>
  <c r="D64" i="12"/>
  <c r="D71" i="12" s="1"/>
  <c r="O302" i="19"/>
  <c r="D41" i="12"/>
  <c r="AT207" i="19"/>
  <c r="S207" i="19"/>
  <c r="O207" i="19"/>
  <c r="Q207" i="19"/>
  <c r="U207" i="19"/>
  <c r="U209" i="19" s="1"/>
  <c r="M207" i="19"/>
  <c r="K207" i="19"/>
  <c r="D40" i="12"/>
  <c r="M302" i="19"/>
  <c r="S188" i="19"/>
  <c r="O200" i="19"/>
  <c r="S204" i="19" l="1"/>
  <c r="S209" i="19" s="1"/>
  <c r="D26" i="27" s="1"/>
  <c r="Q204" i="19"/>
  <c r="O204" i="19"/>
  <c r="Q209" i="19"/>
  <c r="D24" i="27" s="1"/>
  <c r="M204" i="19"/>
  <c r="M209" i="19" s="1"/>
  <c r="D20" i="27" s="1"/>
  <c r="F40" i="12"/>
  <c r="M335" i="19"/>
  <c r="K336" i="19"/>
  <c r="Y304" i="19"/>
  <c r="F64" i="12"/>
  <c r="F71" i="12" s="1"/>
  <c r="Y306" i="19"/>
  <c r="K337" i="19"/>
  <c r="F85" i="12"/>
  <c r="F92" i="12" s="1"/>
  <c r="O209" i="19"/>
  <c r="D22" i="27" s="1"/>
  <c r="F41" i="12"/>
  <c r="O335" i="19"/>
  <c r="AH177" i="19"/>
  <c r="AH176" i="19"/>
  <c r="AV338" i="19"/>
  <c r="AH173" i="19"/>
  <c r="AH192" i="19"/>
  <c r="F42" i="12"/>
  <c r="Q335" i="19"/>
  <c r="AN207" i="19"/>
  <c r="AT209" i="19"/>
  <c r="F43" i="12"/>
  <c r="S335" i="19"/>
  <c r="Y337" i="19" l="1"/>
  <c r="K279" i="19"/>
  <c r="AN209" i="19"/>
  <c r="C8" i="29" s="1"/>
  <c r="D12" i="29" s="1"/>
  <c r="AH178" i="19"/>
  <c r="K108" i="19"/>
  <c r="K182" i="19"/>
  <c r="K115" i="19"/>
  <c r="Y336" i="19"/>
  <c r="K121" i="19"/>
  <c r="F12" i="29" l="1"/>
  <c r="F26" i="29" s="1"/>
  <c r="D26" i="29"/>
  <c r="Y307" i="19"/>
  <c r="K288" i="19"/>
  <c r="AH309" i="19"/>
  <c r="AH310" i="19" l="1"/>
  <c r="AV309" i="19"/>
  <c r="K290" i="19"/>
  <c r="K307" i="19" l="1"/>
  <c r="AV310" i="19"/>
  <c r="AH339" i="19"/>
  <c r="AV339" i="19" l="1"/>
  <c r="AH181" i="19"/>
  <c r="AH191" i="19"/>
  <c r="AH198" i="19"/>
  <c r="AH194" i="19"/>
  <c r="AH199" i="19"/>
  <c r="AH124" i="19"/>
  <c r="AH197" i="19"/>
  <c r="K308" i="19"/>
  <c r="D109" i="12"/>
  <c r="D116" i="12" s="1"/>
  <c r="F109" i="12" l="1"/>
  <c r="F116" i="12" s="1"/>
  <c r="K338" i="19"/>
  <c r="Y308" i="19"/>
  <c r="AH128" i="19"/>
  <c r="AH200" i="19"/>
  <c r="AH184" i="19"/>
  <c r="K177" i="19" l="1"/>
  <c r="K192" i="19"/>
  <c r="Y338" i="19"/>
  <c r="K176" i="19"/>
  <c r="K173" i="19"/>
  <c r="AH130" i="19"/>
  <c r="AH301" i="19" l="1"/>
  <c r="AH188" i="19"/>
  <c r="K178" i="19"/>
  <c r="K309" i="19" l="1"/>
  <c r="AH204" i="19"/>
  <c r="AH302" i="19"/>
  <c r="AV301" i="19"/>
  <c r="K310" i="19" l="1"/>
  <c r="D128" i="12"/>
  <c r="D135" i="12" s="1"/>
  <c r="Y309" i="19"/>
  <c r="AH335" i="19"/>
  <c r="AV335" i="19" s="1"/>
  <c r="AV302" i="19"/>
  <c r="AH209" i="19"/>
  <c r="AH213" i="19" l="1"/>
  <c r="F128" i="12"/>
  <c r="F135" i="12" s="1"/>
  <c r="K339" i="19"/>
  <c r="Y310" i="19"/>
  <c r="K181" i="19" l="1"/>
  <c r="K198" i="19"/>
  <c r="K194" i="19"/>
  <c r="K124" i="19"/>
  <c r="Y339" i="19"/>
  <c r="K199" i="19"/>
  <c r="K191" i="19"/>
  <c r="K197" i="19"/>
  <c r="K128" i="19" l="1"/>
  <c r="K200" i="19"/>
  <c r="K184" i="19"/>
  <c r="K130" i="19" l="1"/>
  <c r="K301" i="19" l="1"/>
  <c r="K188" i="19"/>
  <c r="K204" i="19" s="1"/>
  <c r="K209" i="19" l="1"/>
  <c r="K302" i="19"/>
  <c r="Y301" i="19"/>
  <c r="D39" i="12"/>
  <c r="D47" i="12" s="1"/>
  <c r="D18" i="27" l="1"/>
  <c r="Y302" i="19"/>
  <c r="F39" i="12"/>
  <c r="F47" i="12" s="1"/>
  <c r="K335" i="19"/>
  <c r="Y335" i="19" s="1"/>
  <c r="D28" i="27" l="1"/>
  <c r="F18" i="27" s="1"/>
  <c r="D32" i="27" l="1"/>
  <c r="D36" i="27" s="1"/>
  <c r="F20" i="27"/>
  <c r="F24" i="27"/>
  <c r="F22" i="27"/>
  <c r="F26" i="27"/>
  <c r="F28" i="27" l="1"/>
</calcChain>
</file>

<file path=xl/sharedStrings.xml><?xml version="1.0" encoding="utf-8"?>
<sst xmlns="http://schemas.openxmlformats.org/spreadsheetml/2006/main" count="1461" uniqueCount="497">
  <si>
    <t>Factors are based on the weighting of the maximum daily consumption with fire, Factor 3, and the maximum hour consumption, Factor 4, for each customer classification, as follows:</t>
  </si>
  <si>
    <t>Factors are based on the allocation of operation and maintenance expenses including purchased water, power, chemicals and waste disposal.</t>
  </si>
  <si>
    <t>Cost Related to Meters</t>
  </si>
  <si>
    <t>Cost per Bill - Meter related</t>
  </si>
  <si>
    <t>Cost Related to Services</t>
  </si>
  <si>
    <t>Cost per Bill - Services related</t>
  </si>
  <si>
    <t>Cost Related to Billing and Collecting</t>
  </si>
  <si>
    <t>Cost per Bill - Billing and Collecting</t>
  </si>
  <si>
    <t>Labor - Meter Shop</t>
  </si>
  <si>
    <t>Contributions in Aid of Construction</t>
  </si>
  <si>
    <t>Reallocation of Fire Protection</t>
  </si>
  <si>
    <t>Source of Supply</t>
  </si>
  <si>
    <t>Puchased Power</t>
  </si>
  <si>
    <t>Utilities</t>
  </si>
  <si>
    <t>Gas</t>
  </si>
  <si>
    <t>Chemicals</t>
  </si>
  <si>
    <t>Materials and Supplies</t>
  </si>
  <si>
    <t>Materials and Supplies - Services</t>
  </si>
  <si>
    <t>Materials and Supplies - Meters</t>
  </si>
  <si>
    <t>Materials and Supplies - Hydrants</t>
  </si>
  <si>
    <t>Materials and Supplies - Mains</t>
  </si>
  <si>
    <t>Postage</t>
  </si>
  <si>
    <t>Contractual Services - Engineering</t>
  </si>
  <si>
    <t>Contract Service Accounting/Audit</t>
  </si>
  <si>
    <t>Contractual Services</t>
  </si>
  <si>
    <t>Contractual Services - Account Service</t>
  </si>
  <si>
    <t>Legal Fees</t>
  </si>
  <si>
    <t>Contractual Fees</t>
  </si>
  <si>
    <t>Contractual Service</t>
  </si>
  <si>
    <t>Contractual Services - Sludge</t>
  </si>
  <si>
    <t>Contractual Services - Laboratory</t>
  </si>
  <si>
    <t>Contractual Services - Other</t>
  </si>
  <si>
    <t>Water Tower Painting Write-off</t>
  </si>
  <si>
    <t>Contractual Services - Mains</t>
  </si>
  <si>
    <t>Contractual Services - Services</t>
  </si>
  <si>
    <t>Contractual Services - Meter Reading</t>
  </si>
  <si>
    <t>Contractual Services - Water Towers</t>
  </si>
  <si>
    <t>Contractual Services - Bill Printing/Mailing</t>
  </si>
  <si>
    <t>Contractual Services - Collections</t>
  </si>
  <si>
    <t>Contractual Services - Credit Card Processing</t>
  </si>
  <si>
    <t>Contractual Services - HR/Infor Systems</t>
  </si>
  <si>
    <t>Contractual Services - Lock Box Processing</t>
  </si>
  <si>
    <t>Rental</t>
  </si>
  <si>
    <t>Transportation Expense</t>
  </si>
  <si>
    <t>Vehicle Insurance</t>
  </si>
  <si>
    <t>General Liability Insurance</t>
  </si>
  <si>
    <t>Workers Comp Insurance</t>
  </si>
  <si>
    <t>Other Insurance</t>
  </si>
  <si>
    <t>Miscellaneous Expense</t>
  </si>
  <si>
    <t>PSC Expense- Rate Case Expense</t>
  </si>
  <si>
    <t>Employment Taxes</t>
  </si>
  <si>
    <t>NORTHERN KENTUCKY WATER DISTRICT</t>
  </si>
  <si>
    <t xml:space="preserve">   Total Operations</t>
  </si>
  <si>
    <t xml:space="preserve">  Total Maintenance</t>
  </si>
  <si>
    <t>Total Source of Supply</t>
  </si>
  <si>
    <t>Total Water Treatment</t>
  </si>
  <si>
    <t xml:space="preserve">  Total Operations</t>
  </si>
  <si>
    <t>Total Transmission and Distribution</t>
  </si>
  <si>
    <t>Total Customer Accounting</t>
  </si>
  <si>
    <t>Total Adminstrative and General</t>
  </si>
  <si>
    <t>Power and Pumping Structures - Intake</t>
  </si>
  <si>
    <t>Water Treatment Plant</t>
  </si>
  <si>
    <t>Pumping Structures</t>
  </si>
  <si>
    <t>Office Buildings</t>
  </si>
  <si>
    <t>Other Structures</t>
  </si>
  <si>
    <t>Structures - Water Treatment</t>
  </si>
  <si>
    <t>Lake, River and Other Intakes</t>
  </si>
  <si>
    <t>Power Generation Equipment</t>
  </si>
  <si>
    <t>Pumping Equipment</t>
  </si>
  <si>
    <t>Purification System</t>
  </si>
  <si>
    <t>Purification System - Equipment</t>
  </si>
  <si>
    <t>Distribution Reservoirs and Standpipes</t>
  </si>
  <si>
    <t>Services - Taylor Mill</t>
  </si>
  <si>
    <t>Fire Hydrants</t>
  </si>
  <si>
    <t>Fire Hydrants - Taylor Mill</t>
  </si>
  <si>
    <t>Miscellaneous Equipment</t>
  </si>
  <si>
    <t xml:space="preserve">Office Furniture and Equipment                        </t>
  </si>
  <si>
    <t xml:space="preserve">Transportation Equipment                              </t>
  </si>
  <si>
    <t xml:space="preserve">Tools,Shop and Garage Equipment                                        </t>
  </si>
  <si>
    <t xml:space="preserve">Communication Equipment                               </t>
  </si>
  <si>
    <t xml:space="preserve">Miscellaneous Equipment                               </t>
  </si>
  <si>
    <t>Land - Intake</t>
  </si>
  <si>
    <t>Land - Treatment Plant</t>
  </si>
  <si>
    <t>Land - Pump Station and Transmission</t>
  </si>
  <si>
    <t>Land - CC</t>
  </si>
  <si>
    <t xml:space="preserve">   Prepayments - Tank Cleaning/Painting</t>
  </si>
  <si>
    <t>Debt Service  Coverage</t>
  </si>
  <si>
    <t xml:space="preserve">   Other Utility Plant Acquistions/Adjustments</t>
  </si>
  <si>
    <t xml:space="preserve">   Total Debt Service Requirements</t>
  </si>
  <si>
    <t>Interest Earnings</t>
  </si>
  <si>
    <t>FACTOR 15.  NOT USED IN THE ALLOCATION</t>
  </si>
  <si>
    <t>The weighting of the factors is based on the ratio of the capacity required for a 10 hour demand of fire flow, as related to total storage capacity.</t>
  </si>
  <si>
    <t>Penalties</t>
  </si>
  <si>
    <t>Turn On Fees</t>
  </si>
  <si>
    <t>Rent</t>
  </si>
  <si>
    <t>Lab Test Fees</t>
  </si>
  <si>
    <t>Material Sold</t>
  </si>
  <si>
    <t xml:space="preserve">   Total Other Water Revenues</t>
  </si>
  <si>
    <t>Miscellaneous Revenue</t>
  </si>
  <si>
    <t xml:space="preserve"> Bulk Sales</t>
  </si>
  <si>
    <t>FACTOR 12.  ALLOCATION OF BILLING AND COLLECTING COSTS AND METER READING</t>
  </si>
  <si>
    <t>FACTOR 13.  NOT USED IN THE ALLOCATION</t>
  </si>
  <si>
    <t>Wholesale</t>
  </si>
  <si>
    <t>Wholesale Customers</t>
  </si>
  <si>
    <t>Number of Bills</t>
  </si>
  <si>
    <t>Monthly</t>
  </si>
  <si>
    <t>Quarterly</t>
  </si>
  <si>
    <t>Advertising Expense</t>
  </si>
  <si>
    <t>Bad Debt Expense</t>
  </si>
  <si>
    <t>Water Treatment</t>
  </si>
  <si>
    <t>Operations</t>
  </si>
  <si>
    <t>Labor - Lab</t>
  </si>
  <si>
    <t>Labor</t>
  </si>
  <si>
    <t>Transmission and Distribution</t>
  </si>
  <si>
    <t>Labor - Services</t>
  </si>
  <si>
    <t>Labor - Mains</t>
  </si>
  <si>
    <t>Labor - Hydrants</t>
  </si>
  <si>
    <t>Account No.</t>
  </si>
  <si>
    <t>Customer Accounting</t>
  </si>
  <si>
    <t>Labor - Meter Reading</t>
  </si>
  <si>
    <t>Labor - Account Service</t>
  </si>
  <si>
    <t>Labor Field Service</t>
  </si>
  <si>
    <t>Administrative and General</t>
  </si>
  <si>
    <t>Employee Benefits</t>
  </si>
  <si>
    <t xml:space="preserve">OPERATION AND MAINTENANCE EXPENSES       </t>
  </si>
  <si>
    <t>Ref.</t>
  </si>
  <si>
    <t>Cost of</t>
  </si>
  <si>
    <t>Account</t>
  </si>
  <si>
    <t>Private</t>
  </si>
  <si>
    <t>Private Fire</t>
  </si>
  <si>
    <t>Public Fire</t>
  </si>
  <si>
    <t>RATE BASE</t>
  </si>
  <si>
    <t>Authorities</t>
  </si>
  <si>
    <t>FACTOR 4.  ALLOCATION OF COSTS ASSOCIATED WITH FACILITIES SERVING BASE AND MAXIMUM HOUR EXTRA CAPACITY FUNCTIONS.</t>
  </si>
  <si>
    <t>FACTOR 5.  ALLOCATION OF COSTS ASSOCIATED WITH STORAGE FACILITIES, cont.</t>
  </si>
  <si>
    <t xml:space="preserve">FACTOR 17.  ALLOCATION OF ORGANIZATION, FRANCHISES AND CONSENTS, </t>
  </si>
  <si>
    <t>FACTOR 19.  ALLOCATION OF REGULATORY COMMISSION EXPENSES, ASSESSMENTS AND</t>
  </si>
  <si>
    <t>FACTOR 11</t>
  </si>
  <si>
    <t>FACTOR 15</t>
  </si>
  <si>
    <t>LABOR BASIS FOR FACTOR 16</t>
  </si>
  <si>
    <t>FACTOR 16</t>
  </si>
  <si>
    <t>UPIS BASIS FOR FACTOR 17</t>
  </si>
  <si>
    <t>FACTOR 17</t>
  </si>
  <si>
    <t>FACTOR 18</t>
  </si>
  <si>
    <t>RATE BASE BASIS FOR FACTOR 18</t>
  </si>
  <si>
    <t>TOTAL COS BASIS FOR FACTOR 19</t>
  </si>
  <si>
    <t>FACTOR 19</t>
  </si>
  <si>
    <t>Costs are assigned directly to Public Fire Protection.</t>
  </si>
  <si>
    <t xml:space="preserve">           Total</t>
  </si>
  <si>
    <t xml:space="preserve">   Extra Capacity</t>
  </si>
  <si>
    <t>Factors are based on the allocation of direct labor expense.</t>
  </si>
  <si>
    <t>AND FIRE PROTECTION FUNCTIONS.</t>
  </si>
  <si>
    <t xml:space="preserve">FACTOR 3.  ALLOCATION OF COSTS ASSOCIATED WITH FACILITIES SERVING BASE, MAXIMUM DAY EXTRA CAPACITY </t>
  </si>
  <si>
    <t>AND ENGINEERING, STRUCTURES AND IMPROVEMENTS, AND OTHER EXPENSES.</t>
  </si>
  <si>
    <t xml:space="preserve"> MISCELLANEOUS INTANGIBLE PLANT AND OTHER RATE BASE ELEMENTS.</t>
  </si>
  <si>
    <t>Supply Mains</t>
  </si>
  <si>
    <t>Laboratory Equipment</t>
  </si>
  <si>
    <t>Power Operated Equipment</t>
  </si>
  <si>
    <t>Total Utility Plant in Service</t>
  </si>
  <si>
    <t xml:space="preserve">  Total Operation &amp; Maintenance Expenses</t>
  </si>
  <si>
    <t xml:space="preserve">     Total Depreciation Expense</t>
  </si>
  <si>
    <t xml:space="preserve">DEPRECIATION EXPENSE                </t>
  </si>
  <si>
    <t>Taxes Other Than Income</t>
  </si>
  <si>
    <t>Utility Reg Assessment Fee</t>
  </si>
  <si>
    <t>Other Rate Base Items</t>
  </si>
  <si>
    <t>Add:</t>
  </si>
  <si>
    <t>Mains 10" and Larger</t>
  </si>
  <si>
    <t>Mains Smaller than 10"</t>
  </si>
  <si>
    <t>Mains and Accessories - 10" and larger</t>
  </si>
  <si>
    <t>Mains and Accessories - Less than 10"</t>
  </si>
  <si>
    <t xml:space="preserve">   Materials and Supplies</t>
  </si>
  <si>
    <t xml:space="preserve">   Prepayments</t>
  </si>
  <si>
    <t>Amort-Other UP</t>
  </si>
  <si>
    <t>TO PRIVATE AND PUBLIC FIRE PROTECTION CUSTOMER CLASSIFICATIONS</t>
  </si>
  <si>
    <t>Table of Factors - Table Name "FACTORS"</t>
  </si>
  <si>
    <t>factor 3</t>
  </si>
  <si>
    <t>factor 4</t>
  </si>
  <si>
    <t xml:space="preserve">Public </t>
  </si>
  <si>
    <t>KENTUCKY-AMERICAN WATER COMPANY</t>
  </si>
  <si>
    <t/>
  </si>
  <si>
    <t>FACTORS FOR ALLOCATING COST OF SERVICE TO CUSTOMER CLASSIFICATIONS</t>
  </si>
  <si>
    <t>FACTOR 1.  ALLOCATION OF COSTS WHICH VARY WITH THE AMOUNT OF WATER CONSUMED.</t>
  </si>
  <si>
    <t>Factors are based on the pro forma test year average daily consumption for each customer classification.</t>
  </si>
  <si>
    <t>Average Daily</t>
  </si>
  <si>
    <t xml:space="preserve">Customer </t>
  </si>
  <si>
    <t>Consumption,</t>
  </si>
  <si>
    <t>Allocation</t>
  </si>
  <si>
    <t>Classification</t>
  </si>
  <si>
    <t>Factor</t>
  </si>
  <si>
    <t>(1)</t>
  </si>
  <si>
    <t xml:space="preserve">    (2)</t>
  </si>
  <si>
    <t>(3)</t>
  </si>
  <si>
    <t>Residential</t>
  </si>
  <si>
    <t>Commercial</t>
  </si>
  <si>
    <t>Industrial</t>
  </si>
  <si>
    <t>Other Public Authority</t>
  </si>
  <si>
    <t>Other Water Utilities</t>
  </si>
  <si>
    <t>Private Fire Protection</t>
  </si>
  <si>
    <t>Public Fire Protection</t>
  </si>
  <si>
    <t xml:space="preserve">   Total</t>
  </si>
  <si>
    <t>FACTOR 2.  ALLOCATION OF COSTS ASSOCIATED WITH FACILITIES SERVING BASE AND</t>
  </si>
  <si>
    <t xml:space="preserve"> MAXIMUM DAY EXTRA CAPACITY FUNCTIONS.</t>
  </si>
  <si>
    <t>Factors are based on the weighting of the factors for average daily consumption (Factor 1) and the factors derived from maximum day extra capacity demand for each customer classification, as follows:</t>
  </si>
  <si>
    <t>Maximum Day</t>
  </si>
  <si>
    <t>Consumption</t>
  </si>
  <si>
    <t>Extra Capacity</t>
  </si>
  <si>
    <t>Weighted</t>
  </si>
  <si>
    <t>Factor 1</t>
  </si>
  <si>
    <t>(2)</t>
  </si>
  <si>
    <t>(3)=(2)x</t>
  </si>
  <si>
    <t>(4)</t>
  </si>
  <si>
    <t>(5)=(4)x</t>
  </si>
  <si>
    <t>(6)=(3)+(5)</t>
  </si>
  <si>
    <t>The derivation of the maximum day extra capacity factors in column 4 and the basis for the column 3 and 5 weightings are presented on the following page.</t>
  </si>
  <si>
    <t>::</t>
  </si>
  <si>
    <t>FACTORS FOR ALLOCATING COST OF SERVICE TO CUSTOMER CLASSIFICATIONS, cont.</t>
  </si>
  <si>
    <t xml:space="preserve"> MAXIMUM DAY EXTRA CAPACITY FUNCTIONS, cont.</t>
  </si>
  <si>
    <t>Maximum Day Extra Capacity</t>
  </si>
  <si>
    <t>Rate of Flow,</t>
  </si>
  <si>
    <t>Factor*</t>
  </si>
  <si>
    <t>Per Day</t>
  </si>
  <si>
    <t>(4)=(2)x(3)</t>
  </si>
  <si>
    <t>(5)</t>
  </si>
  <si>
    <t>Maximum</t>
  </si>
  <si>
    <t>Day</t>
  </si>
  <si>
    <t>Ratio</t>
  </si>
  <si>
    <t>Weight</t>
  </si>
  <si>
    <t>Average Day</t>
  </si>
  <si>
    <t xml:space="preserve"> Extra Capacity</t>
  </si>
  <si>
    <t xml:space="preserve">  Total</t>
  </si>
  <si>
    <t>* Ratio of maximum day to average day minus 1.0.</t>
  </si>
  <si>
    <t>Factors are based on the weighting of the average daily consumption, the maximum day extra capacity demand, and the fire protection demand for each customer classification.</t>
  </si>
  <si>
    <t>Fire Protection</t>
  </si>
  <si>
    <t>Customer</t>
  </si>
  <si>
    <t>(3)=(2) X</t>
  </si>
  <si>
    <t>(5)=(4) X</t>
  </si>
  <si>
    <t>(6)</t>
  </si>
  <si>
    <t>(7)=(6) X</t>
  </si>
  <si>
    <t>(8)=(3)+(5)+(7)</t>
  </si>
  <si>
    <t>Maximum Hour</t>
  </si>
  <si>
    <t>Average Hourly Consumption</t>
  </si>
  <si>
    <t>(4)=(3) X</t>
  </si>
  <si>
    <t>(6)=(5) X</t>
  </si>
  <si>
    <t>(7)</t>
  </si>
  <si>
    <t>(8)=(7) X</t>
  </si>
  <si>
    <t>(9)=(4)+(6)+(8)</t>
  </si>
  <si>
    <t>FACTOR 3.  ALLOCATION OF COSTS ASSOCIATED WITH FACILITIES SERVING BASE, MAXIMUM</t>
  </si>
  <si>
    <t xml:space="preserve">  DAY EXTRA CAPACITY AND FIRE PROTECTION FUNCTIONS, cont.</t>
  </si>
  <si>
    <t>(GPD)</t>
  </si>
  <si>
    <t>Average Hour</t>
  </si>
  <si>
    <t xml:space="preserve">  Subtotal</t>
  </si>
  <si>
    <t>FACTOR 4.  ALLOCATION OF COSTS ASSOCIATED WITH FACILITIES SERVING BASE AND</t>
  </si>
  <si>
    <t xml:space="preserve"> MAXIMUM HOUR EXTRA CAPACITY FUNCTIONS, cont.</t>
  </si>
  <si>
    <t>(GPM)</t>
  </si>
  <si>
    <t>The maximum hour extra capacity factors in column 5 of the previous page are determined as follows:</t>
  </si>
  <si>
    <t>Average</t>
  </si>
  <si>
    <t>Hourly</t>
  </si>
  <si>
    <t>Maximum Hour Extra Capacity</t>
  </si>
  <si>
    <t>Per Hour</t>
  </si>
  <si>
    <t xml:space="preserve">     Total</t>
  </si>
  <si>
    <t>* Ratio of Maximum Hour To Average Hour Minus 1.0.</t>
  </si>
  <si>
    <t>FACTOR 5.  ALLOCATION OF COSTS ASSOCIATED WITH STORAGE FACILITIES.</t>
  </si>
  <si>
    <t>Factors are based on the weighting of the average hourly consumption, the maximum hour extra capacity demand, and the fire protection demand for each customer classification.</t>
  </si>
  <si>
    <t xml:space="preserve">     Total Other Rate Base Elements</t>
  </si>
  <si>
    <t>Total Original Cost Measure of Value</t>
  </si>
  <si>
    <t>Fire Protection Weight =</t>
  </si>
  <si>
    <t>=</t>
  </si>
  <si>
    <t>General Service Weight =</t>
  </si>
  <si>
    <t>-</t>
  </si>
  <si>
    <t>The weighting of the average hourly consumption and maximum hour extra demand for general service is based on the maximum hour ratio, as follows:</t>
  </si>
  <si>
    <t>Hour</t>
  </si>
  <si>
    <t>Percent</t>
  </si>
  <si>
    <t xml:space="preserve"> Maximum Hour</t>
  </si>
  <si>
    <t>Maximum Daily</t>
  </si>
  <si>
    <t>Maximum Hourly</t>
  </si>
  <si>
    <t>Factor 3</t>
  </si>
  <si>
    <t>Factor 4</t>
  </si>
  <si>
    <t>(3)=(2)X</t>
  </si>
  <si>
    <t>(5)=(4)X</t>
  </si>
  <si>
    <t>base</t>
  </si>
  <si>
    <t>max day</t>
  </si>
  <si>
    <t>max hour</t>
  </si>
  <si>
    <t xml:space="preserve">  Mains and Accessories - 10" and larger</t>
  </si>
  <si>
    <t xml:space="preserve">  Mains and Accessories - Less than 10"</t>
  </si>
  <si>
    <t xml:space="preserve">  Pumps</t>
  </si>
  <si>
    <t xml:space="preserve">  Water Treatment</t>
  </si>
  <si>
    <t xml:space="preserve">  Storage</t>
  </si>
  <si>
    <t xml:space="preserve">  General </t>
  </si>
  <si>
    <t>Total Construction Work in Progress</t>
  </si>
  <si>
    <t xml:space="preserve">   General </t>
  </si>
  <si>
    <t xml:space="preserve">  Distribution Reservoirs and Standpipes</t>
  </si>
  <si>
    <t xml:space="preserve">  Water Treatment Plant</t>
  </si>
  <si>
    <t xml:space="preserve">  Pumping Equipment</t>
  </si>
  <si>
    <t>Amort of Acq. Adj.</t>
  </si>
  <si>
    <t>FACTOR 18.  ALLOCATION OF DEBT SERVICE AND ACQUISTION ADJUSTMENT</t>
  </si>
  <si>
    <t>public fire</t>
  </si>
  <si>
    <t xml:space="preserve">    Total</t>
  </si>
  <si>
    <t>The weighting of the factors is based on the total footage of mains, designated as either transmission mains or distribution mains, as follows:</t>
  </si>
  <si>
    <t>Total Footage</t>
  </si>
  <si>
    <t>of Mains</t>
  </si>
  <si>
    <t>Number of</t>
  </si>
  <si>
    <t xml:space="preserve">       Total</t>
  </si>
  <si>
    <t>Factors are based on the relative cost of meters by size and customer classification, as developed on the following page and summarized below.</t>
  </si>
  <si>
    <t>5/8" Dollar</t>
  </si>
  <si>
    <t>Equivalents</t>
  </si>
  <si>
    <t xml:space="preserve"> </t>
  </si>
  <si>
    <t>Factors are based on the relative cost of services by size and customer classification, as developed on the following page and summarized below.</t>
  </si>
  <si>
    <t>3/4" Dollar</t>
  </si>
  <si>
    <t>old 1997 study</t>
  </si>
  <si>
    <t>|...+....1....+....2....+....3....+....4....+....5....+....6....+....7....+....8....+....9....+...10....+...11....+...12....+...13....+...14....+...15....+...16....+...17....+...18....+...19....+...20....+...21....+...22....+...23....+...</t>
  </si>
  <si>
    <t>BASIS FOR ALLOCATING SERVICE COSTS TO CUSTOMER CLASSIFICATIONS</t>
  </si>
  <si>
    <t>3/4"</t>
  </si>
  <si>
    <t>Sales for Resale</t>
  </si>
  <si>
    <t>Resale</t>
  </si>
  <si>
    <t xml:space="preserve">Other Water Utilities      </t>
  </si>
  <si>
    <t>Total</t>
  </si>
  <si>
    <t>Service</t>
  </si>
  <si>
    <t>Dollar</t>
  </si>
  <si>
    <t>Size</t>
  </si>
  <si>
    <t>Equivalent</t>
  </si>
  <si>
    <t>Services</t>
  </si>
  <si>
    <t>Weighting</t>
  </si>
  <si>
    <t>(4)=(2)X(3)</t>
  </si>
  <si>
    <t>(6)=(2)X(5)</t>
  </si>
  <si>
    <t>Debt Service</t>
  </si>
  <si>
    <t>Commercial/Multi-Family</t>
  </si>
  <si>
    <t>(8)=(2)X(7)</t>
  </si>
  <si>
    <t>(10)=(2)X(9)</t>
  </si>
  <si>
    <t>CCF</t>
  </si>
  <si>
    <t>GPM X 60 Min. X 10 Hrs.</t>
  </si>
  <si>
    <t>2- 2-1/4" &amp; 1- 4 1/2"</t>
  </si>
  <si>
    <t>Construction Work In Progress</t>
  </si>
  <si>
    <t>Mains and Accessories - Transmission</t>
  </si>
  <si>
    <t>Mains and Accessories - Distribution</t>
  </si>
  <si>
    <t>Mains and Accessories - Taylor Mill - Transmission</t>
  </si>
  <si>
    <t>Mains and Accessories - Taylor Mill - Distribution</t>
  </si>
  <si>
    <t>CASH WORKING CAPITAL FOR FACTOR 15</t>
  </si>
  <si>
    <t>T&amp;D OP BASIS FOR FACTOR 10</t>
  </si>
  <si>
    <t>FACTOR 10</t>
  </si>
  <si>
    <t>T&amp;D Mnt BASIS FOR FACTOR 11</t>
  </si>
  <si>
    <t>A&amp;G BASIS FOR FACTOR 14</t>
  </si>
  <si>
    <t>FACTOR 14</t>
  </si>
  <si>
    <t>FACTOR 6. ALLOCATION OF COSTS ASSOCIATED WITH TRANSMISSION AND DISTRIBUTION MAINS.</t>
  </si>
  <si>
    <t>FACTOR 9.  ALLOCATION OF COSTS ASSOCIATED WITH SERVICES.</t>
  </si>
  <si>
    <t>FACTOR 8.  ALLOCATION OF COSTS ASSOCIATED WITH METERS.</t>
  </si>
  <si>
    <t>FACTOR 7. ALLOCATION OF COSTS ASSOCIATED WITH FIRE HYDRANTS.</t>
  </si>
  <si>
    <t>FACTOR 11.  ALLOCATION OF TRANSMISSION AND DISTRIBUTION MAINTENANCE SUPERVISION</t>
  </si>
  <si>
    <t>FACTOR 14.  ALLOCATION OF ADMINISTRATIVE AND GENERAL EXPENSES</t>
  </si>
  <si>
    <t>FACTOR 10.  NOT USED IN THE ALLOCATION.</t>
  </si>
  <si>
    <t>(12)=(2)X(11)</t>
  </si>
  <si>
    <t>(14)=(2)X(11)</t>
  </si>
  <si>
    <t xml:space="preserve">  3/4</t>
  </si>
  <si>
    <t xml:space="preserve">   1</t>
  </si>
  <si>
    <t xml:space="preserve"> 1-1/2</t>
  </si>
  <si>
    <t xml:space="preserve">   2</t>
  </si>
  <si>
    <t xml:space="preserve">   4</t>
  </si>
  <si>
    <t xml:space="preserve">   6</t>
  </si>
  <si>
    <t xml:space="preserve">   8</t>
  </si>
  <si>
    <t xml:space="preserve">  10</t>
  </si>
  <si>
    <t xml:space="preserve">  12</t>
  </si>
  <si>
    <t xml:space="preserve">  16</t>
  </si>
  <si>
    <t>Customers</t>
  </si>
  <si>
    <t>Factors are based on the number of metered customers.</t>
  </si>
  <si>
    <t>Total Metered</t>
  </si>
  <si>
    <t>Factors are based on transmission and distribution operation expenses other than those being allocated, as follows:</t>
  </si>
  <si>
    <t>Transmission</t>
  </si>
  <si>
    <t>and</t>
  </si>
  <si>
    <t>Distribution</t>
  </si>
  <si>
    <t>Operating</t>
  </si>
  <si>
    <t>Expenses</t>
  </si>
  <si>
    <t>ALTERNATE FACTOR 13.  ALLOCATION OF TRANSMISSION AND DISTRIBUTION MAINTENANCE SUPERVISION</t>
  </si>
  <si>
    <t xml:space="preserve"> AND ENGINEERING AND MISCELLANEOUS PLANT.</t>
  </si>
  <si>
    <t>Protection</t>
  </si>
  <si>
    <t>Factors are based on transmission and distribution maintenance expenses other than</t>
  </si>
  <si>
    <t>those being allocated, as follows:</t>
  </si>
  <si>
    <t>Maintenance</t>
  </si>
  <si>
    <t>Public</t>
  </si>
  <si>
    <t>Factors are based on transmission and distribution maintenance expenses other than those being allocated, as follows:</t>
  </si>
  <si>
    <t>Gallons</t>
  </si>
  <si>
    <t>Operation &amp;</t>
  </si>
  <si>
    <t>FACTOR 16.  ALLOCATION OF LABOR RELATED TAXES AND BENEFITS.</t>
  </si>
  <si>
    <t>Direct Labor</t>
  </si>
  <si>
    <t>Expense</t>
  </si>
  <si>
    <t>Factors are based on the allocation of the original cost less depreciation other than those items being allocated, as follows:</t>
  </si>
  <si>
    <t>Original</t>
  </si>
  <si>
    <t>Cost Less</t>
  </si>
  <si>
    <t>Depreciation</t>
  </si>
  <si>
    <t>Factors are based on the allocation of the original cost measure of value rate base as shown on the following pages and summarized below.</t>
  </si>
  <si>
    <t>Cost Measure</t>
  </si>
  <si>
    <t>of Value</t>
  </si>
  <si>
    <t xml:space="preserve"> OTHER WATER REVENUES.</t>
  </si>
  <si>
    <t>The factors are based on the allocation of the total cost of service, excluding those items being allocated.</t>
  </si>
  <si>
    <t xml:space="preserve">Total Cost </t>
  </si>
  <si>
    <t>of Service</t>
  </si>
  <si>
    <t>BASIS FOR ALLOCATING METER COSTS TO CUSTOMER CLASSIFICATIONS</t>
  </si>
  <si>
    <t>5/8"</t>
  </si>
  <si>
    <t>Meter</t>
  </si>
  <si>
    <t>Meters</t>
  </si>
  <si>
    <t>5/8</t>
  </si>
  <si>
    <t>3/4</t>
  </si>
  <si>
    <t>1</t>
  </si>
  <si>
    <t>1-1/2</t>
  </si>
  <si>
    <t>2</t>
  </si>
  <si>
    <t>3</t>
  </si>
  <si>
    <t>4</t>
  </si>
  <si>
    <t>6</t>
  </si>
  <si>
    <t>8</t>
  </si>
  <si>
    <t>BASIS FOR ALLOCATING DEMAND RELATED COSTS OF FIRE SERVICE</t>
  </si>
  <si>
    <t>Restrictive</t>
  </si>
  <si>
    <t>Diameters</t>
  </si>
  <si>
    <t>Relative</t>
  </si>
  <si>
    <t>Description</t>
  </si>
  <si>
    <t>Squared</t>
  </si>
  <si>
    <t>Quantity</t>
  </si>
  <si>
    <t>Hydrant</t>
  </si>
  <si>
    <t>Nozzle Sizes</t>
  </si>
  <si>
    <t>PUBLIC FIRE PROTECTION</t>
  </si>
  <si>
    <t xml:space="preserve"> Total Fire Protection</t>
  </si>
  <si>
    <t xml:space="preserve"> Sales of Water                          </t>
  </si>
  <si>
    <t xml:space="preserve">Total Cost of Service Related to         </t>
  </si>
  <si>
    <t xml:space="preserve">Less: Other Water Revenues               </t>
  </si>
  <si>
    <t xml:space="preserve">    Total Cost of Service                </t>
  </si>
  <si>
    <t xml:space="preserve">         Total Taxes, Other Than Income  </t>
  </si>
  <si>
    <t xml:space="preserve">                                         </t>
  </si>
  <si>
    <t>Cost of Service</t>
  </si>
  <si>
    <t>Amount</t>
  </si>
  <si>
    <t>Revenues, Present Rates</t>
  </si>
  <si>
    <t>Increase</t>
  </si>
  <si>
    <t>(8)</t>
  </si>
  <si>
    <t>(9)</t>
  </si>
  <si>
    <t>Public Authority</t>
  </si>
  <si>
    <t xml:space="preserve">     Total Sales</t>
  </si>
  <si>
    <t>Other Revenues</t>
  </si>
  <si>
    <t xml:space="preserve">              Total</t>
  </si>
  <si>
    <t>Base</t>
  </si>
  <si>
    <t>Max Day</t>
  </si>
  <si>
    <t>Max Hour</t>
  </si>
  <si>
    <t>Billing &amp;</t>
  </si>
  <si>
    <t>Collecting</t>
  </si>
  <si>
    <t>Fire</t>
  </si>
  <si>
    <t>The weighting of the factors is based on the ratio of the capacity required for a 3 hour demand of fire flow, as related to total storage capacity.  The calculation is shown on the following page.</t>
  </si>
  <si>
    <t>&amp; Distribution</t>
  </si>
  <si>
    <t>Factors are based on the allocation of all other operation and maintenance expenses excluding purchased water, power, chemicals and waste disposal.</t>
  </si>
  <si>
    <t>Demand</t>
  </si>
  <si>
    <t>(Schedule B)</t>
  </si>
  <si>
    <t>SUMMARY OF AVERAGE DAILY SEND OUT AND MAXIMUM DAILY USAGE</t>
  </si>
  <si>
    <t>Maximum Daily Use</t>
  </si>
  <si>
    <t>Send out</t>
  </si>
  <si>
    <t>Ratio to</t>
  </si>
  <si>
    <t>Highest</t>
  </si>
  <si>
    <t>Year</t>
  </si>
  <si>
    <t>FACTOR 20.  REALLOCATION OF FIRE PROTECTION</t>
  </si>
  <si>
    <t>(MGD)</t>
  </si>
  <si>
    <t>MGD</t>
  </si>
  <si>
    <t>Use Day</t>
  </si>
  <si>
    <t>Consumption w/ Fire</t>
  </si>
  <si>
    <t>The maximum hour extra capacity factors in column 5 are determined on the next page.</t>
  </si>
  <si>
    <t>5 1/4 Valve</t>
  </si>
  <si>
    <t>CALCULATION OF CUSTOMER CHARGE</t>
  </si>
  <si>
    <t>Meter Equivalents X 12</t>
  </si>
  <si>
    <t>Service Equivalents X 12</t>
  </si>
  <si>
    <t>Total Customer Charge (3)+(6)+(9)</t>
  </si>
  <si>
    <t>Factors are based on the relative cost of meters by size and customer classification.</t>
  </si>
  <si>
    <t>General Expense</t>
  </si>
  <si>
    <t>Contractual Services - Customer Service</t>
  </si>
  <si>
    <t>&lt;&lt;&lt; adjusted</t>
  </si>
  <si>
    <t xml:space="preserve">   Prepayments - Reservoir Cleaning</t>
  </si>
  <si>
    <t>Revenues, Step 2 Rates</t>
  </si>
  <si>
    <t>Step 2 Increase</t>
  </si>
  <si>
    <t>COMPARISON OF COST OF SERVICE WITH REVENUES UNDER PRESENT AND PROPOSED RATES - STEP 2</t>
  </si>
  <si>
    <t>Materials and Supplies - Storage Facilities</t>
  </si>
  <si>
    <t>Rental Expense</t>
  </si>
  <si>
    <t>Back Up Generator ORPS</t>
  </si>
  <si>
    <t xml:space="preserve">   Inventory - Meters</t>
  </si>
  <si>
    <t xml:space="preserve">   Prepayments - Chemicals GAC</t>
  </si>
  <si>
    <t xml:space="preserve">             Total Public Fire Protection</t>
  </si>
  <si>
    <t>Bills</t>
  </si>
  <si>
    <t>Factors are based on the total number of bills.</t>
  </si>
  <si>
    <t xml:space="preserve">  Meters</t>
  </si>
  <si>
    <t>Surcharge Revenues</t>
  </si>
  <si>
    <t>Amortization of Sludge Removal</t>
  </si>
  <si>
    <t>Bulk Water Sales</t>
  </si>
  <si>
    <t>Total Sales with Bulk Water</t>
  </si>
  <si>
    <t>FOR THE TEST YEAR ENDED DECEMBER 31, 2021</t>
  </si>
  <si>
    <t>COST OF SERVICE FOR THE TWELVE MONTHS ENDED DECEMBER 31, 2021, ALLOCATED TO CUSTOMER CLASSIFICATIONS</t>
  </si>
  <si>
    <t>COST OF SERVICE FOR THE TWELVE MONTHS ENDED DECEMBER 31, 2021, ALLOCATED TO COST FUNCTION</t>
  </si>
  <si>
    <t xml:space="preserve"> Bulk Loading Sales</t>
  </si>
  <si>
    <t>Power Generator SOS</t>
  </si>
  <si>
    <t>Power General Plant - Lab</t>
  </si>
  <si>
    <t>Purchased Power</t>
  </si>
  <si>
    <t>Gas Costs</t>
  </si>
  <si>
    <t>The weighting of the factors is based on the maximum day ratio of 1.60, based on a review of maximum day ratios experienced during the period 1998 through 2021 (see Schedule D).</t>
  </si>
  <si>
    <t>FOR THE YEARS 1998-2021</t>
  </si>
  <si>
    <t>Amortization of Reservoir Cleaning</t>
  </si>
  <si>
    <t>Contractual Services - Sludge Removal</t>
  </si>
  <si>
    <t xml:space="preserve">The weighting of the factors is based on the potential demand of general and fire protection service.  The bases for the potential demand of general service are the maximum day ratio of 1.60 and the average daily system sendout for 2021 of 26.6 MGD.  The system demand for fire protection is 12,000 Gallons per minute for 10 hours.    </t>
  </si>
  <si>
    <t>The weighting of the factors is based on the potential demand of general and fire protection service.  The bases for the potential demand of general service are the maximum hour ratio of 2.4 and the average daily system sendout for 2021 of 26.6 MGD.  The system demand for fire protection is 12,000 gallons per minute.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</si>
</sst>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0"/>
    <numFmt numFmtId="168" formatCode="0_);\(0\)"/>
    <numFmt numFmtId="169" formatCode="#,##0.0000_);\(#,##0.0000\)"/>
    <numFmt numFmtId="170" formatCode="#,##0.0_);\(#,##0.0\)"/>
    <numFmt numFmtId="171" formatCode="0.00000"/>
    <numFmt numFmtId="172" formatCode="&quot;$&quot;#,##0"/>
    <numFmt numFmtId="173" formatCode="_(* #,##0.0000_);_(* \(#,##0.0000\);_(* &quot;-&quot;????_);_(@_)"/>
    <numFmt numFmtId="174" formatCode="0.0%"/>
    <numFmt numFmtId="175" formatCode="0.000"/>
    <numFmt numFmtId="176" formatCode="_(* #,##0_);_(* \(#,##0\);_(* &quot;-&quot;??_);_(@_)"/>
    <numFmt numFmtId="177" formatCode="_(* #,##0.0_);_(* \(#,##0.0\);_(* &quot;-&quot;??_);_(@_)"/>
    <numFmt numFmtId="178" formatCode="#,##0;[Red]\-#,##0"/>
    <numFmt numFmtId="179" formatCode="_(&quot;$&quot;* #,##0_);_(&quot;$&quot;* \(#,##0\);_(&quot;$&quot;* &quot;-&quot;??_);_(@_)"/>
    <numFmt numFmtId="180" formatCode="_(* #,##0.0000_);_(* \(#,##0.0000\);_(* &quot;-&quot;??_);_(@_)"/>
    <numFmt numFmtId="181" formatCode="_(* #,##0.00000_);_(* \(#,##0.00000\);_(* &quot;-&quot;??_);_(@_)"/>
    <numFmt numFmtId="182" formatCode="_(* #,##0.00000_);_(* \(#,##0.00000\);_(* &quot;-&quot;????_);_(@_)"/>
    <numFmt numFmtId="183" formatCode="0.000%"/>
  </numFmts>
  <fonts count="33" x14ac:knownFonts="1">
    <font>
      <sz val="12"/>
      <name val="Arial"/>
    </font>
    <font>
      <sz val="11"/>
      <color theme="1"/>
      <name val="Calibri"/>
      <family val="2"/>
      <scheme val="minor"/>
    </font>
    <font>
      <sz val="10"/>
      <name val="Arial"/>
      <family val="2"/>
    </font>
    <font>
      <sz val="10"/>
      <color indexed="8"/>
      <name val="Arial"/>
      <family val="2"/>
    </font>
    <font>
      <sz val="12"/>
      <name val="Arial"/>
      <family val="2"/>
    </font>
    <font>
      <sz val="10"/>
      <color indexed="12"/>
      <name val="Arial"/>
      <family val="2"/>
    </font>
    <font>
      <sz val="10"/>
      <color indexed="10"/>
      <name val="Arial"/>
      <family val="2"/>
    </font>
    <font>
      <sz val="10"/>
      <name val="Arial"/>
      <family val="2"/>
    </font>
    <font>
      <u/>
      <sz val="10"/>
      <name val="Arial"/>
      <family val="2"/>
    </font>
    <font>
      <sz val="12"/>
      <name val="Arial"/>
      <family val="2"/>
    </font>
    <font>
      <sz val="9"/>
      <name val="Arial"/>
      <family val="2"/>
    </font>
    <font>
      <b/>
      <sz val="10"/>
      <name val="Arial"/>
      <family val="2"/>
    </font>
    <font>
      <sz val="10"/>
      <color indexed="12"/>
      <name val="Arial"/>
      <family val="2"/>
    </font>
    <font>
      <sz val="8"/>
      <name val="Arial"/>
      <family val="2"/>
    </font>
    <font>
      <sz val="11"/>
      <name val="Arial"/>
      <family val="2"/>
    </font>
    <font>
      <b/>
      <sz val="9"/>
      <name val="Arial"/>
      <family val="2"/>
    </font>
    <font>
      <b/>
      <sz val="10"/>
      <color indexed="10"/>
      <name val="Arial"/>
      <family val="2"/>
    </font>
    <font>
      <u/>
      <sz val="12"/>
      <name val="Arial"/>
      <family val="2"/>
    </font>
    <font>
      <sz val="10"/>
      <color indexed="17"/>
      <name val="Arial"/>
      <family val="2"/>
    </font>
    <font>
      <sz val="10"/>
      <color indexed="10"/>
      <name val="Arial"/>
      <family val="2"/>
    </font>
    <font>
      <sz val="9"/>
      <name val="Arial"/>
      <family val="2"/>
    </font>
    <font>
      <sz val="12"/>
      <name val="Arial"/>
      <family val="2"/>
    </font>
    <font>
      <sz val="12"/>
      <color indexed="10"/>
      <name val="Arial"/>
      <family val="2"/>
    </font>
    <font>
      <b/>
      <sz val="12"/>
      <color indexed="10"/>
      <name val="Arial"/>
      <family val="2"/>
    </font>
    <font>
      <sz val="9"/>
      <color indexed="10"/>
      <name val="Arial"/>
      <family val="2"/>
    </font>
    <font>
      <sz val="12"/>
      <name val="Times New Roman"/>
      <family val="1"/>
    </font>
    <font>
      <sz val="8"/>
      <color indexed="10"/>
      <name val="Arial"/>
      <family val="2"/>
    </font>
    <font>
      <b/>
      <sz val="12"/>
      <name val="Arial"/>
      <family val="2"/>
    </font>
    <font>
      <sz val="10"/>
      <color rgb="FFFF0000"/>
      <name val="Arial"/>
      <family val="2"/>
    </font>
    <font>
      <sz val="12"/>
      <color rgb="FFFF0000"/>
      <name val="Arial"/>
      <family val="2"/>
    </font>
    <font>
      <sz val="12"/>
      <color rgb="FFFF0000"/>
      <name val="Times New Roman"/>
      <family val="1"/>
    </font>
    <font>
      <b/>
      <sz val="10"/>
      <color rgb="FFFF0000"/>
      <name val="Arial"/>
      <family val="2"/>
    </font>
    <font>
      <sz val="12"/>
      <name val="Arial"/>
      <family val="2"/>
    </font>
  </fonts>
  <fills count="2">
    <fill>
      <patternFill patternType="none"/>
    </fill>
    <fill>
      <patternFill patternType="gray125"/>
    </fill>
  </fills>
  <borders count="7">
    <border>
      <left/>
      <right/>
      <top/>
      <bottom/>
      <diagonal/>
    </border>
    <border>
      <left/>
      <right/>
      <top style="thin">
        <color indexed="8"/>
      </top>
      <bottom/>
      <diagonal/>
    </border>
    <border>
      <left/>
      <right/>
      <top style="double">
        <color indexed="8"/>
      </top>
      <bottom/>
      <diagonal/>
    </border>
    <border>
      <left/>
      <right/>
      <top/>
      <bottom style="thin">
        <color indexed="64"/>
      </bottom>
      <diagonal/>
    </border>
    <border>
      <left/>
      <right/>
      <top/>
      <bottom style="double">
        <color indexed="64"/>
      </bottom>
      <diagonal/>
    </border>
    <border>
      <left/>
      <right/>
      <top/>
      <bottom style="thin">
        <color indexed="8"/>
      </bottom>
      <diagonal/>
    </border>
    <border>
      <left/>
      <right/>
      <top style="thin">
        <color indexed="64"/>
      </top>
      <bottom/>
      <diagonal/>
    </border>
  </borders>
  <cellStyleXfs count="17">
    <xf numFmtId="164" fontId="0" fillId="0" borderId="0"/>
    <xf numFmtId="43" fontId="14" fillId="0" borderId="0" applyFont="0" applyFill="0" applyBorder="0" applyAlignment="0" applyProtection="0"/>
    <xf numFmtId="44"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xf numFmtId="0" fontId="4" fillId="0" borderId="0"/>
    <xf numFmtId="9" fontId="2" fillId="0" borderId="0" applyFont="0" applyFill="0" applyBorder="0" applyAlignment="0" applyProtection="0"/>
    <xf numFmtId="0" fontId="1" fillId="0" borderId="0"/>
    <xf numFmtId="0" fontId="32" fillId="0" borderId="0"/>
    <xf numFmtId="43" fontId="4" fillId="0" borderId="0" applyFont="0" applyFill="0" applyBorder="0" applyAlignment="0" applyProtection="0"/>
    <xf numFmtId="9" fontId="4" fillId="0" borderId="0" applyFont="0" applyFill="0" applyBorder="0" applyAlignment="0" applyProtection="0"/>
  </cellStyleXfs>
  <cellXfs count="761">
    <xf numFmtId="0" fontId="2" fillId="0" borderId="0" xfId="0" applyNumberFormat="1" applyFont="1" applyAlignment="1" applyProtection="1">
      <protection locked="0"/>
    </xf>
    <xf numFmtId="0" fontId="2" fillId="0" borderId="0" xfId="0" applyNumberFormat="1" applyFont="1" applyAlignment="1">
      <alignment horizontal="centerContinuous"/>
    </xf>
    <xf numFmtId="0" fontId="2" fillId="0" borderId="0" xfId="0" applyNumberFormat="1" applyFont="1" applyAlignment="1"/>
    <xf numFmtId="0" fontId="2" fillId="0" borderId="1" xfId="0" applyNumberFormat="1" applyFont="1" applyBorder="1" applyAlignment="1">
      <alignment horizontal="centerContinuous"/>
    </xf>
    <xf numFmtId="164" fontId="2" fillId="0" borderId="0" xfId="0" applyFont="1" applyAlignment="1"/>
    <xf numFmtId="3" fontId="2" fillId="0" borderId="1" xfId="0" applyNumberFormat="1" applyFont="1" applyBorder="1" applyAlignment="1"/>
    <xf numFmtId="165" fontId="2" fillId="0" borderId="1" xfId="0" applyNumberFormat="1" applyFont="1" applyBorder="1" applyAlignment="1"/>
    <xf numFmtId="3" fontId="2" fillId="0" borderId="2" xfId="0" applyNumberFormat="1" applyFont="1" applyBorder="1" applyAlignment="1"/>
    <xf numFmtId="165" fontId="2" fillId="0" borderId="2" xfId="0" applyNumberFormat="1" applyFont="1" applyBorder="1" applyAlignment="1"/>
    <xf numFmtId="3" fontId="2" fillId="0" borderId="0" xfId="0" applyNumberFormat="1" applyFont="1" applyAlignment="1"/>
    <xf numFmtId="0" fontId="2" fillId="0" borderId="1" xfId="0" applyNumberFormat="1" applyFont="1" applyBorder="1" applyAlignment="1">
      <alignment horizontal="center"/>
    </xf>
    <xf numFmtId="0" fontId="2" fillId="0" borderId="0" xfId="0" applyNumberFormat="1" applyFont="1" applyAlignment="1">
      <alignment horizontal="center"/>
    </xf>
    <xf numFmtId="0" fontId="2" fillId="0" borderId="1" xfId="0" applyNumberFormat="1" applyFont="1" applyBorder="1" applyAlignment="1"/>
    <xf numFmtId="165" fontId="2" fillId="0" borderId="0" xfId="0" applyNumberFormat="1" applyFont="1" applyAlignment="1"/>
    <xf numFmtId="0" fontId="0" fillId="0" borderId="2" xfId="0" applyNumberFormat="1" applyBorder="1"/>
    <xf numFmtId="0" fontId="0" fillId="0" borderId="0" xfId="0" applyNumberFormat="1" applyProtection="1">
      <protection locked="0"/>
    </xf>
    <xf numFmtId="0" fontId="4" fillId="0" borderId="0" xfId="6" applyNumberFormat="1" applyFont="1" applyAlignment="1">
      <alignment horizontal="centerContinuous"/>
    </xf>
    <xf numFmtId="0" fontId="2" fillId="0" borderId="0" xfId="6" applyNumberFormat="1" applyFont="1" applyAlignment="1">
      <alignment horizontal="centerContinuous"/>
    </xf>
    <xf numFmtId="0" fontId="4" fillId="0" borderId="0" xfId="6" applyAlignment="1"/>
    <xf numFmtId="0" fontId="2" fillId="0" borderId="0" xfId="6" applyNumberFormat="1" applyFont="1" applyAlignment="1"/>
    <xf numFmtId="0" fontId="2" fillId="0" borderId="0" xfId="6" applyNumberFormat="1" applyFont="1" applyAlignment="1">
      <alignment horizontal="center"/>
    </xf>
    <xf numFmtId="0" fontId="2" fillId="0" borderId="1" xfId="6" applyNumberFormat="1" applyFont="1" applyBorder="1" applyAlignment="1">
      <alignment horizontal="center"/>
    </xf>
    <xf numFmtId="0" fontId="4" fillId="0" borderId="1" xfId="6" applyNumberFormat="1" applyFont="1" applyBorder="1" applyAlignment="1">
      <alignment horizontal="center"/>
    </xf>
    <xf numFmtId="0" fontId="4" fillId="0" borderId="0" xfId="6" applyNumberFormat="1" applyFont="1" applyAlignment="1">
      <alignment horizontal="center"/>
    </xf>
    <xf numFmtId="0" fontId="2" fillId="0" borderId="1" xfId="6" applyNumberFormat="1" applyFont="1" applyBorder="1" applyAlignment="1">
      <alignment horizontal="centerContinuous"/>
    </xf>
    <xf numFmtId="2" fontId="2" fillId="0" borderId="0" xfId="6" applyNumberFormat="1" applyFont="1" applyAlignment="1"/>
    <xf numFmtId="164" fontId="3" fillId="0" borderId="0" xfId="6" applyNumberFormat="1" applyFont="1" applyAlignment="1"/>
    <xf numFmtId="164" fontId="2" fillId="0" borderId="0" xfId="6" applyNumberFormat="1" applyFont="1" applyAlignment="1"/>
    <xf numFmtId="166" fontId="2" fillId="0" borderId="0" xfId="6" applyNumberFormat="1" applyFont="1" applyAlignment="1"/>
    <xf numFmtId="164" fontId="2" fillId="0" borderId="1" xfId="6" applyNumberFormat="1" applyFont="1" applyBorder="1" applyAlignment="1"/>
    <xf numFmtId="3" fontId="2" fillId="0" borderId="2" xfId="6" applyNumberFormat="1" applyFont="1" applyBorder="1" applyAlignment="1"/>
    <xf numFmtId="164" fontId="2" fillId="0" borderId="2" xfId="6" applyNumberFormat="1" applyFont="1" applyBorder="1" applyAlignment="1"/>
    <xf numFmtId="3" fontId="2" fillId="0" borderId="0" xfId="6" applyNumberFormat="1" applyFont="1" applyAlignment="1"/>
    <xf numFmtId="0" fontId="2" fillId="0" borderId="1" xfId="6" applyNumberFormat="1" applyFont="1" applyBorder="1" applyAlignment="1"/>
    <xf numFmtId="2" fontId="2" fillId="0" borderId="1" xfId="6" applyNumberFormat="1" applyFont="1" applyBorder="1" applyAlignment="1"/>
    <xf numFmtId="0" fontId="2" fillId="0" borderId="2" xfId="6" applyNumberFormat="1" applyFont="1" applyBorder="1" applyAlignment="1"/>
    <xf numFmtId="0" fontId="4" fillId="0" borderId="0" xfId="0" applyNumberFormat="1" applyFont="1" applyAlignment="1">
      <alignment horizontal="centerContinuous"/>
    </xf>
    <xf numFmtId="0" fontId="4" fillId="0" borderId="0" xfId="0" applyNumberFormat="1" applyFont="1" applyAlignment="1" applyProtection="1">
      <protection locked="0"/>
    </xf>
    <xf numFmtId="167" fontId="2" fillId="0" borderId="0" xfId="0" applyNumberFormat="1" applyFont="1" applyAlignment="1"/>
    <xf numFmtId="167" fontId="2" fillId="0" borderId="1" xfId="0" applyNumberFormat="1" applyFont="1" applyBorder="1" applyAlignment="1"/>
    <xf numFmtId="167" fontId="2" fillId="0" borderId="2" xfId="0" applyNumberFormat="1" applyFont="1" applyBorder="1" applyAlignment="1"/>
    <xf numFmtId="0" fontId="2" fillId="0" borderId="0" xfId="0" applyNumberFormat="1" applyFont="1" applyAlignment="1">
      <alignment horizontal="right"/>
    </xf>
    <xf numFmtId="164" fontId="2" fillId="0" borderId="1" xfId="0" applyFont="1" applyBorder="1" applyAlignment="1"/>
    <xf numFmtId="164" fontId="2" fillId="0" borderId="2" xfId="0" applyFont="1" applyBorder="1" applyAlignment="1"/>
    <xf numFmtId="0" fontId="4" fillId="0" borderId="0" xfId="7" applyNumberFormat="1" applyFont="1" applyAlignment="1">
      <alignment horizontal="centerContinuous"/>
    </xf>
    <xf numFmtId="0" fontId="2" fillId="0" borderId="0" xfId="7" applyNumberFormat="1" applyFont="1" applyAlignment="1">
      <alignment horizontal="centerContinuous"/>
    </xf>
    <xf numFmtId="0" fontId="2" fillId="0" borderId="0" xfId="7" applyFont="1" applyAlignment="1"/>
    <xf numFmtId="0" fontId="2" fillId="0" borderId="0" xfId="7" applyNumberFormat="1" applyFont="1" applyAlignment="1"/>
    <xf numFmtId="0" fontId="2" fillId="0" borderId="0" xfId="7" applyNumberFormat="1" applyFont="1" applyAlignment="1">
      <alignment horizontal="center"/>
    </xf>
    <xf numFmtId="0" fontId="2" fillId="0" borderId="1" xfId="7" applyNumberFormat="1" applyFont="1" applyBorder="1" applyAlignment="1"/>
    <xf numFmtId="2" fontId="2" fillId="0" borderId="0" xfId="7" applyNumberFormat="1" applyFont="1" applyAlignment="1"/>
    <xf numFmtId="3" fontId="2" fillId="0" borderId="0" xfId="7" applyNumberFormat="1" applyFont="1" applyAlignment="1"/>
    <xf numFmtId="164" fontId="2" fillId="0" borderId="0" xfId="7" applyNumberFormat="1" applyFont="1" applyAlignment="1"/>
    <xf numFmtId="2" fontId="2" fillId="0" borderId="1" xfId="7" applyNumberFormat="1" applyFont="1" applyBorder="1" applyAlignment="1"/>
    <xf numFmtId="3" fontId="2" fillId="0" borderId="1" xfId="7" applyNumberFormat="1" applyFont="1" applyBorder="1" applyAlignment="1"/>
    <xf numFmtId="164" fontId="2" fillId="0" borderId="1" xfId="7" applyNumberFormat="1" applyFont="1" applyBorder="1" applyAlignment="1"/>
    <xf numFmtId="0" fontId="2" fillId="0" borderId="2" xfId="7" applyNumberFormat="1" applyFont="1" applyBorder="1" applyAlignment="1"/>
    <xf numFmtId="165" fontId="2" fillId="0" borderId="0" xfId="7" applyNumberFormat="1" applyFont="1" applyAlignment="1"/>
    <xf numFmtId="164" fontId="2" fillId="0" borderId="2" xfId="7" applyNumberFormat="1" applyFont="1" applyBorder="1" applyAlignment="1"/>
    <xf numFmtId="0" fontId="2" fillId="0" borderId="1" xfId="7" applyNumberFormat="1" applyFont="1" applyBorder="1" applyAlignment="1">
      <alignment horizontal="center"/>
    </xf>
    <xf numFmtId="0" fontId="2" fillId="0" borderId="1" xfId="7" applyNumberFormat="1" applyFont="1" applyBorder="1" applyAlignment="1">
      <alignment horizontal="centerContinuous"/>
    </xf>
    <xf numFmtId="165" fontId="2" fillId="0" borderId="1" xfId="7" applyNumberFormat="1" applyFont="1" applyBorder="1" applyAlignment="1"/>
    <xf numFmtId="165" fontId="2" fillId="0" borderId="2" xfId="7" applyNumberFormat="1" applyFont="1" applyBorder="1" applyAlignment="1"/>
    <xf numFmtId="0" fontId="4" fillId="0" borderId="0" xfId="3" applyNumberFormat="1" applyFont="1" applyAlignment="1">
      <alignment horizontal="centerContinuous"/>
    </xf>
    <xf numFmtId="0" fontId="2" fillId="0" borderId="0" xfId="3" applyNumberFormat="1" applyFont="1" applyAlignment="1">
      <alignment horizontal="centerContinuous"/>
    </xf>
    <xf numFmtId="0" fontId="2" fillId="0" borderId="0" xfId="3" applyNumberFormat="1" applyFont="1" applyAlignment="1"/>
    <xf numFmtId="0" fontId="4" fillId="0" borderId="0" xfId="3" applyAlignment="1"/>
    <xf numFmtId="0" fontId="2" fillId="0" borderId="1" xfId="3" applyNumberFormat="1" applyFont="1" applyBorder="1" applyAlignment="1">
      <alignment horizontal="center"/>
    </xf>
    <xf numFmtId="0" fontId="2" fillId="0" borderId="0" xfId="3" applyNumberFormat="1" applyFont="1" applyAlignment="1">
      <alignment horizontal="center"/>
    </xf>
    <xf numFmtId="0" fontId="2" fillId="0" borderId="1" xfId="3" applyNumberFormat="1" applyFont="1" applyBorder="1" applyAlignment="1">
      <alignment horizontal="centerContinuous"/>
    </xf>
    <xf numFmtId="0" fontId="2" fillId="0" borderId="1" xfId="3" applyNumberFormat="1" applyFont="1" applyBorder="1" applyAlignment="1"/>
    <xf numFmtId="164" fontId="2" fillId="0" borderId="0" xfId="3" applyNumberFormat="1" applyFont="1" applyAlignment="1"/>
    <xf numFmtId="164" fontId="3" fillId="0" borderId="0" xfId="3" applyNumberFormat="1" applyFont="1" applyAlignment="1"/>
    <xf numFmtId="164" fontId="3" fillId="0" borderId="0" xfId="3" applyNumberFormat="1" applyFont="1" applyAlignment="1" applyProtection="1">
      <protection locked="0"/>
    </xf>
    <xf numFmtId="164" fontId="2" fillId="0" borderId="1" xfId="3" applyNumberFormat="1" applyFont="1" applyBorder="1" applyAlignment="1"/>
    <xf numFmtId="164" fontId="2" fillId="0" borderId="2" xfId="3" applyNumberFormat="1" applyFont="1" applyBorder="1" applyAlignment="1"/>
    <xf numFmtId="0" fontId="4" fillId="0" borderId="0" xfId="3" applyNumberFormat="1" applyFont="1" applyAlignment="1"/>
    <xf numFmtId="0" fontId="2" fillId="0" borderId="0" xfId="8" applyNumberFormat="1" applyFont="1" applyAlignment="1">
      <alignment horizontal="centerContinuous"/>
    </xf>
    <xf numFmtId="0" fontId="2" fillId="0" borderId="0" xfId="8" applyNumberFormat="1" applyFont="1" applyAlignment="1"/>
    <xf numFmtId="0" fontId="2" fillId="0" borderId="0" xfId="8" applyNumberFormat="1" applyFont="1" applyAlignment="1">
      <alignment horizontal="center"/>
    </xf>
    <xf numFmtId="164" fontId="2" fillId="0" borderId="0" xfId="8" applyNumberFormat="1" applyFont="1" applyAlignment="1"/>
    <xf numFmtId="164" fontId="2" fillId="0" borderId="0" xfId="8" applyNumberFormat="1" applyFont="1" applyAlignment="1">
      <alignment horizontal="center"/>
    </xf>
    <xf numFmtId="0" fontId="2" fillId="0" borderId="1" xfId="8" applyNumberFormat="1" applyFont="1" applyBorder="1" applyAlignment="1"/>
    <xf numFmtId="2" fontId="2" fillId="0" borderId="0" xfId="8" applyNumberFormat="1" applyFont="1" applyAlignment="1"/>
    <xf numFmtId="2" fontId="2" fillId="0" borderId="1" xfId="8" applyNumberFormat="1" applyFont="1" applyBorder="1" applyAlignment="1"/>
    <xf numFmtId="0" fontId="2" fillId="0" borderId="2" xfId="8" applyNumberFormat="1" applyFont="1" applyBorder="1" applyAlignment="1"/>
    <xf numFmtId="0" fontId="4" fillId="0" borderId="0" xfId="4" applyNumberFormat="1" applyFont="1" applyAlignment="1">
      <alignment horizontal="centerContinuous"/>
    </xf>
    <xf numFmtId="0" fontId="2" fillId="0" borderId="0" xfId="4" applyNumberFormat="1" applyFont="1" applyAlignment="1">
      <alignment horizontal="centerContinuous"/>
    </xf>
    <xf numFmtId="0" fontId="2" fillId="0" borderId="0" xfId="4" applyNumberFormat="1" applyFont="1" applyAlignment="1"/>
    <xf numFmtId="0" fontId="2" fillId="0" borderId="1" xfId="4" applyNumberFormat="1" applyFont="1" applyBorder="1" applyAlignment="1">
      <alignment horizontal="center"/>
    </xf>
    <xf numFmtId="0" fontId="2" fillId="0" borderId="0" xfId="4" applyNumberFormat="1" applyFont="1" applyAlignment="1">
      <alignment horizontal="center"/>
    </xf>
    <xf numFmtId="0" fontId="2" fillId="0" borderId="1" xfId="4" applyNumberFormat="1" applyFont="1" applyBorder="1" applyAlignment="1">
      <alignment horizontal="centerContinuous"/>
    </xf>
    <xf numFmtId="0" fontId="2" fillId="0" borderId="1" xfId="4" applyNumberFormat="1" applyFont="1" applyBorder="1" applyAlignment="1">
      <alignment horizontal="left"/>
    </xf>
    <xf numFmtId="167" fontId="2" fillId="0" borderId="0" xfId="4" applyNumberFormat="1" applyFont="1" applyAlignment="1"/>
    <xf numFmtId="0" fontId="2" fillId="0" borderId="0" xfId="4" applyNumberFormat="1" applyFont="1" applyAlignment="1">
      <alignment horizontal="right"/>
    </xf>
    <xf numFmtId="167" fontId="2" fillId="0" borderId="1" xfId="4" applyNumberFormat="1" applyFont="1" applyBorder="1" applyAlignment="1"/>
    <xf numFmtId="0" fontId="2" fillId="0" borderId="2" xfId="4" applyNumberFormat="1" applyFont="1" applyBorder="1" applyAlignment="1"/>
    <xf numFmtId="0" fontId="2" fillId="0" borderId="1" xfId="4" applyNumberFormat="1" applyFont="1" applyBorder="1" applyAlignment="1"/>
    <xf numFmtId="0" fontId="4" fillId="0" borderId="1" xfId="4" applyNumberFormat="1" applyFont="1" applyBorder="1" applyAlignment="1">
      <alignment horizontal="centerContinuous"/>
    </xf>
    <xf numFmtId="0" fontId="4" fillId="0" borderId="0" xfId="5" applyNumberFormat="1" applyFont="1" applyAlignment="1">
      <alignment horizontal="centerContinuous"/>
    </xf>
    <xf numFmtId="0" fontId="2" fillId="0" borderId="0" xfId="5" applyNumberFormat="1" applyFont="1" applyAlignment="1">
      <alignment horizontal="centerContinuous"/>
    </xf>
    <xf numFmtId="0" fontId="4" fillId="0" borderId="0" xfId="5" applyAlignment="1"/>
    <xf numFmtId="0" fontId="2" fillId="0" borderId="0" xfId="5" applyNumberFormat="1" applyFont="1" applyAlignment="1"/>
    <xf numFmtId="0" fontId="2" fillId="0" borderId="0" xfId="5" applyNumberFormat="1" applyFont="1" applyAlignment="1">
      <alignment horizontal="center"/>
    </xf>
    <xf numFmtId="0" fontId="2" fillId="0" borderId="1" xfId="5" applyNumberFormat="1" applyFont="1" applyBorder="1" applyAlignment="1">
      <alignment horizontal="centerContinuous"/>
    </xf>
    <xf numFmtId="0" fontId="4" fillId="0" borderId="1" xfId="5" applyNumberFormat="1" applyFont="1" applyBorder="1" applyAlignment="1">
      <alignment horizontal="centerContinuous"/>
    </xf>
    <xf numFmtId="0" fontId="2" fillId="0" borderId="1" xfId="5" applyNumberFormat="1" applyFont="1" applyBorder="1" applyAlignment="1">
      <alignment horizontal="center"/>
    </xf>
    <xf numFmtId="3" fontId="2" fillId="0" borderId="0" xfId="5" applyNumberFormat="1" applyFont="1" applyAlignment="1"/>
    <xf numFmtId="164" fontId="2" fillId="0" borderId="0" xfId="5" applyNumberFormat="1" applyFont="1" applyAlignment="1"/>
    <xf numFmtId="3" fontId="2" fillId="0" borderId="1" xfId="5" applyNumberFormat="1" applyFont="1" applyBorder="1" applyAlignment="1"/>
    <xf numFmtId="3" fontId="2" fillId="0" borderId="2" xfId="5" applyNumberFormat="1" applyFont="1" applyBorder="1" applyAlignment="1"/>
    <xf numFmtId="165" fontId="2" fillId="0" borderId="0" xfId="5" applyNumberFormat="1" applyFont="1" applyAlignment="1"/>
    <xf numFmtId="0" fontId="4" fillId="0" borderId="0" xfId="5"/>
    <xf numFmtId="3" fontId="2" fillId="0" borderId="0" xfId="5" applyNumberFormat="1" applyFont="1" applyAlignment="1">
      <alignment horizontal="center"/>
    </xf>
    <xf numFmtId="4" fontId="2" fillId="0" borderId="0" xfId="5" applyNumberFormat="1" applyFont="1" applyAlignment="1"/>
    <xf numFmtId="10" fontId="2" fillId="0" borderId="0" xfId="5" applyNumberFormat="1" applyFont="1" applyAlignment="1"/>
    <xf numFmtId="10" fontId="2" fillId="0" borderId="0" xfId="5" applyNumberFormat="1" applyFont="1" applyAlignment="1" applyProtection="1">
      <protection locked="0"/>
    </xf>
    <xf numFmtId="0" fontId="4" fillId="0" borderId="0" xfId="5" applyNumberFormat="1" applyFont="1" applyAlignment="1"/>
    <xf numFmtId="3" fontId="2" fillId="0" borderId="1" xfId="5" applyNumberFormat="1" applyFont="1" applyBorder="1" applyAlignment="1">
      <alignment horizontal="center"/>
    </xf>
    <xf numFmtId="0" fontId="4" fillId="0" borderId="0" xfId="5" applyNumberFormat="1" applyProtection="1">
      <protection locked="0"/>
    </xf>
    <xf numFmtId="0" fontId="2" fillId="0" borderId="1" xfId="5" applyNumberFormat="1" applyFont="1" applyBorder="1" applyAlignment="1"/>
    <xf numFmtId="0" fontId="4" fillId="0" borderId="0" xfId="0" applyNumberFormat="1" applyFont="1" applyAlignment="1">
      <alignment horizontal="centerContinuous" vertical="top" wrapText="1"/>
    </xf>
    <xf numFmtId="3" fontId="2" fillId="0" borderId="0" xfId="0" applyNumberFormat="1" applyFont="1" applyAlignment="1">
      <alignment horizontal="center"/>
    </xf>
    <xf numFmtId="3" fontId="3" fillId="0" borderId="0" xfId="0" applyNumberFormat="1" applyFont="1" applyAlignment="1"/>
    <xf numFmtId="0" fontId="2" fillId="0" borderId="0" xfId="0" applyNumberFormat="1" applyFont="1" applyAlignment="1">
      <alignment horizontal="left"/>
    </xf>
    <xf numFmtId="0" fontId="4" fillId="0" borderId="1" xfId="0" applyNumberFormat="1" applyFont="1" applyBorder="1" applyAlignment="1">
      <alignment horizontal="centerContinuous"/>
    </xf>
    <xf numFmtId="164" fontId="2" fillId="0" borderId="0" xfId="0" applyNumberFormat="1" applyFont="1" applyAlignment="1"/>
    <xf numFmtId="0" fontId="6" fillId="0" borderId="0" xfId="0" applyNumberFormat="1" applyFont="1" applyAlignment="1"/>
    <xf numFmtId="0" fontId="7" fillId="0" borderId="0" xfId="0" applyNumberFormat="1" applyFont="1" applyAlignment="1" applyProtection="1">
      <protection locked="0"/>
    </xf>
    <xf numFmtId="3" fontId="2" fillId="0" borderId="1" xfId="0" quotePrefix="1" applyNumberFormat="1" applyFont="1" applyBorder="1" applyAlignment="1">
      <alignment horizontal="center"/>
    </xf>
    <xf numFmtId="0" fontId="7" fillId="0" borderId="0" xfId="0" applyNumberFormat="1" applyFont="1" applyAlignment="1" applyProtection="1">
      <alignment horizontal="center"/>
      <protection locked="0"/>
    </xf>
    <xf numFmtId="164" fontId="10" fillId="0" borderId="0" xfId="0" applyFont="1"/>
    <xf numFmtId="164" fontId="7" fillId="0" borderId="0" xfId="0" applyFont="1"/>
    <xf numFmtId="0" fontId="10" fillId="0" borderId="0" xfId="0" applyNumberFormat="1" applyFont="1" applyAlignment="1" applyProtection="1">
      <protection locked="0"/>
    </xf>
    <xf numFmtId="0" fontId="9" fillId="0" borderId="0" xfId="0" applyNumberFormat="1" applyFont="1" applyAlignment="1" applyProtection="1">
      <protection locked="0"/>
    </xf>
    <xf numFmtId="164" fontId="7" fillId="0" borderId="0" xfId="0" applyFont="1" applyAlignment="1">
      <alignment horizontal="center"/>
    </xf>
    <xf numFmtId="164" fontId="10" fillId="0" borderId="0" xfId="0" applyFont="1" applyAlignment="1">
      <alignment horizontal="center"/>
    </xf>
    <xf numFmtId="0" fontId="2" fillId="0" borderId="0" xfId="0" applyNumberFormat="1" applyFont="1" applyAlignment="1" applyProtection="1">
      <alignment horizontal="center"/>
      <protection locked="0"/>
    </xf>
    <xf numFmtId="164" fontId="7" fillId="0" borderId="3" xfId="0" applyFont="1" applyBorder="1" applyAlignment="1">
      <alignment horizontal="center"/>
    </xf>
    <xf numFmtId="37" fontId="7" fillId="0" borderId="0" xfId="0" applyNumberFormat="1" applyFont="1"/>
    <xf numFmtId="37" fontId="7" fillId="0" borderId="3" xfId="0" applyNumberFormat="1" applyFont="1" applyBorder="1"/>
    <xf numFmtId="168" fontId="7" fillId="0" borderId="0" xfId="0" applyNumberFormat="1" applyFont="1" applyBorder="1" applyAlignment="1">
      <alignment horizontal="center"/>
    </xf>
    <xf numFmtId="168" fontId="10" fillId="0" borderId="0" xfId="0" applyNumberFormat="1" applyFont="1" applyAlignment="1">
      <alignment horizontal="center"/>
    </xf>
    <xf numFmtId="168" fontId="7" fillId="0" borderId="0" xfId="0" applyNumberFormat="1" applyFont="1" applyAlignment="1">
      <alignment horizontal="center"/>
    </xf>
    <xf numFmtId="168" fontId="7" fillId="0" borderId="0" xfId="0" applyNumberFormat="1" applyFont="1" applyAlignment="1" applyProtection="1">
      <alignment horizontal="center"/>
      <protection locked="0"/>
    </xf>
    <xf numFmtId="168" fontId="2" fillId="0" borderId="0" xfId="0" applyNumberFormat="1" applyFont="1" applyAlignment="1" applyProtection="1">
      <alignment horizontal="center"/>
      <protection locked="0"/>
    </xf>
    <xf numFmtId="168" fontId="7" fillId="0" borderId="3" xfId="0" applyNumberFormat="1" applyFont="1" applyBorder="1" applyAlignment="1">
      <alignment horizontal="center"/>
    </xf>
    <xf numFmtId="37" fontId="7" fillId="0" borderId="0" xfId="0" applyNumberFormat="1" applyFont="1" applyAlignment="1" applyProtection="1">
      <protection locked="0"/>
    </xf>
    <xf numFmtId="37" fontId="7" fillId="0" borderId="0" xfId="0" applyNumberFormat="1" applyFont="1" applyAlignment="1">
      <alignment horizontal="center"/>
    </xf>
    <xf numFmtId="37" fontId="7" fillId="0" borderId="0" xfId="0" applyNumberFormat="1" applyFont="1" applyAlignment="1" applyProtection="1">
      <alignment horizontal="center"/>
      <protection locked="0"/>
    </xf>
    <xf numFmtId="37" fontId="7" fillId="0" borderId="3" xfId="0" applyNumberFormat="1" applyFont="1" applyBorder="1" applyAlignment="1" applyProtection="1">
      <alignment horizontal="center"/>
      <protection locked="0"/>
    </xf>
    <xf numFmtId="37" fontId="7" fillId="0" borderId="3" xfId="0" applyNumberFormat="1" applyFont="1" applyBorder="1" applyAlignment="1">
      <alignment horizontal="center"/>
    </xf>
    <xf numFmtId="37" fontId="2" fillId="0" borderId="0" xfId="0" applyNumberFormat="1" applyFont="1" applyAlignment="1" applyProtection="1">
      <protection locked="0"/>
    </xf>
    <xf numFmtId="37" fontId="7" fillId="0" borderId="0" xfId="0" applyNumberFormat="1" applyFont="1" applyBorder="1"/>
    <xf numFmtId="0" fontId="2" fillId="0" borderId="0" xfId="0" applyNumberFormat="1" applyFont="1" applyBorder="1" applyAlignment="1" applyProtection="1">
      <protection locked="0"/>
    </xf>
    <xf numFmtId="37" fontId="2" fillId="0" borderId="0" xfId="0" applyNumberFormat="1" applyFont="1" applyAlignment="1" applyProtection="1">
      <alignment horizontal="center"/>
      <protection locked="0"/>
    </xf>
    <xf numFmtId="165" fontId="2" fillId="0" borderId="0" xfId="0" applyNumberFormat="1" applyFont="1" applyBorder="1" applyAlignment="1"/>
    <xf numFmtId="164" fontId="2" fillId="0" borderId="4" xfId="0" applyFont="1" applyBorder="1" applyAlignment="1"/>
    <xf numFmtId="3" fontId="2" fillId="0" borderId="4" xfId="0" applyNumberFormat="1" applyFont="1" applyBorder="1" applyAlignment="1"/>
    <xf numFmtId="164" fontId="2" fillId="0" borderId="4" xfId="0" applyNumberFormat="1" applyFont="1" applyBorder="1" applyAlignment="1"/>
    <xf numFmtId="0" fontId="2" fillId="0" borderId="0" xfId="0" applyNumberFormat="1" applyFont="1" applyAlignment="1" applyProtection="1">
      <alignment horizontal="right"/>
      <protection locked="0"/>
    </xf>
    <xf numFmtId="3" fontId="2" fillId="0" borderId="0" xfId="0" applyNumberFormat="1" applyFont="1" applyBorder="1" applyAlignment="1"/>
    <xf numFmtId="164" fontId="2" fillId="0" borderId="0" xfId="0" applyNumberFormat="1" applyFont="1" applyAlignment="1" applyProtection="1">
      <alignment horizontal="right"/>
      <protection locked="0"/>
    </xf>
    <xf numFmtId="37" fontId="2" fillId="0" borderId="0" xfId="0" applyNumberFormat="1" applyFont="1" applyAlignment="1" applyProtection="1">
      <alignment horizontal="right"/>
      <protection locked="0"/>
    </xf>
    <xf numFmtId="37" fontId="2" fillId="0" borderId="1" xfId="0" applyNumberFormat="1" applyFont="1" applyBorder="1" applyAlignment="1"/>
    <xf numFmtId="37" fontId="2" fillId="0" borderId="0" xfId="6" applyNumberFormat="1" applyFont="1" applyAlignment="1"/>
    <xf numFmtId="37" fontId="2" fillId="0" borderId="1" xfId="6" applyNumberFormat="1" applyFont="1" applyBorder="1" applyAlignment="1"/>
    <xf numFmtId="164" fontId="2" fillId="0" borderId="0" xfId="0" applyFont="1" applyBorder="1" applyAlignment="1"/>
    <xf numFmtId="164" fontId="7" fillId="0" borderId="0" xfId="0" applyFont="1" applyAlignment="1"/>
    <xf numFmtId="37" fontId="2" fillId="0" borderId="1" xfId="7" applyNumberFormat="1" applyFont="1" applyBorder="1" applyAlignment="1"/>
    <xf numFmtId="0" fontId="2" fillId="0" borderId="0" xfId="7" applyNumberFormat="1" applyFont="1" applyBorder="1" applyAlignment="1"/>
    <xf numFmtId="164" fontId="2" fillId="0" borderId="4" xfId="7" applyNumberFormat="1" applyFont="1" applyBorder="1" applyAlignment="1"/>
    <xf numFmtId="166" fontId="2" fillId="0" borderId="0" xfId="7" applyNumberFormat="1" applyFont="1" applyAlignment="1"/>
    <xf numFmtId="165" fontId="7" fillId="0" borderId="0" xfId="11" applyNumberFormat="1" applyFont="1" applyAlignment="1"/>
    <xf numFmtId="37" fontId="2" fillId="0" borderId="4" xfId="0" applyNumberFormat="1" applyFont="1" applyBorder="1" applyAlignment="1"/>
    <xf numFmtId="0" fontId="4" fillId="0" borderId="0" xfId="4" applyFont="1" applyAlignment="1"/>
    <xf numFmtId="0" fontId="2" fillId="0" borderId="0" xfId="4" applyNumberFormat="1" applyFont="1" applyBorder="1" applyAlignment="1"/>
    <xf numFmtId="167" fontId="2" fillId="0" borderId="4" xfId="4" applyNumberFormat="1" applyFont="1" applyBorder="1" applyAlignment="1"/>
    <xf numFmtId="165" fontId="2" fillId="0" borderId="0" xfId="5" applyNumberFormat="1" applyFont="1" applyBorder="1" applyAlignment="1"/>
    <xf numFmtId="164" fontId="2" fillId="0" borderId="4" xfId="5" applyNumberFormat="1" applyFont="1" applyBorder="1" applyAlignment="1"/>
    <xf numFmtId="0" fontId="0" fillId="0" borderId="0" xfId="0" applyNumberFormat="1" applyBorder="1"/>
    <xf numFmtId="164" fontId="9" fillId="0" borderId="0" xfId="0" applyFont="1" applyAlignment="1">
      <alignment horizontal="center"/>
    </xf>
    <xf numFmtId="170" fontId="2" fillId="0" borderId="0" xfId="0" applyNumberFormat="1" applyFont="1" applyAlignment="1"/>
    <xf numFmtId="170" fontId="2" fillId="0" borderId="0" xfId="7" applyNumberFormat="1" applyFont="1" applyAlignment="1"/>
    <xf numFmtId="170" fontId="2" fillId="0" borderId="0" xfId="0" applyNumberFormat="1" applyFont="1" applyAlignment="1" applyProtection="1">
      <protection locked="0"/>
    </xf>
    <xf numFmtId="0" fontId="2" fillId="0" borderId="3" xfId="7" applyNumberFormat="1" applyFont="1" applyBorder="1" applyAlignment="1"/>
    <xf numFmtId="3" fontId="2" fillId="0" borderId="4" xfId="7" applyNumberFormat="1" applyFont="1" applyBorder="1" applyAlignment="1"/>
    <xf numFmtId="0" fontId="0" fillId="0" borderId="0" xfId="0" applyNumberFormat="1" applyAlignment="1">
      <alignment horizontal="centerContinuous"/>
    </xf>
    <xf numFmtId="0" fontId="7" fillId="0" borderId="0" xfId="11" applyNumberFormat="1" applyFont="1" applyAlignment="1">
      <alignment horizontal="centerContinuous"/>
    </xf>
    <xf numFmtId="0" fontId="7" fillId="0" borderId="0" xfId="11" applyFont="1" applyAlignment="1"/>
    <xf numFmtId="0" fontId="7" fillId="0" borderId="0" xfId="11" applyNumberFormat="1" applyFont="1" applyAlignment="1"/>
    <xf numFmtId="0" fontId="7" fillId="0" borderId="0" xfId="11" applyNumberFormat="1" applyFont="1" applyAlignment="1">
      <alignment horizontal="center"/>
    </xf>
    <xf numFmtId="0" fontId="7" fillId="0" borderId="1" xfId="11" applyNumberFormat="1" applyFont="1" applyBorder="1" applyAlignment="1">
      <alignment horizontal="centerContinuous"/>
    </xf>
    <xf numFmtId="0" fontId="7" fillId="0" borderId="1" xfId="11" applyNumberFormat="1" applyFont="1" applyBorder="1" applyAlignment="1">
      <alignment horizontal="center"/>
    </xf>
    <xf numFmtId="0" fontId="8" fillId="0" borderId="0" xfId="11" applyNumberFormat="1" applyFont="1" applyAlignment="1"/>
    <xf numFmtId="3" fontId="7" fillId="0" borderId="0" xfId="11" applyNumberFormat="1" applyFont="1" applyAlignment="1"/>
    <xf numFmtId="3" fontId="7" fillId="0" borderId="1" xfId="11" applyNumberFormat="1" applyFont="1" applyBorder="1" applyAlignment="1"/>
    <xf numFmtId="164" fontId="7" fillId="0" borderId="0" xfId="11" applyNumberFormat="1" applyFont="1" applyAlignment="1"/>
    <xf numFmtId="0" fontId="7" fillId="0" borderId="3" xfId="11" applyNumberFormat="1" applyFont="1" applyBorder="1" applyAlignment="1">
      <alignment horizontal="center"/>
    </xf>
    <xf numFmtId="0" fontId="7" fillId="0" borderId="0" xfId="11" applyNumberFormat="1" applyFont="1" applyBorder="1" applyAlignment="1">
      <alignment horizontal="center"/>
    </xf>
    <xf numFmtId="0" fontId="7" fillId="0" borderId="0" xfId="11" applyNumberFormat="1" applyFont="1" applyBorder="1" applyAlignment="1"/>
    <xf numFmtId="37" fontId="2" fillId="0" borderId="0" xfId="6" applyNumberFormat="1" applyFont="1" applyBorder="1" applyAlignment="1"/>
    <xf numFmtId="37" fontId="2" fillId="0" borderId="4" xfId="6" applyNumberFormat="1" applyFont="1" applyBorder="1" applyAlignment="1"/>
    <xf numFmtId="0" fontId="2" fillId="0" borderId="0" xfId="8" applyNumberFormat="1" applyFont="1" applyBorder="1" applyAlignment="1"/>
    <xf numFmtId="164" fontId="2" fillId="0" borderId="4" xfId="8" applyNumberFormat="1" applyFont="1" applyBorder="1" applyAlignment="1"/>
    <xf numFmtId="2" fontId="2" fillId="0" borderId="4" xfId="7" applyNumberFormat="1" applyFont="1" applyBorder="1" applyAlignment="1"/>
    <xf numFmtId="2" fontId="2" fillId="0" borderId="0" xfId="6" applyNumberFormat="1" applyFont="1" applyBorder="1" applyAlignment="1"/>
    <xf numFmtId="2" fontId="2" fillId="0" borderId="4" xfId="6" applyNumberFormat="1" applyFont="1" applyBorder="1" applyAlignment="1"/>
    <xf numFmtId="164" fontId="10" fillId="0" borderId="0" xfId="0" applyFont="1" applyBorder="1"/>
    <xf numFmtId="164" fontId="7" fillId="0" borderId="0" xfId="0" applyFont="1" applyBorder="1"/>
    <xf numFmtId="37" fontId="7" fillId="0" borderId="0" xfId="0" applyNumberFormat="1" applyFont="1" applyBorder="1" applyAlignment="1" applyProtection="1">
      <protection locked="0"/>
    </xf>
    <xf numFmtId="42" fontId="7" fillId="0" borderId="4" xfId="0" applyNumberFormat="1" applyFont="1" applyBorder="1" applyAlignment="1" applyProtection="1">
      <protection locked="0"/>
    </xf>
    <xf numFmtId="49" fontId="7" fillId="0" borderId="0" xfId="0" applyNumberFormat="1" applyFont="1"/>
    <xf numFmtId="4" fontId="7" fillId="0" borderId="0" xfId="11" applyNumberFormat="1" applyFont="1" applyAlignment="1"/>
    <xf numFmtId="170" fontId="2" fillId="0" borderId="0" xfId="3" applyNumberFormat="1" applyFont="1" applyAlignment="1"/>
    <xf numFmtId="170" fontId="2" fillId="0" borderId="1" xfId="3" applyNumberFormat="1" applyFont="1" applyBorder="1" applyAlignment="1"/>
    <xf numFmtId="37" fontId="2" fillId="0" borderId="0" xfId="3" applyNumberFormat="1" applyFont="1" applyBorder="1" applyAlignment="1"/>
    <xf numFmtId="170" fontId="2" fillId="0" borderId="4" xfId="3" applyNumberFormat="1" applyFont="1" applyBorder="1" applyAlignment="1"/>
    <xf numFmtId="172" fontId="2" fillId="0" borderId="0" xfId="0" applyNumberFormat="1" applyFont="1" applyAlignment="1"/>
    <xf numFmtId="172" fontId="2" fillId="0" borderId="4" xfId="0" applyNumberFormat="1" applyFont="1" applyBorder="1" applyAlignment="1"/>
    <xf numFmtId="3" fontId="7" fillId="0" borderId="4" xfId="11" applyNumberFormat="1" applyFont="1" applyBorder="1" applyAlignment="1"/>
    <xf numFmtId="167" fontId="7" fillId="0" borderId="4" xfId="11" applyNumberFormat="1" applyFont="1" applyBorder="1" applyAlignment="1"/>
    <xf numFmtId="0" fontId="9" fillId="0" borderId="0" xfId="11" applyNumberFormat="1" applyFont="1" applyAlignment="1">
      <alignment horizontal="centerContinuous"/>
    </xf>
    <xf numFmtId="176" fontId="7" fillId="0" borderId="0" xfId="1" applyNumberFormat="1" applyFont="1"/>
    <xf numFmtId="176" fontId="2" fillId="0" borderId="0" xfId="1" applyNumberFormat="1" applyFont="1" applyAlignment="1" applyProtection="1">
      <protection locked="0"/>
    </xf>
    <xf numFmtId="176" fontId="11" fillId="0" borderId="0" xfId="1" applyNumberFormat="1" applyFont="1"/>
    <xf numFmtId="164" fontId="11" fillId="0" borderId="0" xfId="0" applyFont="1"/>
    <xf numFmtId="1" fontId="2" fillId="0" borderId="0" xfId="7" applyNumberFormat="1" applyFont="1" applyAlignment="1"/>
    <xf numFmtId="0" fontId="4" fillId="0" borderId="0" xfId="7" applyFont="1" applyAlignment="1"/>
    <xf numFmtId="3" fontId="2" fillId="0" borderId="0" xfId="8" applyNumberFormat="1" applyFont="1" applyAlignment="1">
      <alignment horizontal="left"/>
    </xf>
    <xf numFmtId="164" fontId="2" fillId="0" borderId="0" xfId="0" applyFont="1"/>
    <xf numFmtId="164" fontId="7" fillId="0" borderId="0" xfId="0" applyFont="1" applyFill="1" applyBorder="1"/>
    <xf numFmtId="49" fontId="11" fillId="0" borderId="0" xfId="0" applyNumberFormat="1" applyFont="1" applyAlignment="1" applyProtection="1">
      <protection locked="0"/>
    </xf>
    <xf numFmtId="164" fontId="15" fillId="0" borderId="0" xfId="0" applyFont="1"/>
    <xf numFmtId="0" fontId="11" fillId="0" borderId="0" xfId="0" applyNumberFormat="1" applyFont="1" applyAlignment="1" applyProtection="1">
      <protection locked="0"/>
    </xf>
    <xf numFmtId="3" fontId="2" fillId="0" borderId="3" xfId="8" applyNumberFormat="1" applyFont="1" applyBorder="1" applyAlignment="1"/>
    <xf numFmtId="0" fontId="10" fillId="0" borderId="0" xfId="0" applyNumberFormat="1" applyFont="1" applyAlignment="1" applyProtection="1">
      <alignment horizontal="right"/>
      <protection locked="0"/>
    </xf>
    <xf numFmtId="0" fontId="6" fillId="0" borderId="0" xfId="0" applyNumberFormat="1" applyFont="1" applyAlignment="1" applyProtection="1">
      <protection locked="0"/>
    </xf>
    <xf numFmtId="170" fontId="16" fillId="0" borderId="0" xfId="0" applyNumberFormat="1" applyFont="1" applyAlignment="1" applyProtection="1">
      <alignment horizontal="left"/>
      <protection locked="0"/>
    </xf>
    <xf numFmtId="0" fontId="6" fillId="0" borderId="0" xfId="0" applyNumberFormat="1" applyFont="1" applyAlignment="1" applyProtection="1">
      <alignment horizontal="center"/>
      <protection locked="0"/>
    </xf>
    <xf numFmtId="37" fontId="6" fillId="0" borderId="0" xfId="0" applyNumberFormat="1" applyFont="1" applyAlignment="1" applyProtection="1">
      <alignment horizontal="center"/>
      <protection locked="0"/>
    </xf>
    <xf numFmtId="37" fontId="6" fillId="0" borderId="3" xfId="0" applyNumberFormat="1" applyFont="1" applyBorder="1" applyAlignment="1" applyProtection="1">
      <alignment horizontal="center"/>
      <protection locked="0"/>
    </xf>
    <xf numFmtId="0" fontId="6" fillId="0" borderId="3" xfId="0" applyNumberFormat="1" applyFont="1" applyBorder="1" applyAlignment="1" applyProtection="1">
      <alignment horizontal="center"/>
      <protection locked="0"/>
    </xf>
    <xf numFmtId="0" fontId="6" fillId="0" borderId="0" xfId="0" applyNumberFormat="1" applyFont="1" applyBorder="1" applyAlignment="1" applyProtection="1">
      <alignment horizontal="center"/>
      <protection locked="0"/>
    </xf>
    <xf numFmtId="37" fontId="6" fillId="0" borderId="0" xfId="0" applyNumberFormat="1" applyFont="1" applyAlignment="1" applyProtection="1">
      <protection locked="0"/>
    </xf>
    <xf numFmtId="164" fontId="6" fillId="0" borderId="0" xfId="0" applyNumberFormat="1" applyFont="1" applyAlignment="1" applyProtection="1">
      <alignment horizontal="right"/>
      <protection locked="0"/>
    </xf>
    <xf numFmtId="164" fontId="6" fillId="0" borderId="0" xfId="0" applyNumberFormat="1" applyFont="1" applyAlignment="1" applyProtection="1">
      <protection locked="0"/>
    </xf>
    <xf numFmtId="173" fontId="6" fillId="0" borderId="0" xfId="0" applyNumberFormat="1" applyFont="1" applyAlignment="1" applyProtection="1">
      <alignment horizontal="right"/>
      <protection locked="0"/>
    </xf>
    <xf numFmtId="173" fontId="6" fillId="0" borderId="0" xfId="0" applyNumberFormat="1" applyFont="1" applyAlignment="1" applyProtection="1">
      <protection locked="0"/>
    </xf>
    <xf numFmtId="41" fontId="2" fillId="0" borderId="0" xfId="0" applyNumberFormat="1" applyFont="1" applyAlignment="1"/>
    <xf numFmtId="41" fontId="2" fillId="0" borderId="1" xfId="0" applyNumberFormat="1" applyFont="1" applyBorder="1" applyAlignment="1"/>
    <xf numFmtId="41" fontId="2" fillId="0" borderId="4" xfId="0" applyNumberFormat="1" applyFont="1" applyBorder="1" applyAlignment="1"/>
    <xf numFmtId="42" fontId="2" fillId="0" borderId="0" xfId="0" applyNumberFormat="1" applyFont="1" applyAlignment="1"/>
    <xf numFmtId="169" fontId="12" fillId="0" borderId="0" xfId="0" applyNumberFormat="1" applyFont="1" applyAlignment="1" applyProtection="1">
      <protection locked="0"/>
    </xf>
    <xf numFmtId="0" fontId="12" fillId="0" borderId="0" xfId="0" applyNumberFormat="1" applyFont="1" applyAlignment="1" applyProtection="1">
      <protection locked="0"/>
    </xf>
    <xf numFmtId="0" fontId="15" fillId="0" borderId="0" xfId="0" applyNumberFormat="1" applyFont="1" applyAlignment="1" applyProtection="1">
      <protection locked="0"/>
    </xf>
    <xf numFmtId="174" fontId="9" fillId="0" borderId="0" xfId="12" applyNumberFormat="1" applyFont="1" applyAlignment="1"/>
    <xf numFmtId="178" fontId="9" fillId="0" borderId="0" xfId="10" applyFont="1" applyAlignment="1">
      <alignment horizontal="center"/>
    </xf>
    <xf numFmtId="178" fontId="9" fillId="0" borderId="0" xfId="10" applyFont="1" applyAlignment="1"/>
    <xf numFmtId="178" fontId="7" fillId="0" borderId="0" xfId="10" applyFont="1" applyAlignment="1"/>
    <xf numFmtId="178" fontId="17" fillId="0" borderId="0" xfId="10" applyNumberFormat="1" applyFont="1" applyAlignment="1"/>
    <xf numFmtId="178" fontId="9" fillId="0" borderId="3" xfId="10" applyFont="1" applyBorder="1" applyAlignment="1">
      <alignment horizontal="center"/>
    </xf>
    <xf numFmtId="41" fontId="9" fillId="0" borderId="0" xfId="10" quotePrefix="1" applyNumberFormat="1" applyFont="1" applyAlignment="1">
      <alignment horizontal="center"/>
    </xf>
    <xf numFmtId="41" fontId="9" fillId="0" borderId="0" xfId="10" applyNumberFormat="1" applyFont="1" applyAlignment="1"/>
    <xf numFmtId="179" fontId="9" fillId="0" borderId="0" xfId="2" applyNumberFormat="1" applyFont="1" applyAlignment="1"/>
    <xf numFmtId="174" fontId="9" fillId="0" borderId="3" xfId="12" applyNumberFormat="1" applyFont="1" applyBorder="1" applyAlignment="1"/>
    <xf numFmtId="41" fontId="9" fillId="0" borderId="3" xfId="10" applyNumberFormat="1" applyFont="1" applyBorder="1" applyAlignment="1"/>
    <xf numFmtId="174" fontId="9" fillId="0" borderId="4" xfId="12" applyNumberFormat="1" applyFont="1" applyBorder="1" applyAlignment="1"/>
    <xf numFmtId="42" fontId="9" fillId="0" borderId="4" xfId="10" applyNumberFormat="1" applyFont="1" applyBorder="1" applyAlignment="1"/>
    <xf numFmtId="168" fontId="2" fillId="0" borderId="0" xfId="0" applyNumberFormat="1" applyFont="1" applyAlignment="1" applyProtection="1">
      <protection locked="0"/>
    </xf>
    <xf numFmtId="167" fontId="4" fillId="0" borderId="0" xfId="4" applyNumberFormat="1" applyFont="1" applyAlignment="1"/>
    <xf numFmtId="173" fontId="18" fillId="0" borderId="0" xfId="0" applyNumberFormat="1" applyFont="1" applyAlignment="1" applyProtection="1">
      <protection locked="0"/>
    </xf>
    <xf numFmtId="0" fontId="18" fillId="0" borderId="0" xfId="0" applyNumberFormat="1" applyFont="1" applyAlignment="1" applyProtection="1">
      <protection locked="0"/>
    </xf>
    <xf numFmtId="0" fontId="18" fillId="0" borderId="0" xfId="0" applyNumberFormat="1" applyFont="1" applyAlignment="1" applyProtection="1">
      <alignment horizontal="center"/>
      <protection locked="0"/>
    </xf>
    <xf numFmtId="2" fontId="2" fillId="0" borderId="0" xfId="0" applyNumberFormat="1" applyFont="1" applyAlignment="1" applyProtection="1">
      <protection locked="0"/>
    </xf>
    <xf numFmtId="176" fontId="4" fillId="0" borderId="0" xfId="1" applyNumberFormat="1" applyFont="1" applyAlignment="1" applyProtection="1">
      <protection locked="0"/>
    </xf>
    <xf numFmtId="176" fontId="2" fillId="0" borderId="0" xfId="1" applyNumberFormat="1" applyFont="1" applyAlignment="1"/>
    <xf numFmtId="37" fontId="4" fillId="0" borderId="0" xfId="6" applyNumberFormat="1" applyAlignment="1"/>
    <xf numFmtId="3" fontId="4" fillId="0" borderId="0" xfId="6" applyNumberFormat="1" applyAlignment="1"/>
    <xf numFmtId="164" fontId="4" fillId="0" borderId="0" xfId="6" applyNumberFormat="1" applyAlignment="1"/>
    <xf numFmtId="176" fontId="9" fillId="0" borderId="0" xfId="1" applyNumberFormat="1" applyFont="1" applyAlignment="1"/>
    <xf numFmtId="174" fontId="4" fillId="0" borderId="0" xfId="12" applyNumberFormat="1" applyFont="1" applyAlignment="1" applyProtection="1">
      <protection locked="0"/>
    </xf>
    <xf numFmtId="176" fontId="7" fillId="0" borderId="0" xfId="1" applyNumberFormat="1" applyFont="1" applyBorder="1"/>
    <xf numFmtId="0" fontId="4" fillId="0" borderId="0" xfId="0" applyNumberFormat="1" applyFont="1" applyAlignment="1" applyProtection="1">
      <alignment horizontal="center"/>
      <protection locked="0"/>
    </xf>
    <xf numFmtId="170" fontId="2" fillId="0" borderId="4" xfId="7" applyNumberFormat="1" applyFont="1" applyBorder="1" applyAlignment="1"/>
    <xf numFmtId="178" fontId="4" fillId="0" borderId="0" xfId="10" applyFont="1" applyAlignment="1">
      <alignment horizontal="center"/>
    </xf>
    <xf numFmtId="0" fontId="4" fillId="0" borderId="3" xfId="0" applyNumberFormat="1" applyFont="1" applyBorder="1" applyAlignment="1" applyProtection="1">
      <alignment horizontal="center"/>
      <protection locked="0"/>
    </xf>
    <xf numFmtId="0" fontId="4" fillId="0" borderId="0" xfId="0" quotePrefix="1" applyNumberFormat="1" applyFont="1" applyAlignment="1" applyProtection="1">
      <alignment horizontal="center"/>
      <protection locked="0"/>
    </xf>
    <xf numFmtId="178" fontId="4" fillId="0" borderId="0" xfId="10" quotePrefix="1" applyFont="1" applyAlignment="1">
      <alignment horizontal="center"/>
    </xf>
    <xf numFmtId="178" fontId="4" fillId="0" borderId="0" xfId="10" applyFont="1" applyAlignment="1"/>
    <xf numFmtId="0" fontId="7" fillId="0" borderId="0" xfId="0" applyNumberFormat="1" applyFont="1" applyBorder="1" applyAlignment="1" applyProtection="1">
      <protection locked="0"/>
    </xf>
    <xf numFmtId="37" fontId="6" fillId="0" borderId="0" xfId="0" applyNumberFormat="1" applyFont="1" applyAlignment="1" applyProtection="1">
      <alignment horizontal="right"/>
      <protection locked="0"/>
    </xf>
    <xf numFmtId="164" fontId="20" fillId="0" borderId="0" xfId="0" applyFont="1"/>
    <xf numFmtId="168" fontId="2" fillId="0" borderId="0" xfId="0" applyNumberFormat="1" applyFont="1" applyAlignment="1">
      <alignment horizontal="center"/>
    </xf>
    <xf numFmtId="37" fontId="2" fillId="0" borderId="0" xfId="0" applyNumberFormat="1" applyFont="1"/>
    <xf numFmtId="0" fontId="20" fillId="0" borderId="0" xfId="0" applyNumberFormat="1" applyFont="1" applyAlignment="1" applyProtection="1">
      <protection locked="0"/>
    </xf>
    <xf numFmtId="37" fontId="19" fillId="0" borderId="0" xfId="0" applyNumberFormat="1" applyFont="1" applyAlignment="1" applyProtection="1">
      <alignment horizontal="right"/>
      <protection locked="0"/>
    </xf>
    <xf numFmtId="0" fontId="19" fillId="0" borderId="0" xfId="0" applyNumberFormat="1" applyFont="1" applyAlignment="1" applyProtection="1">
      <alignment horizontal="right"/>
      <protection locked="0"/>
    </xf>
    <xf numFmtId="167" fontId="4" fillId="0" borderId="0" xfId="4" applyNumberFormat="1" applyFont="1"/>
    <xf numFmtId="164" fontId="4" fillId="0" borderId="0" xfId="4" applyNumberFormat="1" applyFont="1" applyAlignment="1"/>
    <xf numFmtId="3" fontId="2" fillId="0" borderId="0" xfId="4" applyNumberFormat="1" applyFont="1" applyAlignment="1"/>
    <xf numFmtId="37" fontId="2" fillId="0" borderId="0" xfId="0" applyNumberFormat="1" applyFont="1" applyBorder="1" applyAlignment="1">
      <alignment horizontal="right" vertical="top"/>
    </xf>
    <xf numFmtId="37" fontId="2" fillId="0" borderId="0" xfId="0" applyNumberFormat="1" applyFont="1" applyAlignment="1"/>
    <xf numFmtId="164" fontId="2" fillId="0" borderId="0" xfId="0" applyNumberFormat="1" applyFont="1" applyAlignment="1" applyProtection="1">
      <protection locked="0"/>
    </xf>
    <xf numFmtId="0" fontId="4" fillId="0" borderId="2" xfId="0" applyNumberFormat="1" applyFont="1" applyBorder="1"/>
    <xf numFmtId="0" fontId="4" fillId="0" borderId="0" xfId="0" applyNumberFormat="1" applyFont="1" applyBorder="1"/>
    <xf numFmtId="0" fontId="4" fillId="0" borderId="0" xfId="0" applyNumberFormat="1" applyFont="1" applyProtection="1">
      <protection locked="0"/>
    </xf>
    <xf numFmtId="164" fontId="2" fillId="0" borderId="0" xfId="7" applyNumberFormat="1" applyFont="1" applyAlignment="1" applyProtection="1">
      <protection locked="0"/>
    </xf>
    <xf numFmtId="3" fontId="4" fillId="0" borderId="0" xfId="7" applyNumberFormat="1" applyFont="1" applyAlignment="1"/>
    <xf numFmtId="0" fontId="7" fillId="0" borderId="0" xfId="9" applyNumberFormat="1" applyFont="1" applyAlignment="1">
      <alignment horizontal="centerContinuous"/>
    </xf>
    <xf numFmtId="0" fontId="9" fillId="0" borderId="0" xfId="9" applyFont="1" applyAlignment="1"/>
    <xf numFmtId="0" fontId="7" fillId="0" borderId="0" xfId="9" applyNumberFormat="1" applyFont="1" applyAlignment="1"/>
    <xf numFmtId="0" fontId="7" fillId="0" borderId="0" xfId="9" applyNumberFormat="1" applyFont="1" applyAlignment="1">
      <alignment horizontal="center"/>
    </xf>
    <xf numFmtId="0" fontId="7" fillId="0" borderId="1" xfId="9" applyNumberFormat="1" applyFont="1" applyBorder="1" applyAlignment="1">
      <alignment horizontal="center"/>
    </xf>
    <xf numFmtId="37" fontId="7" fillId="0" borderId="1" xfId="9" applyNumberFormat="1" applyFont="1" applyBorder="1" applyAlignment="1">
      <alignment horizontal="center"/>
    </xf>
    <xf numFmtId="37" fontId="7" fillId="0" borderId="0" xfId="9" applyNumberFormat="1" applyFont="1" applyAlignment="1">
      <alignment horizontal="center"/>
    </xf>
    <xf numFmtId="3" fontId="7" fillId="0" borderId="0" xfId="9" applyNumberFormat="1" applyFont="1" applyAlignment="1">
      <alignment horizontal="center"/>
    </xf>
    <xf numFmtId="3" fontId="7" fillId="0" borderId="1" xfId="9" applyNumberFormat="1" applyFont="1" applyBorder="1" applyAlignment="1">
      <alignment horizontal="center"/>
    </xf>
    <xf numFmtId="3" fontId="7" fillId="0" borderId="0" xfId="9" applyNumberFormat="1" applyFont="1" applyAlignment="1"/>
    <xf numFmtId="0" fontId="7" fillId="0" borderId="1" xfId="9" applyNumberFormat="1" applyFont="1" applyBorder="1" applyAlignment="1"/>
    <xf numFmtId="3" fontId="7" fillId="0" borderId="4" xfId="9" applyNumberFormat="1" applyFont="1" applyBorder="1" applyAlignment="1"/>
    <xf numFmtId="0" fontId="9" fillId="0" borderId="0" xfId="9" applyFont="1" applyBorder="1" applyAlignment="1"/>
    <xf numFmtId="3" fontId="7" fillId="0" borderId="0" xfId="9" applyNumberFormat="1" applyFont="1" applyBorder="1" applyAlignment="1"/>
    <xf numFmtId="0" fontId="7" fillId="0" borderId="0" xfId="9" applyNumberFormat="1" applyFont="1" applyBorder="1" applyAlignment="1"/>
    <xf numFmtId="0" fontId="9" fillId="0" borderId="0" xfId="9" applyNumberFormat="1" applyFont="1" applyAlignment="1">
      <alignment horizontal="centerContinuous"/>
    </xf>
    <xf numFmtId="49" fontId="7" fillId="0" borderId="0" xfId="9" applyNumberFormat="1" applyFont="1" applyAlignment="1">
      <alignment horizontal="center"/>
    </xf>
    <xf numFmtId="0" fontId="7" fillId="0" borderId="0" xfId="9" applyFont="1" applyAlignment="1"/>
    <xf numFmtId="0" fontId="9" fillId="0" borderId="0" xfId="9" applyFont="1"/>
    <xf numFmtId="0" fontId="9" fillId="0" borderId="0" xfId="0" applyNumberFormat="1" applyFont="1" applyAlignment="1">
      <alignment horizontal="centerContinuous"/>
    </xf>
    <xf numFmtId="3" fontId="7" fillId="0" borderId="0" xfId="0" applyNumberFormat="1" applyFont="1"/>
    <xf numFmtId="167" fontId="2" fillId="0" borderId="0" xfId="0" applyNumberFormat="1" applyFont="1" applyAlignment="1" applyProtection="1">
      <protection locked="0"/>
    </xf>
    <xf numFmtId="0" fontId="4" fillId="0" borderId="0" xfId="0" applyNumberFormat="1" applyFont="1"/>
    <xf numFmtId="0" fontId="21" fillId="0" borderId="0" xfId="0" applyNumberFormat="1" applyFont="1" applyAlignment="1" applyProtection="1">
      <protection locked="0"/>
    </xf>
    <xf numFmtId="3" fontId="4" fillId="0" borderId="0" xfId="0" applyNumberFormat="1" applyFont="1"/>
    <xf numFmtId="0" fontId="4" fillId="0" borderId="0" xfId="8" applyFont="1" applyAlignment="1"/>
    <xf numFmtId="0" fontId="22" fillId="0" borderId="0" xfId="0" applyNumberFormat="1" applyFont="1" applyAlignment="1" applyProtection="1">
      <protection locked="0"/>
    </xf>
    <xf numFmtId="4" fontId="22" fillId="0" borderId="0" xfId="0" applyNumberFormat="1" applyFont="1" applyAlignment="1" applyProtection="1">
      <protection locked="0"/>
    </xf>
    <xf numFmtId="0" fontId="2" fillId="0" borderId="0" xfId="0" applyNumberFormat="1" applyFont="1" applyFill="1" applyAlignment="1" applyProtection="1">
      <protection locked="0"/>
    </xf>
    <xf numFmtId="176" fontId="7" fillId="0" borderId="0" xfId="1" applyNumberFormat="1" applyFont="1" applyFill="1"/>
    <xf numFmtId="0" fontId="7" fillId="0" borderId="0" xfId="0" applyNumberFormat="1" applyFont="1" applyFill="1" applyAlignment="1" applyProtection="1">
      <protection locked="0"/>
    </xf>
    <xf numFmtId="176" fontId="22" fillId="0" borderId="0" xfId="1" applyNumberFormat="1" applyFont="1" applyAlignment="1" applyProtection="1">
      <protection locked="0"/>
    </xf>
    <xf numFmtId="37" fontId="4" fillId="0" borderId="0" xfId="0" applyNumberFormat="1" applyFont="1" applyAlignment="1" applyProtection="1">
      <protection locked="0"/>
    </xf>
    <xf numFmtId="49" fontId="7" fillId="0" borderId="0" xfId="0" applyNumberFormat="1" applyFont="1" applyAlignment="1">
      <alignment horizontal="center"/>
    </xf>
    <xf numFmtId="0" fontId="23" fillId="0" borderId="0" xfId="0" applyNumberFormat="1" applyFont="1" applyAlignment="1" applyProtection="1">
      <protection locked="0"/>
    </xf>
    <xf numFmtId="0" fontId="2" fillId="0" borderId="0" xfId="0" applyNumberFormat="1" applyFont="1" applyAlignment="1" applyProtection="1">
      <alignment horizontal="centerContinuous"/>
      <protection locked="0"/>
    </xf>
    <xf numFmtId="3" fontId="2" fillId="0" borderId="4" xfId="4" applyNumberFormat="1" applyFont="1" applyBorder="1" applyAlignment="1"/>
    <xf numFmtId="0" fontId="22" fillId="0" borderId="0" xfId="4" applyFont="1" applyAlignment="1"/>
    <xf numFmtId="0" fontId="19" fillId="0" borderId="0" xfId="0" applyNumberFormat="1" applyFont="1" applyAlignment="1" applyProtection="1">
      <protection locked="0"/>
    </xf>
    <xf numFmtId="0" fontId="22" fillId="0" borderId="0" xfId="8" applyFont="1" applyAlignment="1"/>
    <xf numFmtId="176" fontId="9" fillId="0" borderId="0" xfId="1" applyNumberFormat="1" applyFont="1" applyAlignment="1" applyProtection="1">
      <protection locked="0"/>
    </xf>
    <xf numFmtId="176" fontId="7" fillId="0" borderId="0" xfId="1" applyNumberFormat="1" applyFont="1" applyAlignment="1" applyProtection="1">
      <alignment horizontal="center"/>
      <protection locked="0"/>
    </xf>
    <xf numFmtId="176" fontId="7" fillId="0" borderId="0" xfId="1" applyNumberFormat="1" applyFont="1" applyAlignment="1" applyProtection="1">
      <protection locked="0"/>
    </xf>
    <xf numFmtId="49" fontId="7" fillId="0" borderId="0" xfId="0" applyNumberFormat="1" applyFont="1" applyAlignment="1" applyProtection="1">
      <protection locked="0"/>
    </xf>
    <xf numFmtId="176" fontId="7" fillId="0" borderId="0" xfId="1" applyNumberFormat="1" applyFont="1" applyBorder="1" applyAlignment="1" applyProtection="1">
      <protection locked="0"/>
    </xf>
    <xf numFmtId="0" fontId="7" fillId="0" borderId="0" xfId="0" applyNumberFormat="1" applyFont="1" applyAlignment="1" applyProtection="1">
      <alignment horizontal="right"/>
      <protection locked="0"/>
    </xf>
    <xf numFmtId="176" fontId="4" fillId="0" borderId="0" xfId="1" applyNumberFormat="1" applyFont="1" applyAlignment="1"/>
    <xf numFmtId="0" fontId="2" fillId="0" borderId="0" xfId="5" applyNumberFormat="1" applyFont="1" applyAlignment="1">
      <alignment horizontal="justify" vertical="top" wrapText="1"/>
    </xf>
    <xf numFmtId="0" fontId="4" fillId="0" borderId="0" xfId="0" applyNumberFormat="1" applyFont="1" applyBorder="1" applyAlignment="1" applyProtection="1">
      <alignment horizontal="center"/>
      <protection locked="0"/>
    </xf>
    <xf numFmtId="43" fontId="4" fillId="0" borderId="0" xfId="1" applyFont="1" applyAlignment="1" applyProtection="1">
      <protection locked="0"/>
    </xf>
    <xf numFmtId="43" fontId="21" fillId="0" borderId="0" xfId="1" applyFont="1" applyAlignment="1" applyProtection="1">
      <protection locked="0"/>
    </xf>
    <xf numFmtId="164" fontId="3" fillId="0" borderId="0" xfId="5" applyNumberFormat="1" applyFont="1" applyBorder="1" applyAlignment="1"/>
    <xf numFmtId="164" fontId="3" fillId="0" borderId="3" xfId="5" applyNumberFormat="1" applyFont="1" applyBorder="1" applyAlignment="1"/>
    <xf numFmtId="0" fontId="4" fillId="0" borderId="0" xfId="5" applyBorder="1" applyAlignment="1"/>
    <xf numFmtId="3" fontId="4" fillId="0" borderId="0" xfId="5" applyNumberFormat="1" applyBorder="1" applyAlignment="1"/>
    <xf numFmtId="164" fontId="2" fillId="0" borderId="0" xfId="5" applyNumberFormat="1" applyFont="1" applyBorder="1" applyAlignment="1"/>
    <xf numFmtId="3" fontId="2" fillId="0" borderId="0" xfId="5" applyNumberFormat="1" applyFont="1" applyBorder="1" applyAlignment="1"/>
    <xf numFmtId="0" fontId="4" fillId="0" borderId="0" xfId="5" applyBorder="1"/>
    <xf numFmtId="3" fontId="2" fillId="0" borderId="4" xfId="5" applyNumberFormat="1" applyFont="1" applyBorder="1" applyAlignment="1"/>
    <xf numFmtId="37" fontId="2" fillId="0" borderId="0" xfId="0" applyNumberFormat="1" applyFont="1" applyAlignment="1">
      <alignment horizontal="left"/>
    </xf>
    <xf numFmtId="179" fontId="9" fillId="0" borderId="0" xfId="2" applyNumberFormat="1" applyFont="1" applyBorder="1" applyAlignment="1"/>
    <xf numFmtId="176" fontId="9" fillId="0" borderId="0" xfId="1" applyNumberFormat="1" applyFont="1" applyBorder="1" applyAlignment="1"/>
    <xf numFmtId="44" fontId="2" fillId="0" borderId="0" xfId="2" applyFont="1" applyAlignment="1" applyProtection="1">
      <protection locked="0"/>
    </xf>
    <xf numFmtId="44" fontId="2" fillId="0" borderId="3" xfId="2" applyFont="1" applyBorder="1" applyAlignment="1" applyProtection="1">
      <protection locked="0"/>
    </xf>
    <xf numFmtId="174" fontId="2" fillId="0" borderId="0" xfId="12" applyNumberFormat="1" applyFont="1" applyAlignment="1" applyProtection="1">
      <protection locked="0"/>
    </xf>
    <xf numFmtId="37" fontId="2" fillId="0" borderId="0" xfId="0" applyNumberFormat="1" applyFont="1" applyBorder="1" applyAlignment="1" applyProtection="1">
      <protection locked="0"/>
    </xf>
    <xf numFmtId="164" fontId="20" fillId="0" borderId="0" xfId="0" applyFont="1" applyBorder="1"/>
    <xf numFmtId="168" fontId="2" fillId="0" borderId="0" xfId="0" applyNumberFormat="1" applyFont="1" applyBorder="1" applyAlignment="1">
      <alignment horizontal="center"/>
    </xf>
    <xf numFmtId="164" fontId="2" fillId="0" borderId="0" xfId="0" applyFont="1" applyBorder="1"/>
    <xf numFmtId="37" fontId="2" fillId="0" borderId="0" xfId="0" applyNumberFormat="1" applyFont="1" applyBorder="1"/>
    <xf numFmtId="176" fontId="11" fillId="0" borderId="0" xfId="1" applyNumberFormat="1" applyFont="1" applyBorder="1"/>
    <xf numFmtId="0" fontId="2" fillId="0" borderId="0" xfId="0" applyNumberFormat="1" applyFont="1" applyAlignment="1" applyProtection="1">
      <alignment horizontal="left"/>
      <protection locked="0"/>
    </xf>
    <xf numFmtId="0" fontId="2" fillId="0" borderId="0" xfId="0" applyNumberFormat="1" applyFont="1" applyBorder="1" applyAlignment="1" applyProtection="1">
      <alignment horizontal="center"/>
      <protection locked="0"/>
    </xf>
    <xf numFmtId="0" fontId="7" fillId="0" borderId="0" xfId="0" applyNumberFormat="1" applyFont="1" applyBorder="1" applyAlignment="1" applyProtection="1">
      <alignment horizontal="center"/>
      <protection locked="0"/>
    </xf>
    <xf numFmtId="164" fontId="10" fillId="0" borderId="0" xfId="0" applyFont="1" applyAlignment="1">
      <alignment horizontal="left"/>
    </xf>
    <xf numFmtId="164" fontId="15" fillId="0" borderId="0" xfId="0" applyFont="1" applyAlignment="1">
      <alignment horizontal="left"/>
    </xf>
    <xf numFmtId="164" fontId="11" fillId="0" borderId="0" xfId="0" applyFont="1" applyAlignment="1">
      <alignment horizontal="left"/>
    </xf>
    <xf numFmtId="176" fontId="11" fillId="0" borderId="0" xfId="1" applyNumberFormat="1" applyFont="1" applyBorder="1" applyAlignment="1">
      <alignment horizontal="left"/>
    </xf>
    <xf numFmtId="176" fontId="7" fillId="0" borderId="0" xfId="1" applyNumberFormat="1" applyFont="1" applyBorder="1" applyAlignment="1">
      <alignment horizontal="left"/>
    </xf>
    <xf numFmtId="3" fontId="7" fillId="0" borderId="0" xfId="0" applyNumberFormat="1" applyFont="1" applyBorder="1"/>
    <xf numFmtId="0" fontId="7" fillId="0" borderId="0" xfId="0" applyNumberFormat="1" applyFont="1" applyFill="1" applyAlignment="1"/>
    <xf numFmtId="0" fontId="7" fillId="0" borderId="0" xfId="0" applyNumberFormat="1" applyFont="1" applyFill="1" applyAlignment="1">
      <alignment horizontal="center"/>
    </xf>
    <xf numFmtId="164" fontId="24" fillId="0" borderId="0" xfId="0" applyFont="1"/>
    <xf numFmtId="176" fontId="7" fillId="0" borderId="0" xfId="1" applyNumberFormat="1" applyFont="1" applyAlignment="1">
      <alignment horizontal="center"/>
    </xf>
    <xf numFmtId="176" fontId="7" fillId="0" borderId="3" xfId="1" applyNumberFormat="1" applyFont="1" applyBorder="1" applyAlignment="1">
      <alignment horizontal="center"/>
    </xf>
    <xf numFmtId="176" fontId="2" fillId="0" borderId="0" xfId="1" applyNumberFormat="1" applyFont="1" applyBorder="1" applyAlignment="1" applyProtection="1">
      <alignment horizontal="center"/>
      <protection locked="0"/>
    </xf>
    <xf numFmtId="176" fontId="7" fillId="0" borderId="0" xfId="1" applyNumberFormat="1" applyFont="1" applyFill="1" applyAlignment="1">
      <alignment horizontal="center"/>
    </xf>
    <xf numFmtId="176" fontId="7" fillId="0" borderId="0" xfId="1" applyNumberFormat="1" applyFont="1" applyAlignment="1" applyProtection="1">
      <alignment horizontal="right"/>
      <protection locked="0"/>
    </xf>
    <xf numFmtId="176" fontId="7" fillId="0" borderId="3" xfId="1" applyNumberFormat="1" applyFont="1" applyBorder="1"/>
    <xf numFmtId="0" fontId="4" fillId="0" borderId="0" xfId="0" applyNumberFormat="1" applyFont="1" applyBorder="1" applyAlignment="1" applyProtection="1">
      <protection locked="0"/>
    </xf>
    <xf numFmtId="0" fontId="22" fillId="0" borderId="0" xfId="0" applyNumberFormat="1" applyFont="1" applyBorder="1" applyAlignment="1" applyProtection="1">
      <alignment horizontal="center"/>
      <protection locked="0"/>
    </xf>
    <xf numFmtId="0" fontId="22" fillId="0" borderId="0" xfId="0" applyNumberFormat="1" applyFont="1" applyBorder="1" applyAlignment="1" applyProtection="1">
      <protection locked="0"/>
    </xf>
    <xf numFmtId="0" fontId="21" fillId="0" borderId="0" xfId="0" applyNumberFormat="1" applyFont="1" applyBorder="1" applyAlignment="1" applyProtection="1">
      <protection locked="0"/>
    </xf>
    <xf numFmtId="4" fontId="22" fillId="0" borderId="0" xfId="0" applyNumberFormat="1" applyFont="1" applyBorder="1" applyAlignment="1" applyProtection="1">
      <protection locked="0"/>
    </xf>
    <xf numFmtId="176" fontId="4" fillId="0" borderId="0" xfId="1" applyNumberFormat="1" applyFont="1" applyBorder="1" applyAlignment="1" applyProtection="1">
      <protection locked="0"/>
    </xf>
    <xf numFmtId="176" fontId="22" fillId="0" borderId="0" xfId="1" applyNumberFormat="1" applyFont="1" applyBorder="1" applyAlignment="1" applyProtection="1">
      <protection locked="0"/>
    </xf>
    <xf numFmtId="3" fontId="7" fillId="0" borderId="3" xfId="9" applyNumberFormat="1" applyFont="1" applyBorder="1" applyAlignment="1"/>
    <xf numFmtId="0" fontId="7" fillId="0" borderId="0" xfId="9" applyFont="1" applyBorder="1" applyAlignment="1"/>
    <xf numFmtId="0" fontId="7" fillId="0" borderId="0" xfId="9" applyNumberFormat="1" applyFont="1" applyBorder="1" applyAlignment="1">
      <alignment horizontal="centerContinuous"/>
    </xf>
    <xf numFmtId="0" fontId="7" fillId="0" borderId="0" xfId="9" applyNumberFormat="1" applyFont="1" applyBorder="1" applyAlignment="1">
      <alignment horizontal="center"/>
    </xf>
    <xf numFmtId="0" fontId="7" fillId="0" borderId="0" xfId="9" applyFont="1" applyBorder="1" applyAlignment="1">
      <alignment horizontal="center"/>
    </xf>
    <xf numFmtId="2" fontId="7" fillId="0" borderId="0" xfId="9" applyNumberFormat="1" applyFont="1" applyBorder="1" applyAlignment="1"/>
    <xf numFmtId="4" fontId="7" fillId="0" borderId="0" xfId="9" applyNumberFormat="1" applyFont="1" applyBorder="1" applyAlignment="1"/>
    <xf numFmtId="2" fontId="7" fillId="0" borderId="0" xfId="9" applyNumberFormat="1" applyFont="1" applyBorder="1" applyAlignment="1">
      <alignment horizontal="right"/>
    </xf>
    <xf numFmtId="165" fontId="7" fillId="0" borderId="0" xfId="9" applyNumberFormat="1" applyFont="1" applyBorder="1" applyAlignment="1">
      <alignment horizontal="center"/>
    </xf>
    <xf numFmtId="44" fontId="7" fillId="0" borderId="0" xfId="2" applyFont="1" applyBorder="1" applyAlignment="1"/>
    <xf numFmtId="44" fontId="7" fillId="0" borderId="0" xfId="9" applyNumberFormat="1" applyFont="1" applyBorder="1" applyAlignment="1"/>
    <xf numFmtId="43" fontId="7" fillId="0" borderId="0" xfId="1" applyFont="1" applyBorder="1" applyAlignment="1"/>
    <xf numFmtId="177" fontId="25" fillId="0" borderId="0" xfId="1" applyNumberFormat="1" applyFont="1" applyAlignment="1"/>
    <xf numFmtId="177" fontId="4" fillId="0" borderId="0" xfId="4" applyNumberFormat="1" applyFont="1" applyAlignment="1"/>
    <xf numFmtId="177" fontId="14" fillId="0" borderId="0" xfId="4" applyNumberFormat="1" applyFont="1" applyAlignment="1"/>
    <xf numFmtId="43" fontId="25" fillId="0" borderId="0" xfId="1" applyNumberFormat="1" applyFont="1" applyAlignment="1"/>
    <xf numFmtId="43" fontId="25" fillId="0" borderId="0" xfId="4" applyNumberFormat="1" applyFont="1" applyAlignment="1"/>
    <xf numFmtId="43" fontId="4" fillId="0" borderId="0" xfId="1" applyNumberFormat="1" applyFont="1" applyAlignment="1"/>
    <xf numFmtId="0" fontId="4" fillId="0" borderId="0" xfId="4" applyFont="1" applyAlignment="1">
      <alignment horizontal="center"/>
    </xf>
    <xf numFmtId="177" fontId="9" fillId="0" borderId="0" xfId="1" applyNumberFormat="1" applyFont="1" applyAlignment="1" applyProtection="1">
      <alignment horizontal="center"/>
      <protection locked="0"/>
    </xf>
    <xf numFmtId="177" fontId="7" fillId="0" borderId="0" xfId="1" applyNumberFormat="1" applyFont="1" applyAlignment="1" applyProtection="1">
      <alignment horizontal="center"/>
      <protection locked="0"/>
    </xf>
    <xf numFmtId="177" fontId="2" fillId="0" borderId="3" xfId="1" applyNumberFormat="1" applyFont="1" applyBorder="1" applyAlignment="1" applyProtection="1">
      <alignment horizontal="center"/>
      <protection locked="0"/>
    </xf>
    <xf numFmtId="177" fontId="2" fillId="0" borderId="0" xfId="1" applyNumberFormat="1" applyFont="1" applyAlignment="1" applyProtection="1">
      <alignment horizontal="center"/>
      <protection locked="0"/>
    </xf>
    <xf numFmtId="177" fontId="2" fillId="0" borderId="0" xfId="1" applyNumberFormat="1" applyFont="1" applyBorder="1" applyAlignment="1" applyProtection="1">
      <alignment horizontal="center"/>
      <protection locked="0"/>
    </xf>
    <xf numFmtId="177" fontId="19" fillId="0" borderId="0" xfId="1" applyNumberFormat="1" applyFont="1" applyBorder="1" applyAlignment="1" applyProtection="1">
      <alignment horizontal="center"/>
      <protection locked="0"/>
    </xf>
    <xf numFmtId="177" fontId="26" fillId="0" borderId="0" xfId="1" applyNumberFormat="1" applyFont="1" applyBorder="1" applyAlignment="1" applyProtection="1">
      <alignment horizontal="center"/>
      <protection locked="0"/>
    </xf>
    <xf numFmtId="177" fontId="7" fillId="0" borderId="0" xfId="1" applyNumberFormat="1" applyFont="1" applyBorder="1" applyAlignment="1" applyProtection="1">
      <alignment horizontal="center"/>
      <protection locked="0"/>
    </xf>
    <xf numFmtId="177" fontId="7" fillId="0" borderId="0" xfId="1" applyNumberFormat="1" applyFont="1" applyFill="1" applyAlignment="1">
      <alignment horizontal="center"/>
    </xf>
    <xf numFmtId="177" fontId="7" fillId="0" borderId="0" xfId="1" applyNumberFormat="1" applyFont="1" applyAlignment="1" applyProtection="1">
      <protection locked="0"/>
    </xf>
    <xf numFmtId="0" fontId="22" fillId="0" borderId="0" xfId="0" applyNumberFormat="1" applyFont="1" applyBorder="1" applyAlignment="1" applyProtection="1">
      <alignment horizontal="centerContinuous"/>
      <protection locked="0"/>
    </xf>
    <xf numFmtId="14" fontId="4" fillId="0" borderId="0" xfId="0" quotePrefix="1" applyNumberFormat="1" applyFont="1" applyAlignment="1" applyProtection="1">
      <alignment horizontal="center"/>
      <protection locked="0"/>
    </xf>
    <xf numFmtId="14" fontId="4" fillId="0" borderId="0" xfId="0" applyNumberFormat="1" applyFont="1" applyAlignment="1" applyProtection="1">
      <alignment horizontal="center"/>
      <protection locked="0"/>
    </xf>
    <xf numFmtId="176" fontId="10" fillId="0" borderId="0" xfId="1" applyNumberFormat="1" applyFont="1" applyAlignment="1" applyProtection="1">
      <protection locked="0"/>
    </xf>
    <xf numFmtId="166" fontId="7" fillId="0" borderId="0" xfId="0" applyNumberFormat="1" applyFont="1" applyFill="1" applyAlignment="1">
      <alignment horizontal="right"/>
    </xf>
    <xf numFmtId="0" fontId="2" fillId="0" borderId="3" xfId="0" applyNumberFormat="1" applyFont="1" applyBorder="1" applyAlignment="1" applyProtection="1">
      <alignment horizontal="center"/>
      <protection locked="0"/>
    </xf>
    <xf numFmtId="43" fontId="2" fillId="0" borderId="0" xfId="1" applyFont="1" applyAlignment="1" applyProtection="1">
      <protection locked="0"/>
    </xf>
    <xf numFmtId="44" fontId="2" fillId="0" borderId="0" xfId="2" applyFont="1" applyBorder="1" applyAlignment="1" applyProtection="1">
      <protection locked="0"/>
    </xf>
    <xf numFmtId="43" fontId="2" fillId="0" borderId="0" xfId="1" applyNumberFormat="1" applyFont="1" applyAlignment="1" applyProtection="1">
      <protection locked="0"/>
    </xf>
    <xf numFmtId="43" fontId="2" fillId="0" borderId="3" xfId="1" applyFont="1" applyBorder="1" applyAlignment="1" applyProtection="1">
      <protection locked="0"/>
    </xf>
    <xf numFmtId="177" fontId="4" fillId="0" borderId="0" xfId="1" applyNumberFormat="1" applyFont="1" applyAlignment="1" applyProtection="1">
      <protection locked="0"/>
    </xf>
    <xf numFmtId="176" fontId="7" fillId="0" borderId="3" xfId="1" applyNumberFormat="1" applyFont="1" applyBorder="1" applyAlignment="1" applyProtection="1">
      <alignment horizontal="right"/>
      <protection locked="0"/>
    </xf>
    <xf numFmtId="42" fontId="2" fillId="0" borderId="0" xfId="1" applyNumberFormat="1" applyFont="1" applyAlignment="1" applyProtection="1">
      <protection locked="0"/>
    </xf>
    <xf numFmtId="37" fontId="7" fillId="0" borderId="0" xfId="0" applyNumberFormat="1" applyFont="1" applyBorder="1" applyAlignment="1" applyProtection="1">
      <alignment horizontal="center"/>
      <protection locked="0"/>
    </xf>
    <xf numFmtId="0" fontId="2" fillId="0" borderId="0" xfId="0" applyNumberFormat="1" applyFont="1" applyFill="1" applyBorder="1" applyAlignment="1" applyProtection="1">
      <alignment horizontal="center"/>
      <protection locked="0"/>
    </xf>
    <xf numFmtId="176" fontId="2" fillId="0" borderId="0" xfId="1" applyNumberFormat="1" applyFont="1" applyFill="1" applyAlignment="1" applyProtection="1">
      <protection locked="0"/>
    </xf>
    <xf numFmtId="178" fontId="9" fillId="0" borderId="0" xfId="10" applyFont="1" applyBorder="1" applyAlignment="1"/>
    <xf numFmtId="174" fontId="9" fillId="0" borderId="0" xfId="12" applyNumberFormat="1" applyFont="1" applyBorder="1" applyAlignment="1"/>
    <xf numFmtId="0" fontId="2" fillId="0" borderId="0" xfId="0" applyNumberFormat="1" applyFont="1" applyBorder="1" applyAlignment="1" applyProtection="1">
      <alignment horizontal="centerContinuous"/>
      <protection locked="0"/>
    </xf>
    <xf numFmtId="172" fontId="2" fillId="0" borderId="0" xfId="0" applyNumberFormat="1" applyFont="1" applyBorder="1" applyAlignment="1"/>
    <xf numFmtId="164" fontId="2" fillId="0" borderId="0" xfId="0" applyNumberFormat="1" applyFont="1" applyBorder="1" applyAlignment="1"/>
    <xf numFmtId="171" fontId="2" fillId="0" borderId="0" xfId="0" applyNumberFormat="1" applyFont="1" applyAlignment="1"/>
    <xf numFmtId="171" fontId="2" fillId="0" borderId="0" xfId="0" applyNumberFormat="1" applyFont="1" applyBorder="1" applyAlignment="1"/>
    <xf numFmtId="171" fontId="2" fillId="0" borderId="3" xfId="0" applyNumberFormat="1" applyFont="1" applyBorder="1" applyAlignment="1"/>
    <xf numFmtId="0" fontId="2" fillId="0" borderId="0" xfId="0" applyNumberFormat="1" applyFont="1" applyFill="1" applyAlignment="1" applyProtection="1">
      <alignment horizontal="center"/>
      <protection locked="0"/>
    </xf>
    <xf numFmtId="0" fontId="2" fillId="0" borderId="0" xfId="0" applyNumberFormat="1" applyFont="1" applyAlignment="1" applyProtection="1">
      <protection locked="0"/>
    </xf>
    <xf numFmtId="37" fontId="28" fillId="0" borderId="0" xfId="0" applyNumberFormat="1" applyFont="1" applyAlignment="1" applyProtection="1">
      <protection locked="0"/>
    </xf>
    <xf numFmtId="0" fontId="29" fillId="0" borderId="0" xfId="8" applyFont="1" applyAlignment="1"/>
    <xf numFmtId="181" fontId="2" fillId="0" borderId="0" xfId="0" applyNumberFormat="1" applyFont="1" applyAlignment="1" applyProtection="1">
      <protection locked="0"/>
    </xf>
    <xf numFmtId="0" fontId="4" fillId="0" borderId="0" xfId="0" applyNumberFormat="1" applyFont="1" applyAlignment="1" applyProtection="1">
      <alignment horizontal="center"/>
      <protection locked="0"/>
    </xf>
    <xf numFmtId="0" fontId="2" fillId="0" borderId="0" xfId="0" applyNumberFormat="1" applyFont="1" applyAlignment="1" applyProtection="1">
      <protection locked="0"/>
    </xf>
    <xf numFmtId="3" fontId="2" fillId="0" borderId="1" xfId="4" applyNumberFormat="1" applyFont="1" applyBorder="1" applyAlignment="1"/>
    <xf numFmtId="180" fontId="4" fillId="0" borderId="0" xfId="1" applyNumberFormat="1" applyFont="1" applyAlignment="1"/>
    <xf numFmtId="180" fontId="4" fillId="0" borderId="0" xfId="1" applyNumberFormat="1" applyFont="1"/>
    <xf numFmtId="3" fontId="2" fillId="0" borderId="1" xfId="8" applyNumberFormat="1" applyFont="1" applyBorder="1" applyAlignment="1"/>
    <xf numFmtId="176" fontId="4" fillId="0" borderId="0" xfId="8" applyNumberFormat="1" applyFont="1" applyAlignment="1"/>
    <xf numFmtId="176" fontId="2" fillId="0" borderId="0" xfId="1" applyNumberFormat="1" applyFont="1" applyAlignment="1" applyProtection="1">
      <alignment horizontal="center"/>
      <protection locked="0"/>
    </xf>
    <xf numFmtId="177" fontId="2" fillId="0" borderId="0" xfId="1" applyNumberFormat="1" applyFont="1" applyFill="1" applyAlignment="1">
      <alignment horizontal="center"/>
    </xf>
    <xf numFmtId="0" fontId="2" fillId="0" borderId="0" xfId="0" applyNumberFormat="1" applyFont="1" applyFill="1" applyAlignment="1"/>
    <xf numFmtId="176" fontId="2" fillId="0" borderId="0" xfId="1" applyNumberFormat="1" applyFont="1"/>
    <xf numFmtId="0" fontId="2" fillId="0" borderId="0" xfId="0" applyNumberFormat="1" applyFont="1" applyFill="1" applyAlignment="1">
      <alignment horizontal="center"/>
    </xf>
    <xf numFmtId="176" fontId="2" fillId="0" borderId="0" xfId="1" applyNumberFormat="1" applyFont="1" applyAlignment="1">
      <alignment horizontal="center"/>
    </xf>
    <xf numFmtId="176" fontId="7" fillId="0" borderId="0" xfId="1" applyNumberFormat="1" applyFont="1" applyFill="1" applyAlignment="1" applyProtection="1">
      <protection locked="0"/>
    </xf>
    <xf numFmtId="0" fontId="10" fillId="0" borderId="0" xfId="0" applyNumberFormat="1" applyFont="1" applyFill="1" applyAlignment="1" applyProtection="1">
      <protection locked="0"/>
    </xf>
    <xf numFmtId="168" fontId="7" fillId="0" borderId="0" xfId="0" applyNumberFormat="1" applyFont="1" applyFill="1" applyAlignment="1" applyProtection="1">
      <alignment horizontal="center"/>
      <protection locked="0"/>
    </xf>
    <xf numFmtId="37" fontId="7" fillId="0" borderId="0" xfId="0" applyNumberFormat="1" applyFont="1" applyFill="1"/>
    <xf numFmtId="37" fontId="7" fillId="0" borderId="0" xfId="0" applyNumberFormat="1" applyFont="1" applyFill="1" applyAlignment="1" applyProtection="1">
      <protection locked="0"/>
    </xf>
    <xf numFmtId="176" fontId="7" fillId="0" borderId="0" xfId="1" applyNumberFormat="1" applyFont="1" applyFill="1" applyAlignment="1" applyProtection="1">
      <alignment horizontal="right"/>
      <protection locked="0"/>
    </xf>
    <xf numFmtId="176" fontId="2" fillId="0" borderId="0" xfId="1" applyNumberFormat="1" applyFont="1" applyFill="1" applyBorder="1" applyAlignment="1">
      <alignment horizontal="center"/>
    </xf>
    <xf numFmtId="177" fontId="2" fillId="0" borderId="0" xfId="1" applyNumberFormat="1" applyFont="1" applyFill="1" applyBorder="1" applyAlignment="1" applyProtection="1">
      <alignment horizontal="center"/>
      <protection locked="0"/>
    </xf>
    <xf numFmtId="176" fontId="2" fillId="0" borderId="0" xfId="1" applyNumberFormat="1" applyFont="1" applyFill="1" applyBorder="1" applyAlignment="1" applyProtection="1">
      <protection locked="0"/>
    </xf>
    <xf numFmtId="176" fontId="2" fillId="0" borderId="0" xfId="1" applyNumberFormat="1" applyFont="1" applyFill="1" applyBorder="1"/>
    <xf numFmtId="164" fontId="10" fillId="0" borderId="0" xfId="0" applyFont="1" applyFill="1" applyBorder="1"/>
    <xf numFmtId="168" fontId="2" fillId="0" borderId="0" xfId="0" applyNumberFormat="1" applyFont="1" applyFill="1" applyBorder="1" applyAlignment="1">
      <alignment horizontal="center"/>
    </xf>
    <xf numFmtId="164" fontId="2" fillId="0" borderId="0" xfId="0" applyFont="1" applyFill="1" applyBorder="1"/>
    <xf numFmtId="37" fontId="2" fillId="0" borderId="0" xfId="0" applyNumberFormat="1" applyFont="1" applyFill="1" applyBorder="1"/>
    <xf numFmtId="176" fontId="2" fillId="0" borderId="0" xfId="1" applyNumberFormat="1" applyFont="1" applyFill="1"/>
    <xf numFmtId="0" fontId="2" fillId="0" borderId="0" xfId="0" applyNumberFormat="1" applyFont="1" applyFill="1" applyBorder="1" applyAlignment="1" applyProtection="1">
      <protection locked="0"/>
    </xf>
    <xf numFmtId="0" fontId="4" fillId="0" borderId="0" xfId="0" applyNumberFormat="1" applyFont="1" applyAlignment="1" applyProtection="1">
      <alignment horizontal="center"/>
      <protection locked="0"/>
    </xf>
    <xf numFmtId="164" fontId="29" fillId="0" borderId="0" xfId="0" applyFont="1" applyAlignment="1">
      <alignment horizontal="center"/>
    </xf>
    <xf numFmtId="37" fontId="28" fillId="0" borderId="0" xfId="0" applyNumberFormat="1" applyFont="1" applyAlignment="1">
      <alignment horizontal="center"/>
    </xf>
    <xf numFmtId="37" fontId="28" fillId="0" borderId="0" xfId="0" applyNumberFormat="1" applyFont="1" applyBorder="1"/>
    <xf numFmtId="0" fontId="28" fillId="0" borderId="0" xfId="0" applyNumberFormat="1" applyFont="1" applyAlignment="1" applyProtection="1">
      <protection locked="0"/>
    </xf>
    <xf numFmtId="37" fontId="28" fillId="0" borderId="1" xfId="0" applyNumberFormat="1" applyFont="1" applyBorder="1" applyAlignment="1"/>
    <xf numFmtId="0" fontId="29" fillId="0" borderId="0" xfId="9" applyFont="1" applyAlignment="1"/>
    <xf numFmtId="37" fontId="28" fillId="0" borderId="0" xfId="0" applyNumberFormat="1" applyFont="1" applyBorder="1" applyAlignment="1">
      <alignment horizontal="right" vertical="top"/>
    </xf>
    <xf numFmtId="37" fontId="29" fillId="0" borderId="0" xfId="9" applyNumberFormat="1" applyFont="1" applyAlignment="1"/>
    <xf numFmtId="37" fontId="28" fillId="0" borderId="0" xfId="9" applyNumberFormat="1" applyFont="1" applyAlignment="1"/>
    <xf numFmtId="0" fontId="28" fillId="0" borderId="0" xfId="9" applyFont="1" applyAlignment="1"/>
    <xf numFmtId="0" fontId="28" fillId="0" borderId="0" xfId="4" applyNumberFormat="1" applyFont="1" applyAlignment="1"/>
    <xf numFmtId="177" fontId="30" fillId="0" borderId="0" xfId="1" applyNumberFormat="1" applyFont="1" applyAlignment="1"/>
    <xf numFmtId="176" fontId="7" fillId="0" borderId="0" xfId="1" applyNumberFormat="1" applyFont="1" applyFill="1" applyBorder="1" applyAlignment="1" applyProtection="1">
      <protection locked="0"/>
    </xf>
    <xf numFmtId="164" fontId="10" fillId="0" borderId="0" xfId="0" applyFont="1" applyFill="1" applyAlignment="1">
      <alignment horizontal="left"/>
    </xf>
    <xf numFmtId="168" fontId="7" fillId="0" borderId="0" xfId="0" applyNumberFormat="1" applyFont="1" applyFill="1" applyBorder="1" applyAlignment="1">
      <alignment horizontal="center"/>
    </xf>
    <xf numFmtId="164" fontId="10" fillId="0" borderId="0" xfId="0" applyFont="1" applyFill="1"/>
    <xf numFmtId="37" fontId="7" fillId="0" borderId="0" xfId="0" applyNumberFormat="1" applyFont="1" applyFill="1" applyBorder="1"/>
    <xf numFmtId="176" fontId="2" fillId="0" borderId="0" xfId="1" applyNumberFormat="1" applyFont="1" applyBorder="1" applyAlignment="1">
      <alignment horizontal="center"/>
    </xf>
    <xf numFmtId="176" fontId="2" fillId="0" borderId="0" xfId="1" applyNumberFormat="1" applyFont="1" applyFill="1" applyAlignment="1">
      <alignment horizontal="center"/>
    </xf>
    <xf numFmtId="177" fontId="2" fillId="0" borderId="0" xfId="1" applyNumberFormat="1" applyFont="1" applyAlignment="1" applyProtection="1">
      <protection locked="0"/>
    </xf>
    <xf numFmtId="177" fontId="2" fillId="0" borderId="0" xfId="1" applyNumberFormat="1" applyFont="1" applyFill="1" applyAlignment="1" applyProtection="1">
      <alignment horizontal="center"/>
      <protection locked="0"/>
    </xf>
    <xf numFmtId="0" fontId="2" fillId="0" borderId="0" xfId="0" applyNumberFormat="1" applyFont="1" applyAlignment="1" applyProtection="1">
      <protection locked="0"/>
    </xf>
    <xf numFmtId="16" fontId="7" fillId="0" borderId="0" xfId="9" quotePrefix="1" applyNumberFormat="1" applyFont="1" applyAlignment="1">
      <alignment horizontal="center"/>
    </xf>
    <xf numFmtId="0" fontId="2" fillId="0" borderId="0" xfId="7" applyNumberFormat="1" applyFont="1" applyAlignment="1">
      <alignment horizontal="center"/>
    </xf>
    <xf numFmtId="0" fontId="2" fillId="0" borderId="0" xfId="0" applyNumberFormat="1" applyFont="1" applyAlignment="1" applyProtection="1">
      <protection locked="0"/>
    </xf>
    <xf numFmtId="176" fontId="12" fillId="0" borderId="0" xfId="1" applyNumberFormat="1" applyFont="1" applyAlignment="1" applyProtection="1">
      <protection locked="0"/>
    </xf>
    <xf numFmtId="176" fontId="6" fillId="0" borderId="0" xfId="1" applyNumberFormat="1" applyFont="1" applyAlignment="1" applyProtection="1">
      <protection locked="0"/>
    </xf>
    <xf numFmtId="176" fontId="6" fillId="0" borderId="0" xfId="1" applyNumberFormat="1" applyFont="1" applyAlignment="1" applyProtection="1">
      <alignment horizontal="center"/>
      <protection locked="0"/>
    </xf>
    <xf numFmtId="176" fontId="6" fillId="0" borderId="3" xfId="1" applyNumberFormat="1" applyFont="1" applyBorder="1" applyAlignment="1" applyProtection="1">
      <alignment horizontal="center"/>
      <protection locked="0"/>
    </xf>
    <xf numFmtId="176" fontId="2" fillId="0" borderId="0" xfId="1" applyNumberFormat="1" applyFont="1" applyAlignment="1" applyProtection="1">
      <alignment horizontal="right"/>
      <protection locked="0"/>
    </xf>
    <xf numFmtId="180" fontId="12" fillId="0" borderId="0" xfId="1" applyNumberFormat="1" applyFont="1" applyAlignment="1" applyProtection="1">
      <protection locked="0"/>
    </xf>
    <xf numFmtId="180" fontId="6" fillId="0" borderId="0" xfId="1" applyNumberFormat="1" applyFont="1" applyAlignment="1" applyProtection="1">
      <alignment horizontal="right"/>
      <protection locked="0"/>
    </xf>
    <xf numFmtId="182" fontId="6" fillId="0" borderId="0" xfId="0" applyNumberFormat="1" applyFont="1" applyAlignment="1" applyProtection="1">
      <alignment horizontal="right"/>
      <protection locked="0"/>
    </xf>
    <xf numFmtId="182" fontId="6" fillId="0" borderId="0" xfId="1" applyNumberFormat="1" applyFont="1" applyAlignment="1" applyProtection="1">
      <alignment horizontal="right"/>
      <protection locked="0"/>
    </xf>
    <xf numFmtId="171" fontId="2" fillId="0" borderId="4" xfId="0" applyNumberFormat="1" applyFont="1" applyBorder="1" applyAlignment="1"/>
    <xf numFmtId="0" fontId="2" fillId="0" borderId="6" xfId="0" applyNumberFormat="1" applyFont="1" applyBorder="1" applyAlignment="1" applyProtection="1">
      <protection locked="0"/>
    </xf>
    <xf numFmtId="0" fontId="2" fillId="0" borderId="0" xfId="0" applyNumberFormat="1" applyFont="1" applyAlignment="1" applyProtection="1">
      <protection locked="0"/>
    </xf>
    <xf numFmtId="179" fontId="2" fillId="0" borderId="0" xfId="2" applyNumberFormat="1" applyFont="1" applyFill="1" applyAlignment="1" applyProtection="1">
      <protection locked="0"/>
    </xf>
    <xf numFmtId="179" fontId="2" fillId="0" borderId="0" xfId="2" applyNumberFormat="1" applyFont="1" applyAlignment="1" applyProtection="1">
      <protection locked="0"/>
    </xf>
    <xf numFmtId="0" fontId="2" fillId="0" borderId="0" xfId="0" applyNumberFormat="1" applyFont="1" applyAlignment="1" applyProtection="1">
      <protection locked="0"/>
    </xf>
    <xf numFmtId="168" fontId="10" fillId="0" borderId="0" xfId="0" applyNumberFormat="1" applyFont="1" applyAlignment="1" applyProtection="1">
      <protection locked="0"/>
    </xf>
    <xf numFmtId="3" fontId="7" fillId="0" borderId="0" xfId="9" applyNumberFormat="1" applyFont="1" applyFill="1" applyAlignment="1"/>
    <xf numFmtId="0" fontId="2" fillId="0" borderId="0" xfId="5" applyNumberFormat="1" applyFont="1" applyFill="1" applyAlignment="1">
      <alignment horizontal="centerContinuous"/>
    </xf>
    <xf numFmtId="0" fontId="2" fillId="0" borderId="0" xfId="5" applyNumberFormat="1" applyFont="1" applyFill="1" applyAlignment="1"/>
    <xf numFmtId="0" fontId="2" fillId="0" borderId="0" xfId="5" applyNumberFormat="1" applyFont="1" applyFill="1" applyAlignment="1">
      <alignment horizontal="center"/>
    </xf>
    <xf numFmtId="0" fontId="2" fillId="0" borderId="1" xfId="5" applyNumberFormat="1" applyFont="1" applyFill="1" applyBorder="1" applyAlignment="1">
      <alignment horizontal="center"/>
    </xf>
    <xf numFmtId="164" fontId="2" fillId="0" borderId="0" xfId="5" applyNumberFormat="1" applyFont="1" applyFill="1" applyAlignment="1"/>
    <xf numFmtId="164" fontId="2" fillId="0" borderId="1" xfId="5" applyNumberFormat="1" applyFont="1" applyFill="1" applyBorder="1" applyAlignment="1"/>
    <xf numFmtId="0" fontId="2" fillId="0" borderId="2" xfId="5" applyNumberFormat="1" applyFont="1" applyFill="1" applyBorder="1" applyAlignment="1"/>
    <xf numFmtId="164" fontId="3" fillId="0" borderId="0" xfId="5" applyNumberFormat="1" applyFont="1" applyFill="1" applyAlignment="1"/>
    <xf numFmtId="165" fontId="2" fillId="0" borderId="1" xfId="5" applyNumberFormat="1" applyFont="1" applyFill="1" applyBorder="1" applyAlignment="1"/>
    <xf numFmtId="164" fontId="2" fillId="0" borderId="4" xfId="5" applyNumberFormat="1" applyFont="1" applyFill="1" applyBorder="1" applyAlignment="1"/>
    <xf numFmtId="165" fontId="2" fillId="0" borderId="0" xfId="5" applyNumberFormat="1" applyFont="1" applyFill="1" applyBorder="1" applyAlignment="1"/>
    <xf numFmtId="165" fontId="2" fillId="0" borderId="2" xfId="5" applyNumberFormat="1" applyFont="1" applyFill="1" applyBorder="1" applyAlignment="1"/>
    <xf numFmtId="0" fontId="4" fillId="0" borderId="0" xfId="5" applyFill="1" applyAlignment="1"/>
    <xf numFmtId="0" fontId="4" fillId="0" borderId="0" xfId="0" applyNumberFormat="1" applyFont="1" applyAlignment="1" applyProtection="1">
      <alignment horizontal="center"/>
      <protection locked="0"/>
    </xf>
    <xf numFmtId="177" fontId="4" fillId="0" borderId="0" xfId="1" quotePrefix="1" applyNumberFormat="1" applyFont="1" applyAlignment="1">
      <alignment horizontal="right"/>
    </xf>
    <xf numFmtId="177" fontId="4" fillId="0" borderId="0" xfId="1" applyNumberFormat="1" applyFont="1" applyAlignment="1" applyProtection="1">
      <alignment horizontal="center"/>
      <protection locked="0"/>
    </xf>
    <xf numFmtId="177" fontId="4" fillId="0" borderId="0" xfId="1" quotePrefix="1" applyNumberFormat="1" applyFont="1" applyAlignment="1" applyProtection="1">
      <alignment horizontal="right"/>
      <protection locked="0"/>
    </xf>
    <xf numFmtId="177" fontId="4" fillId="0" borderId="0" xfId="1" applyNumberFormat="1" applyFont="1" applyAlignment="1" applyProtection="1">
      <alignment horizontal="right"/>
      <protection locked="0"/>
    </xf>
    <xf numFmtId="176" fontId="28" fillId="0" borderId="0" xfId="1" applyNumberFormat="1" applyFont="1" applyAlignment="1" applyProtection="1">
      <protection locked="0"/>
    </xf>
    <xf numFmtId="179" fontId="7" fillId="0" borderId="4" xfId="2" applyNumberFormat="1" applyFont="1" applyBorder="1" applyAlignment="1" applyProtection="1">
      <protection locked="0"/>
    </xf>
    <xf numFmtId="44" fontId="2" fillId="0" borderId="0" xfId="0" applyNumberFormat="1" applyFont="1" applyAlignment="1" applyProtection="1">
      <protection locked="0"/>
    </xf>
    <xf numFmtId="0" fontId="7" fillId="0" borderId="0" xfId="0" applyNumberFormat="1" applyFont="1" applyAlignment="1" applyProtection="1">
      <alignment horizontal="center"/>
      <protection locked="0"/>
    </xf>
    <xf numFmtId="0" fontId="2" fillId="0" borderId="0" xfId="0" applyNumberFormat="1" applyFont="1" applyAlignment="1" applyProtection="1">
      <protection locked="0"/>
    </xf>
    <xf numFmtId="176" fontId="28" fillId="0" borderId="0" xfId="1" applyNumberFormat="1" applyFont="1" applyAlignment="1" applyProtection="1">
      <alignment horizontal="center"/>
      <protection locked="0"/>
    </xf>
    <xf numFmtId="176" fontId="28" fillId="0" borderId="0" xfId="1" applyNumberFormat="1" applyFont="1" applyBorder="1" applyAlignment="1" applyProtection="1">
      <alignment horizontal="center"/>
      <protection locked="0"/>
    </xf>
    <xf numFmtId="176" fontId="31" fillId="0" borderId="0" xfId="1" applyNumberFormat="1" applyFont="1" applyBorder="1"/>
    <xf numFmtId="176" fontId="28" fillId="0" borderId="0" xfId="1" applyNumberFormat="1" applyFont="1" applyBorder="1"/>
    <xf numFmtId="176" fontId="28" fillId="0" borderId="0" xfId="1" applyNumberFormat="1" applyFont="1" applyBorder="1" applyAlignment="1">
      <alignment horizontal="center"/>
    </xf>
    <xf numFmtId="39" fontId="28" fillId="0" borderId="0" xfId="0" applyNumberFormat="1" applyFont="1" applyBorder="1" applyAlignment="1" applyProtection="1">
      <protection locked="0"/>
    </xf>
    <xf numFmtId="43" fontId="2" fillId="0" borderId="0" xfId="0" applyNumberFormat="1" applyFont="1" applyBorder="1" applyAlignment="1" applyProtection="1">
      <protection locked="0"/>
    </xf>
    <xf numFmtId="178" fontId="4" fillId="0" borderId="0" xfId="10" applyFont="1" applyFill="1"/>
    <xf numFmtId="41" fontId="4" fillId="0" borderId="3" xfId="10" applyNumberFormat="1" applyFont="1" applyFill="1" applyBorder="1" applyAlignment="1"/>
    <xf numFmtId="178" fontId="2" fillId="0" borderId="0" xfId="10" applyFont="1" applyFill="1"/>
    <xf numFmtId="174" fontId="4" fillId="0" borderId="0" xfId="12" applyNumberFormat="1" applyFont="1" applyFill="1" applyAlignment="1"/>
    <xf numFmtId="181" fontId="7" fillId="0" borderId="0" xfId="1" applyNumberFormat="1" applyFont="1" applyAlignment="1" applyProtection="1">
      <alignment horizontal="center"/>
      <protection locked="0"/>
    </xf>
    <xf numFmtId="179" fontId="2" fillId="0" borderId="0" xfId="0" applyNumberFormat="1" applyFont="1" applyAlignment="1" applyProtection="1">
      <protection locked="0"/>
    </xf>
    <xf numFmtId="178" fontId="9" fillId="0" borderId="0" xfId="10" applyFont="1" applyFill="1" applyBorder="1" applyAlignment="1"/>
    <xf numFmtId="174" fontId="9" fillId="0" borderId="0" xfId="12" applyNumberFormat="1" applyFont="1" applyFill="1" applyBorder="1" applyAlignment="1"/>
    <xf numFmtId="0" fontId="2" fillId="0" borderId="0" xfId="9" applyNumberFormat="1" applyFont="1" applyAlignment="1">
      <alignment horizontal="centerContinuous"/>
    </xf>
    <xf numFmtId="0" fontId="2" fillId="0" borderId="0" xfId="9" applyNumberFormat="1" applyFont="1" applyAlignment="1"/>
    <xf numFmtId="0" fontId="2" fillId="0" borderId="0" xfId="9" applyNumberFormat="1" applyFont="1" applyAlignment="1">
      <alignment horizontal="center"/>
    </xf>
    <xf numFmtId="37" fontId="2" fillId="0" borderId="1" xfId="9" applyNumberFormat="1" applyFont="1" applyBorder="1" applyAlignment="1">
      <alignment horizontal="center"/>
    </xf>
    <xf numFmtId="165" fontId="2" fillId="0" borderId="0" xfId="9" applyNumberFormat="1" applyFont="1" applyAlignment="1"/>
    <xf numFmtId="0" fontId="4" fillId="0" borderId="0" xfId="9" applyFont="1" applyAlignment="1"/>
    <xf numFmtId="0" fontId="4" fillId="0" borderId="0" xfId="9" applyNumberFormat="1" applyFont="1" applyAlignment="1">
      <alignment horizontal="centerContinuous"/>
    </xf>
    <xf numFmtId="4" fontId="2" fillId="0" borderId="0" xfId="9" applyNumberFormat="1" applyFont="1" applyAlignment="1"/>
    <xf numFmtId="0" fontId="2" fillId="0" borderId="0" xfId="9" applyFont="1" applyAlignment="1"/>
    <xf numFmtId="176" fontId="28" fillId="0" borderId="0" xfId="1" applyNumberFormat="1" applyFont="1"/>
    <xf numFmtId="0" fontId="7" fillId="0" borderId="0" xfId="0" applyNumberFormat="1" applyFont="1" applyAlignment="1" applyProtection="1">
      <alignment horizontal="center"/>
      <protection locked="0"/>
    </xf>
    <xf numFmtId="0" fontId="2" fillId="0" borderId="0" xfId="0" applyNumberFormat="1" applyFont="1" applyAlignment="1" applyProtection="1">
      <protection locked="0"/>
    </xf>
    <xf numFmtId="176" fontId="28" fillId="0" borderId="0" xfId="1" applyNumberFormat="1" applyFont="1" applyFill="1" applyBorder="1" applyAlignment="1">
      <alignment horizontal="center"/>
    </xf>
    <xf numFmtId="43" fontId="28" fillId="0" borderId="0" xfId="1" applyNumberFormat="1" applyFont="1" applyBorder="1" applyAlignment="1" applyProtection="1">
      <alignment horizontal="center"/>
      <protection locked="0"/>
    </xf>
    <xf numFmtId="176" fontId="28" fillId="0" borderId="0" xfId="1" applyNumberFormat="1" applyFont="1" applyFill="1" applyBorder="1" applyAlignment="1" applyProtection="1">
      <alignment horizontal="center"/>
      <protection locked="0"/>
    </xf>
    <xf numFmtId="176" fontId="2" fillId="0" borderId="0" xfId="0" applyNumberFormat="1" applyFont="1" applyBorder="1" applyAlignment="1" applyProtection="1">
      <protection locked="0"/>
    </xf>
    <xf numFmtId="8" fontId="7" fillId="0" borderId="0" xfId="0" applyNumberFormat="1" applyFont="1" applyAlignment="1" applyProtection="1">
      <protection locked="0"/>
    </xf>
    <xf numFmtId="164" fontId="27" fillId="0" borderId="0" xfId="0" applyFont="1" applyAlignment="1">
      <alignment horizontal="center"/>
    </xf>
    <xf numFmtId="164" fontId="11" fillId="0" borderId="0" xfId="0" applyFont="1" applyAlignment="1">
      <alignment horizontal="center"/>
    </xf>
    <xf numFmtId="37" fontId="11" fillId="0" borderId="0" xfId="0" applyNumberFormat="1" applyFont="1" applyBorder="1"/>
    <xf numFmtId="37" fontId="31" fillId="0" borderId="0" xfId="0" applyNumberFormat="1" applyFont="1" applyAlignment="1" applyProtection="1">
      <protection locked="0"/>
    </xf>
    <xf numFmtId="42" fontId="11" fillId="0" borderId="4" xfId="0" applyNumberFormat="1" applyFont="1" applyBorder="1" applyAlignment="1" applyProtection="1">
      <protection locked="0"/>
    </xf>
    <xf numFmtId="169" fontId="31" fillId="0" borderId="0" xfId="0" applyNumberFormat="1" applyFont="1" applyAlignment="1" applyProtection="1">
      <protection locked="0"/>
    </xf>
    <xf numFmtId="176" fontId="31" fillId="0" borderId="0" xfId="1" applyNumberFormat="1" applyFont="1" applyAlignment="1" applyProtection="1">
      <protection locked="0"/>
    </xf>
    <xf numFmtId="0" fontId="31" fillId="0" borderId="0" xfId="0" applyNumberFormat="1" applyFont="1" applyAlignment="1" applyProtection="1">
      <protection locked="0"/>
    </xf>
    <xf numFmtId="37" fontId="31" fillId="0" borderId="0" xfId="0" applyNumberFormat="1" applyFont="1" applyAlignment="1" applyProtection="1">
      <alignment horizontal="right"/>
      <protection locked="0"/>
    </xf>
    <xf numFmtId="1" fontId="11" fillId="0" borderId="0" xfId="0" applyNumberFormat="1" applyFont="1" applyBorder="1" applyAlignment="1">
      <alignment horizontal="center"/>
    </xf>
    <xf numFmtId="164" fontId="11" fillId="0" borderId="0" xfId="0" applyFont="1" applyBorder="1" applyAlignment="1">
      <alignment horizontal="center"/>
    </xf>
    <xf numFmtId="168" fontId="11" fillId="0" borderId="0" xfId="0" applyNumberFormat="1" applyFont="1" applyBorder="1" applyAlignment="1">
      <alignment horizontal="center"/>
    </xf>
    <xf numFmtId="164" fontId="11" fillId="0" borderId="0" xfId="0" applyFont="1" applyBorder="1"/>
    <xf numFmtId="37" fontId="2" fillId="0" borderId="0" xfId="0" applyNumberFormat="1" applyFont="1" applyAlignment="1">
      <alignment horizontal="center"/>
    </xf>
    <xf numFmtId="37" fontId="2" fillId="0" borderId="3" xfId="0" applyNumberFormat="1" applyFont="1" applyBorder="1" applyAlignment="1">
      <alignment horizontal="center"/>
    </xf>
    <xf numFmtId="42" fontId="2" fillId="0" borderId="4" xfId="0" applyNumberFormat="1" applyFont="1" applyBorder="1" applyAlignment="1" applyProtection="1">
      <protection locked="0"/>
    </xf>
    <xf numFmtId="169" fontId="28" fillId="0" borderId="0" xfId="0" applyNumberFormat="1" applyFont="1" applyAlignment="1" applyProtection="1">
      <protection locked="0"/>
    </xf>
    <xf numFmtId="37" fontId="28" fillId="0" borderId="0" xfId="0" applyNumberFormat="1" applyFont="1" applyAlignment="1" applyProtection="1">
      <alignment horizontal="right"/>
      <protection locked="0"/>
    </xf>
    <xf numFmtId="0" fontId="2" fillId="0" borderId="0" xfId="0" applyNumberFormat="1" applyFont="1" applyAlignment="1" applyProtection="1">
      <protection locked="0"/>
    </xf>
    <xf numFmtId="178" fontId="4" fillId="0" borderId="3" xfId="10" applyFont="1" applyBorder="1" applyAlignment="1">
      <alignment horizontal="center"/>
    </xf>
    <xf numFmtId="0" fontId="4" fillId="0" borderId="0" xfId="0" applyNumberFormat="1" applyFont="1" applyAlignment="1" applyProtection="1">
      <alignment horizontal="center"/>
      <protection locked="0"/>
    </xf>
    <xf numFmtId="169" fontId="2" fillId="0" borderId="0" xfId="0" applyNumberFormat="1" applyFont="1" applyAlignment="1" applyProtection="1">
      <protection locked="0"/>
    </xf>
    <xf numFmtId="176" fontId="2" fillId="0" borderId="0" xfId="1" applyNumberFormat="1" applyFont="1" applyBorder="1"/>
    <xf numFmtId="176" fontId="2" fillId="0" borderId="0" xfId="1" applyNumberFormat="1" applyFont="1" applyBorder="1" applyAlignment="1" applyProtection="1">
      <protection locked="0"/>
    </xf>
    <xf numFmtId="176" fontId="2" fillId="0" borderId="3" xfId="1" applyNumberFormat="1" applyFont="1" applyBorder="1"/>
    <xf numFmtId="179" fontId="4" fillId="0" borderId="0" xfId="2" applyNumberFormat="1" applyFont="1" applyAlignment="1"/>
    <xf numFmtId="176" fontId="4" fillId="0" borderId="3" xfId="1" applyNumberFormat="1" applyFont="1" applyBorder="1" applyAlignment="1"/>
    <xf numFmtId="41" fontId="4" fillId="0" borderId="0" xfId="10" applyNumberFormat="1" applyFont="1" applyAlignment="1"/>
    <xf numFmtId="179" fontId="4" fillId="0" borderId="4" xfId="2" applyNumberFormat="1" applyFont="1" applyBorder="1" applyAlignment="1"/>
    <xf numFmtId="178" fontId="2" fillId="0" borderId="0" xfId="10" applyFont="1" applyAlignment="1"/>
    <xf numFmtId="41" fontId="4" fillId="0" borderId="0" xfId="10" quotePrefix="1" applyNumberFormat="1" applyFont="1" applyAlignment="1">
      <alignment horizontal="center"/>
    </xf>
    <xf numFmtId="174" fontId="4" fillId="0" borderId="0" xfId="12" applyNumberFormat="1" applyFont="1" applyAlignment="1"/>
    <xf numFmtId="179" fontId="4" fillId="0" borderId="0" xfId="2" applyNumberFormat="1" applyFont="1" applyBorder="1" applyAlignment="1"/>
    <xf numFmtId="176" fontId="4" fillId="0" borderId="0" xfId="1" applyNumberFormat="1" applyFont="1" applyBorder="1" applyAlignment="1"/>
    <xf numFmtId="174" fontId="4" fillId="0" borderId="3" xfId="12" applyNumberFormat="1" applyFont="1" applyBorder="1" applyAlignment="1"/>
    <xf numFmtId="174" fontId="4" fillId="0" borderId="4" xfId="12" applyNumberFormat="1" applyFont="1" applyBorder="1" applyAlignment="1"/>
    <xf numFmtId="41" fontId="9" fillId="0" borderId="0" xfId="10" applyNumberFormat="1" applyFont="1" applyBorder="1" applyAlignment="1"/>
    <xf numFmtId="0" fontId="7" fillId="0" borderId="0" xfId="0" applyNumberFormat="1" applyFont="1" applyAlignment="1" applyProtection="1">
      <alignment horizontal="center"/>
      <protection locked="0"/>
    </xf>
    <xf numFmtId="0" fontId="2" fillId="0" borderId="0" xfId="0" applyNumberFormat="1" applyFont="1" applyAlignment="1" applyProtection="1">
      <protection locked="0"/>
    </xf>
    <xf numFmtId="176" fontId="4" fillId="0" borderId="3" xfId="10" applyNumberFormat="1" applyFont="1" applyFill="1" applyBorder="1" applyAlignment="1"/>
    <xf numFmtId="41" fontId="9" fillId="0" borderId="6" xfId="10" applyNumberFormat="1" applyFont="1" applyBorder="1" applyAlignment="1"/>
    <xf numFmtId="179" fontId="9" fillId="0" borderId="6" xfId="2" applyNumberFormat="1" applyFont="1" applyBorder="1" applyAlignment="1"/>
    <xf numFmtId="176" fontId="2" fillId="0" borderId="3" xfId="1" applyNumberFormat="1" applyFont="1" applyBorder="1" applyAlignment="1" applyProtection="1">
      <protection locked="0"/>
    </xf>
    <xf numFmtId="179" fontId="2" fillId="0" borderId="0" xfId="2" applyNumberFormat="1" applyFont="1" applyFill="1" applyBorder="1"/>
    <xf numFmtId="0" fontId="2" fillId="0" borderId="0" xfId="0" applyNumberFormat="1" applyFont="1" applyAlignment="1" applyProtection="1">
      <protection locked="0"/>
    </xf>
    <xf numFmtId="0" fontId="4" fillId="0" borderId="0" xfId="0" applyNumberFormat="1" applyFont="1" applyAlignment="1" applyProtection="1">
      <alignment horizontal="center"/>
      <protection locked="0"/>
    </xf>
    <xf numFmtId="0" fontId="2" fillId="0" borderId="0" xfId="0" applyNumberFormat="1" applyFont="1" applyAlignment="1" applyProtection="1">
      <protection locked="0"/>
    </xf>
    <xf numFmtId="176" fontId="28" fillId="0" borderId="0" xfId="1" applyNumberFormat="1" applyFont="1" applyFill="1" applyAlignment="1" applyProtection="1">
      <protection locked="0"/>
    </xf>
    <xf numFmtId="179" fontId="2" fillId="0" borderId="3" xfId="2" applyNumberFormat="1" applyFont="1" applyBorder="1"/>
    <xf numFmtId="179" fontId="11" fillId="0" borderId="0" xfId="2" applyNumberFormat="1" applyFont="1" applyBorder="1"/>
    <xf numFmtId="179" fontId="7" fillId="0" borderId="3" xfId="2" applyNumberFormat="1" applyFont="1" applyBorder="1"/>
    <xf numFmtId="179" fontId="7" fillId="0" borderId="0" xfId="2" applyNumberFormat="1" applyFont="1"/>
    <xf numFmtId="176" fontId="7" fillId="0" borderId="3" xfId="1" applyNumberFormat="1" applyFont="1" applyBorder="1" applyAlignment="1" applyProtection="1">
      <protection locked="0"/>
    </xf>
    <xf numFmtId="179" fontId="2" fillId="0" borderId="0" xfId="2" applyNumberFormat="1" applyFont="1"/>
    <xf numFmtId="179" fontId="7" fillId="0" borderId="0" xfId="2" applyNumberFormat="1" applyFont="1" applyAlignment="1" applyProtection="1">
      <protection locked="0"/>
    </xf>
    <xf numFmtId="176" fontId="2" fillId="0" borderId="3" xfId="1" applyNumberFormat="1" applyFont="1" applyFill="1" applyBorder="1"/>
    <xf numFmtId="176" fontId="11" fillId="0" borderId="0" xfId="1" applyNumberFormat="1" applyFont="1" applyBorder="1" applyAlignment="1" applyProtection="1">
      <protection locked="0"/>
    </xf>
    <xf numFmtId="176" fontId="2" fillId="0" borderId="6" xfId="1" applyNumberFormat="1" applyFont="1" applyBorder="1"/>
    <xf numFmtId="176" fontId="11" fillId="0" borderId="0" xfId="1" applyNumberFormat="1" applyFont="1" applyFill="1" applyBorder="1"/>
    <xf numFmtId="176" fontId="31" fillId="0" borderId="0" xfId="1" applyNumberFormat="1" applyFont="1" applyFill="1" applyBorder="1"/>
    <xf numFmtId="176" fontId="28" fillId="0" borderId="0" xfId="1" applyNumberFormat="1" applyFont="1" applyFill="1"/>
    <xf numFmtId="176" fontId="11" fillId="0" borderId="0" xfId="1" applyNumberFormat="1" applyFont="1" applyFill="1"/>
    <xf numFmtId="176" fontId="11" fillId="0" borderId="3" xfId="1" applyNumberFormat="1" applyFont="1" applyBorder="1"/>
    <xf numFmtId="176" fontId="10" fillId="0" borderId="0" xfId="1" applyNumberFormat="1" applyFont="1"/>
    <xf numFmtId="176" fontId="11" fillId="0" borderId="0" xfId="1" applyNumberFormat="1" applyFont="1" applyAlignment="1" applyProtection="1">
      <protection locked="0"/>
    </xf>
    <xf numFmtId="176" fontId="11" fillId="0" borderId="3" xfId="1" applyNumberFormat="1" applyFont="1" applyBorder="1" applyAlignment="1" applyProtection="1">
      <protection locked="0"/>
    </xf>
    <xf numFmtId="176" fontId="31" fillId="0" borderId="0" xfId="1" applyNumberFormat="1" applyFont="1"/>
    <xf numFmtId="179" fontId="31" fillId="0" borderId="0" xfId="2" applyNumberFormat="1" applyFont="1" applyFill="1" applyBorder="1"/>
    <xf numFmtId="179" fontId="7" fillId="0" borderId="0" xfId="2" applyNumberFormat="1" applyFont="1" applyBorder="1"/>
    <xf numFmtId="179" fontId="2" fillId="0" borderId="0" xfId="2" applyNumberFormat="1" applyFont="1" applyFill="1"/>
    <xf numFmtId="179" fontId="2" fillId="0" borderId="4" xfId="2" applyNumberFormat="1" applyFont="1" applyBorder="1"/>
    <xf numFmtId="179" fontId="2" fillId="0" borderId="0" xfId="2" applyNumberFormat="1" applyFont="1" applyBorder="1"/>
    <xf numFmtId="179" fontId="11" fillId="0" borderId="0" xfId="2" applyNumberFormat="1" applyFont="1"/>
    <xf numFmtId="179" fontId="10" fillId="0" borderId="0" xfId="2" applyNumberFormat="1" applyFont="1"/>
    <xf numFmtId="179" fontId="7" fillId="0" borderId="0" xfId="2" applyNumberFormat="1" applyFont="1" applyAlignment="1">
      <alignment horizontal="center"/>
    </xf>
    <xf numFmtId="179" fontId="11" fillId="0" borderId="3" xfId="2" applyNumberFormat="1" applyFont="1" applyBorder="1"/>
    <xf numFmtId="179" fontId="11" fillId="0" borderId="0" xfId="2" applyNumberFormat="1" applyFont="1" applyAlignment="1" applyProtection="1">
      <protection locked="0"/>
    </xf>
    <xf numFmtId="179" fontId="31" fillId="0" borderId="0" xfId="2" applyNumberFormat="1" applyFont="1" applyAlignment="1" applyProtection="1">
      <protection locked="0"/>
    </xf>
    <xf numFmtId="179" fontId="11" fillId="0" borderId="0" xfId="2" applyNumberFormat="1" applyFont="1" applyFill="1" applyAlignment="1" applyProtection="1">
      <protection locked="0"/>
    </xf>
    <xf numFmtId="179" fontId="7" fillId="0" borderId="0" xfId="2" applyNumberFormat="1" applyFont="1" applyFill="1"/>
    <xf numFmtId="179" fontId="7" fillId="0" borderId="0" xfId="2" applyNumberFormat="1" applyFont="1" applyFill="1" applyAlignment="1" applyProtection="1">
      <protection locked="0"/>
    </xf>
    <xf numFmtId="176" fontId="28" fillId="0" borderId="3" xfId="1" applyNumberFormat="1" applyFont="1" applyFill="1" applyBorder="1"/>
    <xf numFmtId="176" fontId="31" fillId="0" borderId="3" xfId="1" applyNumberFormat="1" applyFont="1" applyFill="1" applyBorder="1"/>
    <xf numFmtId="176" fontId="7" fillId="0" borderId="3" xfId="1" applyNumberFormat="1" applyFont="1" applyFill="1" applyBorder="1"/>
    <xf numFmtId="176" fontId="31" fillId="0" borderId="0" xfId="1" applyNumberFormat="1" applyFont="1" applyFill="1" applyAlignment="1" applyProtection="1">
      <protection locked="0"/>
    </xf>
    <xf numFmtId="176" fontId="11" fillId="0" borderId="3" xfId="1" applyNumberFormat="1" applyFont="1" applyFill="1" applyBorder="1"/>
    <xf numFmtId="37" fontId="28" fillId="0" borderId="0" xfId="0" applyNumberFormat="1" applyFont="1" applyFill="1" applyAlignment="1" applyProtection="1">
      <protection locked="0"/>
    </xf>
    <xf numFmtId="37" fontId="31" fillId="0" borderId="0" xfId="0" applyNumberFormat="1" applyFont="1" applyFill="1" applyAlignment="1" applyProtection="1">
      <protection locked="0"/>
    </xf>
    <xf numFmtId="0" fontId="4" fillId="0" borderId="0" xfId="0" applyNumberFormat="1" applyFont="1" applyAlignment="1" applyProtection="1">
      <alignment horizontal="center"/>
      <protection locked="0"/>
    </xf>
    <xf numFmtId="0" fontId="7" fillId="0" borderId="3" xfId="0" applyNumberFormat="1" applyFont="1" applyBorder="1" applyAlignment="1" applyProtection="1">
      <alignment horizontal="center"/>
      <protection locked="0"/>
    </xf>
    <xf numFmtId="176" fontId="7" fillId="0" borderId="0" xfId="1" applyNumberFormat="1" applyFont="1" applyFill="1" applyBorder="1"/>
    <xf numFmtId="176" fontId="5" fillId="0" borderId="0" xfId="1" applyNumberFormat="1" applyFont="1" applyAlignment="1" applyProtection="1">
      <protection locked="0"/>
    </xf>
    <xf numFmtId="176" fontId="2" fillId="0" borderId="6" xfId="1" applyNumberFormat="1" applyFont="1" applyBorder="1" applyAlignment="1" applyProtection="1">
      <protection locked="0"/>
    </xf>
    <xf numFmtId="176" fontId="7" fillId="0" borderId="4" xfId="1" applyNumberFormat="1" applyFont="1" applyBorder="1" applyAlignment="1" applyProtection="1">
      <protection locked="0"/>
    </xf>
    <xf numFmtId="176" fontId="18" fillId="0" borderId="0" xfId="1" applyNumberFormat="1" applyFont="1" applyAlignment="1" applyProtection="1">
      <protection locked="0"/>
    </xf>
    <xf numFmtId="176" fontId="18" fillId="0" borderId="0" xfId="1" applyNumberFormat="1" applyFont="1" applyAlignment="1" applyProtection="1">
      <alignment horizontal="center"/>
      <protection locked="0"/>
    </xf>
    <xf numFmtId="179" fontId="7" fillId="0" borderId="0" xfId="2" applyNumberFormat="1" applyFont="1" applyBorder="1" applyAlignment="1" applyProtection="1">
      <protection locked="0"/>
    </xf>
    <xf numFmtId="179" fontId="2" fillId="0" borderId="3" xfId="2" applyNumberFormat="1" applyFont="1" applyBorder="1" applyAlignment="1" applyProtection="1">
      <protection locked="0"/>
    </xf>
    <xf numFmtId="37" fontId="28" fillId="0" borderId="0" xfId="9" applyNumberFormat="1" applyFont="1" applyFill="1" applyAlignment="1"/>
    <xf numFmtId="180" fontId="7" fillId="0" borderId="0" xfId="1" applyNumberFormat="1" applyFont="1" applyAlignment="1" applyProtection="1">
      <protection locked="0"/>
    </xf>
    <xf numFmtId="180" fontId="18" fillId="0" borderId="0" xfId="1" applyNumberFormat="1" applyFont="1" applyAlignment="1" applyProtection="1">
      <protection locked="0"/>
    </xf>
    <xf numFmtId="176" fontId="9" fillId="0" borderId="6" xfId="1" applyNumberFormat="1" applyFont="1" applyBorder="1" applyAlignment="1"/>
    <xf numFmtId="176" fontId="2" fillId="0" borderId="0" xfId="1" applyNumberFormat="1" applyFont="1" applyFill="1" applyBorder="1" applyAlignment="1" applyProtection="1">
      <alignment horizontal="center"/>
      <protection locked="0"/>
    </xf>
    <xf numFmtId="176" fontId="2" fillId="0" borderId="3" xfId="1" applyNumberFormat="1" applyFont="1" applyFill="1" applyBorder="1" applyAlignment="1" applyProtection="1">
      <protection locked="0"/>
    </xf>
    <xf numFmtId="179" fontId="28" fillId="0" borderId="0" xfId="2" applyNumberFormat="1" applyFont="1" applyFill="1" applyAlignment="1" applyProtection="1">
      <protection locked="0"/>
    </xf>
    <xf numFmtId="183" fontId="2" fillId="0" borderId="0" xfId="12" applyNumberFormat="1" applyFont="1" applyAlignment="1" applyProtection="1">
      <protection locked="0"/>
    </xf>
    <xf numFmtId="178" fontId="9" fillId="0" borderId="0" xfId="10" applyFont="1" applyBorder="1" applyAlignment="1">
      <alignment horizontal="center"/>
    </xf>
    <xf numFmtId="178" fontId="7" fillId="0" borderId="0" xfId="10" applyFont="1" applyBorder="1" applyAlignment="1"/>
    <xf numFmtId="178" fontId="17" fillId="0" borderId="0" xfId="10" applyNumberFormat="1" applyFont="1" applyBorder="1" applyAlignment="1"/>
    <xf numFmtId="41" fontId="9" fillId="0" borderId="0" xfId="10" quotePrefix="1" applyNumberFormat="1" applyFont="1" applyBorder="1" applyAlignment="1">
      <alignment horizontal="center"/>
    </xf>
    <xf numFmtId="179" fontId="2" fillId="0" borderId="0" xfId="0" applyNumberFormat="1" applyFont="1" applyBorder="1" applyAlignment="1" applyProtection="1">
      <protection locked="0"/>
    </xf>
    <xf numFmtId="174" fontId="2" fillId="0" borderId="0" xfId="12" applyNumberFormat="1" applyFont="1" applyBorder="1" applyAlignment="1" applyProtection="1">
      <protection locked="0"/>
    </xf>
    <xf numFmtId="41" fontId="2" fillId="0" borderId="0" xfId="0" applyNumberFormat="1" applyFont="1" applyBorder="1" applyAlignment="1" applyProtection="1">
      <protection locked="0"/>
    </xf>
    <xf numFmtId="178" fontId="9" fillId="0" borderId="0" xfId="10" applyFont="1" applyFill="1" applyBorder="1"/>
    <xf numFmtId="41" fontId="9" fillId="0" borderId="0" xfId="10" applyNumberFormat="1" applyFont="1" applyFill="1" applyBorder="1" applyAlignment="1"/>
    <xf numFmtId="176" fontId="9" fillId="0" borderId="0" xfId="10" applyNumberFormat="1" applyFont="1" applyFill="1" applyBorder="1" applyAlignment="1"/>
    <xf numFmtId="178" fontId="7" fillId="0" borderId="0" xfId="10" applyFont="1" applyFill="1" applyBorder="1"/>
    <xf numFmtId="42" fontId="9" fillId="0" borderId="0" xfId="10" applyNumberFormat="1" applyFont="1" applyBorder="1" applyAlignment="1"/>
    <xf numFmtId="42" fontId="2" fillId="0" borderId="0" xfId="0" applyNumberFormat="1" applyFont="1" applyBorder="1" applyAlignment="1" applyProtection="1">
      <protection locked="0"/>
    </xf>
    <xf numFmtId="10" fontId="2" fillId="0" borderId="0" xfId="12" applyNumberFormat="1" applyFont="1" applyBorder="1" applyAlignment="1" applyProtection="1">
      <protection locked="0"/>
    </xf>
    <xf numFmtId="178" fontId="27" fillId="0" borderId="0" xfId="10" applyFont="1" applyBorder="1" applyAlignment="1"/>
    <xf numFmtId="178" fontId="4" fillId="0" borderId="0" xfId="10" applyFont="1" applyBorder="1" applyAlignment="1"/>
    <xf numFmtId="0" fontId="2" fillId="0" borderId="0" xfId="0" applyNumberFormat="1" applyFont="1" applyFill="1" applyBorder="1" applyAlignment="1"/>
    <xf numFmtId="14" fontId="2" fillId="0" borderId="0" xfId="0" applyNumberFormat="1" applyFont="1" applyFill="1" applyBorder="1" applyAlignment="1"/>
    <xf numFmtId="176" fontId="2" fillId="0" borderId="0" xfId="1" applyNumberFormat="1" applyFont="1" applyFill="1" applyBorder="1" applyAlignment="1"/>
    <xf numFmtId="37" fontId="2" fillId="0" borderId="0" xfId="0" applyNumberFormat="1" applyFont="1" applyFill="1" applyBorder="1" applyAlignment="1"/>
    <xf numFmtId="0" fontId="4" fillId="0" borderId="0" xfId="0" applyNumberFormat="1" applyFont="1" applyFill="1" applyBorder="1" applyAlignment="1" applyProtection="1">
      <protection locked="0"/>
    </xf>
    <xf numFmtId="176" fontId="29" fillId="0" borderId="0" xfId="1" applyNumberFormat="1" applyFont="1" applyFill="1" applyBorder="1" applyAlignment="1" applyProtection="1">
      <protection locked="0"/>
    </xf>
    <xf numFmtId="0" fontId="28" fillId="0" borderId="0" xfId="0" applyNumberFormat="1" applyFont="1" applyFill="1" applyBorder="1" applyAlignment="1"/>
    <xf numFmtId="3" fontId="28" fillId="0" borderId="0" xfId="0" applyNumberFormat="1" applyFont="1" applyFill="1" applyBorder="1" applyAlignment="1"/>
    <xf numFmtId="0" fontId="4" fillId="0" borderId="0" xfId="7" applyFont="1" applyFill="1" applyBorder="1" applyAlignment="1"/>
    <xf numFmtId="3" fontId="4" fillId="0" borderId="0" xfId="7" applyNumberFormat="1" applyFont="1" applyFill="1" applyBorder="1" applyAlignment="1"/>
    <xf numFmtId="164" fontId="2" fillId="0" borderId="0" xfId="7" applyNumberFormat="1" applyFont="1" applyFill="1" applyBorder="1" applyAlignment="1"/>
    <xf numFmtId="0" fontId="2" fillId="0" borderId="0" xfId="7" applyNumberFormat="1" applyFont="1" applyFill="1" applyBorder="1" applyAlignment="1"/>
    <xf numFmtId="37" fontId="2" fillId="0" borderId="0" xfId="7" applyNumberFormat="1" applyFont="1" applyFill="1" applyBorder="1" applyAlignment="1"/>
    <xf numFmtId="170" fontId="4" fillId="0" borderId="0" xfId="7" applyNumberFormat="1" applyFont="1" applyFill="1" applyBorder="1" applyAlignment="1"/>
    <xf numFmtId="178" fontId="4" fillId="0" borderId="0" xfId="10" applyFont="1" applyFill="1" applyBorder="1" applyAlignment="1"/>
    <xf numFmtId="178" fontId="4" fillId="0" borderId="0" xfId="10" applyFont="1" applyFill="1" applyBorder="1" applyAlignment="1">
      <alignment horizontal="center"/>
    </xf>
    <xf numFmtId="0" fontId="4" fillId="0" borderId="0" xfId="0" applyNumberFormat="1" applyFont="1" applyFill="1" applyBorder="1" applyAlignment="1" applyProtection="1">
      <alignment horizontal="center"/>
      <protection locked="0"/>
    </xf>
    <xf numFmtId="0" fontId="4" fillId="0" borderId="0" xfId="0" quotePrefix="1" applyNumberFormat="1" applyFont="1" applyFill="1" applyBorder="1" applyAlignment="1" applyProtection="1">
      <alignment horizontal="center"/>
      <protection locked="0"/>
    </xf>
    <xf numFmtId="175" fontId="4" fillId="0" borderId="0" xfId="0" applyNumberFormat="1" applyFont="1" applyFill="1" applyBorder="1" applyAlignment="1" applyProtection="1">
      <protection locked="0"/>
    </xf>
    <xf numFmtId="2" fontId="4" fillId="0" borderId="0" xfId="0" applyNumberFormat="1" applyFont="1" applyFill="1" applyBorder="1" applyAlignment="1" applyProtection="1">
      <protection locked="0"/>
    </xf>
    <xf numFmtId="177" fontId="4" fillId="0" borderId="0" xfId="1" applyNumberFormat="1" applyFont="1" applyFill="1" applyBorder="1" applyAlignment="1" applyProtection="1">
      <protection locked="0"/>
    </xf>
    <xf numFmtId="180" fontId="2" fillId="0" borderId="0" xfId="1" applyNumberFormat="1" applyFont="1" applyAlignment="1" applyProtection="1">
      <protection locked="0"/>
    </xf>
    <xf numFmtId="0" fontId="2" fillId="0" borderId="0" xfId="0" applyNumberFormat="1" applyFont="1"/>
    <xf numFmtId="178" fontId="4" fillId="0" borderId="3" xfId="10" applyFont="1" applyBorder="1" applyAlignment="1">
      <alignment horizontal="center"/>
    </xf>
    <xf numFmtId="178" fontId="9" fillId="0" borderId="0" xfId="10" applyFont="1" applyAlignment="1">
      <alignment horizontal="center"/>
    </xf>
    <xf numFmtId="178" fontId="4" fillId="0" borderId="0" xfId="10" applyFont="1" applyAlignment="1">
      <alignment horizontal="center"/>
    </xf>
    <xf numFmtId="178" fontId="9" fillId="0" borderId="3" xfId="10" applyFont="1" applyBorder="1" applyAlignment="1">
      <alignment horizontal="center"/>
    </xf>
    <xf numFmtId="178" fontId="27" fillId="0" borderId="0" xfId="10" applyFont="1" applyAlignment="1">
      <alignment horizontal="center"/>
    </xf>
    <xf numFmtId="178" fontId="9" fillId="0" borderId="0" xfId="10" applyFont="1" applyBorder="1" applyAlignment="1">
      <alignment horizontal="center"/>
    </xf>
    <xf numFmtId="0" fontId="9" fillId="0" borderId="0" xfId="0" applyNumberFormat="1" applyFont="1" applyAlignment="1" applyProtection="1">
      <alignment horizontal="center"/>
      <protection locked="0"/>
    </xf>
    <xf numFmtId="0" fontId="4" fillId="0" borderId="0" xfId="0" applyNumberFormat="1" applyFont="1" applyAlignment="1" applyProtection="1">
      <alignment horizontal="center"/>
      <protection locked="0"/>
    </xf>
    <xf numFmtId="0" fontId="7" fillId="0" borderId="0" xfId="0" applyNumberFormat="1" applyFont="1" applyAlignment="1" applyProtection="1">
      <alignment horizontal="center"/>
      <protection locked="0"/>
    </xf>
    <xf numFmtId="0" fontId="2" fillId="0" borderId="0" xfId="0" applyNumberFormat="1" applyFont="1" applyAlignment="1">
      <alignment horizontal="justify" vertical="top" wrapText="1"/>
    </xf>
    <xf numFmtId="0" fontId="2" fillId="0" borderId="0" xfId="0" applyNumberFormat="1" applyFont="1" applyAlignment="1">
      <alignment horizontal="justify" wrapText="1"/>
    </xf>
    <xf numFmtId="0" fontId="2" fillId="0" borderId="0" xfId="6" applyNumberFormat="1" applyFont="1" applyAlignment="1">
      <alignment horizontal="justify" vertical="top" wrapText="1"/>
    </xf>
    <xf numFmtId="0" fontId="2" fillId="0" borderId="0" xfId="0" applyNumberFormat="1" applyFont="1" applyAlignment="1">
      <alignment horizontal="left" wrapText="1"/>
    </xf>
    <xf numFmtId="0" fontId="2" fillId="0" borderId="0" xfId="0" applyNumberFormat="1" applyFont="1" applyAlignment="1">
      <alignment horizontal="justify"/>
    </xf>
    <xf numFmtId="0" fontId="2" fillId="0" borderId="0" xfId="7" applyNumberFormat="1" applyFont="1" applyAlignment="1">
      <alignment horizontal="justify" vertical="top" wrapText="1"/>
    </xf>
    <xf numFmtId="0" fontId="2" fillId="0" borderId="0" xfId="3" applyNumberFormat="1" applyFont="1" applyAlignment="1">
      <alignment horizontal="justify" vertical="top" wrapText="1"/>
    </xf>
    <xf numFmtId="0" fontId="2" fillId="0" borderId="0" xfId="7" applyNumberFormat="1" applyFont="1" applyAlignment="1">
      <alignment horizontal="center"/>
    </xf>
    <xf numFmtId="0" fontId="2" fillId="0" borderId="5" xfId="7" applyNumberFormat="1" applyFont="1" applyBorder="1" applyAlignment="1">
      <alignment horizontal="center"/>
    </xf>
    <xf numFmtId="0" fontId="2" fillId="0" borderId="0" xfId="8" applyNumberFormat="1" applyFont="1" applyAlignment="1">
      <alignment horizontal="justify" vertical="top" wrapText="1"/>
    </xf>
    <xf numFmtId="0" fontId="2" fillId="0" borderId="0" xfId="0" applyNumberFormat="1" applyFont="1" applyAlignment="1" applyProtection="1">
      <protection locked="0"/>
    </xf>
    <xf numFmtId="0" fontId="2" fillId="0" borderId="0" xfId="4" applyNumberFormat="1" applyFont="1" applyAlignment="1">
      <alignment horizontal="justify" vertical="top" wrapText="1"/>
    </xf>
    <xf numFmtId="0" fontId="2" fillId="0" borderId="0" xfId="5" applyNumberFormat="1" applyFont="1" applyAlignment="1">
      <alignment horizontal="justify" vertical="top" wrapText="1"/>
    </xf>
    <xf numFmtId="0" fontId="2" fillId="0" borderId="0" xfId="5" applyNumberFormat="1" applyFont="1" applyAlignment="1">
      <alignment horizontal="center"/>
    </xf>
    <xf numFmtId="0" fontId="9" fillId="0" borderId="0" xfId="0" applyNumberFormat="1" applyFont="1" applyAlignment="1">
      <alignment horizontal="center"/>
    </xf>
    <xf numFmtId="0" fontId="8" fillId="0" borderId="0" xfId="9" applyFont="1" applyBorder="1" applyAlignment="1">
      <alignment horizontal="center"/>
    </xf>
    <xf numFmtId="0" fontId="7" fillId="0" borderId="5" xfId="0" applyNumberFormat="1" applyFont="1" applyBorder="1" applyAlignment="1">
      <alignment horizontal="center"/>
    </xf>
  </cellXfs>
  <cellStyles count="17">
    <cellStyle name="Comma" xfId="1" builtinId="3"/>
    <cellStyle name="Comma 2" xfId="15" xr:uid="{8F331E4D-C998-46AE-9376-EED4F017F513}"/>
    <cellStyle name="Currency" xfId="2" builtinId="4"/>
    <cellStyle name="Normal" xfId="0" builtinId="0"/>
    <cellStyle name="Normal 2" xfId="13" xr:uid="{00000000-0005-0000-0000-000003000000}"/>
    <cellStyle name="Normal 3" xfId="14" xr:uid="{9B17D206-03E6-41C4-8766-613CEA77DF06}"/>
    <cellStyle name="Normal_F   5" xfId="3" xr:uid="{00000000-0005-0000-0000-000004000000}"/>
    <cellStyle name="Normal_F   6   7" xfId="4" xr:uid="{00000000-0005-0000-0000-000005000000}"/>
    <cellStyle name="Normal_F   8  9  10" xfId="5" xr:uid="{00000000-0005-0000-0000-000006000000}"/>
    <cellStyle name="Normal_F 2 B" xfId="6" xr:uid="{00000000-0005-0000-0000-000007000000}"/>
    <cellStyle name="Normal_F 3B 4B" xfId="7" xr:uid="{00000000-0005-0000-0000-000008000000}"/>
    <cellStyle name="Normal_F 5B" xfId="8" xr:uid="{00000000-0005-0000-0000-000009000000}"/>
    <cellStyle name="Normal_MetersServices" xfId="9" xr:uid="{00000000-0005-0000-0000-00000A000000}"/>
    <cellStyle name="Normal_Sch M" xfId="10" xr:uid="{00000000-0005-0000-0000-00000B000000}"/>
    <cellStyle name="Normal_Sched G" xfId="11" xr:uid="{00000000-0005-0000-0000-00000C000000}"/>
    <cellStyle name="Percent" xfId="12" builtinId="5"/>
    <cellStyle name="Percent 2" xfId="16" xr:uid="{FD5BF987-CC81-4EF9-9548-FD02F41AA8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X86"/>
  <sheetViews>
    <sheetView tabSelected="1" zoomScale="85" zoomScaleNormal="85" workbookViewId="0">
      <selection activeCell="H24" sqref="H24"/>
    </sheetView>
  </sheetViews>
  <sheetFormatPr defaultRowHeight="13.2" x14ac:dyDescent="0.25"/>
  <cols>
    <col min="2" max="2" width="20.54296875" customWidth="1"/>
    <col min="3" max="3" width="3.6328125" customWidth="1"/>
    <col min="4" max="4" width="13.453125" bestFit="1" customWidth="1"/>
    <col min="5" max="5" width="3.1796875" customWidth="1"/>
    <col min="6" max="6" width="8.08984375" customWidth="1"/>
    <col min="7" max="7" width="3.453125" customWidth="1"/>
    <col min="8" max="8" width="14.453125" bestFit="1" customWidth="1"/>
    <col min="9" max="9" width="1.81640625" customWidth="1"/>
    <col min="10" max="10" width="8.453125" customWidth="1"/>
    <col min="11" max="11" width="3.6328125" customWidth="1"/>
    <col min="12" max="12" width="13.1796875" customWidth="1"/>
    <col min="13" max="13" width="1.6328125" customWidth="1"/>
    <col min="14" max="14" width="9.453125" bestFit="1" customWidth="1"/>
    <col min="15" max="15" width="3.453125" customWidth="1"/>
    <col min="16" max="16" width="12.90625" bestFit="1" customWidth="1"/>
    <col min="17" max="17" width="2.36328125" customWidth="1"/>
    <col min="18" max="18" width="8.36328125" customWidth="1"/>
    <col min="20" max="20" width="12.1796875" bestFit="1" customWidth="1"/>
    <col min="21" max="21" width="10" bestFit="1" customWidth="1"/>
  </cols>
  <sheetData>
    <row r="6" spans="2:20" ht="15" x14ac:dyDescent="0.25">
      <c r="B6" s="736" t="s">
        <v>51</v>
      </c>
      <c r="C6" s="736"/>
      <c r="D6" s="736"/>
      <c r="E6" s="736"/>
      <c r="F6" s="736"/>
      <c r="G6" s="736"/>
      <c r="H6" s="736"/>
      <c r="I6" s="736"/>
      <c r="J6" s="736"/>
      <c r="K6" s="736"/>
      <c r="L6" s="736"/>
      <c r="M6" s="736"/>
      <c r="N6" s="736"/>
      <c r="O6" s="736"/>
      <c r="P6" s="736"/>
      <c r="Q6" s="736"/>
      <c r="R6" s="736"/>
    </row>
    <row r="7" spans="2:20" ht="15.6" x14ac:dyDescent="0.3">
      <c r="B7" s="739"/>
      <c r="C7" s="739"/>
      <c r="D7" s="739"/>
      <c r="E7" s="739"/>
      <c r="F7" s="739"/>
      <c r="G7" s="739"/>
      <c r="H7" s="739"/>
      <c r="I7" s="739"/>
      <c r="J7" s="739"/>
      <c r="K7" s="739"/>
      <c r="L7" s="739"/>
      <c r="M7" s="739"/>
      <c r="N7" s="739"/>
      <c r="O7" s="739"/>
      <c r="P7" s="739"/>
      <c r="Q7" s="739"/>
      <c r="R7" s="739"/>
    </row>
    <row r="8" spans="2:20" ht="15" x14ac:dyDescent="0.25">
      <c r="B8" s="258"/>
      <c r="C8" s="258"/>
      <c r="D8" s="258"/>
      <c r="E8" s="258"/>
      <c r="F8" s="258"/>
      <c r="G8" s="258"/>
      <c r="H8" s="258"/>
      <c r="I8" s="258"/>
      <c r="J8" s="258"/>
      <c r="K8" s="258"/>
      <c r="L8" s="258"/>
      <c r="M8" s="259"/>
      <c r="N8" s="259"/>
      <c r="O8" s="259"/>
      <c r="P8" s="259"/>
      <c r="Q8" s="259"/>
      <c r="R8" s="259"/>
    </row>
    <row r="9" spans="2:20" ht="15" x14ac:dyDescent="0.25">
      <c r="B9" s="736" t="s">
        <v>469</v>
      </c>
      <c r="C9" s="736"/>
      <c r="D9" s="736"/>
      <c r="E9" s="736"/>
      <c r="F9" s="736"/>
      <c r="G9" s="736"/>
      <c r="H9" s="736"/>
      <c r="I9" s="736"/>
      <c r="J9" s="736"/>
      <c r="K9" s="736"/>
      <c r="L9" s="736"/>
      <c r="M9" s="736"/>
      <c r="N9" s="736"/>
      <c r="O9" s="736"/>
      <c r="P9" s="736"/>
      <c r="Q9" s="736"/>
      <c r="R9" s="736"/>
    </row>
    <row r="10" spans="2:20" ht="15" x14ac:dyDescent="0.25">
      <c r="B10" s="737" t="s">
        <v>483</v>
      </c>
      <c r="C10" s="737"/>
      <c r="D10" s="737"/>
      <c r="E10" s="737"/>
      <c r="F10" s="737"/>
      <c r="G10" s="737"/>
      <c r="H10" s="737"/>
      <c r="I10" s="737"/>
      <c r="J10" s="737"/>
      <c r="K10" s="737"/>
      <c r="L10" s="737"/>
      <c r="M10" s="737"/>
      <c r="N10" s="737"/>
      <c r="O10" s="737"/>
      <c r="P10" s="737"/>
      <c r="Q10" s="737"/>
      <c r="R10" s="737"/>
    </row>
    <row r="11" spans="2:20" ht="15" x14ac:dyDescent="0.25">
      <c r="B11" s="258"/>
      <c r="C11" s="258"/>
      <c r="D11" s="258"/>
      <c r="E11" s="258"/>
      <c r="F11" s="258"/>
      <c r="G11" s="258"/>
      <c r="H11" s="258"/>
      <c r="I11" s="258"/>
      <c r="J11" s="258"/>
      <c r="K11" s="258"/>
      <c r="L11" s="258"/>
      <c r="M11" s="259"/>
      <c r="N11" s="259"/>
      <c r="O11" s="259"/>
      <c r="P11" s="259"/>
      <c r="Q11" s="259"/>
      <c r="R11" s="259"/>
    </row>
    <row r="12" spans="2:20" ht="15" x14ac:dyDescent="0.25">
      <c r="B12" s="258"/>
      <c r="C12" s="258"/>
      <c r="D12" s="258"/>
      <c r="E12" s="258"/>
      <c r="F12" s="258"/>
      <c r="G12" s="258"/>
      <c r="H12" s="289"/>
      <c r="I12" s="289"/>
      <c r="J12" s="289"/>
      <c r="K12" s="289"/>
      <c r="L12" s="289"/>
      <c r="M12" s="619"/>
      <c r="N12" s="619"/>
      <c r="O12" s="259"/>
      <c r="P12" s="740"/>
      <c r="Q12" s="740"/>
      <c r="R12" s="740"/>
    </row>
    <row r="13" spans="2:20" ht="15" x14ac:dyDescent="0.25">
      <c r="B13" s="260"/>
      <c r="C13" s="260"/>
      <c r="D13" s="738" t="s">
        <v>424</v>
      </c>
      <c r="E13" s="738"/>
      <c r="F13" s="738"/>
      <c r="G13" s="258"/>
      <c r="H13" s="289"/>
      <c r="I13" s="289"/>
      <c r="J13" s="289"/>
      <c r="K13" s="289"/>
      <c r="L13" s="289"/>
      <c r="M13" s="619"/>
      <c r="N13" s="619"/>
      <c r="O13" s="259"/>
      <c r="P13" s="738" t="s">
        <v>468</v>
      </c>
      <c r="Q13" s="738"/>
      <c r="R13" s="738"/>
    </row>
    <row r="14" spans="2:20" ht="15" x14ac:dyDescent="0.25">
      <c r="B14" s="257" t="s">
        <v>233</v>
      </c>
      <c r="C14" s="257"/>
      <c r="D14" s="283" t="s">
        <v>425</v>
      </c>
      <c r="G14" s="258"/>
      <c r="H14" s="735" t="s">
        <v>426</v>
      </c>
      <c r="I14" s="735"/>
      <c r="J14" s="735"/>
      <c r="K14" s="289"/>
      <c r="L14" s="735" t="s">
        <v>467</v>
      </c>
      <c r="M14" s="735"/>
      <c r="N14" s="735"/>
      <c r="O14" s="259"/>
      <c r="P14" s="259"/>
      <c r="Q14" s="259"/>
      <c r="R14" s="257" t="s">
        <v>271</v>
      </c>
      <c r="T14" s="154"/>
    </row>
    <row r="15" spans="2:20" ht="15" x14ac:dyDescent="0.25">
      <c r="B15" s="261" t="s">
        <v>187</v>
      </c>
      <c r="C15" s="260"/>
      <c r="D15" s="261" t="s">
        <v>444</v>
      </c>
      <c r="E15" s="258"/>
      <c r="F15" s="261" t="s">
        <v>271</v>
      </c>
      <c r="G15" s="258"/>
      <c r="H15" s="609" t="s">
        <v>425</v>
      </c>
      <c r="I15" s="289"/>
      <c r="J15" s="609" t="s">
        <v>271</v>
      </c>
      <c r="K15" s="289"/>
      <c r="L15" s="609" t="s">
        <v>425</v>
      </c>
      <c r="M15" s="289"/>
      <c r="N15" s="609" t="s">
        <v>271</v>
      </c>
      <c r="O15" s="259"/>
      <c r="P15" s="261" t="s">
        <v>425</v>
      </c>
      <c r="Q15" s="258"/>
      <c r="R15" s="261" t="s">
        <v>427</v>
      </c>
      <c r="T15" s="154"/>
    </row>
    <row r="16" spans="2:20" ht="15" x14ac:dyDescent="0.25">
      <c r="B16" s="262" t="s">
        <v>189</v>
      </c>
      <c r="C16" s="263"/>
      <c r="D16" s="262" t="s">
        <v>208</v>
      </c>
      <c r="E16" s="263"/>
      <c r="F16" s="262" t="s">
        <v>191</v>
      </c>
      <c r="G16" s="263"/>
      <c r="H16" s="620" t="s">
        <v>210</v>
      </c>
      <c r="I16" s="617"/>
      <c r="J16" s="620" t="s">
        <v>222</v>
      </c>
      <c r="K16" s="289"/>
      <c r="L16" s="620" t="s">
        <v>236</v>
      </c>
      <c r="M16" s="617"/>
      <c r="N16" s="620" t="s">
        <v>243</v>
      </c>
      <c r="O16" s="259"/>
      <c r="P16" s="262" t="s">
        <v>428</v>
      </c>
      <c r="Q16" s="263"/>
      <c r="R16" s="262" t="s">
        <v>429</v>
      </c>
      <c r="T16" s="154"/>
    </row>
    <row r="17" spans="1:21" ht="15" x14ac:dyDescent="0.25">
      <c r="B17" s="258"/>
      <c r="C17" s="258"/>
      <c r="D17" s="258"/>
      <c r="E17" s="258"/>
      <c r="F17" s="258"/>
      <c r="G17" s="258"/>
      <c r="H17" s="289"/>
      <c r="I17" s="289"/>
      <c r="J17" s="289"/>
      <c r="K17" s="289"/>
      <c r="L17" s="289"/>
      <c r="M17" s="289"/>
      <c r="N17" s="289"/>
      <c r="O17" s="259"/>
      <c r="P17" s="258"/>
      <c r="Q17" s="258"/>
      <c r="R17" s="258"/>
      <c r="T17" s="381"/>
    </row>
    <row r="18" spans="1:21" ht="15" x14ac:dyDescent="0.25">
      <c r="A18" s="281"/>
      <c r="B18" s="258" t="s">
        <v>192</v>
      </c>
      <c r="C18" s="258"/>
      <c r="D18" s="264">
        <f>+'SCH-B - COS'!K209</f>
        <v>42038184.641234793</v>
      </c>
      <c r="E18" s="258"/>
      <c r="F18" s="256">
        <f>ROUND(D18/D$28,3)+0.001</f>
        <v>0.61699999999999999</v>
      </c>
      <c r="G18" s="258"/>
      <c r="H18" s="615">
        <v>36905238.239999995</v>
      </c>
      <c r="I18" s="289"/>
      <c r="J18" s="621">
        <f>ROUND(H18/H$28,3)+0.001</f>
        <v>0.626</v>
      </c>
      <c r="K18" s="289"/>
      <c r="L18" s="615">
        <v>42549893.539999999</v>
      </c>
      <c r="M18" s="289"/>
      <c r="N18" s="621">
        <f>ROUND(L18/L$28,3)-0.001</f>
        <v>0.623</v>
      </c>
      <c r="O18" s="259"/>
      <c r="P18" s="264">
        <f>+L18-H18</f>
        <v>5644655.3000000045</v>
      </c>
      <c r="Q18" s="258"/>
      <c r="R18" s="256">
        <f>+P18/H18</f>
        <v>0.15294997591648132</v>
      </c>
      <c r="S18" s="373"/>
      <c r="T18" s="369"/>
      <c r="U18" s="570"/>
    </row>
    <row r="19" spans="1:21" ht="15" x14ac:dyDescent="0.25">
      <c r="A19" s="281"/>
      <c r="B19" s="258"/>
      <c r="C19" s="258"/>
      <c r="D19" s="258"/>
      <c r="E19" s="258"/>
      <c r="F19" s="256"/>
      <c r="G19" s="258"/>
      <c r="H19" s="615"/>
      <c r="I19" s="289"/>
      <c r="J19" s="621"/>
      <c r="K19" s="289"/>
      <c r="L19" s="622"/>
      <c r="M19" s="289"/>
      <c r="N19" s="621"/>
      <c r="O19" s="259"/>
      <c r="P19" s="280"/>
      <c r="Q19" s="258"/>
      <c r="R19" s="256"/>
      <c r="S19" s="608"/>
      <c r="T19" s="369"/>
      <c r="U19" s="570"/>
    </row>
    <row r="20" spans="1:21" ht="15" x14ac:dyDescent="0.25">
      <c r="A20" s="281"/>
      <c r="B20" s="258" t="s">
        <v>325</v>
      </c>
      <c r="C20" s="258"/>
      <c r="D20" s="263">
        <f>+'SCH-B - COS'!M209</f>
        <v>16088336.937493855</v>
      </c>
      <c r="E20" s="258"/>
      <c r="F20" s="256">
        <f>ROUND(D20/D$28,3)</f>
        <v>0.23599999999999999</v>
      </c>
      <c r="G20" s="258"/>
      <c r="H20" s="355">
        <v>13763127</v>
      </c>
      <c r="I20" s="289"/>
      <c r="J20" s="621">
        <f>ROUND(H20/H$28,3)</f>
        <v>0.23300000000000001</v>
      </c>
      <c r="K20" s="289"/>
      <c r="L20" s="623">
        <v>15926129.780000001</v>
      </c>
      <c r="M20" s="289"/>
      <c r="N20" s="621">
        <f>ROUND(L20/L$28,3)</f>
        <v>0.23400000000000001</v>
      </c>
      <c r="O20" s="259"/>
      <c r="P20" s="280">
        <f>+L20-H20</f>
        <v>2163002.7800000012</v>
      </c>
      <c r="Q20" s="258"/>
      <c r="R20" s="256">
        <f>+P20/H20</f>
        <v>0.15715925457928284</v>
      </c>
      <c r="S20" s="373"/>
      <c r="T20" s="370"/>
      <c r="U20" s="570"/>
    </row>
    <row r="21" spans="1:21" ht="15" x14ac:dyDescent="0.25">
      <c r="A21" s="281"/>
      <c r="B21" s="258"/>
      <c r="C21" s="258"/>
      <c r="D21" s="263"/>
      <c r="E21" s="258"/>
      <c r="F21" s="256"/>
      <c r="G21" s="258"/>
      <c r="H21" s="355"/>
      <c r="I21" s="289"/>
      <c r="J21" s="621"/>
      <c r="K21" s="289"/>
      <c r="L21" s="622"/>
      <c r="M21" s="289"/>
      <c r="N21" s="621"/>
      <c r="O21" s="259"/>
      <c r="P21" s="280"/>
      <c r="Q21" s="258"/>
      <c r="R21" s="256"/>
      <c r="S21" s="608"/>
      <c r="T21" s="369"/>
      <c r="U21" s="570"/>
    </row>
    <row r="22" spans="1:21" ht="15" x14ac:dyDescent="0.25">
      <c r="A22" s="281"/>
      <c r="B22" s="258" t="s">
        <v>194</v>
      </c>
      <c r="C22" s="258"/>
      <c r="D22" s="263">
        <f>+'SCH-B - COS'!O209</f>
        <v>5002852.5249119168</v>
      </c>
      <c r="E22" s="258"/>
      <c r="F22" s="256">
        <f>ROUND(D22/D$28,3)</f>
        <v>7.2999999999999995E-2</v>
      </c>
      <c r="G22" s="258"/>
      <c r="H22" s="355">
        <v>4102314</v>
      </c>
      <c r="I22" s="289"/>
      <c r="J22" s="621">
        <f>ROUND(H22/H$28,3)</f>
        <v>6.9000000000000006E-2</v>
      </c>
      <c r="K22" s="289"/>
      <c r="L22" s="623">
        <v>4769682.0999999996</v>
      </c>
      <c r="M22" s="289"/>
      <c r="N22" s="621">
        <f>ROUND(L22/L$28,3)</f>
        <v>7.0000000000000007E-2</v>
      </c>
      <c r="O22" s="259"/>
      <c r="P22" s="280">
        <f>+L22-H22</f>
        <v>667368.09999999963</v>
      </c>
      <c r="Q22" s="258"/>
      <c r="R22" s="256">
        <f>+P22/H22</f>
        <v>0.1626808918088668</v>
      </c>
      <c r="S22" s="373"/>
      <c r="T22" s="370"/>
      <c r="U22" s="570"/>
    </row>
    <row r="23" spans="1:21" ht="15" x14ac:dyDescent="0.25">
      <c r="A23" s="281"/>
      <c r="B23" s="258"/>
      <c r="C23" s="258"/>
      <c r="D23" s="263"/>
      <c r="E23" s="258"/>
      <c r="F23" s="256"/>
      <c r="G23" s="258"/>
      <c r="H23" s="355"/>
      <c r="I23" s="289"/>
      <c r="J23" s="621"/>
      <c r="K23" s="289"/>
      <c r="L23" s="622"/>
      <c r="M23" s="289"/>
      <c r="N23" s="621"/>
      <c r="O23" s="259"/>
      <c r="P23" s="280"/>
      <c r="Q23" s="258"/>
      <c r="R23" s="256"/>
      <c r="S23" s="608"/>
      <c r="T23" s="369"/>
      <c r="U23" s="570"/>
    </row>
    <row r="24" spans="1:21" ht="15" x14ac:dyDescent="0.25">
      <c r="A24" s="281"/>
      <c r="B24" s="258" t="s">
        <v>430</v>
      </c>
      <c r="C24" s="258"/>
      <c r="D24" s="263">
        <f>+'SCH-B - COS'!Q209</f>
        <v>2673921.9461987042</v>
      </c>
      <c r="E24" s="258"/>
      <c r="F24" s="256">
        <f>ROUND(D24/D$28,3)</f>
        <v>3.9E-2</v>
      </c>
      <c r="G24" s="258"/>
      <c r="H24" s="355">
        <v>2267326</v>
      </c>
      <c r="I24" s="289"/>
      <c r="J24" s="621">
        <f>ROUND(H24/H$28,3)</f>
        <v>3.7999999999999999E-2</v>
      </c>
      <c r="K24" s="289"/>
      <c r="L24" s="623">
        <v>2627917.62</v>
      </c>
      <c r="M24" s="289"/>
      <c r="N24" s="621">
        <f>ROUND(L24/L$28,3)</f>
        <v>3.9E-2</v>
      </c>
      <c r="O24" s="259"/>
      <c r="P24" s="280">
        <f>+L24-H24</f>
        <v>360591.62000000011</v>
      </c>
      <c r="Q24" s="258"/>
      <c r="R24" s="256">
        <f>+P24/H24</f>
        <v>0.15903827680712879</v>
      </c>
      <c r="S24" s="373"/>
      <c r="T24" s="370"/>
      <c r="U24" s="695"/>
    </row>
    <row r="25" spans="1:21" ht="15" x14ac:dyDescent="0.25">
      <c r="A25" s="281"/>
      <c r="B25" s="258"/>
      <c r="C25" s="258"/>
      <c r="D25" s="263"/>
      <c r="E25" s="258"/>
      <c r="F25" s="256"/>
      <c r="G25" s="258"/>
      <c r="H25" s="355"/>
      <c r="I25" s="289"/>
      <c r="J25" s="621"/>
      <c r="K25" s="289"/>
      <c r="L25" s="622"/>
      <c r="M25" s="289"/>
      <c r="N25" s="621"/>
      <c r="O25" s="259"/>
      <c r="P25" s="280"/>
      <c r="Q25" s="258"/>
      <c r="R25" s="256"/>
      <c r="S25" s="608"/>
      <c r="T25" s="369"/>
      <c r="U25" s="570"/>
    </row>
    <row r="26" spans="1:21" ht="15" x14ac:dyDescent="0.25">
      <c r="A26" s="281"/>
      <c r="B26" s="258" t="s">
        <v>102</v>
      </c>
      <c r="C26" s="258"/>
      <c r="D26" s="266">
        <f>+'SCH-B - COS'!S209</f>
        <v>2399304.132244674</v>
      </c>
      <c r="E26" s="258"/>
      <c r="F26" s="265">
        <f>ROUND(D26/D$28,3)</f>
        <v>3.5000000000000003E-2</v>
      </c>
      <c r="G26" s="258"/>
      <c r="H26" s="616">
        <v>2022835</v>
      </c>
      <c r="I26" s="289"/>
      <c r="J26" s="624">
        <f>ROUND(H26/H$28,3)</f>
        <v>3.4000000000000002E-2</v>
      </c>
      <c r="K26" s="289"/>
      <c r="L26" s="616">
        <v>2328125.9900000002</v>
      </c>
      <c r="M26" s="289"/>
      <c r="N26" s="624">
        <f>ROUND(L26/L$28,3)</f>
        <v>3.4000000000000002E-2</v>
      </c>
      <c r="O26" s="259"/>
      <c r="P26" s="280">
        <f>+L26-H26</f>
        <v>305290.99000000022</v>
      </c>
      <c r="Q26" s="258"/>
      <c r="R26" s="265">
        <f>+P26/H26</f>
        <v>0.15092233919227235</v>
      </c>
      <c r="S26" s="373"/>
      <c r="T26" s="370"/>
      <c r="U26" s="570"/>
    </row>
    <row r="27" spans="1:21" ht="15" x14ac:dyDescent="0.25">
      <c r="B27" s="258"/>
      <c r="C27" s="258"/>
      <c r="D27" s="263"/>
      <c r="E27" s="258"/>
      <c r="F27" s="258"/>
      <c r="G27" s="258"/>
      <c r="H27" s="617"/>
      <c r="I27" s="289"/>
      <c r="J27" s="289"/>
      <c r="K27" s="289"/>
      <c r="L27" s="617"/>
      <c r="M27" s="289"/>
      <c r="N27" s="289"/>
      <c r="O27" s="259"/>
      <c r="P27" s="691"/>
      <c r="Q27" s="258"/>
      <c r="R27" s="256"/>
      <c r="S27" s="608"/>
      <c r="T27" s="626"/>
    </row>
    <row r="28" spans="1:21" ht="15.6" thickBot="1" x14ac:dyDescent="0.3">
      <c r="B28" s="258" t="s">
        <v>431</v>
      </c>
      <c r="C28" s="258"/>
      <c r="D28" s="263">
        <f>SUM(D18:D26)</f>
        <v>68202600.182083935</v>
      </c>
      <c r="E28" s="258"/>
      <c r="F28" s="267">
        <f>SUM(F18:F26)</f>
        <v>1</v>
      </c>
      <c r="G28" s="258"/>
      <c r="H28" s="617">
        <f>SUM(H18:H26)</f>
        <v>59060840.239999995</v>
      </c>
      <c r="I28" s="289"/>
      <c r="J28" s="625">
        <f>SUM(J18:J26)</f>
        <v>1</v>
      </c>
      <c r="K28" s="289"/>
      <c r="L28" s="617">
        <f>SUM(L18:L26)</f>
        <v>68201749.030000001</v>
      </c>
      <c r="M28" s="289"/>
      <c r="N28" s="625">
        <f>SUM(N18:N26)</f>
        <v>1</v>
      </c>
      <c r="O28" s="259"/>
      <c r="P28" s="280">
        <f>SUM(P18:P26)</f>
        <v>9140908.7900000047</v>
      </c>
      <c r="Q28" s="258"/>
      <c r="R28" s="256">
        <f>+P28/H28</f>
        <v>0.15477105901058894</v>
      </c>
      <c r="S28" s="373"/>
      <c r="T28" s="626"/>
    </row>
    <row r="29" spans="1:21" ht="15.6" thickTop="1" x14ac:dyDescent="0.25">
      <c r="B29" s="258"/>
      <c r="C29" s="258"/>
      <c r="D29" s="263"/>
      <c r="E29" s="258"/>
      <c r="F29" s="258"/>
      <c r="G29" s="258"/>
      <c r="H29" s="617"/>
      <c r="I29" s="289"/>
      <c r="J29" s="289"/>
      <c r="K29" s="289"/>
      <c r="L29" s="617"/>
      <c r="M29" s="289"/>
      <c r="N29" s="289"/>
      <c r="O29" s="259"/>
      <c r="P29" s="280"/>
      <c r="Q29" s="258"/>
      <c r="R29" s="256"/>
      <c r="T29" s="154"/>
    </row>
    <row r="30" spans="1:21" s="628" customFormat="1" ht="15" x14ac:dyDescent="0.25">
      <c r="B30" s="258" t="s">
        <v>481</v>
      </c>
      <c r="C30" s="258"/>
      <c r="D30" s="263">
        <f>+'SCH-B - COS'!I197</f>
        <v>76800.647514381984</v>
      </c>
      <c r="E30" s="258"/>
      <c r="F30" s="258"/>
      <c r="G30" s="258"/>
      <c r="H30" s="617">
        <v>66507.25</v>
      </c>
      <c r="I30" s="289"/>
      <c r="J30" s="289"/>
      <c r="K30" s="289"/>
      <c r="L30" s="617">
        <f>+D30</f>
        <v>76800.647514381984</v>
      </c>
      <c r="M30" s="289"/>
      <c r="N30" s="289"/>
      <c r="O30" s="259"/>
      <c r="P30" s="280">
        <f>+L30-H30</f>
        <v>10293.397514381984</v>
      </c>
      <c r="Q30" s="258"/>
      <c r="R30" s="256">
        <f>+P30/H30</f>
        <v>0.15477105901058882</v>
      </c>
      <c r="T30" s="154"/>
    </row>
    <row r="31" spans="1:21" s="628" customFormat="1" ht="15" x14ac:dyDescent="0.25">
      <c r="B31" s="258"/>
      <c r="C31" s="258"/>
      <c r="D31" s="263"/>
      <c r="E31" s="258"/>
      <c r="F31" s="258"/>
      <c r="G31" s="258"/>
      <c r="H31" s="617"/>
      <c r="I31" s="289"/>
      <c r="J31" s="289"/>
      <c r="K31" s="289"/>
      <c r="L31" s="617"/>
      <c r="M31" s="289"/>
      <c r="N31" s="289"/>
      <c r="O31" s="259"/>
      <c r="P31" s="280"/>
      <c r="Q31" s="258"/>
      <c r="R31" s="256"/>
      <c r="T31" s="154"/>
    </row>
    <row r="32" spans="1:21" s="628" customFormat="1" ht="15" x14ac:dyDescent="0.25">
      <c r="B32" s="258" t="s">
        <v>482</v>
      </c>
      <c r="C32" s="258"/>
      <c r="D32" s="630">
        <f>+D30+D28</f>
        <v>68279400.829598323</v>
      </c>
      <c r="E32" s="258"/>
      <c r="F32" s="258"/>
      <c r="G32" s="258"/>
      <c r="H32" s="630">
        <f>+H30+H28</f>
        <v>59127347.489999995</v>
      </c>
      <c r="I32" s="289"/>
      <c r="J32" s="289"/>
      <c r="K32" s="289"/>
      <c r="L32" s="630">
        <f>+L30+L28+L31</f>
        <v>68278549.677514389</v>
      </c>
      <c r="M32" s="289"/>
      <c r="N32" s="289"/>
      <c r="O32" s="259"/>
      <c r="P32" s="631">
        <f>+P28+P30+P31</f>
        <v>9151202.1875143871</v>
      </c>
      <c r="Q32" s="258"/>
      <c r="R32" s="256">
        <f>+P32/H32</f>
        <v>0.15477105901058894</v>
      </c>
      <c r="T32" s="154"/>
    </row>
    <row r="33" spans="2:24" s="628" customFormat="1" ht="15" x14ac:dyDescent="0.25">
      <c r="B33" s="258"/>
      <c r="C33" s="258"/>
      <c r="D33" s="263"/>
      <c r="E33" s="258"/>
      <c r="F33" s="258"/>
      <c r="G33" s="258"/>
      <c r="H33" s="617"/>
      <c r="I33" s="289"/>
      <c r="J33" s="289"/>
      <c r="K33" s="289"/>
      <c r="L33" s="617"/>
      <c r="M33" s="289"/>
      <c r="N33" s="289"/>
      <c r="O33" s="259"/>
      <c r="P33" s="263"/>
      <c r="Q33" s="258"/>
      <c r="R33" s="256"/>
      <c r="T33" s="154"/>
    </row>
    <row r="34" spans="2:24" s="337" customFormat="1" ht="15" x14ac:dyDescent="0.25">
      <c r="B34" s="565" t="s">
        <v>432</v>
      </c>
      <c r="C34" s="565"/>
      <c r="D34" s="629">
        <f>+'SCH-B - COS'!I200-D30</f>
        <v>2081883.4600000004</v>
      </c>
      <c r="E34" s="565"/>
      <c r="F34" s="565"/>
      <c r="G34" s="565"/>
      <c r="H34" s="629">
        <f>+'SCH-B - COS'!I200-'SCH-B - COS'!I197+66507.25-H30</f>
        <v>2081883.4600000004</v>
      </c>
      <c r="I34" s="565"/>
      <c r="J34" s="565"/>
      <c r="K34" s="565"/>
      <c r="L34" s="566">
        <f>+D34</f>
        <v>2081883.4600000004</v>
      </c>
      <c r="M34" s="565"/>
      <c r="N34" s="565"/>
      <c r="O34" s="567"/>
      <c r="P34" s="566">
        <f>+L34-H34</f>
        <v>0</v>
      </c>
      <c r="Q34" s="565"/>
      <c r="R34" s="568">
        <f>+P34/H34</f>
        <v>0</v>
      </c>
    </row>
    <row r="35" spans="2:24" ht="15" x14ac:dyDescent="0.25">
      <c r="B35" s="258"/>
      <c r="C35" s="258"/>
      <c r="D35" s="258"/>
      <c r="E35" s="258"/>
      <c r="F35" s="258"/>
      <c r="G35" s="258"/>
      <c r="H35" s="289"/>
      <c r="I35" s="289"/>
      <c r="J35" s="289"/>
      <c r="K35" s="289"/>
      <c r="L35" s="289"/>
      <c r="M35" s="289"/>
      <c r="N35" s="289"/>
      <c r="O35" s="259"/>
      <c r="P35" s="258"/>
      <c r="Q35" s="258"/>
      <c r="R35" s="256"/>
    </row>
    <row r="36" spans="2:24" ht="15.6" thickBot="1" x14ac:dyDescent="0.3">
      <c r="B36" s="258" t="s">
        <v>433</v>
      </c>
      <c r="C36" s="258"/>
      <c r="D36" s="268">
        <f>+D34+D32</f>
        <v>70361284.289598316</v>
      </c>
      <c r="E36" s="258"/>
      <c r="F36" s="258"/>
      <c r="G36" s="258"/>
      <c r="H36" s="618">
        <f>+H34+H32</f>
        <v>61209230.949999996</v>
      </c>
      <c r="I36" s="289"/>
      <c r="J36" s="289"/>
      <c r="K36" s="289"/>
      <c r="L36" s="618">
        <f>+L34+L32</f>
        <v>70360433.137514383</v>
      </c>
      <c r="M36" s="289"/>
      <c r="N36" s="289"/>
      <c r="O36" s="259"/>
      <c r="P36" s="264">
        <f>+P32</f>
        <v>9151202.1875143871</v>
      </c>
      <c r="Q36" s="258"/>
      <c r="R36" s="256">
        <f>+P36/H36</f>
        <v>0.1495068970069193</v>
      </c>
      <c r="S36" s="373"/>
    </row>
    <row r="37" spans="2:24" ht="13.8" thickTop="1" x14ac:dyDescent="0.25">
      <c r="H37" s="608"/>
      <c r="I37" s="608"/>
      <c r="J37" s="608"/>
      <c r="K37" s="608"/>
      <c r="L37" s="608"/>
      <c r="M37" s="608"/>
      <c r="N37" s="608"/>
    </row>
    <row r="38" spans="2:24" x14ac:dyDescent="0.25">
      <c r="H38" s="608"/>
      <c r="I38" s="608"/>
      <c r="J38" s="608"/>
      <c r="K38" s="608"/>
      <c r="L38" s="608"/>
      <c r="M38" s="608"/>
      <c r="N38" s="608"/>
    </row>
    <row r="39" spans="2:24" x14ac:dyDescent="0.25">
      <c r="D39" s="152"/>
      <c r="H39" s="462"/>
      <c r="N39" s="462"/>
    </row>
    <row r="41" spans="2:24" ht="15" x14ac:dyDescent="0.25">
      <c r="B41" s="450"/>
      <c r="C41" s="450"/>
      <c r="D41" s="450"/>
      <c r="E41" s="450"/>
      <c r="F41" s="450"/>
      <c r="G41" s="450"/>
      <c r="H41" s="450"/>
      <c r="I41" s="450"/>
      <c r="J41" s="450"/>
      <c r="K41" s="450"/>
      <c r="L41" s="450"/>
      <c r="M41" s="450"/>
      <c r="N41" s="450"/>
      <c r="O41" s="450"/>
      <c r="P41" s="450"/>
      <c r="Q41" s="450"/>
      <c r="R41" s="450"/>
      <c r="S41" s="154"/>
      <c r="T41" s="154"/>
      <c r="U41" s="154"/>
      <c r="V41" s="154"/>
      <c r="W41" s="154"/>
      <c r="X41" s="154"/>
    </row>
    <row r="42" spans="2:24" ht="15.6" x14ac:dyDescent="0.3">
      <c r="B42" s="710"/>
      <c r="C42" s="710"/>
      <c r="D42" s="710"/>
      <c r="E42" s="710"/>
      <c r="F42" s="710"/>
      <c r="G42" s="710"/>
      <c r="H42" s="710"/>
      <c r="I42" s="710"/>
      <c r="J42" s="710"/>
      <c r="K42" s="710"/>
      <c r="L42" s="710"/>
      <c r="M42" s="710"/>
      <c r="N42" s="710"/>
      <c r="O42" s="710"/>
      <c r="P42" s="710"/>
      <c r="Q42" s="710"/>
      <c r="R42" s="710"/>
      <c r="S42" s="154"/>
      <c r="T42" s="154"/>
      <c r="U42" s="154"/>
      <c r="V42" s="154"/>
      <c r="W42" s="154"/>
      <c r="X42" s="154"/>
    </row>
    <row r="43" spans="2:24" ht="15" x14ac:dyDescent="0.25">
      <c r="B43" s="450"/>
      <c r="C43" s="450"/>
      <c r="D43" s="450"/>
      <c r="E43" s="450"/>
      <c r="F43" s="450"/>
      <c r="G43" s="450"/>
      <c r="H43" s="450"/>
      <c r="I43" s="450"/>
      <c r="J43" s="450"/>
      <c r="K43" s="450"/>
      <c r="L43" s="450"/>
      <c r="M43" s="697"/>
      <c r="N43" s="697"/>
      <c r="O43" s="697"/>
      <c r="P43" s="697"/>
      <c r="Q43" s="697"/>
      <c r="R43" s="697"/>
      <c r="S43" s="154"/>
      <c r="T43" s="154"/>
      <c r="U43" s="154"/>
      <c r="V43" s="154"/>
      <c r="W43" s="154"/>
      <c r="X43" s="154"/>
    </row>
    <row r="44" spans="2:24" ht="15" x14ac:dyDescent="0.25">
      <c r="B44" s="450"/>
      <c r="C44" s="450"/>
      <c r="D44" s="450"/>
      <c r="E44" s="450"/>
      <c r="F44" s="450"/>
      <c r="G44" s="450"/>
      <c r="H44" s="450"/>
      <c r="I44" s="450"/>
      <c r="J44" s="450"/>
      <c r="K44" s="450"/>
      <c r="L44" s="450"/>
      <c r="M44" s="450"/>
      <c r="N44" s="450"/>
      <c r="O44" s="450"/>
      <c r="P44" s="450"/>
      <c r="Q44" s="450"/>
      <c r="R44" s="450"/>
      <c r="S44" s="154"/>
      <c r="T44" s="154"/>
      <c r="U44" s="154"/>
      <c r="V44" s="154"/>
      <c r="W44" s="154"/>
      <c r="X44" s="154"/>
    </row>
    <row r="45" spans="2:24" ht="15" x14ac:dyDescent="0.25">
      <c r="B45" s="711"/>
      <c r="C45" s="711"/>
      <c r="D45" s="711"/>
      <c r="E45" s="711"/>
      <c r="F45" s="711"/>
      <c r="G45" s="711"/>
      <c r="H45" s="711"/>
      <c r="I45" s="711"/>
      <c r="J45" s="711"/>
      <c r="K45" s="711"/>
      <c r="L45" s="711"/>
      <c r="M45" s="711"/>
      <c r="N45" s="711"/>
      <c r="O45" s="711"/>
      <c r="P45" s="711"/>
      <c r="Q45" s="711"/>
      <c r="R45" s="711"/>
      <c r="S45" s="154"/>
      <c r="T45" s="154"/>
      <c r="U45" s="154"/>
      <c r="V45" s="154"/>
      <c r="W45" s="154"/>
      <c r="X45" s="154"/>
    </row>
    <row r="46" spans="2:24" ht="15" x14ac:dyDescent="0.25">
      <c r="B46" s="450"/>
      <c r="C46" s="450"/>
      <c r="D46" s="450"/>
      <c r="E46" s="450"/>
      <c r="F46" s="450"/>
      <c r="G46" s="450"/>
      <c r="H46" s="450"/>
      <c r="I46" s="450"/>
      <c r="J46" s="450"/>
      <c r="K46" s="450"/>
      <c r="L46" s="450"/>
      <c r="M46" s="697"/>
      <c r="N46" s="697"/>
      <c r="O46" s="697"/>
      <c r="P46" s="697"/>
      <c r="Q46" s="697"/>
      <c r="R46" s="697"/>
      <c r="S46" s="154"/>
      <c r="T46" s="154"/>
      <c r="U46" s="154"/>
      <c r="V46" s="154"/>
      <c r="W46" s="154"/>
      <c r="X46" s="154"/>
    </row>
    <row r="47" spans="2:24" ht="15" x14ac:dyDescent="0.25">
      <c r="B47" s="450"/>
      <c r="C47" s="450"/>
      <c r="D47" s="450"/>
      <c r="E47" s="450"/>
      <c r="F47" s="450"/>
      <c r="G47" s="450"/>
      <c r="H47" s="450"/>
      <c r="I47" s="450"/>
      <c r="J47" s="450"/>
      <c r="K47" s="450"/>
      <c r="L47" s="450"/>
      <c r="M47" s="697"/>
      <c r="N47" s="697"/>
      <c r="O47" s="697"/>
      <c r="P47" s="697"/>
      <c r="Q47" s="697"/>
      <c r="R47" s="697"/>
      <c r="S47" s="154"/>
      <c r="T47" s="154"/>
      <c r="U47" s="154"/>
      <c r="V47" s="154"/>
      <c r="W47" s="154"/>
      <c r="X47" s="154"/>
    </row>
    <row r="48" spans="2:24" ht="15" x14ac:dyDescent="0.25">
      <c r="B48" s="698"/>
      <c r="C48" s="698"/>
      <c r="D48" s="450"/>
      <c r="E48" s="450"/>
      <c r="F48" s="450"/>
      <c r="G48" s="450"/>
      <c r="H48" s="450"/>
      <c r="I48" s="450"/>
      <c r="J48" s="450"/>
      <c r="K48" s="450"/>
      <c r="L48" s="450"/>
      <c r="M48" s="697"/>
      <c r="N48" s="697"/>
      <c r="O48" s="697"/>
      <c r="P48" s="450"/>
      <c r="Q48" s="450"/>
      <c r="R48" s="450"/>
      <c r="S48" s="154"/>
      <c r="T48" s="154"/>
      <c r="U48" s="154"/>
      <c r="V48" s="154"/>
      <c r="W48" s="154"/>
      <c r="X48" s="154"/>
    </row>
    <row r="49" spans="2:24" ht="15" x14ac:dyDescent="0.25">
      <c r="B49" s="696"/>
      <c r="C49" s="696"/>
      <c r="D49" s="357"/>
      <c r="E49" s="154"/>
      <c r="F49" s="154"/>
      <c r="G49" s="450"/>
      <c r="H49" s="450"/>
      <c r="I49" s="450"/>
      <c r="J49" s="450"/>
      <c r="K49" s="450"/>
      <c r="L49" s="450"/>
      <c r="M49" s="450"/>
      <c r="N49" s="450"/>
      <c r="O49" s="697"/>
      <c r="P49" s="697"/>
      <c r="Q49" s="697"/>
      <c r="R49" s="696"/>
      <c r="S49" s="154"/>
      <c r="T49" s="154"/>
      <c r="U49" s="154"/>
      <c r="V49" s="154"/>
      <c r="W49" s="154"/>
      <c r="X49" s="154"/>
    </row>
    <row r="50" spans="2:24" ht="15" x14ac:dyDescent="0.25">
      <c r="B50" s="696"/>
      <c r="C50" s="698"/>
      <c r="D50" s="696"/>
      <c r="E50" s="450"/>
      <c r="F50" s="696"/>
      <c r="G50" s="450"/>
      <c r="H50" s="696"/>
      <c r="I50" s="450"/>
      <c r="J50" s="696"/>
      <c r="K50" s="450"/>
      <c r="L50" s="696"/>
      <c r="M50" s="450"/>
      <c r="N50" s="696"/>
      <c r="O50" s="697"/>
      <c r="P50" s="696"/>
      <c r="Q50" s="450"/>
      <c r="R50" s="696"/>
      <c r="S50" s="154"/>
      <c r="T50" s="154"/>
      <c r="U50" s="154"/>
      <c r="V50" s="154"/>
      <c r="W50" s="154"/>
      <c r="X50" s="154"/>
    </row>
    <row r="51" spans="2:24" ht="15" x14ac:dyDescent="0.25">
      <c r="B51" s="699"/>
      <c r="C51" s="626"/>
      <c r="D51" s="699"/>
      <c r="E51" s="626"/>
      <c r="F51" s="699"/>
      <c r="G51" s="626"/>
      <c r="H51" s="699"/>
      <c r="I51" s="626"/>
      <c r="J51" s="699"/>
      <c r="K51" s="450"/>
      <c r="L51" s="699"/>
      <c r="M51" s="626"/>
      <c r="N51" s="699"/>
      <c r="O51" s="697"/>
      <c r="P51" s="699"/>
      <c r="Q51" s="626"/>
      <c r="R51" s="699"/>
      <c r="S51" s="154"/>
      <c r="T51" s="154"/>
      <c r="U51" s="154"/>
      <c r="V51" s="154"/>
      <c r="W51" s="154"/>
      <c r="X51" s="154"/>
    </row>
    <row r="52" spans="2:24" ht="15" x14ac:dyDescent="0.25">
      <c r="B52" s="450"/>
      <c r="C52" s="450"/>
      <c r="D52" s="450"/>
      <c r="E52" s="450"/>
      <c r="F52" s="450"/>
      <c r="G52" s="450"/>
      <c r="H52" s="450"/>
      <c r="I52" s="450"/>
      <c r="J52" s="571"/>
      <c r="K52" s="450"/>
      <c r="L52" s="450"/>
      <c r="M52" s="450"/>
      <c r="N52" s="450"/>
      <c r="O52" s="697"/>
      <c r="P52" s="450"/>
      <c r="Q52" s="450"/>
      <c r="R52" s="450"/>
      <c r="S52" s="154"/>
      <c r="T52" s="154"/>
      <c r="U52" s="154"/>
      <c r="V52" s="154"/>
      <c r="W52" s="154"/>
      <c r="X52" s="154"/>
    </row>
    <row r="53" spans="2:24" ht="15" x14ac:dyDescent="0.25">
      <c r="B53" s="450"/>
      <c r="C53" s="450"/>
      <c r="D53" s="369"/>
      <c r="E53" s="450"/>
      <c r="F53" s="451"/>
      <c r="G53" s="450"/>
      <c r="H53" s="369"/>
      <c r="I53" s="450"/>
      <c r="J53" s="572"/>
      <c r="K53" s="450"/>
      <c r="L53" s="369"/>
      <c r="M53" s="450"/>
      <c r="N53" s="451"/>
      <c r="O53" s="697"/>
      <c r="P53" s="369"/>
      <c r="Q53" s="450"/>
      <c r="R53" s="451"/>
      <c r="S53" s="154"/>
      <c r="T53" s="700"/>
      <c r="U53" s="701"/>
      <c r="V53" s="154"/>
      <c r="W53" s="154"/>
      <c r="X53" s="154"/>
    </row>
    <row r="54" spans="2:24" ht="15" x14ac:dyDescent="0.25">
      <c r="B54" s="450"/>
      <c r="C54" s="450"/>
      <c r="D54" s="450"/>
      <c r="E54" s="450"/>
      <c r="F54" s="450"/>
      <c r="G54" s="450"/>
      <c r="H54" s="369"/>
      <c r="I54" s="450"/>
      <c r="J54" s="571"/>
      <c r="K54" s="450"/>
      <c r="L54" s="369"/>
      <c r="M54" s="450"/>
      <c r="N54" s="450"/>
      <c r="O54" s="697"/>
      <c r="P54" s="450"/>
      <c r="Q54" s="450"/>
      <c r="R54" s="451"/>
      <c r="S54" s="154"/>
      <c r="T54" s="154"/>
      <c r="U54" s="154"/>
      <c r="V54" s="154"/>
      <c r="W54" s="154"/>
      <c r="X54" s="154"/>
    </row>
    <row r="55" spans="2:24" ht="15" x14ac:dyDescent="0.25">
      <c r="B55" s="450"/>
      <c r="C55" s="450"/>
      <c r="D55" s="626"/>
      <c r="E55" s="450"/>
      <c r="F55" s="451"/>
      <c r="G55" s="450"/>
      <c r="H55" s="370"/>
      <c r="I55" s="450"/>
      <c r="J55" s="572"/>
      <c r="K55" s="450"/>
      <c r="L55" s="370"/>
      <c r="M55" s="450"/>
      <c r="N55" s="451"/>
      <c r="O55" s="697"/>
      <c r="P55" s="626"/>
      <c r="Q55" s="450"/>
      <c r="R55" s="451"/>
      <c r="S55" s="154"/>
      <c r="T55" s="700"/>
      <c r="U55" s="701"/>
      <c r="V55" s="154"/>
      <c r="W55" s="154"/>
      <c r="X55" s="154"/>
    </row>
    <row r="56" spans="2:24" ht="15" x14ac:dyDescent="0.25">
      <c r="B56" s="450"/>
      <c r="C56" s="450"/>
      <c r="D56" s="626"/>
      <c r="E56" s="450"/>
      <c r="F56" s="450"/>
      <c r="G56" s="450"/>
      <c r="H56" s="370"/>
      <c r="I56" s="450"/>
      <c r="J56" s="571"/>
      <c r="K56" s="450"/>
      <c r="L56" s="369"/>
      <c r="M56" s="450"/>
      <c r="N56" s="450"/>
      <c r="O56" s="697"/>
      <c r="P56" s="626"/>
      <c r="Q56" s="450"/>
      <c r="R56" s="451"/>
      <c r="S56" s="154"/>
      <c r="T56" s="154"/>
      <c r="U56" s="154"/>
      <c r="V56" s="154"/>
      <c r="W56" s="154"/>
      <c r="X56" s="154"/>
    </row>
    <row r="57" spans="2:24" ht="15" x14ac:dyDescent="0.25">
      <c r="B57" s="450"/>
      <c r="C57" s="450"/>
      <c r="D57" s="626"/>
      <c r="E57" s="450"/>
      <c r="F57" s="451"/>
      <c r="G57" s="450"/>
      <c r="H57" s="370"/>
      <c r="I57" s="450"/>
      <c r="J57" s="572"/>
      <c r="K57" s="450"/>
      <c r="L57" s="370"/>
      <c r="M57" s="450"/>
      <c r="N57" s="451"/>
      <c r="O57" s="697"/>
      <c r="P57" s="626"/>
      <c r="Q57" s="450"/>
      <c r="R57" s="451"/>
      <c r="S57" s="154"/>
      <c r="T57" s="700"/>
      <c r="U57" s="701"/>
      <c r="V57" s="154"/>
      <c r="W57" s="154"/>
      <c r="X57" s="154"/>
    </row>
    <row r="58" spans="2:24" ht="15" x14ac:dyDescent="0.25">
      <c r="B58" s="450"/>
      <c r="C58" s="450"/>
      <c r="D58" s="626"/>
      <c r="E58" s="450"/>
      <c r="F58" s="450"/>
      <c r="G58" s="450"/>
      <c r="H58" s="370"/>
      <c r="I58" s="450"/>
      <c r="J58" s="571"/>
      <c r="K58" s="450"/>
      <c r="L58" s="369"/>
      <c r="M58" s="450"/>
      <c r="N58" s="450"/>
      <c r="O58" s="697"/>
      <c r="P58" s="626"/>
      <c r="Q58" s="450"/>
      <c r="R58" s="451"/>
      <c r="S58" s="154"/>
      <c r="T58" s="154"/>
      <c r="U58" s="154"/>
      <c r="V58" s="154"/>
      <c r="W58" s="154"/>
      <c r="X58" s="154"/>
    </row>
    <row r="59" spans="2:24" ht="15" x14ac:dyDescent="0.25">
      <c r="B59" s="450"/>
      <c r="C59" s="450"/>
      <c r="D59" s="626"/>
      <c r="E59" s="450"/>
      <c r="F59" s="451"/>
      <c r="G59" s="450"/>
      <c r="H59" s="370"/>
      <c r="I59" s="450"/>
      <c r="J59" s="572"/>
      <c r="K59" s="450"/>
      <c r="L59" s="370"/>
      <c r="M59" s="450"/>
      <c r="N59" s="451"/>
      <c r="O59" s="697"/>
      <c r="P59" s="626"/>
      <c r="Q59" s="450"/>
      <c r="R59" s="451"/>
      <c r="S59" s="154"/>
      <c r="T59" s="700"/>
      <c r="U59" s="701"/>
      <c r="V59" s="154"/>
      <c r="W59" s="154"/>
      <c r="X59" s="154"/>
    </row>
    <row r="60" spans="2:24" ht="15" x14ac:dyDescent="0.25">
      <c r="B60" s="450"/>
      <c r="C60" s="450"/>
      <c r="D60" s="626"/>
      <c r="E60" s="450"/>
      <c r="F60" s="450"/>
      <c r="G60" s="450"/>
      <c r="H60" s="370"/>
      <c r="I60" s="450"/>
      <c r="J60" s="571"/>
      <c r="K60" s="450"/>
      <c r="L60" s="369"/>
      <c r="M60" s="450"/>
      <c r="N60" s="450"/>
      <c r="O60" s="697"/>
      <c r="P60" s="626"/>
      <c r="Q60" s="450"/>
      <c r="R60" s="451"/>
      <c r="S60" s="154"/>
      <c r="T60" s="154"/>
      <c r="U60" s="154"/>
      <c r="V60" s="154"/>
      <c r="W60" s="154"/>
      <c r="X60" s="154"/>
    </row>
    <row r="61" spans="2:24" ht="15" x14ac:dyDescent="0.25">
      <c r="B61" s="450"/>
      <c r="C61" s="450"/>
      <c r="D61" s="626"/>
      <c r="E61" s="450"/>
      <c r="F61" s="451"/>
      <c r="G61" s="450"/>
      <c r="H61" s="370"/>
      <c r="I61" s="450"/>
      <c r="J61" s="572"/>
      <c r="K61" s="450"/>
      <c r="L61" s="370"/>
      <c r="M61" s="450"/>
      <c r="N61" s="451"/>
      <c r="O61" s="697"/>
      <c r="P61" s="626"/>
      <c r="Q61" s="450"/>
      <c r="R61" s="451"/>
      <c r="S61" s="154"/>
      <c r="T61" s="700"/>
      <c r="U61" s="701"/>
      <c r="V61" s="154"/>
      <c r="W61" s="154"/>
      <c r="X61" s="154"/>
    </row>
    <row r="62" spans="2:24" ht="15" x14ac:dyDescent="0.25">
      <c r="B62" s="450"/>
      <c r="C62" s="450"/>
      <c r="D62" s="626"/>
      <c r="E62" s="450"/>
      <c r="F62" s="450"/>
      <c r="G62" s="450"/>
      <c r="H62" s="626"/>
      <c r="I62" s="450"/>
      <c r="J62" s="571"/>
      <c r="K62" s="450"/>
      <c r="L62" s="626"/>
      <c r="M62" s="450"/>
      <c r="N62" s="450"/>
      <c r="O62" s="697"/>
      <c r="P62" s="626"/>
      <c r="Q62" s="450"/>
      <c r="R62" s="451"/>
      <c r="S62" s="154"/>
      <c r="T62" s="154"/>
      <c r="U62" s="154"/>
      <c r="V62" s="154"/>
      <c r="W62" s="154"/>
      <c r="X62" s="154"/>
    </row>
    <row r="63" spans="2:24" ht="15" x14ac:dyDescent="0.25">
      <c r="B63" s="450"/>
      <c r="C63" s="450"/>
      <c r="D63" s="626"/>
      <c r="E63" s="450"/>
      <c r="F63" s="451"/>
      <c r="G63" s="450"/>
      <c r="H63" s="626"/>
      <c r="I63" s="450"/>
      <c r="J63" s="572"/>
      <c r="K63" s="450"/>
      <c r="L63" s="626"/>
      <c r="M63" s="450"/>
      <c r="N63" s="451"/>
      <c r="O63" s="697"/>
      <c r="P63" s="626"/>
      <c r="Q63" s="450"/>
      <c r="R63" s="451"/>
      <c r="S63" s="154"/>
      <c r="T63" s="154"/>
      <c r="U63" s="154"/>
      <c r="V63" s="154"/>
      <c r="W63" s="154"/>
      <c r="X63" s="154"/>
    </row>
    <row r="64" spans="2:24" ht="15" x14ac:dyDescent="0.25">
      <c r="B64" s="450"/>
      <c r="C64" s="450"/>
      <c r="D64" s="626"/>
      <c r="E64" s="450"/>
      <c r="F64" s="450"/>
      <c r="G64" s="450"/>
      <c r="H64" s="626"/>
      <c r="I64" s="450"/>
      <c r="J64" s="571"/>
      <c r="K64" s="450"/>
      <c r="L64" s="626"/>
      <c r="M64" s="450"/>
      <c r="N64" s="450"/>
      <c r="O64" s="697"/>
      <c r="P64" s="626"/>
      <c r="Q64" s="450"/>
      <c r="R64" s="451"/>
      <c r="S64" s="154"/>
      <c r="T64" s="154"/>
      <c r="U64" s="154"/>
      <c r="V64" s="154"/>
      <c r="W64" s="154"/>
      <c r="X64" s="154"/>
    </row>
    <row r="65" spans="2:24" s="628" customFormat="1" ht="15" x14ac:dyDescent="0.25">
      <c r="B65" s="450"/>
      <c r="C65" s="450"/>
      <c r="D65" s="626"/>
      <c r="E65" s="450"/>
      <c r="F65" s="450"/>
      <c r="G65" s="450"/>
      <c r="H65" s="626"/>
      <c r="I65" s="450"/>
      <c r="J65" s="571"/>
      <c r="K65" s="450"/>
      <c r="L65" s="626"/>
      <c r="M65" s="450"/>
      <c r="N65" s="450"/>
      <c r="O65" s="697"/>
      <c r="P65" s="626"/>
      <c r="Q65" s="450"/>
      <c r="R65" s="451"/>
      <c r="S65" s="702"/>
      <c r="T65" s="154"/>
      <c r="U65" s="154"/>
      <c r="V65" s="154"/>
      <c r="W65" s="154"/>
      <c r="X65" s="154"/>
    </row>
    <row r="66" spans="2:24" s="628" customFormat="1" ht="15" x14ac:dyDescent="0.25">
      <c r="B66" s="450"/>
      <c r="C66" s="450"/>
      <c r="D66" s="626"/>
      <c r="E66" s="450"/>
      <c r="F66" s="450"/>
      <c r="G66" s="450"/>
      <c r="H66" s="626"/>
      <c r="I66" s="450"/>
      <c r="J66" s="571"/>
      <c r="K66" s="450"/>
      <c r="L66" s="626"/>
      <c r="M66" s="450"/>
      <c r="N66" s="450"/>
      <c r="O66" s="697"/>
      <c r="P66" s="626"/>
      <c r="Q66" s="450"/>
      <c r="R66" s="451"/>
      <c r="S66" s="154"/>
      <c r="T66" s="154"/>
      <c r="U66" s="154"/>
      <c r="V66" s="154"/>
      <c r="W66" s="154"/>
      <c r="X66" s="154"/>
    </row>
    <row r="67" spans="2:24" s="628" customFormat="1" ht="15" x14ac:dyDescent="0.25">
      <c r="B67" s="450"/>
      <c r="C67" s="450"/>
      <c r="D67" s="626"/>
      <c r="E67" s="450"/>
      <c r="F67" s="450"/>
      <c r="G67" s="450"/>
      <c r="H67" s="626"/>
      <c r="I67" s="450"/>
      <c r="J67" s="571"/>
      <c r="K67" s="450"/>
      <c r="L67" s="626"/>
      <c r="M67" s="450"/>
      <c r="N67" s="450"/>
      <c r="O67" s="697"/>
      <c r="P67" s="626"/>
      <c r="Q67" s="450"/>
      <c r="R67" s="451"/>
      <c r="S67" s="154"/>
      <c r="T67" s="154"/>
      <c r="U67" s="154"/>
      <c r="V67" s="154"/>
      <c r="W67" s="154"/>
      <c r="X67" s="154"/>
    </row>
    <row r="68" spans="2:24" s="628" customFormat="1" ht="15" x14ac:dyDescent="0.25">
      <c r="B68" s="450"/>
      <c r="C68" s="450"/>
      <c r="D68" s="626"/>
      <c r="E68" s="450"/>
      <c r="F68" s="450"/>
      <c r="G68" s="450"/>
      <c r="H68" s="626"/>
      <c r="I68" s="450"/>
      <c r="J68" s="571"/>
      <c r="K68" s="450"/>
      <c r="L68" s="626"/>
      <c r="M68" s="450"/>
      <c r="N68" s="450"/>
      <c r="O68" s="697"/>
      <c r="P68" s="626"/>
      <c r="Q68" s="450"/>
      <c r="R68" s="451"/>
      <c r="S68" s="154"/>
      <c r="T68" s="154"/>
      <c r="U68" s="154"/>
      <c r="V68" s="154"/>
      <c r="W68" s="154"/>
      <c r="X68" s="154"/>
    </row>
    <row r="69" spans="2:24" s="337" customFormat="1" ht="15" x14ac:dyDescent="0.25">
      <c r="B69" s="703"/>
      <c r="C69" s="703"/>
      <c r="D69" s="704"/>
      <c r="E69" s="703"/>
      <c r="F69" s="703"/>
      <c r="G69" s="703"/>
      <c r="H69" s="705"/>
      <c r="I69" s="703"/>
      <c r="J69" s="703"/>
      <c r="K69" s="703"/>
      <c r="L69" s="704"/>
      <c r="M69" s="703"/>
      <c r="N69" s="703"/>
      <c r="O69" s="706"/>
      <c r="P69" s="704"/>
      <c r="Q69" s="703"/>
      <c r="R69" s="572"/>
      <c r="S69" s="491"/>
      <c r="T69" s="491"/>
      <c r="U69" s="491"/>
      <c r="V69" s="491"/>
      <c r="W69" s="491"/>
      <c r="X69" s="491"/>
    </row>
    <row r="70" spans="2:24" ht="15" x14ac:dyDescent="0.25">
      <c r="B70" s="450"/>
      <c r="C70" s="450"/>
      <c r="D70" s="450"/>
      <c r="E70" s="450"/>
      <c r="F70" s="450"/>
      <c r="G70" s="450"/>
      <c r="H70" s="450"/>
      <c r="I70" s="450"/>
      <c r="J70" s="571"/>
      <c r="K70" s="450"/>
      <c r="L70" s="450"/>
      <c r="M70" s="450"/>
      <c r="N70" s="450"/>
      <c r="O70" s="697"/>
      <c r="P70" s="450"/>
      <c r="Q70" s="450"/>
      <c r="R70" s="451"/>
      <c r="S70" s="154"/>
      <c r="T70" s="154"/>
      <c r="U70" s="154"/>
      <c r="V70" s="154"/>
      <c r="W70" s="154"/>
      <c r="X70" s="154"/>
    </row>
    <row r="71" spans="2:24" ht="15" x14ac:dyDescent="0.25">
      <c r="B71" s="450"/>
      <c r="C71" s="450"/>
      <c r="D71" s="707"/>
      <c r="E71" s="450"/>
      <c r="F71" s="450"/>
      <c r="G71" s="450"/>
      <c r="H71" s="626"/>
      <c r="I71" s="450"/>
      <c r="J71" s="450"/>
      <c r="K71" s="450"/>
      <c r="L71" s="707"/>
      <c r="M71" s="450"/>
      <c r="N71" s="450"/>
      <c r="O71" s="697"/>
      <c r="P71" s="707"/>
      <c r="Q71" s="450"/>
      <c r="R71" s="451"/>
      <c r="S71" s="154"/>
      <c r="T71" s="154"/>
      <c r="U71" s="154"/>
      <c r="V71" s="154"/>
      <c r="W71" s="154"/>
      <c r="X71" s="154"/>
    </row>
    <row r="72" spans="2:24" x14ac:dyDescent="0.25">
      <c r="B72" s="154"/>
      <c r="C72" s="154"/>
      <c r="D72" s="154"/>
      <c r="E72" s="154"/>
      <c r="F72" s="154"/>
      <c r="G72" s="154"/>
      <c r="H72" s="154"/>
      <c r="I72" s="154"/>
      <c r="J72" s="154"/>
      <c r="K72" s="154"/>
      <c r="L72" s="154"/>
      <c r="M72" s="154"/>
      <c r="N72" s="154"/>
      <c r="O72" s="154"/>
      <c r="P72" s="154"/>
      <c r="Q72" s="154"/>
      <c r="R72" s="154"/>
      <c r="S72" s="154"/>
      <c r="T72" s="154"/>
      <c r="U72" s="154"/>
      <c r="V72" s="154"/>
      <c r="W72" s="154"/>
      <c r="X72" s="154"/>
    </row>
    <row r="73" spans="2:24" x14ac:dyDescent="0.25">
      <c r="B73" s="154"/>
      <c r="C73" s="154"/>
      <c r="D73" s="154"/>
      <c r="E73" s="154"/>
      <c r="F73" s="154"/>
      <c r="G73" s="154"/>
      <c r="H73" s="154"/>
      <c r="I73" s="154"/>
      <c r="J73" s="154"/>
      <c r="K73" s="154"/>
      <c r="L73" s="154"/>
      <c r="M73" s="154"/>
      <c r="N73" s="154"/>
      <c r="O73" s="154"/>
      <c r="P73" s="154"/>
      <c r="Q73" s="154"/>
      <c r="R73" s="154"/>
      <c r="S73" s="154"/>
      <c r="T73" s="154"/>
      <c r="U73" s="154"/>
      <c r="V73" s="154"/>
      <c r="W73" s="154"/>
      <c r="X73" s="154"/>
    </row>
    <row r="74" spans="2:24" x14ac:dyDescent="0.25">
      <c r="B74" s="154"/>
      <c r="C74" s="154"/>
      <c r="D74" s="154"/>
      <c r="E74" s="154"/>
      <c r="F74" s="154"/>
      <c r="G74" s="154"/>
      <c r="H74" s="154"/>
      <c r="I74" s="154"/>
      <c r="J74" s="154"/>
      <c r="K74" s="154"/>
      <c r="L74" s="154"/>
      <c r="M74" s="154"/>
      <c r="N74" s="154"/>
      <c r="O74" s="154"/>
      <c r="P74" s="708"/>
      <c r="Q74" s="154"/>
      <c r="R74" s="154"/>
      <c r="S74" s="154"/>
      <c r="T74" s="154"/>
      <c r="U74" s="154"/>
      <c r="V74" s="154"/>
      <c r="W74" s="154"/>
      <c r="X74" s="154"/>
    </row>
    <row r="75" spans="2:24" x14ac:dyDescent="0.25">
      <c r="B75" s="154"/>
      <c r="C75" s="154"/>
      <c r="D75" s="154"/>
      <c r="E75" s="154"/>
      <c r="F75" s="154"/>
      <c r="G75" s="154"/>
      <c r="H75" s="154"/>
      <c r="I75" s="154"/>
      <c r="J75" s="154"/>
      <c r="K75" s="154"/>
      <c r="L75" s="154"/>
      <c r="M75" s="154"/>
      <c r="N75" s="154"/>
      <c r="O75" s="154"/>
      <c r="P75" s="709"/>
      <c r="Q75" s="154"/>
      <c r="R75" s="154"/>
      <c r="S75" s="154"/>
      <c r="T75" s="154"/>
      <c r="U75" s="154"/>
      <c r="V75" s="154"/>
      <c r="W75" s="154"/>
      <c r="X75" s="154"/>
    </row>
    <row r="76" spans="2:24" x14ac:dyDescent="0.25">
      <c r="B76" s="154"/>
      <c r="C76" s="154"/>
      <c r="D76" s="154"/>
      <c r="E76" s="154"/>
      <c r="F76" s="154"/>
      <c r="G76" s="154"/>
      <c r="H76" s="154"/>
      <c r="I76" s="154"/>
      <c r="J76" s="154"/>
      <c r="K76" s="154"/>
      <c r="L76" s="154"/>
      <c r="M76" s="154"/>
      <c r="N76" s="154"/>
      <c r="O76" s="154"/>
      <c r="P76" s="613"/>
      <c r="Q76" s="154"/>
      <c r="R76" s="154"/>
      <c r="S76" s="154"/>
      <c r="T76" s="154"/>
      <c r="U76" s="154"/>
      <c r="V76" s="154"/>
      <c r="W76" s="154"/>
      <c r="X76" s="154"/>
    </row>
    <row r="77" spans="2:24" x14ac:dyDescent="0.25">
      <c r="B77" s="154"/>
      <c r="C77" s="154"/>
      <c r="D77" s="154"/>
      <c r="E77" s="154"/>
      <c r="F77" s="154"/>
      <c r="G77" s="154"/>
      <c r="H77" s="154"/>
      <c r="I77" s="154"/>
      <c r="J77" s="154"/>
      <c r="K77" s="154"/>
      <c r="L77" s="154"/>
      <c r="M77" s="154"/>
      <c r="N77" s="154"/>
      <c r="O77" s="154"/>
      <c r="P77" s="154"/>
      <c r="Q77" s="154"/>
      <c r="R77" s="154"/>
      <c r="S77" s="154"/>
      <c r="T77" s="154"/>
      <c r="U77" s="154"/>
      <c r="V77" s="154"/>
      <c r="W77" s="154"/>
      <c r="X77" s="154"/>
    </row>
    <row r="78" spans="2:24" x14ac:dyDescent="0.25">
      <c r="B78" s="154"/>
      <c r="C78" s="154"/>
      <c r="D78" s="154"/>
      <c r="E78" s="154"/>
      <c r="F78" s="154"/>
      <c r="G78" s="154"/>
      <c r="H78" s="154"/>
      <c r="I78" s="154"/>
      <c r="J78" s="154"/>
      <c r="K78" s="154"/>
      <c r="L78" s="154"/>
      <c r="M78" s="154"/>
      <c r="N78" s="154"/>
      <c r="O78" s="154"/>
      <c r="P78" s="702"/>
      <c r="Q78" s="154"/>
      <c r="R78" s="154"/>
      <c r="S78" s="154"/>
      <c r="T78" s="154"/>
      <c r="U78" s="154"/>
      <c r="V78" s="154"/>
      <c r="W78" s="154"/>
      <c r="X78" s="154"/>
    </row>
    <row r="79" spans="2:24" x14ac:dyDescent="0.25">
      <c r="B79" s="154"/>
      <c r="C79" s="154"/>
      <c r="D79" s="154"/>
      <c r="E79" s="154"/>
      <c r="F79" s="154"/>
      <c r="G79" s="154"/>
      <c r="H79" s="154"/>
      <c r="I79" s="154"/>
      <c r="J79" s="154"/>
      <c r="K79" s="154"/>
      <c r="L79" s="154"/>
      <c r="M79" s="154"/>
      <c r="N79" s="154"/>
      <c r="O79" s="154"/>
      <c r="P79" s="154"/>
      <c r="Q79" s="154"/>
      <c r="R79" s="154"/>
      <c r="S79" s="154"/>
      <c r="T79" s="154"/>
      <c r="U79" s="154"/>
      <c r="V79" s="154"/>
      <c r="W79" s="154"/>
      <c r="X79" s="154"/>
    </row>
    <row r="80" spans="2:24" x14ac:dyDescent="0.25">
      <c r="B80" s="154"/>
      <c r="C80" s="154"/>
      <c r="D80" s="154"/>
      <c r="E80" s="154"/>
      <c r="F80" s="154"/>
      <c r="G80" s="154"/>
      <c r="H80" s="154"/>
      <c r="I80" s="154"/>
      <c r="J80" s="154"/>
      <c r="K80" s="154"/>
      <c r="L80" s="154"/>
      <c r="M80" s="154"/>
      <c r="N80" s="154"/>
      <c r="O80" s="154"/>
      <c r="P80" s="154"/>
      <c r="Q80" s="154"/>
      <c r="R80" s="154"/>
      <c r="S80" s="154"/>
      <c r="T80" s="154"/>
      <c r="U80" s="154"/>
      <c r="V80" s="154"/>
      <c r="W80" s="154"/>
      <c r="X80" s="154"/>
    </row>
    <row r="81" spans="2:24" x14ac:dyDescent="0.25">
      <c r="B81" s="154"/>
      <c r="C81" s="154"/>
      <c r="D81" s="154"/>
      <c r="E81" s="154"/>
      <c r="F81" s="154"/>
      <c r="G81" s="154"/>
      <c r="H81" s="154"/>
      <c r="I81" s="154"/>
      <c r="J81" s="154"/>
      <c r="K81" s="154"/>
      <c r="L81" s="154"/>
      <c r="M81" s="154"/>
      <c r="N81" s="154"/>
      <c r="O81" s="154"/>
      <c r="P81" s="154"/>
      <c r="Q81" s="154"/>
      <c r="R81" s="154"/>
      <c r="S81" s="154"/>
      <c r="T81" s="154"/>
      <c r="U81" s="154"/>
      <c r="V81" s="154"/>
      <c r="W81" s="154"/>
      <c r="X81" s="154"/>
    </row>
    <row r="82" spans="2:24" x14ac:dyDescent="0.25">
      <c r="B82" s="154"/>
      <c r="C82" s="154"/>
      <c r="D82" s="154"/>
      <c r="E82" s="154"/>
      <c r="F82" s="154"/>
      <c r="G82" s="154"/>
      <c r="H82" s="154"/>
      <c r="I82" s="154"/>
      <c r="J82" s="154"/>
      <c r="K82" s="154"/>
      <c r="L82" s="154"/>
      <c r="M82" s="154"/>
      <c r="N82" s="154"/>
      <c r="O82" s="154"/>
      <c r="P82" s="154"/>
      <c r="Q82" s="154"/>
      <c r="R82" s="154"/>
      <c r="S82" s="154"/>
      <c r="T82" s="154"/>
      <c r="U82" s="154"/>
      <c r="V82" s="154"/>
      <c r="W82" s="154"/>
      <c r="X82" s="154"/>
    </row>
    <row r="83" spans="2:24" x14ac:dyDescent="0.25">
      <c r="B83" s="154"/>
      <c r="C83" s="154"/>
      <c r="D83" s="154"/>
      <c r="E83" s="154"/>
      <c r="F83" s="154"/>
      <c r="G83" s="154"/>
      <c r="H83" s="154"/>
      <c r="I83" s="154"/>
      <c r="J83" s="154"/>
      <c r="K83" s="154"/>
      <c r="L83" s="154"/>
      <c r="M83" s="154"/>
      <c r="N83" s="154"/>
      <c r="O83" s="154"/>
      <c r="P83" s="154"/>
      <c r="Q83" s="154"/>
      <c r="R83" s="154"/>
      <c r="S83" s="154"/>
      <c r="T83" s="154"/>
      <c r="U83" s="154"/>
      <c r="V83" s="154"/>
      <c r="W83" s="154"/>
      <c r="X83" s="154"/>
    </row>
    <row r="84" spans="2:24" x14ac:dyDescent="0.25">
      <c r="B84" s="154"/>
      <c r="C84" s="154"/>
      <c r="D84" s="154"/>
      <c r="E84" s="154"/>
      <c r="F84" s="154"/>
      <c r="G84" s="154"/>
      <c r="H84" s="154"/>
      <c r="I84" s="154"/>
      <c r="J84" s="154"/>
      <c r="K84" s="154"/>
      <c r="L84" s="154"/>
      <c r="M84" s="154"/>
      <c r="N84" s="154"/>
      <c r="O84" s="154"/>
      <c r="P84" s="154"/>
      <c r="Q84" s="154"/>
      <c r="R84" s="154"/>
      <c r="S84" s="154"/>
      <c r="T84" s="154"/>
      <c r="U84" s="154"/>
      <c r="V84" s="154"/>
      <c r="W84" s="154"/>
      <c r="X84" s="154"/>
    </row>
    <row r="85" spans="2:24" x14ac:dyDescent="0.25">
      <c r="B85" s="154"/>
      <c r="C85" s="154"/>
      <c r="D85" s="154"/>
      <c r="E85" s="154"/>
      <c r="F85" s="154"/>
      <c r="G85" s="154"/>
      <c r="H85" s="154"/>
      <c r="I85" s="154"/>
      <c r="J85" s="154"/>
      <c r="K85" s="154"/>
      <c r="L85" s="154"/>
      <c r="M85" s="154"/>
      <c r="N85" s="154"/>
      <c r="O85" s="154"/>
      <c r="P85" s="154"/>
      <c r="Q85" s="154"/>
      <c r="R85" s="154"/>
      <c r="S85" s="154"/>
      <c r="T85" s="154"/>
      <c r="U85" s="154"/>
      <c r="V85" s="154"/>
      <c r="W85" s="154"/>
      <c r="X85" s="154"/>
    </row>
    <row r="86" spans="2:24" x14ac:dyDescent="0.25">
      <c r="B86" s="154"/>
      <c r="C86" s="154"/>
      <c r="D86" s="154"/>
      <c r="E86" s="154"/>
      <c r="F86" s="154"/>
      <c r="G86" s="154"/>
      <c r="H86" s="154"/>
      <c r="I86" s="154"/>
      <c r="J86" s="154"/>
      <c r="K86" s="154"/>
      <c r="L86" s="154"/>
      <c r="M86" s="154"/>
      <c r="N86" s="154"/>
      <c r="O86" s="154"/>
      <c r="P86" s="154"/>
      <c r="Q86" s="154"/>
      <c r="R86" s="154"/>
      <c r="S86" s="154"/>
      <c r="T86" s="154"/>
      <c r="U86" s="154"/>
      <c r="V86" s="154"/>
      <c r="W86" s="154"/>
      <c r="X86" s="154"/>
    </row>
  </sheetData>
  <mergeCells count="9">
    <mergeCell ref="H14:J14"/>
    <mergeCell ref="L14:N14"/>
    <mergeCell ref="B6:R6"/>
    <mergeCell ref="B9:R9"/>
    <mergeCell ref="B10:R10"/>
    <mergeCell ref="D13:F13"/>
    <mergeCell ref="P13:R13"/>
    <mergeCell ref="B7:R7"/>
    <mergeCell ref="P12:R12"/>
  </mergeCells>
  <phoneticPr fontId="13" type="noConversion"/>
  <pageMargins left="0.75" right="0.75" top="1" bottom="1" header="0.5" footer="0.5"/>
  <pageSetup scale="74" orientation="landscape" horizontalDpi="4294967293" vertic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AY197"/>
  <sheetViews>
    <sheetView zoomScaleNormal="100" workbookViewId="0"/>
  </sheetViews>
  <sheetFormatPr defaultColWidth="9.81640625" defaultRowHeight="15" x14ac:dyDescent="0.25"/>
  <cols>
    <col min="1" max="1" width="7.81640625" style="101" customWidth="1"/>
    <col min="2" max="2" width="8.453125" style="101" customWidth="1"/>
    <col min="3" max="3" width="11.90625" style="101" customWidth="1"/>
    <col min="4" max="4" width="10.6328125" style="101" customWidth="1"/>
    <col min="5" max="5" width="11.90625" style="101" customWidth="1"/>
    <col min="6" max="6" width="10.6328125" style="547" customWidth="1"/>
    <col min="7" max="7" width="6.90625" style="101" customWidth="1"/>
    <col min="8" max="9" width="9.81640625" style="101" customWidth="1"/>
    <col min="10" max="10" width="5.81640625" style="101" customWidth="1"/>
    <col min="11" max="11" width="8.6328125" style="101" customWidth="1"/>
    <col min="12" max="12" width="7.81640625" style="101" customWidth="1"/>
    <col min="13" max="13" width="1.81640625" style="101" customWidth="1"/>
    <col min="14" max="14" width="7.81640625" style="101" customWidth="1"/>
    <col min="15" max="15" width="1.81640625" style="101" customWidth="1"/>
    <col min="16" max="16" width="7.81640625" style="101" customWidth="1"/>
    <col min="17" max="17" width="1.81640625" style="101" customWidth="1"/>
    <col min="18" max="18" width="7.81640625" style="101" customWidth="1"/>
    <col min="19" max="19" width="1.81640625" style="101" customWidth="1"/>
    <col min="20" max="20" width="7.81640625" style="101" customWidth="1"/>
    <col min="21" max="21" width="1.81640625" style="101" customWidth="1"/>
    <col min="22" max="22" width="7.81640625" style="101" customWidth="1"/>
    <col min="23" max="23" width="1.81640625" style="101" customWidth="1"/>
    <col min="24" max="24" width="8.81640625" style="101" customWidth="1"/>
    <col min="25" max="25" width="1.81640625" style="101" customWidth="1"/>
    <col min="26" max="26" width="7.81640625" style="101" customWidth="1"/>
    <col min="27" max="27" width="1.81640625" style="101" customWidth="1"/>
    <col min="28" max="28" width="8.81640625" style="101" customWidth="1"/>
    <col min="29" max="29" width="1.81640625" style="101" customWidth="1"/>
    <col min="30" max="30" width="7.81640625" style="101" customWidth="1"/>
    <col min="31" max="31" width="1.81640625" style="101" customWidth="1"/>
    <col min="32" max="32" width="9.81640625" style="101" customWidth="1"/>
    <col min="33" max="33" width="1.81640625" style="101" customWidth="1"/>
    <col min="34" max="34" width="7.81640625" style="101" customWidth="1"/>
    <col min="35" max="35" width="1.81640625" style="101" customWidth="1"/>
    <col min="36" max="36" width="9.81640625" style="101" customWidth="1"/>
    <col min="37" max="37" width="1.81640625" style="101" customWidth="1"/>
    <col min="38" max="38" width="7.81640625" style="101" customWidth="1"/>
    <col min="39" max="39" width="1.81640625" style="101" customWidth="1"/>
    <col min="40" max="40" width="7.81640625" style="101" customWidth="1"/>
    <col min="41" max="42" width="9.81640625" style="101" customWidth="1"/>
    <col min="43" max="43" width="6.81640625" style="101" customWidth="1"/>
    <col min="44" max="44" width="4.81640625" style="101" customWidth="1"/>
    <col min="45" max="45" width="9.81640625" style="101" customWidth="1"/>
    <col min="46" max="46" width="4.81640625" style="101" customWidth="1"/>
    <col min="47" max="47" width="9.81640625" style="101" customWidth="1"/>
    <col min="48" max="48" width="4.81640625" style="101" customWidth="1"/>
    <col min="49" max="49" width="9.81640625" style="101" customWidth="1"/>
    <col min="50" max="50" width="4.81640625" style="101" customWidth="1"/>
    <col min="51" max="51" width="8.81640625" style="101" customWidth="1"/>
    <col min="52" max="16384" width="9.81640625" style="101"/>
  </cols>
  <sheetData>
    <row r="1" spans="1:7" x14ac:dyDescent="0.25">
      <c r="A1" s="36" t="s">
        <v>51</v>
      </c>
      <c r="B1" s="100"/>
      <c r="C1" s="99"/>
      <c r="D1" s="100"/>
      <c r="E1" s="100"/>
      <c r="F1" s="535"/>
      <c r="G1" s="100"/>
    </row>
    <row r="2" spans="1:7" x14ac:dyDescent="0.25">
      <c r="A2" s="36"/>
      <c r="B2" s="100"/>
      <c r="C2" s="99"/>
      <c r="D2" s="100"/>
      <c r="E2" s="100"/>
      <c r="F2" s="535"/>
      <c r="G2" s="100"/>
    </row>
    <row r="3" spans="1:7" x14ac:dyDescent="0.25">
      <c r="A3" s="100"/>
      <c r="B3" s="100"/>
      <c r="C3" s="100"/>
      <c r="D3" s="100"/>
      <c r="E3" s="100"/>
      <c r="F3" s="535"/>
      <c r="G3" s="100"/>
    </row>
    <row r="4" spans="1:7" x14ac:dyDescent="0.25">
      <c r="A4" s="757" t="s">
        <v>215</v>
      </c>
      <c r="B4" s="757"/>
      <c r="C4" s="757"/>
      <c r="D4" s="757"/>
      <c r="E4" s="757"/>
      <c r="F4" s="757"/>
      <c r="G4" s="757"/>
    </row>
    <row r="5" spans="1:7" x14ac:dyDescent="0.25">
      <c r="A5" s="102"/>
      <c r="B5" s="102"/>
      <c r="C5" s="102"/>
      <c r="D5" s="102"/>
      <c r="E5" s="102"/>
      <c r="F5" s="536"/>
      <c r="G5" s="102"/>
    </row>
    <row r="6" spans="1:7" x14ac:dyDescent="0.25">
      <c r="A6" s="102"/>
      <c r="B6" s="102"/>
      <c r="C6" s="102"/>
      <c r="D6" s="102"/>
      <c r="E6" s="102"/>
      <c r="F6" s="536"/>
      <c r="G6" s="102"/>
    </row>
    <row r="7" spans="1:7" x14ac:dyDescent="0.25">
      <c r="A7" s="102" t="s">
        <v>345</v>
      </c>
      <c r="B7" s="102"/>
      <c r="C7" s="102"/>
      <c r="D7" s="102"/>
      <c r="E7" s="102"/>
      <c r="F7" s="536"/>
      <c r="G7" s="102"/>
    </row>
    <row r="8" spans="1:7" x14ac:dyDescent="0.25">
      <c r="A8" s="102"/>
      <c r="B8" s="102"/>
      <c r="C8" s="102"/>
      <c r="D8" s="102"/>
      <c r="E8" s="102"/>
      <c r="F8" s="536"/>
      <c r="G8" s="102"/>
    </row>
    <row r="9" spans="1:7" x14ac:dyDescent="0.25">
      <c r="A9" s="102" t="s">
        <v>147</v>
      </c>
      <c r="B9" s="102"/>
      <c r="C9" s="102"/>
      <c r="D9" s="102"/>
      <c r="E9" s="102"/>
      <c r="F9" s="536"/>
      <c r="G9" s="102"/>
    </row>
    <row r="10" spans="1:7" x14ac:dyDescent="0.25">
      <c r="A10" s="102"/>
      <c r="B10" s="102"/>
      <c r="C10" s="102"/>
      <c r="D10" s="102"/>
      <c r="E10" s="102"/>
      <c r="F10" s="536"/>
      <c r="G10" s="102"/>
    </row>
    <row r="11" spans="1:7" x14ac:dyDescent="0.25">
      <c r="A11" s="100" t="s">
        <v>184</v>
      </c>
      <c r="B11" s="99"/>
      <c r="C11" s="102"/>
      <c r="D11"/>
      <c r="E11" s="103"/>
      <c r="F11" s="537" t="s">
        <v>186</v>
      </c>
      <c r="G11" s="102"/>
    </row>
    <row r="12" spans="1:7" x14ac:dyDescent="0.25">
      <c r="A12" s="100" t="s">
        <v>187</v>
      </c>
      <c r="B12" s="99"/>
      <c r="C12" s="102"/>
      <c r="D12"/>
      <c r="E12" s="103"/>
      <c r="F12" s="537" t="s">
        <v>188</v>
      </c>
      <c r="G12" s="102"/>
    </row>
    <row r="13" spans="1:7" x14ac:dyDescent="0.25">
      <c r="A13" s="104" t="s">
        <v>189</v>
      </c>
      <c r="B13" s="105"/>
      <c r="C13" s="102"/>
      <c r="D13"/>
      <c r="E13" s="103"/>
      <c r="F13" s="538" t="s">
        <v>191</v>
      </c>
      <c r="G13" s="102"/>
    </row>
    <row r="14" spans="1:7" ht="12.75" customHeight="1" x14ac:dyDescent="0.25">
      <c r="A14" s="102"/>
      <c r="C14" s="102"/>
      <c r="D14"/>
      <c r="E14" s="102"/>
      <c r="F14" s="536"/>
      <c r="G14" s="102"/>
    </row>
    <row r="15" spans="1:7" x14ac:dyDescent="0.25">
      <c r="A15" s="65" t="s">
        <v>232</v>
      </c>
      <c r="C15" s="102"/>
      <c r="D15"/>
      <c r="E15" s="102"/>
      <c r="F15" s="539">
        <v>1</v>
      </c>
      <c r="G15" s="102"/>
    </row>
    <row r="16" spans="1:7" x14ac:dyDescent="0.25">
      <c r="A16" s="102"/>
      <c r="B16" s="102"/>
      <c r="C16" s="102"/>
      <c r="D16"/>
      <c r="E16" s="102"/>
      <c r="F16" s="540"/>
      <c r="G16" s="102"/>
    </row>
    <row r="17" spans="1:11" ht="15.6" thickBot="1" x14ac:dyDescent="0.3">
      <c r="A17" s="102" t="s">
        <v>301</v>
      </c>
      <c r="B17" s="102"/>
      <c r="C17" s="102"/>
      <c r="D17"/>
      <c r="E17" s="102"/>
      <c r="F17" s="539">
        <f>SUM(F15:F15)</f>
        <v>1</v>
      </c>
      <c r="G17" s="102"/>
    </row>
    <row r="18" spans="1:11" ht="15.6" thickTop="1" x14ac:dyDescent="0.25">
      <c r="A18" s="102"/>
      <c r="B18" s="102"/>
      <c r="C18" s="102"/>
      <c r="D18"/>
      <c r="E18" s="102"/>
      <c r="F18" s="541"/>
      <c r="G18" s="102"/>
    </row>
    <row r="19" spans="1:11" x14ac:dyDescent="0.25">
      <c r="A19" s="102"/>
      <c r="B19" s="102"/>
      <c r="C19" s="102"/>
      <c r="D19" s="102"/>
      <c r="E19" s="102"/>
      <c r="F19" s="536"/>
      <c r="G19" s="102"/>
    </row>
    <row r="20" spans="1:11" x14ac:dyDescent="0.25">
      <c r="A20" s="102"/>
      <c r="B20" s="102"/>
      <c r="C20" s="102"/>
      <c r="D20" s="102"/>
      <c r="E20" s="102"/>
      <c r="F20" s="536"/>
      <c r="G20" s="102"/>
    </row>
    <row r="21" spans="1:11" x14ac:dyDescent="0.25">
      <c r="A21" s="102" t="s">
        <v>344</v>
      </c>
      <c r="B21" s="102"/>
      <c r="C21" s="102"/>
      <c r="D21" s="102"/>
      <c r="E21" s="102"/>
      <c r="F21" s="536"/>
      <c r="G21" s="102"/>
    </row>
    <row r="22" spans="1:11" x14ac:dyDescent="0.25">
      <c r="A22" s="102"/>
      <c r="B22" s="102"/>
      <c r="C22" s="102"/>
      <c r="D22" s="102"/>
      <c r="E22" s="102"/>
      <c r="F22" s="536"/>
      <c r="G22" s="102"/>
    </row>
    <row r="23" spans="1:11" ht="28.2" customHeight="1" x14ac:dyDescent="0.25">
      <c r="A23" s="756" t="s">
        <v>302</v>
      </c>
      <c r="B23" s="756"/>
      <c r="C23" s="756"/>
      <c r="D23" s="756"/>
      <c r="E23" s="756"/>
      <c r="F23" s="756"/>
      <c r="G23" s="756"/>
    </row>
    <row r="24" spans="1:11" x14ac:dyDescent="0.25">
      <c r="A24" s="102"/>
      <c r="B24" s="102"/>
      <c r="C24" s="102"/>
      <c r="D24" s="102"/>
      <c r="E24" s="102"/>
      <c r="F24" s="536"/>
      <c r="G24" s="102"/>
    </row>
    <row r="25" spans="1:11" x14ac:dyDescent="0.25">
      <c r="A25" s="100" t="s">
        <v>184</v>
      </c>
      <c r="B25" s="99"/>
      <c r="C25" s="102"/>
      <c r="D25" s="103" t="s">
        <v>303</v>
      </c>
      <c r="E25" s="103"/>
      <c r="F25" s="537" t="s">
        <v>186</v>
      </c>
      <c r="G25" s="102"/>
    </row>
    <row r="26" spans="1:11" x14ac:dyDescent="0.25">
      <c r="A26" s="100" t="s">
        <v>187</v>
      </c>
      <c r="B26" s="99"/>
      <c r="C26" s="102"/>
      <c r="D26" s="103" t="s">
        <v>304</v>
      </c>
      <c r="E26" s="103"/>
      <c r="F26" s="537" t="s">
        <v>188</v>
      </c>
      <c r="G26" s="102"/>
    </row>
    <row r="27" spans="1:11" x14ac:dyDescent="0.25">
      <c r="A27" s="104" t="s">
        <v>189</v>
      </c>
      <c r="B27" s="105"/>
      <c r="C27" s="102"/>
      <c r="D27" s="106" t="s">
        <v>208</v>
      </c>
      <c r="E27" s="103" t="s">
        <v>305</v>
      </c>
      <c r="F27" s="538" t="s">
        <v>191</v>
      </c>
      <c r="G27" s="102"/>
    </row>
    <row r="28" spans="1:11" ht="12.75" customHeight="1" x14ac:dyDescent="0.25">
      <c r="A28" s="102"/>
      <c r="C28" s="102"/>
      <c r="D28" s="102"/>
      <c r="E28" s="102"/>
      <c r="F28" s="539"/>
      <c r="G28" s="102"/>
      <c r="I28" s="362"/>
      <c r="J28" s="362"/>
      <c r="K28" s="362"/>
    </row>
    <row r="29" spans="1:11" x14ac:dyDescent="0.25">
      <c r="A29" s="2" t="s">
        <v>192</v>
      </c>
      <c r="C29" s="102"/>
      <c r="D29" s="107">
        <f>'SCH-C - Meters'!$G$32</f>
        <v>80382</v>
      </c>
      <c r="E29" s="102"/>
      <c r="F29" s="542">
        <f>ROUND(+D29/D$36,4)</f>
        <v>0.80100000000000005</v>
      </c>
      <c r="G29" s="102"/>
      <c r="I29" s="363"/>
      <c r="J29" s="362"/>
      <c r="K29" s="360"/>
    </row>
    <row r="30" spans="1:11" x14ac:dyDescent="0.25">
      <c r="A30" s="2" t="s">
        <v>325</v>
      </c>
      <c r="C30" s="102"/>
      <c r="D30" s="107">
        <f>'SCH-C - Meters'!$K$32</f>
        <v>16683</v>
      </c>
      <c r="E30" s="102"/>
      <c r="F30" s="539">
        <f t="shared" ref="F30:F34" si="0">ROUND(+D30/D$36,4)</f>
        <v>0.16619999999999999</v>
      </c>
      <c r="G30" s="102"/>
      <c r="I30" s="363"/>
      <c r="J30" s="362"/>
      <c r="K30" s="364"/>
    </row>
    <row r="31" spans="1:11" x14ac:dyDescent="0.25">
      <c r="A31" s="2" t="s">
        <v>194</v>
      </c>
      <c r="C31" s="102"/>
      <c r="D31" s="107">
        <f>'SCH-C - Meters'!$O$32</f>
        <v>956</v>
      </c>
      <c r="E31" s="102"/>
      <c r="F31" s="539">
        <f t="shared" si="0"/>
        <v>9.4999999999999998E-3</v>
      </c>
      <c r="G31" s="102"/>
      <c r="I31" s="363"/>
      <c r="J31" s="362"/>
      <c r="K31" s="364"/>
    </row>
    <row r="32" spans="1:11" x14ac:dyDescent="0.25">
      <c r="A32" s="2" t="s">
        <v>195</v>
      </c>
      <c r="C32" s="102"/>
      <c r="D32" s="107">
        <f>'SCH-C - Meters'!$S$32</f>
        <v>2233</v>
      </c>
      <c r="E32" s="102"/>
      <c r="F32" s="539">
        <f t="shared" si="0"/>
        <v>2.23E-2</v>
      </c>
      <c r="G32" s="102"/>
      <c r="I32" s="363"/>
      <c r="J32" s="362"/>
      <c r="K32" s="364"/>
    </row>
    <row r="33" spans="1:51" x14ac:dyDescent="0.25">
      <c r="A33" s="2" t="s">
        <v>103</v>
      </c>
      <c r="C33" s="102"/>
      <c r="D33" s="107">
        <f>'SCH-C - Meters'!$W$32</f>
        <v>104</v>
      </c>
      <c r="E33" s="102"/>
      <c r="F33" s="539">
        <f t="shared" si="0"/>
        <v>1E-3</v>
      </c>
      <c r="G33" s="102"/>
      <c r="I33" s="362"/>
      <c r="J33" s="362"/>
      <c r="K33" s="364"/>
    </row>
    <row r="34" spans="1:51" hidden="1" x14ac:dyDescent="0.25">
      <c r="A34" s="102" t="s">
        <v>129</v>
      </c>
      <c r="C34" s="102"/>
      <c r="D34" s="107">
        <v>0</v>
      </c>
      <c r="E34" s="102"/>
      <c r="F34" s="539">
        <f t="shared" si="0"/>
        <v>0</v>
      </c>
      <c r="G34" s="102"/>
      <c r="I34" s="362"/>
      <c r="J34" s="362"/>
      <c r="K34" s="364"/>
    </row>
    <row r="35" spans="1:51" x14ac:dyDescent="0.25">
      <c r="A35" s="102"/>
      <c r="C35" s="102"/>
      <c r="D35" s="109"/>
      <c r="E35" s="102"/>
      <c r="F35" s="543"/>
      <c r="G35" s="102"/>
      <c r="I35" s="362"/>
      <c r="J35" s="362"/>
      <c r="K35" s="178"/>
    </row>
    <row r="36" spans="1:51" ht="15.6" thickBot="1" x14ac:dyDescent="0.3">
      <c r="A36" s="102" t="s">
        <v>199</v>
      </c>
      <c r="C36" s="102"/>
      <c r="D36" s="107">
        <f>SUM(D29:D35)</f>
        <v>100358</v>
      </c>
      <c r="E36" s="102"/>
      <c r="F36" s="544">
        <f>SUM(F29:F35)</f>
        <v>1</v>
      </c>
      <c r="G36" s="102"/>
      <c r="I36" s="365"/>
      <c r="J36" s="362"/>
      <c r="K36" s="364"/>
    </row>
    <row r="37" spans="1:51" ht="15.6" thickTop="1" x14ac:dyDescent="0.25">
      <c r="A37" s="102"/>
      <c r="B37" s="102"/>
      <c r="C37" s="102"/>
      <c r="D37" s="110"/>
      <c r="E37" s="111"/>
      <c r="F37" s="545"/>
      <c r="G37" s="102"/>
      <c r="I37" s="362"/>
      <c r="J37" s="362"/>
      <c r="K37" s="362"/>
    </row>
    <row r="38" spans="1:51" x14ac:dyDescent="0.25">
      <c r="A38" s="36" t="s">
        <v>51</v>
      </c>
      <c r="B38" s="100"/>
      <c r="C38" s="99"/>
      <c r="D38" s="100"/>
      <c r="E38" s="100"/>
      <c r="F38" s="535"/>
      <c r="G38" s="100"/>
      <c r="H38" s="112"/>
      <c r="I38" s="366"/>
      <c r="J38" s="366"/>
      <c r="K38" s="366"/>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row>
    <row r="39" spans="1:51" x14ac:dyDescent="0.25">
      <c r="A39" s="36"/>
      <c r="B39" s="100"/>
      <c r="C39" s="99"/>
      <c r="D39" s="100"/>
      <c r="E39" s="100"/>
      <c r="F39" s="535"/>
      <c r="G39" s="100"/>
    </row>
    <row r="40" spans="1:51" x14ac:dyDescent="0.25">
      <c r="A40" s="100"/>
      <c r="B40" s="100"/>
      <c r="C40" s="100"/>
      <c r="D40" s="100"/>
      <c r="E40" s="100"/>
      <c r="F40" s="535"/>
      <c r="G40" s="100"/>
    </row>
    <row r="41" spans="1:51" x14ac:dyDescent="0.25">
      <c r="A41" s="757" t="s">
        <v>215</v>
      </c>
      <c r="B41" s="757"/>
      <c r="C41" s="757"/>
      <c r="D41" s="757"/>
      <c r="E41" s="757"/>
      <c r="F41" s="757"/>
      <c r="G41" s="757"/>
    </row>
    <row r="42" spans="1:51" x14ac:dyDescent="0.25">
      <c r="A42" s="102"/>
      <c r="B42" s="102"/>
      <c r="C42" s="102"/>
      <c r="D42" s="102"/>
      <c r="E42" s="102"/>
      <c r="F42" s="536"/>
      <c r="G42" s="102"/>
    </row>
    <row r="43" spans="1:51" x14ac:dyDescent="0.25">
      <c r="A43" s="102"/>
      <c r="B43" s="102"/>
      <c r="C43" s="102"/>
      <c r="D43" s="102"/>
      <c r="E43" s="102"/>
      <c r="F43" s="536"/>
      <c r="G43" s="102"/>
    </row>
    <row r="44" spans="1:51" x14ac:dyDescent="0.25">
      <c r="A44" s="102" t="s">
        <v>343</v>
      </c>
      <c r="B44" s="102"/>
      <c r="C44" s="102"/>
      <c r="D44" s="102"/>
      <c r="E44" s="102"/>
      <c r="F44" s="536"/>
      <c r="G44" s="102"/>
    </row>
    <row r="45" spans="1:51" x14ac:dyDescent="0.25">
      <c r="A45" s="102"/>
      <c r="B45" s="102"/>
      <c r="C45" s="102"/>
      <c r="D45" s="102"/>
      <c r="E45" s="102"/>
      <c r="F45" s="536"/>
      <c r="G45" s="102"/>
    </row>
    <row r="46" spans="1:51" ht="27.6" customHeight="1" x14ac:dyDescent="0.25">
      <c r="A46" s="756" t="s">
        <v>306</v>
      </c>
      <c r="B46" s="756"/>
      <c r="C46" s="756"/>
      <c r="D46" s="756"/>
      <c r="E46" s="756"/>
      <c r="F46" s="756"/>
      <c r="G46" s="102"/>
    </row>
    <row r="47" spans="1:51" x14ac:dyDescent="0.25">
      <c r="A47" s="102"/>
      <c r="B47" s="102"/>
      <c r="C47" s="102"/>
      <c r="D47" s="102"/>
      <c r="E47" s="102"/>
      <c r="F47" s="536"/>
      <c r="G47" s="102"/>
    </row>
    <row r="48" spans="1:51" x14ac:dyDescent="0.25">
      <c r="A48" s="100" t="s">
        <v>184</v>
      </c>
      <c r="B48" s="99"/>
      <c r="C48" s="102"/>
      <c r="D48" s="103" t="s">
        <v>307</v>
      </c>
      <c r="E48" s="103"/>
      <c r="F48" s="537" t="s">
        <v>186</v>
      </c>
      <c r="G48" s="102"/>
    </row>
    <row r="49" spans="1:7" x14ac:dyDescent="0.25">
      <c r="A49" s="100" t="s">
        <v>187</v>
      </c>
      <c r="B49" s="99"/>
      <c r="C49" s="102"/>
      <c r="D49" s="103" t="s">
        <v>304</v>
      </c>
      <c r="E49" s="103"/>
      <c r="F49" s="537" t="s">
        <v>188</v>
      </c>
      <c r="G49" s="102"/>
    </row>
    <row r="50" spans="1:7" x14ac:dyDescent="0.25">
      <c r="A50" s="104" t="s">
        <v>189</v>
      </c>
      <c r="B50" s="105"/>
      <c r="C50" s="102"/>
      <c r="D50" s="106" t="s">
        <v>208</v>
      </c>
      <c r="E50" s="103" t="s">
        <v>305</v>
      </c>
      <c r="F50" s="538" t="s">
        <v>191</v>
      </c>
      <c r="G50" s="102"/>
    </row>
    <row r="51" spans="1:7" ht="12.75" customHeight="1" x14ac:dyDescent="0.25">
      <c r="A51" s="102"/>
      <c r="C51" s="102"/>
      <c r="D51" s="102"/>
      <c r="E51" s="102"/>
      <c r="F51" s="539"/>
      <c r="G51" s="102"/>
    </row>
    <row r="52" spans="1:7" x14ac:dyDescent="0.25">
      <c r="A52" s="2" t="s">
        <v>192</v>
      </c>
      <c r="C52" s="102"/>
      <c r="D52" s="107">
        <f>'SCH-C - Meters'!$G$66</f>
        <v>80098</v>
      </c>
      <c r="E52" s="102"/>
      <c r="F52" s="542">
        <f>ROUND(D52/D$59,4)-0.0001</f>
        <v>0.85719999999999996</v>
      </c>
      <c r="G52" s="102"/>
    </row>
    <row r="53" spans="1:7" x14ac:dyDescent="0.25">
      <c r="A53" s="2" t="s">
        <v>325</v>
      </c>
      <c r="C53" s="102"/>
      <c r="D53" s="107">
        <f>'SCH-C - Meters'!$K$66</f>
        <v>11464</v>
      </c>
      <c r="E53" s="102"/>
      <c r="F53" s="539">
        <f t="shared" ref="F53:F57" si="1">ROUND(D53/D$59,4)</f>
        <v>0.1227</v>
      </c>
      <c r="G53" s="102"/>
    </row>
    <row r="54" spans="1:7" x14ac:dyDescent="0.25">
      <c r="A54" s="2" t="s">
        <v>194</v>
      </c>
      <c r="C54" s="102"/>
      <c r="D54" s="107">
        <f>'SCH-C - Meters'!$O$66</f>
        <v>469</v>
      </c>
      <c r="E54" s="102"/>
      <c r="F54" s="539">
        <f t="shared" si="1"/>
        <v>5.0000000000000001E-3</v>
      </c>
      <c r="G54" s="102"/>
    </row>
    <row r="55" spans="1:7" x14ac:dyDescent="0.25">
      <c r="A55" s="2" t="s">
        <v>195</v>
      </c>
      <c r="C55" s="102"/>
      <c r="D55" s="107">
        <f>'SCH-C - Meters'!$S$66</f>
        <v>1361</v>
      </c>
      <c r="E55" s="102"/>
      <c r="F55" s="539">
        <f t="shared" si="1"/>
        <v>1.46E-2</v>
      </c>
      <c r="G55" s="102"/>
    </row>
    <row r="56" spans="1:7" x14ac:dyDescent="0.25">
      <c r="A56" s="2" t="s">
        <v>103</v>
      </c>
      <c r="C56" s="102"/>
      <c r="D56" s="107">
        <f>'SCH-C - Meters'!$W$66</f>
        <v>43</v>
      </c>
      <c r="E56" s="102"/>
      <c r="F56" s="539">
        <f t="shared" si="1"/>
        <v>5.0000000000000001E-4</v>
      </c>
      <c r="G56" s="102"/>
    </row>
    <row r="57" spans="1:7" hidden="1" x14ac:dyDescent="0.25">
      <c r="A57" s="102" t="s">
        <v>197</v>
      </c>
      <c r="C57" s="102"/>
      <c r="D57" s="107"/>
      <c r="E57" s="102"/>
      <c r="F57" s="539">
        <f t="shared" si="1"/>
        <v>0</v>
      </c>
      <c r="G57" s="102"/>
    </row>
    <row r="58" spans="1:7" x14ac:dyDescent="0.25">
      <c r="A58" s="102"/>
      <c r="C58" s="102"/>
      <c r="D58" s="109"/>
      <c r="E58" s="102"/>
      <c r="F58" s="543"/>
      <c r="G58" s="102"/>
    </row>
    <row r="59" spans="1:7" ht="15.6" thickBot="1" x14ac:dyDescent="0.3">
      <c r="A59" s="102" t="s">
        <v>199</v>
      </c>
      <c r="C59" s="102"/>
      <c r="D59" s="107">
        <f>SUM(D52:D58)</f>
        <v>93435</v>
      </c>
      <c r="E59" s="102"/>
      <c r="F59" s="544">
        <f>SUM(F52:F58)</f>
        <v>0.99999999999999989</v>
      </c>
      <c r="G59" s="102"/>
    </row>
    <row r="60" spans="1:7" ht="15.6" thickTop="1" x14ac:dyDescent="0.25">
      <c r="A60" s="102"/>
      <c r="B60" s="102"/>
      <c r="C60" s="102"/>
      <c r="D60" s="110"/>
      <c r="E60" s="111"/>
      <c r="F60" s="546"/>
      <c r="G60" s="102"/>
    </row>
    <row r="61" spans="1:7" x14ac:dyDescent="0.25">
      <c r="A61" s="102"/>
      <c r="B61" s="102"/>
      <c r="C61" s="102"/>
      <c r="D61" s="102"/>
      <c r="E61" s="102"/>
      <c r="F61" s="536"/>
      <c r="G61" s="102"/>
    </row>
    <row r="62" spans="1:7" x14ac:dyDescent="0.25">
      <c r="A62" s="102"/>
      <c r="B62" s="102"/>
      <c r="C62" s="102"/>
      <c r="D62" s="102"/>
      <c r="E62" s="102"/>
      <c r="F62" s="536"/>
      <c r="G62" s="102"/>
    </row>
    <row r="63" spans="1:7" x14ac:dyDescent="0.25">
      <c r="A63" s="102"/>
      <c r="B63" s="102"/>
      <c r="C63" s="102"/>
      <c r="D63" s="102"/>
      <c r="E63" s="102"/>
      <c r="F63" s="536"/>
      <c r="G63" s="102"/>
    </row>
    <row r="64" spans="1:7" x14ac:dyDescent="0.25">
      <c r="A64" s="102"/>
      <c r="B64" s="102"/>
      <c r="C64" s="102"/>
      <c r="D64" s="102"/>
      <c r="E64" s="102"/>
      <c r="F64" s="536"/>
      <c r="G64" s="102"/>
    </row>
    <row r="65" spans="1:51" x14ac:dyDescent="0.25">
      <c r="A65" s="102"/>
      <c r="B65" s="102"/>
      <c r="C65" s="102"/>
      <c r="D65" s="102"/>
      <c r="E65" s="102"/>
      <c r="F65" s="536"/>
      <c r="G65" s="102"/>
    </row>
    <row r="66" spans="1:51" x14ac:dyDescent="0.25">
      <c r="A66" s="102"/>
      <c r="B66" s="102"/>
      <c r="C66" s="102"/>
      <c r="D66" s="102"/>
      <c r="E66" s="102"/>
      <c r="F66" s="536"/>
      <c r="G66" s="102"/>
    </row>
    <row r="67" spans="1:51" x14ac:dyDescent="0.25">
      <c r="A67" s="102"/>
      <c r="B67" s="102"/>
      <c r="C67" s="102"/>
      <c r="D67" s="102"/>
      <c r="E67" s="102"/>
      <c r="F67" s="536"/>
      <c r="G67" s="102"/>
    </row>
    <row r="68" spans="1:51" x14ac:dyDescent="0.25">
      <c r="A68" s="102"/>
      <c r="B68" s="102"/>
      <c r="C68" s="102"/>
      <c r="D68" s="102"/>
      <c r="E68" s="102"/>
      <c r="F68" s="536"/>
      <c r="G68" s="102"/>
    </row>
    <row r="69" spans="1:51" x14ac:dyDescent="0.25">
      <c r="A69" s="102"/>
      <c r="B69" s="102"/>
      <c r="C69" s="102"/>
      <c r="D69" s="102"/>
      <c r="E69" s="102"/>
      <c r="F69" s="536"/>
      <c r="G69" s="102"/>
    </row>
    <row r="73" spans="1:51" x14ac:dyDescent="0.25">
      <c r="AO73" s="102"/>
      <c r="AQ73" s="99"/>
      <c r="AR73" s="99"/>
      <c r="AS73" s="99"/>
      <c r="AT73" s="99"/>
      <c r="AU73" s="99"/>
      <c r="AV73" s="99"/>
      <c r="AW73" s="99"/>
      <c r="AX73" s="99"/>
      <c r="AY73" s="99"/>
    </row>
    <row r="74" spans="1:51" x14ac:dyDescent="0.25">
      <c r="AO74" s="102">
        <f>14*15</f>
        <v>210</v>
      </c>
      <c r="AQ74" s="99"/>
      <c r="AR74" s="99"/>
      <c r="AS74" s="99"/>
      <c r="AT74" s="99"/>
      <c r="AU74" s="99"/>
      <c r="AV74" s="99"/>
      <c r="AW74" s="99"/>
      <c r="AX74" s="99"/>
      <c r="AY74" s="99"/>
    </row>
    <row r="75" spans="1:51" x14ac:dyDescent="0.25">
      <c r="AO75" s="102"/>
      <c r="AQ75" s="100"/>
      <c r="AR75" s="99"/>
      <c r="AS75" s="99"/>
      <c r="AT75" s="99"/>
      <c r="AU75" s="99"/>
      <c r="AV75" s="99"/>
      <c r="AW75" s="99"/>
      <c r="AX75" s="99"/>
      <c r="AY75" s="99"/>
    </row>
    <row r="76" spans="1:51" x14ac:dyDescent="0.25">
      <c r="AO76" s="102"/>
      <c r="AQ76" s="100"/>
      <c r="AR76" s="99"/>
      <c r="AS76" s="99"/>
      <c r="AT76" s="99"/>
      <c r="AU76" s="99"/>
      <c r="AV76" s="99"/>
      <c r="AW76" s="99"/>
      <c r="AX76" s="99"/>
      <c r="AY76" s="99"/>
    </row>
    <row r="77" spans="1:51" x14ac:dyDescent="0.25">
      <c r="AO77" s="102"/>
    </row>
    <row r="78" spans="1:51" x14ac:dyDescent="0.25">
      <c r="AO78" s="102"/>
      <c r="AQ78" s="102"/>
      <c r="AR78" s="102"/>
      <c r="AS78" s="102"/>
      <c r="AT78" s="102"/>
      <c r="AU78" s="102"/>
      <c r="AV78" s="102"/>
      <c r="AW78" s="102"/>
      <c r="AX78" s="102"/>
      <c r="AY78" s="102"/>
    </row>
    <row r="79" spans="1:51" x14ac:dyDescent="0.25">
      <c r="AO79" s="102"/>
      <c r="AQ79" s="102"/>
      <c r="AR79" s="102"/>
      <c r="AS79" s="103"/>
      <c r="AT79" s="103"/>
      <c r="AU79" s="103"/>
      <c r="AV79" s="103"/>
      <c r="AW79" s="103"/>
      <c r="AX79" s="103"/>
      <c r="AY79" s="103"/>
    </row>
    <row r="80" spans="1:51" x14ac:dyDescent="0.25">
      <c r="AO80" s="102"/>
      <c r="AQ80" s="103"/>
      <c r="AR80" s="102"/>
      <c r="AS80" s="103"/>
      <c r="AT80" s="103"/>
      <c r="AU80" s="103"/>
      <c r="AV80" s="103"/>
      <c r="AW80" s="103"/>
      <c r="AX80" s="103"/>
      <c r="AY80" s="103"/>
    </row>
    <row r="81" spans="41:51" x14ac:dyDescent="0.25">
      <c r="AO81" s="102"/>
      <c r="AQ81" s="103"/>
      <c r="AR81" s="102"/>
      <c r="AS81" s="103"/>
      <c r="AT81" s="103"/>
      <c r="AU81" s="103"/>
      <c r="AV81" s="103"/>
      <c r="AW81" s="103"/>
      <c r="AX81" s="103"/>
      <c r="AY81" s="103"/>
    </row>
    <row r="82" spans="41:51" x14ac:dyDescent="0.25">
      <c r="AO82" s="102"/>
      <c r="AQ82" s="113"/>
      <c r="AR82" s="102"/>
      <c r="AS82" s="113"/>
      <c r="AT82" s="113"/>
      <c r="AU82" s="113"/>
      <c r="AV82" s="102"/>
      <c r="AW82" s="113"/>
      <c r="AX82" s="113"/>
      <c r="AY82" s="113"/>
    </row>
    <row r="83" spans="41:51" x14ac:dyDescent="0.25">
      <c r="AO83" s="102"/>
      <c r="AQ83" s="102"/>
      <c r="AR83" s="102"/>
      <c r="AS83" s="102"/>
      <c r="AT83" s="102"/>
      <c r="AU83" s="102"/>
      <c r="AV83" s="102"/>
      <c r="AW83" s="102"/>
      <c r="AX83" s="102"/>
      <c r="AY83" s="102"/>
    </row>
    <row r="84" spans="41:51" x14ac:dyDescent="0.25">
      <c r="AO84" s="102"/>
      <c r="AQ84" s="103"/>
      <c r="AR84" s="102"/>
      <c r="AS84" s="107"/>
      <c r="AT84" s="107"/>
      <c r="AU84" s="107"/>
      <c r="AV84" s="107"/>
      <c r="AW84" s="107"/>
      <c r="AX84" s="114"/>
      <c r="AY84" s="114"/>
    </row>
    <row r="85" spans="41:51" x14ac:dyDescent="0.25">
      <c r="AO85" s="102"/>
      <c r="AQ85" s="103"/>
      <c r="AR85" s="102"/>
      <c r="AS85" s="107"/>
      <c r="AT85" s="107"/>
      <c r="AU85" s="107"/>
      <c r="AV85" s="107"/>
      <c r="AW85" s="107"/>
      <c r="AX85" s="114"/>
      <c r="AY85" s="114"/>
    </row>
    <row r="86" spans="41:51" x14ac:dyDescent="0.25">
      <c r="AO86" s="102"/>
      <c r="AQ86" s="103"/>
      <c r="AR86" s="102"/>
      <c r="AS86" s="107"/>
      <c r="AT86" s="107"/>
      <c r="AU86" s="107"/>
      <c r="AV86" s="107"/>
      <c r="AW86" s="107"/>
      <c r="AX86" s="114"/>
      <c r="AY86" s="114"/>
    </row>
    <row r="87" spans="41:51" x14ac:dyDescent="0.25">
      <c r="AO87" s="102"/>
      <c r="AQ87" s="103"/>
      <c r="AR87" s="102"/>
      <c r="AS87" s="107"/>
      <c r="AT87" s="107"/>
      <c r="AU87" s="107"/>
      <c r="AV87" s="107"/>
      <c r="AW87" s="107"/>
      <c r="AX87" s="114"/>
      <c r="AY87" s="114"/>
    </row>
    <row r="88" spans="41:51" x14ac:dyDescent="0.25">
      <c r="AO88" s="102"/>
      <c r="AQ88" s="103"/>
      <c r="AR88" s="102"/>
      <c r="AS88" s="107"/>
      <c r="AT88" s="107"/>
      <c r="AU88" s="107"/>
      <c r="AV88" s="107"/>
      <c r="AW88" s="107"/>
      <c r="AX88" s="114"/>
      <c r="AY88" s="114"/>
    </row>
    <row r="89" spans="41:51" x14ac:dyDescent="0.25">
      <c r="AO89" s="102"/>
      <c r="AQ89" s="103"/>
      <c r="AR89" s="102"/>
      <c r="AS89" s="107"/>
      <c r="AT89" s="107"/>
      <c r="AU89" s="107"/>
      <c r="AV89" s="107"/>
      <c r="AW89" s="107"/>
      <c r="AX89" s="114"/>
      <c r="AY89" s="114"/>
    </row>
    <row r="90" spans="41:51" x14ac:dyDescent="0.25">
      <c r="AO90" s="102"/>
      <c r="AQ90" s="103"/>
      <c r="AR90" s="102"/>
      <c r="AS90" s="107"/>
      <c r="AT90" s="107"/>
      <c r="AU90" s="107"/>
      <c r="AV90" s="107"/>
      <c r="AW90" s="107"/>
      <c r="AX90" s="114"/>
      <c r="AY90" s="114"/>
    </row>
    <row r="91" spans="41:51" x14ac:dyDescent="0.25">
      <c r="AO91" s="102"/>
      <c r="AQ91" s="103"/>
      <c r="AR91" s="102"/>
      <c r="AS91" s="107"/>
      <c r="AT91" s="107"/>
      <c r="AU91" s="107"/>
      <c r="AV91" s="107"/>
      <c r="AW91" s="107"/>
      <c r="AX91" s="114"/>
      <c r="AY91" s="114"/>
    </row>
    <row r="92" spans="41:51" x14ac:dyDescent="0.25">
      <c r="AO92" s="102"/>
      <c r="AQ92" s="103"/>
      <c r="AR92" s="102"/>
      <c r="AS92" s="107"/>
      <c r="AT92" s="107"/>
      <c r="AU92" s="107"/>
      <c r="AV92" s="107"/>
      <c r="AW92" s="107"/>
      <c r="AX92" s="114"/>
      <c r="AY92" s="114"/>
    </row>
    <row r="93" spans="41:51" x14ac:dyDescent="0.25">
      <c r="AO93" s="102"/>
      <c r="AQ93" s="103"/>
      <c r="AR93" s="102"/>
      <c r="AS93" s="107"/>
      <c r="AT93" s="107"/>
      <c r="AU93" s="107"/>
      <c r="AV93" s="107"/>
      <c r="AW93" s="107"/>
      <c r="AX93" s="114"/>
      <c r="AY93" s="114"/>
    </row>
    <row r="94" spans="41:51" x14ac:dyDescent="0.25">
      <c r="AO94" s="102"/>
      <c r="AQ94" s="103"/>
      <c r="AR94" s="102"/>
      <c r="AS94" s="107"/>
      <c r="AT94" s="107"/>
      <c r="AU94" s="107"/>
      <c r="AV94" s="107"/>
      <c r="AW94" s="107"/>
      <c r="AX94" s="114"/>
      <c r="AY94" s="114"/>
    </row>
    <row r="95" spans="41:51" x14ac:dyDescent="0.25">
      <c r="AO95" s="102"/>
      <c r="AQ95" s="103"/>
      <c r="AR95" s="102"/>
      <c r="AS95" s="107"/>
      <c r="AT95" s="107"/>
      <c r="AU95" s="107"/>
      <c r="AV95" s="107"/>
      <c r="AW95" s="107"/>
      <c r="AX95" s="114"/>
      <c r="AY95" s="114"/>
    </row>
    <row r="96" spans="41:51" x14ac:dyDescent="0.25">
      <c r="AO96" s="102"/>
      <c r="AQ96" s="103"/>
      <c r="AR96" s="102"/>
      <c r="AS96" s="107"/>
      <c r="AT96" s="107"/>
      <c r="AU96" s="107"/>
      <c r="AV96" s="107"/>
      <c r="AW96" s="107"/>
      <c r="AX96" s="114"/>
      <c r="AY96" s="114"/>
    </row>
    <row r="97" spans="10:51" x14ac:dyDescent="0.25">
      <c r="AO97" s="102"/>
      <c r="AQ97" s="103"/>
      <c r="AR97" s="102"/>
      <c r="AS97" s="107"/>
      <c r="AT97" s="107"/>
      <c r="AU97" s="107"/>
      <c r="AV97" s="107"/>
      <c r="AW97" s="107"/>
      <c r="AX97" s="114"/>
      <c r="AY97" s="114"/>
    </row>
    <row r="98" spans="10:51" x14ac:dyDescent="0.25">
      <c r="AO98" s="102"/>
      <c r="AQ98" s="103"/>
      <c r="AR98" s="102"/>
      <c r="AS98" s="107"/>
      <c r="AT98" s="107"/>
      <c r="AU98" s="107"/>
      <c r="AV98" s="107"/>
      <c r="AW98" s="107"/>
      <c r="AX98" s="114"/>
      <c r="AY98" s="114"/>
    </row>
    <row r="99" spans="10:51" x14ac:dyDescent="0.25">
      <c r="AO99" s="102"/>
      <c r="AQ99" s="103"/>
    </row>
    <row r="100" spans="10:51" x14ac:dyDescent="0.25">
      <c r="AO100" s="102"/>
      <c r="AQ100" s="103"/>
      <c r="AS100" s="107"/>
      <c r="AU100" s="107"/>
      <c r="AW100" s="107"/>
      <c r="AY100" s="114"/>
    </row>
    <row r="101" spans="10:51" x14ac:dyDescent="0.25">
      <c r="AO101" s="102"/>
      <c r="AQ101" s="103"/>
      <c r="AS101" s="107"/>
      <c r="AU101" s="107"/>
      <c r="AW101" s="107"/>
      <c r="AY101" s="114"/>
    </row>
    <row r="102" spans="10:51" x14ac:dyDescent="0.25">
      <c r="AO102" s="102"/>
      <c r="AQ102" s="103"/>
      <c r="AS102" s="107"/>
      <c r="AU102" s="107"/>
      <c r="AW102" s="107"/>
      <c r="AY102" s="114"/>
    </row>
    <row r="103" spans="10:51" x14ac:dyDescent="0.25">
      <c r="AO103" s="102"/>
      <c r="AQ103" s="103"/>
      <c r="AS103" s="107"/>
      <c r="AU103" s="107"/>
      <c r="AW103" s="107"/>
      <c r="AY103" s="114"/>
    </row>
    <row r="104" spans="10:51" x14ac:dyDescent="0.25">
      <c r="AO104" s="102"/>
      <c r="AQ104" s="103"/>
      <c r="AS104" s="107"/>
      <c r="AU104" s="107"/>
      <c r="AW104" s="107"/>
      <c r="AY104" s="114"/>
    </row>
    <row r="105" spans="10:51" x14ac:dyDescent="0.25">
      <c r="AO105" s="102"/>
      <c r="AQ105" s="103"/>
      <c r="AS105" s="107"/>
      <c r="AU105" s="107"/>
      <c r="AW105" s="107"/>
      <c r="AY105" s="114"/>
    </row>
    <row r="106" spans="10:51" x14ac:dyDescent="0.25">
      <c r="AO106" s="102"/>
      <c r="AQ106" s="103"/>
      <c r="AS106" s="107"/>
      <c r="AU106" s="107"/>
      <c r="AW106" s="107"/>
      <c r="AY106" s="114"/>
    </row>
    <row r="107" spans="10:51" x14ac:dyDescent="0.25">
      <c r="AO107" s="102"/>
    </row>
    <row r="108" spans="10:51" x14ac:dyDescent="0.25">
      <c r="AO108" s="102"/>
    </row>
    <row r="109" spans="10:51" x14ac:dyDescent="0.25">
      <c r="AO109" s="102"/>
    </row>
    <row r="110" spans="10:51" x14ac:dyDescent="0.25">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row>
    <row r="111" spans="10:51" x14ac:dyDescent="0.25">
      <c r="J111" s="102"/>
      <c r="K111" s="102"/>
      <c r="L111" s="102"/>
      <c r="M111" s="102"/>
      <c r="N111" s="102"/>
      <c r="O111" s="102"/>
      <c r="P111" s="115"/>
      <c r="Q111" s="102"/>
      <c r="R111" s="102"/>
      <c r="S111" s="102"/>
      <c r="T111" s="115"/>
      <c r="U111" s="102"/>
      <c r="V111" s="102"/>
      <c r="W111" s="102"/>
      <c r="X111" s="115"/>
      <c r="Y111" s="102"/>
      <c r="Z111" s="102"/>
      <c r="AA111" s="102"/>
      <c r="AB111" s="115"/>
      <c r="AC111" s="102"/>
      <c r="AD111" s="102"/>
      <c r="AE111" s="102"/>
      <c r="AF111" s="115"/>
      <c r="AG111" s="102"/>
      <c r="AH111" s="102"/>
      <c r="AI111" s="102"/>
      <c r="AJ111" s="116"/>
      <c r="AK111" s="102"/>
      <c r="AL111" s="102"/>
      <c r="AM111" s="102"/>
      <c r="AN111" s="115"/>
      <c r="AO111" s="102"/>
    </row>
    <row r="112" spans="10:51" x14ac:dyDescent="0.25">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row>
    <row r="113" spans="10:41" x14ac:dyDescent="0.25">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row>
    <row r="114" spans="10:41" x14ac:dyDescent="0.25">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row>
    <row r="115" spans="10:41" x14ac:dyDescent="0.25">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row>
    <row r="116" spans="10:41" x14ac:dyDescent="0.25">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row>
    <row r="117" spans="10:41" x14ac:dyDescent="0.25">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row>
    <row r="118" spans="10:41" x14ac:dyDescent="0.25">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row>
    <row r="119" spans="10:41" x14ac:dyDescent="0.25">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row>
    <row r="120" spans="10:41" x14ac:dyDescent="0.25">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row>
    <row r="121" spans="10:41" x14ac:dyDescent="0.25">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row>
    <row r="122" spans="10:41" x14ac:dyDescent="0.25">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row>
    <row r="123" spans="10:41" x14ac:dyDescent="0.25">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row>
    <row r="124" spans="10:41" x14ac:dyDescent="0.25">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row>
    <row r="125" spans="10:41" x14ac:dyDescent="0.25">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row>
    <row r="126" spans="10:41" x14ac:dyDescent="0.25">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row>
    <row r="127" spans="10:41" x14ac:dyDescent="0.25">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row>
    <row r="128" spans="10:41" x14ac:dyDescent="0.25">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row>
    <row r="129" spans="10:41" x14ac:dyDescent="0.25">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row>
    <row r="130" spans="10:41" x14ac:dyDescent="0.25">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row>
    <row r="131" spans="10:41" x14ac:dyDescent="0.25">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row>
    <row r="132" spans="10:41" x14ac:dyDescent="0.25">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row>
    <row r="133" spans="10:41" x14ac:dyDescent="0.25">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row>
    <row r="134" spans="10:41" x14ac:dyDescent="0.25">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row>
    <row r="135" spans="10:41" x14ac:dyDescent="0.25">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row>
    <row r="136" spans="10:41" x14ac:dyDescent="0.25">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row>
    <row r="137" spans="10:41" x14ac:dyDescent="0.25">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row>
    <row r="138" spans="10:41" x14ac:dyDescent="0.25">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row>
    <row r="139" spans="10:41" x14ac:dyDescent="0.25">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row>
    <row r="140" spans="10:41" x14ac:dyDescent="0.25">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row>
    <row r="141" spans="10:41" x14ac:dyDescent="0.25">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row>
    <row r="142" spans="10:41" x14ac:dyDescent="0.25">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row>
    <row r="143" spans="10:41" x14ac:dyDescent="0.25">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row>
    <row r="144" spans="10:41" x14ac:dyDescent="0.25">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row>
    <row r="145" spans="10:51" x14ac:dyDescent="0.25">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row>
    <row r="146" spans="10:51" x14ac:dyDescent="0.25">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row>
    <row r="147" spans="10:51" x14ac:dyDescent="0.25">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row>
    <row r="148" spans="10:51" x14ac:dyDescent="0.25">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row>
    <row r="149" spans="10:51" x14ac:dyDescent="0.25">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row>
    <row r="150" spans="10:51" x14ac:dyDescent="0.25">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row>
    <row r="151" spans="10:51" x14ac:dyDescent="0.25">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row>
    <row r="152" spans="10:51" x14ac:dyDescent="0.25">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row>
    <row r="153" spans="10:51" x14ac:dyDescent="0.25">
      <c r="J153" s="102" t="s">
        <v>308</v>
      </c>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row>
    <row r="154" spans="10:51" x14ac:dyDescent="0.25">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row>
    <row r="155" spans="10:51" x14ac:dyDescent="0.25">
      <c r="J155" s="117" t="s">
        <v>309</v>
      </c>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row>
    <row r="156" spans="10:51" x14ac:dyDescent="0.25">
      <c r="J156" s="99" t="s">
        <v>178</v>
      </c>
      <c r="K156" s="100"/>
      <c r="L156" s="100"/>
      <c r="M156" s="100"/>
      <c r="N156" s="100"/>
      <c r="O156" s="100"/>
      <c r="P156" s="100"/>
      <c r="Q156" s="100"/>
      <c r="R156" s="100"/>
      <c r="S156" s="100"/>
      <c r="T156" s="100"/>
      <c r="U156" s="100"/>
      <c r="V156" s="99"/>
      <c r="W156" s="100"/>
      <c r="X156" s="100"/>
      <c r="Y156" s="100"/>
      <c r="Z156" s="100"/>
      <c r="AA156" s="100"/>
      <c r="AB156" s="100"/>
      <c r="AC156" s="100"/>
      <c r="AD156" s="100"/>
      <c r="AE156" s="100"/>
      <c r="AF156" s="100"/>
      <c r="AG156" s="100"/>
      <c r="AH156" s="100"/>
      <c r="AI156" s="100"/>
      <c r="AJ156" s="100"/>
      <c r="AK156" s="100"/>
      <c r="AL156" s="100"/>
      <c r="AM156" s="100"/>
      <c r="AN156" s="100"/>
      <c r="AO156" s="102"/>
      <c r="AQ156" s="99"/>
      <c r="AR156" s="99"/>
      <c r="AS156" s="99"/>
      <c r="AT156" s="99"/>
      <c r="AU156" s="99"/>
      <c r="AV156" s="99"/>
      <c r="AW156" s="99"/>
      <c r="AX156" s="99"/>
      <c r="AY156" s="99"/>
    </row>
    <row r="157" spans="10:51" x14ac:dyDescent="0.25">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2"/>
      <c r="AQ157" s="99"/>
      <c r="AR157" s="99"/>
      <c r="AS157" s="99"/>
      <c r="AT157" s="99"/>
      <c r="AU157" s="99"/>
      <c r="AV157" s="99"/>
      <c r="AW157" s="99"/>
      <c r="AX157" s="99"/>
      <c r="AY157" s="99"/>
    </row>
    <row r="158" spans="10:51" x14ac:dyDescent="0.25">
      <c r="J158" s="100" t="s">
        <v>310</v>
      </c>
      <c r="K158" s="100"/>
      <c r="L158" s="100"/>
      <c r="M158" s="100"/>
      <c r="N158" s="100"/>
      <c r="O158" s="100"/>
      <c r="P158" s="100"/>
      <c r="Q158" s="100"/>
      <c r="R158" s="100"/>
      <c r="S158" s="100"/>
      <c r="T158" s="99"/>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2"/>
      <c r="AQ158" s="100"/>
      <c r="AR158" s="99"/>
      <c r="AS158" s="99"/>
      <c r="AT158" s="99"/>
      <c r="AU158" s="99"/>
      <c r="AV158" s="99"/>
      <c r="AW158" s="99"/>
      <c r="AX158" s="99"/>
      <c r="AY158" s="99"/>
    </row>
    <row r="159" spans="10:51" x14ac:dyDescent="0.25">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Q159" s="100"/>
      <c r="AR159" s="99"/>
      <c r="AS159" s="99"/>
      <c r="AT159" s="99"/>
      <c r="AU159" s="99"/>
      <c r="AV159" s="99"/>
      <c r="AW159" s="99"/>
      <c r="AX159" s="99"/>
      <c r="AY159" s="99"/>
    </row>
    <row r="160" spans="10:51" x14ac:dyDescent="0.25">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row>
    <row r="161" spans="7:51" x14ac:dyDescent="0.25">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Q161" s="102"/>
      <c r="AR161" s="102"/>
      <c r="AS161" s="102"/>
      <c r="AT161" s="102"/>
      <c r="AU161" s="102"/>
      <c r="AV161" s="102"/>
      <c r="AW161" s="102"/>
      <c r="AX161" s="102"/>
      <c r="AY161" s="102"/>
    </row>
    <row r="162" spans="7:51" x14ac:dyDescent="0.25">
      <c r="J162" s="103"/>
      <c r="K162" s="103"/>
      <c r="L162" s="103" t="s">
        <v>311</v>
      </c>
      <c r="M162" s="103"/>
      <c r="N162" s="100" t="s">
        <v>192</v>
      </c>
      <c r="O162" s="100"/>
      <c r="P162" s="100"/>
      <c r="Q162" s="103"/>
      <c r="R162" s="100" t="s">
        <v>193</v>
      </c>
      <c r="S162" s="100"/>
      <c r="T162" s="100"/>
      <c r="U162" s="103"/>
      <c r="V162" s="100" t="s">
        <v>194</v>
      </c>
      <c r="W162" s="100"/>
      <c r="X162" s="100"/>
      <c r="Y162" s="103"/>
      <c r="Z162" s="100" t="s">
        <v>195</v>
      </c>
      <c r="AA162" s="100"/>
      <c r="AB162" s="100"/>
      <c r="AC162" s="103"/>
      <c r="AD162" s="100" t="s">
        <v>314</v>
      </c>
      <c r="AE162" s="100"/>
      <c r="AF162" s="100"/>
      <c r="AG162" s="103"/>
      <c r="AH162" s="100" t="s">
        <v>197</v>
      </c>
      <c r="AI162" s="100"/>
      <c r="AJ162" s="100"/>
      <c r="AK162" s="103"/>
      <c r="AL162" s="100" t="s">
        <v>315</v>
      </c>
      <c r="AM162" s="100"/>
      <c r="AN162" s="100"/>
      <c r="AO162" s="102"/>
      <c r="AQ162" s="102"/>
      <c r="AR162" s="102"/>
      <c r="AS162" s="103"/>
      <c r="AT162" s="103"/>
      <c r="AU162" s="103"/>
      <c r="AV162" s="103"/>
      <c r="AW162" s="103"/>
      <c r="AX162" s="103"/>
      <c r="AY162" s="103"/>
    </row>
    <row r="163" spans="7:51" x14ac:dyDescent="0.25">
      <c r="J163" s="103" t="s">
        <v>316</v>
      </c>
      <c r="K163" s="103"/>
      <c r="L163" s="103" t="s">
        <v>317</v>
      </c>
      <c r="M163" s="103"/>
      <c r="N163" s="106" t="s">
        <v>300</v>
      </c>
      <c r="O163" s="106"/>
      <c r="P163" s="106"/>
      <c r="Q163" s="103"/>
      <c r="R163" s="106" t="s">
        <v>300</v>
      </c>
      <c r="S163" s="106"/>
      <c r="T163" s="106"/>
      <c r="U163" s="103"/>
      <c r="V163" s="106" t="s">
        <v>300</v>
      </c>
      <c r="W163" s="106"/>
      <c r="X163" s="106"/>
      <c r="Y163" s="103"/>
      <c r="Z163" s="106" t="s">
        <v>300</v>
      </c>
      <c r="AA163" s="106"/>
      <c r="AB163" s="106"/>
      <c r="AC163" s="103"/>
      <c r="AD163" s="106" t="s">
        <v>300</v>
      </c>
      <c r="AE163" s="106"/>
      <c r="AF163" s="106"/>
      <c r="AG163" s="103"/>
      <c r="AH163" s="106" t="s">
        <v>300</v>
      </c>
      <c r="AI163" s="106"/>
      <c r="AJ163" s="106"/>
      <c r="AK163" s="103"/>
      <c r="AL163" s="106" t="s">
        <v>300</v>
      </c>
      <c r="AM163" s="106"/>
      <c r="AN163" s="106"/>
      <c r="AO163" s="102"/>
      <c r="AQ163" s="103"/>
      <c r="AR163" s="102"/>
      <c r="AS163" s="103"/>
      <c r="AT163" s="103"/>
      <c r="AU163" s="103"/>
      <c r="AV163" s="103"/>
      <c r="AW163" s="103"/>
      <c r="AX163" s="103"/>
      <c r="AY163" s="103"/>
    </row>
    <row r="164" spans="7:51" x14ac:dyDescent="0.25">
      <c r="J164" s="103" t="s">
        <v>318</v>
      </c>
      <c r="K164" s="103"/>
      <c r="L164" s="103" t="s">
        <v>319</v>
      </c>
      <c r="M164" s="103"/>
      <c r="N164" s="103" t="s">
        <v>320</v>
      </c>
      <c r="O164" s="103"/>
      <c r="P164" s="103" t="s">
        <v>321</v>
      </c>
      <c r="Q164" s="103"/>
      <c r="R164" s="103" t="s">
        <v>320</v>
      </c>
      <c r="S164" s="103"/>
      <c r="T164" s="103" t="s">
        <v>321</v>
      </c>
      <c r="U164" s="103"/>
      <c r="V164" s="103" t="s">
        <v>320</v>
      </c>
      <c r="W164" s="103"/>
      <c r="X164" s="103" t="s">
        <v>321</v>
      </c>
      <c r="Y164" s="103"/>
      <c r="Z164" s="103" t="s">
        <v>320</v>
      </c>
      <c r="AA164" s="103"/>
      <c r="AB164" s="103" t="s">
        <v>321</v>
      </c>
      <c r="AC164" s="103"/>
      <c r="AD164" s="103" t="s">
        <v>320</v>
      </c>
      <c r="AE164" s="103"/>
      <c r="AF164" s="103" t="s">
        <v>321</v>
      </c>
      <c r="AG164" s="103"/>
      <c r="AH164" s="103" t="s">
        <v>320</v>
      </c>
      <c r="AI164" s="103"/>
      <c r="AJ164" s="103" t="s">
        <v>321</v>
      </c>
      <c r="AK164" s="103"/>
      <c r="AL164" s="103" t="s">
        <v>320</v>
      </c>
      <c r="AM164" s="103"/>
      <c r="AN164" s="103" t="s">
        <v>321</v>
      </c>
      <c r="AO164" s="102"/>
      <c r="AQ164" s="103"/>
      <c r="AR164" s="102"/>
      <c r="AS164" s="103"/>
      <c r="AT164" s="103"/>
      <c r="AU164" s="103"/>
      <c r="AV164" s="103"/>
      <c r="AW164" s="103"/>
      <c r="AX164" s="103"/>
      <c r="AY164" s="103"/>
    </row>
    <row r="165" spans="7:51" x14ac:dyDescent="0.25">
      <c r="J165" s="118">
        <v>-1</v>
      </c>
      <c r="K165" s="113"/>
      <c r="L165" s="118">
        <v>-2</v>
      </c>
      <c r="M165" s="113"/>
      <c r="N165" s="118">
        <v>-3</v>
      </c>
      <c r="O165" s="113"/>
      <c r="P165" s="118" t="s">
        <v>322</v>
      </c>
      <c r="Q165" s="113"/>
      <c r="R165" s="118">
        <v>-5</v>
      </c>
      <c r="S165" s="113"/>
      <c r="T165" s="118" t="s">
        <v>323</v>
      </c>
      <c r="U165" s="113"/>
      <c r="V165" s="118">
        <v>-7</v>
      </c>
      <c r="W165" s="113"/>
      <c r="X165" s="118" t="s">
        <v>326</v>
      </c>
      <c r="Y165" s="113"/>
      <c r="Z165" s="118">
        <v>-9</v>
      </c>
      <c r="AA165" s="113"/>
      <c r="AB165" s="118" t="s">
        <v>327</v>
      </c>
      <c r="AC165" s="113"/>
      <c r="AD165" s="118">
        <v>-11</v>
      </c>
      <c r="AE165" s="113"/>
      <c r="AF165" s="118" t="s">
        <v>349</v>
      </c>
      <c r="AG165" s="113"/>
      <c r="AH165" s="118">
        <v>-13</v>
      </c>
      <c r="AI165" s="113"/>
      <c r="AJ165" s="118" t="s">
        <v>350</v>
      </c>
      <c r="AK165" s="113"/>
      <c r="AL165" s="118">
        <v>-15</v>
      </c>
      <c r="AM165" s="113"/>
      <c r="AN165" s="118">
        <v>-16</v>
      </c>
      <c r="AO165" s="102"/>
      <c r="AQ165" s="113"/>
      <c r="AR165" s="102"/>
      <c r="AS165" s="113"/>
      <c r="AT165" s="113"/>
      <c r="AU165" s="113"/>
      <c r="AV165" s="102"/>
      <c r="AW165" s="113"/>
      <c r="AX165" s="113"/>
      <c r="AY165" s="113"/>
    </row>
    <row r="166" spans="7:51" x14ac:dyDescent="0.25">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Q166" s="102"/>
      <c r="AR166" s="102"/>
      <c r="AS166" s="102"/>
      <c r="AT166" s="102"/>
      <c r="AU166" s="102"/>
      <c r="AV166" s="102"/>
      <c r="AW166" s="102"/>
      <c r="AX166" s="102"/>
      <c r="AY166" s="102"/>
    </row>
    <row r="167" spans="7:51" x14ac:dyDescent="0.25">
      <c r="J167" s="102" t="s">
        <v>351</v>
      </c>
      <c r="K167" s="102"/>
      <c r="L167" s="114">
        <v>1</v>
      </c>
      <c r="M167" s="102"/>
      <c r="N167" s="107">
        <v>262484</v>
      </c>
      <c r="O167" s="102"/>
      <c r="P167" s="107">
        <f>ROUND(+N167*$L167,0)</f>
        <v>262484</v>
      </c>
      <c r="Q167" s="102"/>
      <c r="R167" s="107">
        <v>7892</v>
      </c>
      <c r="S167" s="102"/>
      <c r="T167" s="107">
        <f>ROUND(+R167*$L167,0)</f>
        <v>7892</v>
      </c>
      <c r="U167" s="102"/>
      <c r="V167" s="107">
        <v>272</v>
      </c>
      <c r="W167" s="102"/>
      <c r="X167" s="107">
        <f>ROUND(+V167*$L167,0)</f>
        <v>272</v>
      </c>
      <c r="Y167" s="102"/>
      <c r="Z167" s="107">
        <v>299</v>
      </c>
      <c r="AA167" s="102"/>
      <c r="AB167" s="107">
        <f>ROUND(+Z167*$L167,0)</f>
        <v>299</v>
      </c>
      <c r="AC167" s="102"/>
      <c r="AD167" s="107">
        <v>0</v>
      </c>
      <c r="AE167" s="102"/>
      <c r="AF167" s="107">
        <f>ROUND(+AD167*$L167,0)</f>
        <v>0</v>
      </c>
      <c r="AG167" s="102"/>
      <c r="AH167" s="107">
        <v>0</v>
      </c>
      <c r="AI167" s="102"/>
      <c r="AJ167" s="107">
        <f>ROUND(+AH167*$L167,0)</f>
        <v>0</v>
      </c>
      <c r="AK167" s="102"/>
      <c r="AL167" s="107">
        <f>N167+R167+V167+Z167+AD167+AH167</f>
        <v>270947</v>
      </c>
      <c r="AM167" s="102"/>
      <c r="AN167" s="107">
        <f>P167+T167+X167+AB167+AF167+AJ167</f>
        <v>270947</v>
      </c>
      <c r="AO167" s="102"/>
      <c r="AQ167" s="103"/>
      <c r="AR167" s="102"/>
      <c r="AS167" s="107"/>
      <c r="AT167" s="107"/>
      <c r="AU167" s="107"/>
      <c r="AV167" s="107"/>
      <c r="AW167" s="107"/>
      <c r="AX167" s="114"/>
      <c r="AY167" s="114"/>
    </row>
    <row r="168" spans="7:51" x14ac:dyDescent="0.25">
      <c r="J168" s="102"/>
      <c r="K168" s="102"/>
      <c r="L168" s="114"/>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Q168" s="103"/>
      <c r="AR168" s="102"/>
      <c r="AS168" s="107"/>
      <c r="AT168" s="107"/>
      <c r="AU168" s="107"/>
      <c r="AV168" s="107"/>
      <c r="AW168" s="107"/>
      <c r="AX168" s="114"/>
      <c r="AY168" s="114"/>
    </row>
    <row r="169" spans="7:51" x14ac:dyDescent="0.25">
      <c r="G169" s="114"/>
      <c r="J169" s="102" t="s">
        <v>352</v>
      </c>
      <c r="K169" s="102"/>
      <c r="L169" s="114">
        <v>1.19</v>
      </c>
      <c r="M169" s="102"/>
      <c r="N169" s="107">
        <v>4546</v>
      </c>
      <c r="O169" s="102"/>
      <c r="P169" s="107">
        <f>ROUND(+N169*$L169,0)</f>
        <v>5410</v>
      </c>
      <c r="Q169" s="102"/>
      <c r="R169" s="107">
        <v>2180</v>
      </c>
      <c r="S169" s="102"/>
      <c r="T169" s="107">
        <f>ROUND(+R169*$L169,0)</f>
        <v>2594</v>
      </c>
      <c r="U169" s="102"/>
      <c r="V169" s="107">
        <v>146</v>
      </c>
      <c r="W169" s="102"/>
      <c r="X169" s="107">
        <f>ROUND(+V169*$L169,0)</f>
        <v>174</v>
      </c>
      <c r="Y169" s="102"/>
      <c r="Z169" s="107">
        <v>179</v>
      </c>
      <c r="AA169" s="102"/>
      <c r="AB169" s="107">
        <f>ROUND(+Z169*$L169,0)</f>
        <v>213</v>
      </c>
      <c r="AC169" s="102"/>
      <c r="AD169" s="107">
        <v>1</v>
      </c>
      <c r="AE169" s="102"/>
      <c r="AF169" s="107">
        <f>ROUND(+AD169*$L169,0)</f>
        <v>1</v>
      </c>
      <c r="AG169" s="102"/>
      <c r="AH169" s="107">
        <v>2</v>
      </c>
      <c r="AI169" s="102"/>
      <c r="AJ169" s="107">
        <f>ROUND(+AH169*$L169,0)</f>
        <v>2</v>
      </c>
      <c r="AK169" s="102"/>
      <c r="AL169" s="107">
        <f>N169+R169+V169+Z169+AD169+AH169</f>
        <v>7054</v>
      </c>
      <c r="AM169" s="102"/>
      <c r="AN169" s="107">
        <f>P169+T169+X169+AB169+AF169+AJ169</f>
        <v>8394</v>
      </c>
      <c r="AO169" s="102"/>
      <c r="AQ169" s="103"/>
      <c r="AR169" s="102"/>
      <c r="AS169" s="107"/>
      <c r="AT169" s="107"/>
      <c r="AU169" s="107"/>
      <c r="AV169" s="107"/>
      <c r="AW169" s="107"/>
      <c r="AX169" s="114"/>
      <c r="AY169" s="114"/>
    </row>
    <row r="170" spans="7:51" x14ac:dyDescent="0.25">
      <c r="G170" s="114"/>
      <c r="J170" s="102"/>
      <c r="K170" s="102"/>
      <c r="L170" s="114"/>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Q170" s="103"/>
      <c r="AR170" s="102"/>
      <c r="AS170" s="107"/>
      <c r="AT170" s="107"/>
      <c r="AU170" s="107"/>
      <c r="AV170" s="107"/>
      <c r="AW170" s="107"/>
      <c r="AX170" s="114"/>
      <c r="AY170" s="114"/>
    </row>
    <row r="171" spans="7:51" x14ac:dyDescent="0.25">
      <c r="G171" s="114"/>
      <c r="J171" s="102" t="s">
        <v>353</v>
      </c>
      <c r="K171" s="102"/>
      <c r="L171" s="114">
        <v>1.72</v>
      </c>
      <c r="M171" s="102"/>
      <c r="N171" s="107">
        <v>149</v>
      </c>
      <c r="O171" s="102"/>
      <c r="P171" s="107">
        <f>ROUND(+N171*$L171,0)</f>
        <v>256</v>
      </c>
      <c r="Q171" s="102"/>
      <c r="R171" s="107">
        <v>1409</v>
      </c>
      <c r="S171" s="102"/>
      <c r="T171" s="107">
        <f>ROUND(+R171*$L171,0)</f>
        <v>2423</v>
      </c>
      <c r="U171" s="102"/>
      <c r="V171" s="107">
        <v>53</v>
      </c>
      <c r="W171" s="102"/>
      <c r="X171" s="107">
        <f>ROUND(+V171*$L171,0)</f>
        <v>91</v>
      </c>
      <c r="Y171" s="102"/>
      <c r="Z171" s="107">
        <v>64</v>
      </c>
      <c r="AA171" s="102"/>
      <c r="AB171" s="107">
        <f>ROUND(+Z171*$L171,0)</f>
        <v>110</v>
      </c>
      <c r="AC171" s="102"/>
      <c r="AD171" s="107">
        <v>0</v>
      </c>
      <c r="AE171" s="102"/>
      <c r="AF171" s="107">
        <f>ROUND(+AD171*$L171,0)</f>
        <v>0</v>
      </c>
      <c r="AG171" s="102"/>
      <c r="AH171" s="107">
        <v>61</v>
      </c>
      <c r="AI171" s="102"/>
      <c r="AJ171" s="107">
        <f>ROUND(+AH171*$L171,0)</f>
        <v>105</v>
      </c>
      <c r="AK171" s="102"/>
      <c r="AL171" s="107">
        <f>N171+R171+V171+Z171+AD171+AH171</f>
        <v>1736</v>
      </c>
      <c r="AM171" s="102"/>
      <c r="AN171" s="107">
        <f>P171+T171+X171+AB171+AF171+AJ171</f>
        <v>2985</v>
      </c>
      <c r="AO171" s="102"/>
      <c r="AQ171" s="103"/>
      <c r="AR171" s="102"/>
      <c r="AS171" s="107"/>
      <c r="AT171" s="107"/>
      <c r="AU171" s="107"/>
      <c r="AV171" s="107"/>
      <c r="AW171" s="107"/>
      <c r="AX171" s="114"/>
      <c r="AY171" s="114"/>
    </row>
    <row r="172" spans="7:51" x14ac:dyDescent="0.25">
      <c r="G172" s="114"/>
      <c r="J172" s="102"/>
      <c r="K172" s="102"/>
      <c r="L172" s="114"/>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Q172" s="103"/>
      <c r="AR172" s="102"/>
      <c r="AS172" s="107"/>
      <c r="AT172" s="107"/>
      <c r="AU172" s="107"/>
      <c r="AV172" s="107"/>
      <c r="AW172" s="107"/>
      <c r="AX172" s="114"/>
      <c r="AY172" s="114"/>
    </row>
    <row r="173" spans="7:51" x14ac:dyDescent="0.25">
      <c r="G173" s="114"/>
      <c r="J173" s="102" t="s">
        <v>354</v>
      </c>
      <c r="K173" s="102"/>
      <c r="L173" s="114">
        <v>2.38</v>
      </c>
      <c r="M173" s="102"/>
      <c r="N173" s="107">
        <v>79</v>
      </c>
      <c r="O173" s="102"/>
      <c r="P173" s="107">
        <f>ROUND(+N173*$L173,0)</f>
        <v>188</v>
      </c>
      <c r="Q173" s="102"/>
      <c r="R173" s="107">
        <v>1311</v>
      </c>
      <c r="S173" s="102"/>
      <c r="T173" s="107">
        <f>ROUND(+R173*$L173,0)</f>
        <v>3120</v>
      </c>
      <c r="U173" s="102"/>
      <c r="V173" s="107">
        <v>123</v>
      </c>
      <c r="W173" s="102"/>
      <c r="X173" s="107">
        <f>ROUND(+V173*$L173,0)</f>
        <v>293</v>
      </c>
      <c r="Y173" s="102"/>
      <c r="Z173" s="107">
        <v>115</v>
      </c>
      <c r="AA173" s="102"/>
      <c r="AB173" s="107">
        <f>ROUND(+Z173*$L173,0)</f>
        <v>274</v>
      </c>
      <c r="AC173" s="102"/>
      <c r="AD173" s="107">
        <v>1</v>
      </c>
      <c r="AE173" s="102"/>
      <c r="AF173" s="107">
        <f>ROUND(+AD173*$L173,0)</f>
        <v>2</v>
      </c>
      <c r="AG173" s="102"/>
      <c r="AH173" s="107">
        <v>51</v>
      </c>
      <c r="AI173" s="102"/>
      <c r="AJ173" s="107">
        <f>ROUND(+AH173*$L173,0)</f>
        <v>121</v>
      </c>
      <c r="AK173" s="102"/>
      <c r="AL173" s="107">
        <f>N173+R173+V173+Z173+AD173+AH173</f>
        <v>1680</v>
      </c>
      <c r="AM173" s="102"/>
      <c r="AN173" s="107">
        <f>P173+T173+X173+AB173+AF173+AJ173</f>
        <v>3998</v>
      </c>
      <c r="AO173" s="102"/>
      <c r="AQ173" s="103"/>
      <c r="AR173" s="102"/>
      <c r="AS173" s="107"/>
      <c r="AT173" s="107"/>
      <c r="AU173" s="107"/>
      <c r="AV173" s="107"/>
      <c r="AW173" s="107"/>
      <c r="AX173" s="114"/>
      <c r="AY173" s="114"/>
    </row>
    <row r="174" spans="7:51" x14ac:dyDescent="0.25">
      <c r="G174" s="114"/>
      <c r="J174" s="102"/>
      <c r="K174" s="102"/>
      <c r="L174" s="114"/>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Q174" s="103"/>
      <c r="AR174" s="102"/>
      <c r="AS174" s="107"/>
      <c r="AT174" s="107"/>
      <c r="AU174" s="107"/>
      <c r="AV174" s="107"/>
      <c r="AW174" s="107"/>
      <c r="AX174" s="114"/>
      <c r="AY174" s="114"/>
    </row>
    <row r="175" spans="7:51" x14ac:dyDescent="0.25">
      <c r="G175" s="114"/>
      <c r="J175" s="102" t="s">
        <v>355</v>
      </c>
      <c r="K175" s="102"/>
      <c r="L175" s="114">
        <v>2.92</v>
      </c>
      <c r="M175" s="102"/>
      <c r="N175" s="107">
        <v>2</v>
      </c>
      <c r="O175" s="102"/>
      <c r="P175" s="107">
        <f>ROUND(+N175*$L175,0)</f>
        <v>6</v>
      </c>
      <c r="Q175" s="102"/>
      <c r="R175" s="107">
        <v>530</v>
      </c>
      <c r="S175" s="102"/>
      <c r="T175" s="107">
        <f>ROUND(+R175*$L175,0)</f>
        <v>1548</v>
      </c>
      <c r="U175" s="102"/>
      <c r="V175" s="107">
        <v>82</v>
      </c>
      <c r="W175" s="102"/>
      <c r="X175" s="107">
        <f>ROUND(+V175*$L175,0)</f>
        <v>239</v>
      </c>
      <c r="Y175" s="102"/>
      <c r="Z175" s="107">
        <v>123</v>
      </c>
      <c r="AA175" s="102"/>
      <c r="AB175" s="107">
        <f>ROUND(+Z175*$L175,0)</f>
        <v>359</v>
      </c>
      <c r="AC175" s="102"/>
      <c r="AD175" s="107">
        <v>6</v>
      </c>
      <c r="AE175" s="102"/>
      <c r="AF175" s="107">
        <f>ROUND(+AD175*$L175,0)</f>
        <v>18</v>
      </c>
      <c r="AG175" s="102"/>
      <c r="AH175" s="107">
        <v>622</v>
      </c>
      <c r="AI175" s="102"/>
      <c r="AJ175" s="107">
        <f>ROUND(+AH175*$L175,0)</f>
        <v>1816</v>
      </c>
      <c r="AK175" s="102"/>
      <c r="AL175" s="107">
        <f>N175+R175+V175+Z175+AD175+AH175</f>
        <v>1365</v>
      </c>
      <c r="AM175" s="102"/>
      <c r="AN175" s="107">
        <f>P175+T175+X175+AB175+AF175+AJ175</f>
        <v>3986</v>
      </c>
      <c r="AO175" s="102"/>
      <c r="AQ175" s="103"/>
      <c r="AR175" s="102"/>
      <c r="AS175" s="107"/>
      <c r="AT175" s="107"/>
      <c r="AU175" s="107"/>
      <c r="AV175" s="107"/>
      <c r="AW175" s="107"/>
      <c r="AX175" s="114"/>
      <c r="AY175" s="114"/>
    </row>
    <row r="176" spans="7:51" x14ac:dyDescent="0.25">
      <c r="G176" s="114"/>
      <c r="J176" s="102"/>
      <c r="K176" s="102"/>
      <c r="L176" s="114"/>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Q176" s="103"/>
      <c r="AR176" s="102"/>
      <c r="AS176" s="107"/>
      <c r="AT176" s="107"/>
      <c r="AU176" s="107"/>
      <c r="AV176" s="107"/>
      <c r="AW176" s="107"/>
      <c r="AX176" s="114"/>
      <c r="AY176" s="114"/>
    </row>
    <row r="177" spans="7:51" x14ac:dyDescent="0.25">
      <c r="G177" s="114"/>
      <c r="J177" s="102" t="s">
        <v>356</v>
      </c>
      <c r="K177" s="102"/>
      <c r="L177" s="114">
        <v>3.96</v>
      </c>
      <c r="M177" s="102"/>
      <c r="N177" s="107">
        <v>16</v>
      </c>
      <c r="O177" s="102"/>
      <c r="P177" s="107">
        <f>ROUND(+N177*$L177,0)</f>
        <v>63</v>
      </c>
      <c r="Q177" s="102"/>
      <c r="R177" s="107">
        <v>144</v>
      </c>
      <c r="S177" s="102"/>
      <c r="T177" s="107">
        <f>ROUND(+R177*$L177,0)</f>
        <v>570</v>
      </c>
      <c r="U177" s="102"/>
      <c r="V177" s="107">
        <v>61</v>
      </c>
      <c r="W177" s="102"/>
      <c r="X177" s="107">
        <f>ROUND(+V177*$L177,0)</f>
        <v>242</v>
      </c>
      <c r="Y177" s="102"/>
      <c r="Z177" s="107">
        <v>9</v>
      </c>
      <c r="AA177" s="102"/>
      <c r="AB177" s="107">
        <f>ROUND(+Z177*$L177,0)</f>
        <v>36</v>
      </c>
      <c r="AC177" s="102"/>
      <c r="AD177" s="107">
        <v>2</v>
      </c>
      <c r="AE177" s="102"/>
      <c r="AF177" s="107">
        <f>ROUND(+AD177*$L177,0)</f>
        <v>8</v>
      </c>
      <c r="AG177" s="102"/>
      <c r="AH177" s="107">
        <v>988</v>
      </c>
      <c r="AI177" s="102"/>
      <c r="AJ177" s="107">
        <f>ROUND(+AH177*$L177,0)</f>
        <v>3912</v>
      </c>
      <c r="AK177" s="102"/>
      <c r="AL177" s="107">
        <f>N177+R177+V177+Z177+AD177+AH177</f>
        <v>1220</v>
      </c>
      <c r="AM177" s="102"/>
      <c r="AN177" s="107">
        <f>P177+T177+X177+AB177+AF177+AJ177</f>
        <v>4831</v>
      </c>
      <c r="AO177" s="102"/>
      <c r="AQ177" s="103"/>
      <c r="AR177" s="102"/>
      <c r="AS177" s="107"/>
      <c r="AT177" s="107"/>
      <c r="AU177" s="107"/>
      <c r="AV177" s="107"/>
      <c r="AW177" s="107"/>
      <c r="AX177" s="114"/>
      <c r="AY177" s="114"/>
    </row>
    <row r="178" spans="7:51" x14ac:dyDescent="0.25">
      <c r="G178" s="114"/>
      <c r="J178" s="102"/>
      <c r="K178" s="102"/>
      <c r="L178" s="114"/>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Q178" s="103"/>
      <c r="AR178" s="102"/>
      <c r="AS178" s="107"/>
      <c r="AT178" s="107"/>
      <c r="AU178" s="107"/>
      <c r="AV178" s="107"/>
      <c r="AW178" s="107"/>
      <c r="AX178" s="114"/>
      <c r="AY178" s="114"/>
    </row>
    <row r="179" spans="7:51" x14ac:dyDescent="0.25">
      <c r="G179" s="114"/>
      <c r="J179" s="102" t="s">
        <v>357</v>
      </c>
      <c r="K179" s="102"/>
      <c r="L179" s="114">
        <v>6.46</v>
      </c>
      <c r="M179" s="102"/>
      <c r="N179" s="107">
        <v>1</v>
      </c>
      <c r="O179" s="102"/>
      <c r="P179" s="107">
        <f>ROUND(+N179*$L179,0)</f>
        <v>6</v>
      </c>
      <c r="Q179" s="102"/>
      <c r="R179" s="107">
        <v>12</v>
      </c>
      <c r="S179" s="102"/>
      <c r="T179" s="107">
        <f>ROUND(+R179*$L179,0)</f>
        <v>78</v>
      </c>
      <c r="U179" s="102"/>
      <c r="V179" s="107">
        <v>10</v>
      </c>
      <c r="W179" s="102"/>
      <c r="X179" s="107">
        <f>ROUND(+V179*$L179,0)</f>
        <v>65</v>
      </c>
      <c r="Y179" s="102"/>
      <c r="Z179" s="107">
        <v>0</v>
      </c>
      <c r="AA179" s="102"/>
      <c r="AB179" s="107">
        <f>ROUND(+Z179*$L179,0)</f>
        <v>0</v>
      </c>
      <c r="AC179" s="102"/>
      <c r="AD179" s="107">
        <v>1</v>
      </c>
      <c r="AE179" s="102"/>
      <c r="AF179" s="107">
        <f>ROUND(+AD179*$L179,0)</f>
        <v>6</v>
      </c>
      <c r="AG179" s="102"/>
      <c r="AH179" s="107">
        <v>445</v>
      </c>
      <c r="AI179" s="102"/>
      <c r="AJ179" s="107">
        <f>ROUND(+AH179*$L179,0)</f>
        <v>2875</v>
      </c>
      <c r="AK179" s="102"/>
      <c r="AL179" s="107">
        <f>N179+R179+V179+Z179+AD179+AH179</f>
        <v>469</v>
      </c>
      <c r="AM179" s="102"/>
      <c r="AN179" s="107">
        <f>P179+T179+X179+AB179+AF179+AJ179</f>
        <v>3030</v>
      </c>
      <c r="AO179" s="102"/>
      <c r="AQ179" s="103"/>
      <c r="AR179" s="102"/>
      <c r="AS179" s="107"/>
      <c r="AT179" s="107"/>
      <c r="AU179" s="107"/>
      <c r="AV179" s="107"/>
      <c r="AW179" s="107"/>
      <c r="AX179" s="114"/>
      <c r="AY179" s="114"/>
    </row>
    <row r="180" spans="7:51" x14ac:dyDescent="0.25">
      <c r="G180" s="114"/>
      <c r="J180" s="102"/>
      <c r="K180" s="102"/>
      <c r="L180" s="114"/>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Q180" s="103"/>
      <c r="AR180" s="102"/>
      <c r="AS180" s="107"/>
      <c r="AT180" s="107"/>
      <c r="AU180" s="107"/>
      <c r="AV180" s="107"/>
      <c r="AW180" s="107"/>
      <c r="AX180" s="114"/>
      <c r="AY180" s="114"/>
    </row>
    <row r="181" spans="7:51" x14ac:dyDescent="0.25">
      <c r="G181" s="114"/>
      <c r="J181" s="102" t="s">
        <v>358</v>
      </c>
      <c r="K181" s="102"/>
      <c r="L181" s="114">
        <v>8.68</v>
      </c>
      <c r="M181" s="102"/>
      <c r="N181" s="107">
        <v>0</v>
      </c>
      <c r="O181" s="102"/>
      <c r="P181" s="107">
        <f>ROUND(+N181*$L181,0)</f>
        <v>0</v>
      </c>
      <c r="Q181" s="102"/>
      <c r="R181" s="107">
        <v>12</v>
      </c>
      <c r="S181" s="102"/>
      <c r="T181" s="107">
        <f>ROUND(+R181*$L181,0)</f>
        <v>104</v>
      </c>
      <c r="U181" s="102"/>
      <c r="V181" s="107">
        <v>10</v>
      </c>
      <c r="W181" s="102"/>
      <c r="X181" s="107">
        <f>ROUND(+V181*$L181,0)</f>
        <v>87</v>
      </c>
      <c r="Y181" s="102"/>
      <c r="Z181" s="107">
        <v>0</v>
      </c>
      <c r="AA181" s="102"/>
      <c r="AB181" s="107">
        <f>ROUND(+Z181*$L181,0)</f>
        <v>0</v>
      </c>
      <c r="AC181" s="102"/>
      <c r="AD181" s="107">
        <v>1</v>
      </c>
      <c r="AE181" s="102"/>
      <c r="AF181" s="107">
        <f>ROUND(+AD181*$L181,0)</f>
        <v>9</v>
      </c>
      <c r="AG181" s="102"/>
      <c r="AH181" s="107">
        <v>20</v>
      </c>
      <c r="AI181" s="102"/>
      <c r="AJ181" s="107">
        <f>ROUND(+AH181*$L181,0)</f>
        <v>174</v>
      </c>
      <c r="AK181" s="102"/>
      <c r="AL181" s="107">
        <f>N181+R181+V181+Z181+AD181+AH181</f>
        <v>43</v>
      </c>
      <c r="AM181" s="102"/>
      <c r="AN181" s="107">
        <f>P181+T181+X181+AB181+AF181+AJ181</f>
        <v>374</v>
      </c>
      <c r="AO181" s="102"/>
      <c r="AQ181" s="103"/>
      <c r="AR181" s="102"/>
      <c r="AS181" s="107"/>
      <c r="AT181" s="107"/>
      <c r="AU181" s="107"/>
      <c r="AV181" s="107"/>
      <c r="AW181" s="107"/>
      <c r="AX181" s="114"/>
      <c r="AY181" s="114"/>
    </row>
    <row r="182" spans="7:51" x14ac:dyDescent="0.25">
      <c r="G182" s="114"/>
      <c r="J182" s="102"/>
      <c r="K182" s="102"/>
      <c r="L182" s="114"/>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Q182" s="103"/>
      <c r="AR182" s="102"/>
      <c r="AS182" s="107"/>
      <c r="AT182" s="107"/>
      <c r="AU182" s="107"/>
      <c r="AV182" s="107"/>
      <c r="AW182" s="107"/>
      <c r="AX182" s="114"/>
      <c r="AY182" s="114"/>
    </row>
    <row r="183" spans="7:51" x14ac:dyDescent="0.25">
      <c r="G183" s="114"/>
      <c r="J183" s="102" t="s">
        <v>359</v>
      </c>
      <c r="K183" s="102"/>
      <c r="L183" s="114">
        <v>11.11</v>
      </c>
      <c r="M183" s="102"/>
      <c r="N183" s="107">
        <v>0</v>
      </c>
      <c r="O183" s="102"/>
      <c r="P183" s="107">
        <f>ROUND(+N183*$L183,0)</f>
        <v>0</v>
      </c>
      <c r="Q183" s="102"/>
      <c r="R183" s="107">
        <v>0</v>
      </c>
      <c r="S183" s="102"/>
      <c r="T183" s="107">
        <f>ROUND(+R183*$L183,0)</f>
        <v>0</v>
      </c>
      <c r="U183" s="102"/>
      <c r="V183" s="107">
        <v>0</v>
      </c>
      <c r="W183" s="102"/>
      <c r="X183" s="107">
        <f>ROUND(+V183*$L183,0)</f>
        <v>0</v>
      </c>
      <c r="Y183" s="102"/>
      <c r="Z183" s="107">
        <v>0</v>
      </c>
      <c r="AA183" s="102"/>
      <c r="AB183" s="107">
        <f>ROUND(+Z183*$L183,0)</f>
        <v>0</v>
      </c>
      <c r="AC183" s="102"/>
      <c r="AD183" s="107">
        <v>1</v>
      </c>
      <c r="AE183" s="102"/>
      <c r="AF183" s="107">
        <f>ROUND(+AD183*$L183,0)</f>
        <v>11</v>
      </c>
      <c r="AG183" s="102"/>
      <c r="AH183" s="107">
        <v>0</v>
      </c>
      <c r="AI183" s="102"/>
      <c r="AJ183" s="107">
        <f>ROUND(+AH183*$L183,0)</f>
        <v>0</v>
      </c>
      <c r="AK183" s="102"/>
      <c r="AL183" s="107">
        <f>N183+R183+V183+Z183+AD183+AH183</f>
        <v>1</v>
      </c>
      <c r="AM183" s="102"/>
      <c r="AN183" s="107">
        <f>P183+T183+X183+AB183+AF183+AJ183</f>
        <v>11</v>
      </c>
      <c r="AO183" s="102"/>
      <c r="AQ183" s="103"/>
      <c r="AR183" s="102"/>
      <c r="AS183" s="107"/>
      <c r="AT183" s="107"/>
      <c r="AU183" s="107"/>
      <c r="AV183" s="107"/>
      <c r="AW183" s="107"/>
      <c r="AX183" s="114"/>
      <c r="AY183" s="114"/>
    </row>
    <row r="184" spans="7:51" x14ac:dyDescent="0.25">
      <c r="G184" s="114"/>
      <c r="J184" s="102"/>
      <c r="K184" s="102"/>
      <c r="L184" s="114"/>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Q184" s="103"/>
      <c r="AR184" s="102"/>
      <c r="AS184" s="107"/>
      <c r="AT184" s="107"/>
      <c r="AU184" s="107"/>
      <c r="AV184" s="107"/>
      <c r="AW184" s="107"/>
      <c r="AX184" s="114"/>
      <c r="AY184" s="114"/>
    </row>
    <row r="185" spans="7:51" x14ac:dyDescent="0.25">
      <c r="G185" s="114"/>
      <c r="I185" s="119"/>
      <c r="J185" s="102" t="s">
        <v>360</v>
      </c>
      <c r="K185" s="102"/>
      <c r="L185" s="114">
        <v>15.97</v>
      </c>
      <c r="M185" s="102"/>
      <c r="N185" s="107">
        <v>0</v>
      </c>
      <c r="O185" s="102"/>
      <c r="P185" s="107">
        <f>ROUND(+N185*$L185,0)</f>
        <v>0</v>
      </c>
      <c r="Q185" s="102"/>
      <c r="R185" s="107">
        <v>0</v>
      </c>
      <c r="S185" s="102"/>
      <c r="T185" s="107">
        <f>ROUND(+R185*$L185,0)</f>
        <v>0</v>
      </c>
      <c r="U185" s="102"/>
      <c r="V185" s="107">
        <v>0</v>
      </c>
      <c r="W185" s="102"/>
      <c r="X185" s="107">
        <f>ROUND(+V185*$L185,0)</f>
        <v>0</v>
      </c>
      <c r="Y185" s="102"/>
      <c r="Z185" s="107">
        <v>0</v>
      </c>
      <c r="AA185" s="102"/>
      <c r="AB185" s="107">
        <f>ROUND(+Z185*$L185,0)</f>
        <v>0</v>
      </c>
      <c r="AC185" s="102"/>
      <c r="AD185" s="107">
        <v>1</v>
      </c>
      <c r="AE185" s="102"/>
      <c r="AF185" s="107">
        <f>ROUND(+AD185*$L185,0)</f>
        <v>16</v>
      </c>
      <c r="AG185" s="102"/>
      <c r="AH185" s="107">
        <v>0</v>
      </c>
      <c r="AI185" s="102"/>
      <c r="AJ185" s="107">
        <f>ROUND(+AH185*$L185,0)</f>
        <v>0</v>
      </c>
      <c r="AK185" s="102"/>
      <c r="AL185" s="107">
        <f>N185+R185+V185+Z185+AD185+AH185</f>
        <v>1</v>
      </c>
      <c r="AM185" s="102"/>
      <c r="AN185" s="107">
        <f>P185+T185+X185+AB185+AF185+AJ185</f>
        <v>16</v>
      </c>
      <c r="AO185" s="102"/>
      <c r="AQ185" s="103"/>
      <c r="AR185" s="102"/>
      <c r="AS185" s="107"/>
      <c r="AT185" s="107"/>
      <c r="AU185" s="107"/>
      <c r="AV185" s="107"/>
      <c r="AW185" s="107"/>
      <c r="AX185" s="114"/>
      <c r="AY185" s="114"/>
    </row>
    <row r="186" spans="7:51" x14ac:dyDescent="0.25">
      <c r="J186" s="102"/>
      <c r="K186" s="102"/>
      <c r="L186" s="102"/>
      <c r="M186" s="102"/>
      <c r="N186" s="120"/>
      <c r="O186" s="102"/>
      <c r="P186" s="120"/>
      <c r="Q186" s="102"/>
      <c r="R186" s="120"/>
      <c r="S186" s="102"/>
      <c r="T186" s="120"/>
      <c r="U186" s="102"/>
      <c r="V186" s="120"/>
      <c r="W186" s="102"/>
      <c r="X186" s="120"/>
      <c r="Y186" s="102"/>
      <c r="Z186" s="120"/>
      <c r="AA186" s="102"/>
      <c r="AB186" s="120"/>
      <c r="AC186" s="102"/>
      <c r="AD186" s="120"/>
      <c r="AE186" s="102"/>
      <c r="AF186" s="120"/>
      <c r="AG186" s="102"/>
      <c r="AH186" s="120"/>
      <c r="AI186" s="102"/>
      <c r="AJ186" s="120"/>
      <c r="AK186" s="102"/>
      <c r="AL186" s="120"/>
      <c r="AM186" s="102"/>
      <c r="AN186" s="120"/>
      <c r="AO186" s="102"/>
      <c r="AQ186" s="102"/>
      <c r="AR186" s="102"/>
      <c r="AS186" s="107"/>
      <c r="AT186" s="107"/>
      <c r="AU186" s="107"/>
      <c r="AV186" s="107"/>
      <c r="AW186" s="107"/>
      <c r="AX186" s="102"/>
      <c r="AY186" s="102"/>
    </row>
    <row r="187" spans="7:51" x14ac:dyDescent="0.25">
      <c r="J187" s="102" t="s">
        <v>315</v>
      </c>
      <c r="K187" s="102"/>
      <c r="L187" s="102"/>
      <c r="M187" s="102"/>
      <c r="N187" s="107">
        <f>SUM(N167:N185)</f>
        <v>267277</v>
      </c>
      <c r="O187" s="102"/>
      <c r="P187" s="107">
        <f>SUM(P167:P185)</f>
        <v>268413</v>
      </c>
      <c r="Q187" s="102"/>
      <c r="R187" s="107">
        <f>SUM(R167:R185)</f>
        <v>13490</v>
      </c>
      <c r="S187" s="102"/>
      <c r="T187" s="107">
        <f>SUM(T167:T185)</f>
        <v>18329</v>
      </c>
      <c r="U187" s="102"/>
      <c r="V187" s="107">
        <f>SUM(V167:V185)</f>
        <v>757</v>
      </c>
      <c r="W187" s="102"/>
      <c r="X187" s="107">
        <f>SUM(X167:X185)</f>
        <v>1463</v>
      </c>
      <c r="Y187" s="102"/>
      <c r="Z187" s="107">
        <f>SUM(Z167:Z185)</f>
        <v>789</v>
      </c>
      <c r="AA187" s="102"/>
      <c r="AB187" s="107">
        <f>SUM(AB167:AB185)</f>
        <v>1291</v>
      </c>
      <c r="AC187" s="102"/>
      <c r="AD187" s="107">
        <f>SUM(AD167:AD185)</f>
        <v>14</v>
      </c>
      <c r="AE187" s="102"/>
      <c r="AF187" s="107">
        <f>SUM(AF167:AF185)</f>
        <v>71</v>
      </c>
      <c r="AG187" s="102"/>
      <c r="AH187" s="107">
        <f>SUM(AH167:AH185)</f>
        <v>2189</v>
      </c>
      <c r="AI187" s="102"/>
      <c r="AJ187" s="107">
        <f>SUM(AJ167:AJ185)</f>
        <v>9005</v>
      </c>
      <c r="AK187" s="102"/>
      <c r="AL187" s="107">
        <f>SUM(AL167:AL185)</f>
        <v>284516</v>
      </c>
      <c r="AM187" s="102"/>
      <c r="AN187" s="107">
        <f>SUM(AN167:AN185)</f>
        <v>298572</v>
      </c>
      <c r="AO187" s="102"/>
      <c r="AQ187" s="102"/>
      <c r="AR187" s="102"/>
      <c r="AS187" s="102"/>
      <c r="AT187" s="102"/>
      <c r="AU187" s="102"/>
      <c r="AV187" s="102"/>
      <c r="AW187" s="102"/>
      <c r="AX187" s="102"/>
      <c r="AY187" s="102"/>
    </row>
    <row r="188" spans="7:51" x14ac:dyDescent="0.25">
      <c r="J188" s="102"/>
      <c r="K188" s="102"/>
      <c r="L188" s="102"/>
      <c r="M188" s="102"/>
      <c r="N188" s="110"/>
      <c r="O188" s="102"/>
      <c r="P188" s="110"/>
      <c r="Q188" s="102"/>
      <c r="R188" s="110"/>
      <c r="S188" s="102"/>
      <c r="T188" s="110"/>
      <c r="U188" s="102"/>
      <c r="V188" s="110"/>
      <c r="W188" s="102"/>
      <c r="X188" s="110"/>
      <c r="Y188" s="102"/>
      <c r="Z188" s="110"/>
      <c r="AA188" s="102"/>
      <c r="AB188" s="110"/>
      <c r="AC188" s="102"/>
      <c r="AD188" s="110"/>
      <c r="AE188" s="102"/>
      <c r="AF188" s="110"/>
      <c r="AG188" s="102"/>
      <c r="AH188" s="110"/>
      <c r="AI188" s="102"/>
      <c r="AJ188" s="110"/>
      <c r="AK188" s="102"/>
      <c r="AL188" s="110"/>
      <c r="AM188" s="102"/>
      <c r="AN188" s="110"/>
      <c r="AO188" s="102"/>
    </row>
    <row r="189" spans="7:51" x14ac:dyDescent="0.25">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row>
    <row r="190" spans="7:51" x14ac:dyDescent="0.25">
      <c r="J190" s="102"/>
      <c r="K190" s="102"/>
      <c r="L190" s="102"/>
      <c r="M190" s="102"/>
      <c r="N190" s="102"/>
      <c r="O190" s="102"/>
      <c r="P190" s="115"/>
      <c r="Q190" s="102"/>
      <c r="R190" s="102"/>
      <c r="S190" s="102"/>
      <c r="T190" s="115"/>
      <c r="U190" s="102"/>
      <c r="V190" s="102"/>
      <c r="W190" s="102"/>
      <c r="X190" s="115"/>
      <c r="Y190" s="102"/>
      <c r="Z190" s="102"/>
      <c r="AA190" s="102"/>
      <c r="AB190" s="115"/>
      <c r="AC190" s="102"/>
      <c r="AD190" s="102"/>
      <c r="AE190" s="102"/>
      <c r="AF190" s="115"/>
      <c r="AG190" s="102"/>
      <c r="AH190" s="102"/>
      <c r="AI190" s="102"/>
      <c r="AJ190" s="115"/>
      <c r="AK190" s="102"/>
      <c r="AL190" s="102"/>
      <c r="AM190" s="102"/>
      <c r="AN190" s="115"/>
      <c r="AO190" s="102"/>
    </row>
    <row r="191" spans="7:51" x14ac:dyDescent="0.25">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row>
    <row r="192" spans="7:51" x14ac:dyDescent="0.25">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row>
    <row r="193" spans="10:41" x14ac:dyDescent="0.25">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row>
    <row r="194" spans="10:41" x14ac:dyDescent="0.25">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row>
    <row r="195" spans="10:41" x14ac:dyDescent="0.25">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row>
    <row r="196" spans="10:41" x14ac:dyDescent="0.25">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row>
    <row r="197" spans="10:41" x14ac:dyDescent="0.25">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row>
  </sheetData>
  <mergeCells count="4">
    <mergeCell ref="A23:G23"/>
    <mergeCell ref="A46:F46"/>
    <mergeCell ref="A4:G4"/>
    <mergeCell ref="A41:G41"/>
  </mergeCells>
  <phoneticPr fontId="13" type="noConversion"/>
  <printOptions horizontalCentered="1"/>
  <pageMargins left="1" right="1" top="1" bottom="0.5" header="0.5" footer="0.5"/>
  <pageSetup fitToHeight="0" orientation="portrait" r:id="rId1"/>
  <headerFooter alignWithMargins="0"/>
  <rowBreaks count="1" manualBreakCount="1">
    <brk id="37"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fitToPage="1"/>
  </sheetPr>
  <dimension ref="A1:AT196"/>
  <sheetViews>
    <sheetView zoomScaleNormal="100" workbookViewId="0">
      <selection activeCell="A3" sqref="A3"/>
    </sheetView>
  </sheetViews>
  <sheetFormatPr defaultColWidth="9.81640625" defaultRowHeight="15" x14ac:dyDescent="0.25"/>
  <cols>
    <col min="1" max="1" width="6.81640625" style="310" customWidth="1"/>
    <col min="2" max="2" width="1.81640625" style="310" customWidth="1"/>
    <col min="3" max="3" width="7.81640625" style="578" customWidth="1"/>
    <col min="4" max="4" width="1.81640625" style="310" customWidth="1"/>
    <col min="5" max="5" width="7.81640625" style="310" customWidth="1"/>
    <col min="6" max="6" width="1.81640625" style="310" customWidth="1"/>
    <col min="7" max="7" width="8.81640625" style="310" customWidth="1"/>
    <col min="8" max="8" width="1.81640625" style="310" customWidth="1"/>
    <col min="9" max="9" width="7.81640625" style="310" customWidth="1"/>
    <col min="10" max="10" width="1.81640625" style="310" customWidth="1"/>
    <col min="11" max="11" width="7.81640625" style="310" customWidth="1"/>
    <col min="12" max="12" width="1.81640625" style="310" customWidth="1"/>
    <col min="13" max="13" width="7.81640625" style="310" customWidth="1"/>
    <col min="14" max="14" width="1.81640625" style="310" customWidth="1"/>
    <col min="15" max="15" width="7.81640625" style="310" customWidth="1"/>
    <col min="16" max="16" width="1.81640625" style="310" customWidth="1"/>
    <col min="17" max="17" width="7.81640625" style="310" customWidth="1"/>
    <col min="18" max="18" width="1.81640625" style="310" customWidth="1"/>
    <col min="19" max="19" width="7.81640625" style="310" customWidth="1"/>
    <col min="20" max="20" width="1.81640625" style="310" customWidth="1"/>
    <col min="21" max="21" width="7.81640625" style="310" customWidth="1"/>
    <col min="22" max="22" width="1.81640625" style="310" customWidth="1"/>
    <col min="23" max="23" width="7.81640625" style="310" customWidth="1"/>
    <col min="24" max="24" width="1.81640625" style="310" customWidth="1"/>
    <col min="25" max="25" width="7.81640625" style="310" customWidth="1"/>
    <col min="26" max="26" width="1.81640625" style="310" customWidth="1"/>
    <col min="27" max="27" width="7.81640625" style="310" customWidth="1"/>
    <col min="28" max="28" width="1.81640625" style="310" customWidth="1"/>
    <col min="29" max="29" width="7.81640625" style="310" customWidth="1"/>
    <col min="30" max="30" width="1.81640625" style="310" customWidth="1"/>
    <col min="31" max="31" width="8.81640625" style="310" customWidth="1"/>
    <col min="32" max="16384" width="9.81640625" style="310"/>
  </cols>
  <sheetData>
    <row r="1" spans="1:46" x14ac:dyDescent="0.25">
      <c r="A1" s="741" t="s">
        <v>51</v>
      </c>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309"/>
      <c r="AC1" s="309"/>
      <c r="AD1" s="309"/>
      <c r="AE1" s="309"/>
    </row>
    <row r="2" spans="1:46" x14ac:dyDescent="0.25">
      <c r="A2" s="758"/>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309"/>
      <c r="AC2" s="309"/>
      <c r="AD2" s="309"/>
      <c r="AE2" s="309"/>
    </row>
    <row r="3" spans="1:46" x14ac:dyDescent="0.25">
      <c r="A3" s="128"/>
      <c r="B3" s="309"/>
      <c r="C3" s="573"/>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row>
    <row r="4" spans="1:46" x14ac:dyDescent="0.25">
      <c r="A4" s="743" t="s">
        <v>394</v>
      </c>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309"/>
      <c r="AC4" s="309"/>
      <c r="AD4" s="309"/>
      <c r="AE4" s="309"/>
    </row>
    <row r="5" spans="1:46" x14ac:dyDescent="0.25">
      <c r="A5" s="311"/>
      <c r="B5" s="311"/>
      <c r="C5" s="574"/>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row>
    <row r="6" spans="1:46" x14ac:dyDescent="0.25">
      <c r="A6" s="311"/>
      <c r="B6" s="311"/>
      <c r="C6" s="574"/>
      <c r="D6" s="311"/>
      <c r="F6" s="311"/>
      <c r="G6" s="311"/>
      <c r="H6" s="311"/>
      <c r="J6" s="311"/>
      <c r="K6" s="311"/>
      <c r="L6" s="311"/>
      <c r="N6" s="311"/>
      <c r="O6" s="311"/>
      <c r="P6" s="311"/>
      <c r="R6" s="311"/>
      <c r="S6" s="311"/>
      <c r="T6" s="311"/>
      <c r="V6" s="311"/>
      <c r="W6" s="311"/>
      <c r="X6" s="311"/>
      <c r="Z6" s="311"/>
      <c r="AA6" s="311"/>
      <c r="AB6" s="311"/>
      <c r="AD6" s="311"/>
      <c r="AE6" s="311"/>
    </row>
    <row r="7" spans="1:46" x14ac:dyDescent="0.25">
      <c r="A7" s="312"/>
      <c r="B7" s="312"/>
      <c r="C7" s="575" t="s">
        <v>395</v>
      </c>
      <c r="D7" s="312"/>
      <c r="E7" s="309" t="s">
        <v>192</v>
      </c>
      <c r="F7" s="309"/>
      <c r="G7" s="309"/>
      <c r="H7" s="312"/>
      <c r="I7" s="309" t="s">
        <v>325</v>
      </c>
      <c r="J7" s="309"/>
      <c r="K7" s="309"/>
      <c r="L7" s="312"/>
      <c r="M7" s="309" t="s">
        <v>194</v>
      </c>
      <c r="N7" s="309"/>
      <c r="O7" s="309"/>
      <c r="P7" s="312"/>
      <c r="Q7" s="309" t="s">
        <v>195</v>
      </c>
      <c r="R7" s="309"/>
      <c r="S7" s="309"/>
      <c r="T7" s="312"/>
      <c r="U7" s="760" t="s">
        <v>103</v>
      </c>
      <c r="V7" s="760"/>
      <c r="W7" s="760"/>
      <c r="X7" s="312"/>
      <c r="Y7" s="309" t="s">
        <v>315</v>
      </c>
      <c r="Z7" s="309"/>
      <c r="AA7" s="309"/>
      <c r="AB7" s="312"/>
      <c r="AG7" s="498"/>
      <c r="AH7" s="498"/>
      <c r="AI7" s="498"/>
      <c r="AJ7" s="498"/>
      <c r="AK7" s="498"/>
      <c r="AL7" s="498"/>
      <c r="AM7" s="498"/>
      <c r="AN7" s="498"/>
      <c r="AO7" s="498"/>
      <c r="AP7" s="498"/>
      <c r="AQ7" s="498"/>
      <c r="AR7" s="498"/>
      <c r="AS7" s="498"/>
      <c r="AT7" s="498"/>
    </row>
    <row r="8" spans="1:46" x14ac:dyDescent="0.25">
      <c r="A8" s="312" t="s">
        <v>396</v>
      </c>
      <c r="B8" s="312"/>
      <c r="C8" s="575" t="s">
        <v>317</v>
      </c>
      <c r="D8" s="312"/>
      <c r="E8" s="313" t="s">
        <v>300</v>
      </c>
      <c r="F8" s="313"/>
      <c r="G8" s="313"/>
      <c r="H8" s="312"/>
      <c r="I8" s="313" t="s">
        <v>300</v>
      </c>
      <c r="J8" s="313"/>
      <c r="K8" s="313"/>
      <c r="L8" s="312"/>
      <c r="M8" s="313" t="s">
        <v>300</v>
      </c>
      <c r="N8" s="313"/>
      <c r="O8" s="313"/>
      <c r="P8" s="312"/>
      <c r="Q8" s="313" t="s">
        <v>300</v>
      </c>
      <c r="R8" s="313"/>
      <c r="S8" s="313"/>
      <c r="T8" s="312"/>
      <c r="U8" s="313" t="s">
        <v>300</v>
      </c>
      <c r="V8" s="313"/>
      <c r="W8" s="313"/>
      <c r="X8" s="312"/>
      <c r="Y8" s="313" t="s">
        <v>300</v>
      </c>
      <c r="Z8" s="313"/>
      <c r="AA8" s="313"/>
      <c r="AB8" s="312"/>
      <c r="AG8" s="498"/>
      <c r="AH8" s="498"/>
      <c r="AI8" s="498"/>
      <c r="AJ8" s="498"/>
      <c r="AK8" s="498"/>
      <c r="AL8" s="498"/>
      <c r="AM8" s="498"/>
      <c r="AN8" s="498"/>
      <c r="AO8" s="498"/>
      <c r="AP8" s="498"/>
      <c r="AQ8" s="498"/>
      <c r="AR8" s="498"/>
      <c r="AS8" s="498"/>
      <c r="AT8" s="498"/>
    </row>
    <row r="9" spans="1:46" x14ac:dyDescent="0.25">
      <c r="A9" s="312" t="s">
        <v>318</v>
      </c>
      <c r="B9" s="312"/>
      <c r="C9" s="575" t="s">
        <v>319</v>
      </c>
      <c r="D9" s="312"/>
      <c r="E9" s="312" t="s">
        <v>397</v>
      </c>
      <c r="F9" s="312"/>
      <c r="G9" s="312" t="s">
        <v>321</v>
      </c>
      <c r="H9" s="312"/>
      <c r="I9" s="312" t="s">
        <v>397</v>
      </c>
      <c r="J9" s="312"/>
      <c r="K9" s="312" t="s">
        <v>321</v>
      </c>
      <c r="L9" s="312"/>
      <c r="M9" s="312" t="s">
        <v>397</v>
      </c>
      <c r="N9" s="312"/>
      <c r="O9" s="312" t="s">
        <v>321</v>
      </c>
      <c r="P9" s="312"/>
      <c r="Q9" s="312" t="s">
        <v>397</v>
      </c>
      <c r="R9" s="312"/>
      <c r="S9" s="312" t="s">
        <v>321</v>
      </c>
      <c r="T9" s="312"/>
      <c r="U9" s="312" t="s">
        <v>397</v>
      </c>
      <c r="V9" s="312"/>
      <c r="W9" s="312" t="s">
        <v>321</v>
      </c>
      <c r="X9" s="312"/>
      <c r="Y9" s="312" t="s">
        <v>397</v>
      </c>
      <c r="Z9" s="312"/>
      <c r="AA9" s="312" t="s">
        <v>321</v>
      </c>
      <c r="AB9" s="312"/>
      <c r="AG9" s="498"/>
      <c r="AH9" s="498"/>
      <c r="AI9" s="498"/>
      <c r="AJ9" s="498"/>
      <c r="AK9" s="498"/>
      <c r="AL9" s="498"/>
      <c r="AM9" s="498"/>
      <c r="AN9" s="498"/>
      <c r="AO9" s="498"/>
      <c r="AP9" s="498"/>
      <c r="AQ9" s="498"/>
      <c r="AR9" s="498"/>
      <c r="AS9" s="498"/>
      <c r="AT9" s="498"/>
    </row>
    <row r="10" spans="1:46" x14ac:dyDescent="0.25">
      <c r="A10" s="314">
        <v>-1</v>
      </c>
      <c r="B10" s="315"/>
      <c r="C10" s="576">
        <v>-2</v>
      </c>
      <c r="D10" s="315"/>
      <c r="E10" s="314">
        <v>-3</v>
      </c>
      <c r="F10" s="316"/>
      <c r="G10" s="317" t="s">
        <v>322</v>
      </c>
      <c r="H10" s="316"/>
      <c r="I10" s="314">
        <v>-5</v>
      </c>
      <c r="J10" s="315"/>
      <c r="K10" s="314" t="s">
        <v>323</v>
      </c>
      <c r="L10" s="315"/>
      <c r="M10" s="314">
        <v>-7</v>
      </c>
      <c r="N10" s="315"/>
      <c r="O10" s="314" t="s">
        <v>326</v>
      </c>
      <c r="P10" s="315"/>
      <c r="Q10" s="314">
        <v>-9</v>
      </c>
      <c r="R10" s="315"/>
      <c r="S10" s="314" t="s">
        <v>327</v>
      </c>
      <c r="T10" s="315"/>
      <c r="U10" s="314">
        <v>-11</v>
      </c>
      <c r="V10" s="315"/>
      <c r="W10" s="314" t="s">
        <v>349</v>
      </c>
      <c r="X10" s="315"/>
      <c r="Y10" s="314">
        <v>-13</v>
      </c>
      <c r="Z10" s="315"/>
      <c r="AA10" s="314">
        <v>-14</v>
      </c>
      <c r="AB10" s="315"/>
      <c r="AG10" s="498"/>
      <c r="AH10" s="498"/>
      <c r="AI10" s="498"/>
      <c r="AJ10" s="498"/>
      <c r="AK10" s="498"/>
      <c r="AL10" s="498"/>
      <c r="AM10" s="498"/>
      <c r="AN10" s="498"/>
      <c r="AO10" s="498"/>
      <c r="AP10" s="498"/>
      <c r="AQ10" s="498"/>
      <c r="AR10" s="498"/>
      <c r="AS10" s="498"/>
      <c r="AT10" s="498"/>
    </row>
    <row r="11" spans="1:46" x14ac:dyDescent="0.25">
      <c r="A11" s="311"/>
      <c r="B11" s="311"/>
      <c r="C11" s="574"/>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G11" s="498"/>
      <c r="AH11" s="495"/>
      <c r="AI11" s="499"/>
      <c r="AJ11" s="499"/>
      <c r="AK11" s="499"/>
      <c r="AL11" s="499"/>
      <c r="AM11" s="499"/>
      <c r="AN11" s="500"/>
      <c r="AO11" s="498"/>
      <c r="AP11" s="498"/>
      <c r="AQ11" s="498"/>
      <c r="AR11" s="498"/>
      <c r="AS11" s="498"/>
      <c r="AT11" s="498"/>
    </row>
    <row r="12" spans="1:46" x14ac:dyDescent="0.25">
      <c r="A12" s="312" t="s">
        <v>398</v>
      </c>
      <c r="B12" s="311"/>
      <c r="C12" s="577">
        <v>1</v>
      </c>
      <c r="D12" s="311"/>
      <c r="E12" s="318">
        <v>78691</v>
      </c>
      <c r="F12" s="311"/>
      <c r="G12" s="318">
        <f>ROUND(+E12*$C12,0)</f>
        <v>78691</v>
      </c>
      <c r="H12" s="311"/>
      <c r="I12" s="318">
        <v>4323</v>
      </c>
      <c r="J12" s="311"/>
      <c r="K12" s="318">
        <f>ROUND(+I12*$C12,0)</f>
        <v>4323</v>
      </c>
      <c r="L12" s="311"/>
      <c r="M12" s="318">
        <v>13</v>
      </c>
      <c r="N12" s="311"/>
      <c r="O12" s="318">
        <f>ROUND(+M12*$C12,0)</f>
        <v>13</v>
      </c>
      <c r="P12" s="311"/>
      <c r="Q12" s="318">
        <v>170</v>
      </c>
      <c r="R12" s="311"/>
      <c r="S12" s="318">
        <f>ROUND(+Q12*$C12,0)</f>
        <v>170</v>
      </c>
      <c r="T12" s="311"/>
      <c r="U12" s="318"/>
      <c r="V12" s="311"/>
      <c r="W12" s="318">
        <f>ROUND(+U12*$C12,0)</f>
        <v>0</v>
      </c>
      <c r="X12" s="311"/>
      <c r="Y12" s="318">
        <f>E12+I12+M12+Q12+U12</f>
        <v>83197</v>
      </c>
      <c r="Z12" s="311"/>
      <c r="AA12" s="318">
        <f>G12+K12+O12+S12+W12</f>
        <v>83197</v>
      </c>
      <c r="AB12" s="311"/>
      <c r="AG12" s="498"/>
      <c r="AH12" s="495"/>
      <c r="AI12" s="501"/>
      <c r="AJ12" s="501"/>
      <c r="AK12" s="502"/>
      <c r="AL12" s="501"/>
      <c r="AM12" s="502"/>
      <c r="AN12" s="500"/>
      <c r="AO12" s="498"/>
      <c r="AP12" s="498"/>
      <c r="AQ12" s="498"/>
      <c r="AR12" s="498"/>
      <c r="AS12" s="498"/>
      <c r="AT12" s="498"/>
    </row>
    <row r="13" spans="1:46" x14ac:dyDescent="0.25">
      <c r="A13" s="311"/>
      <c r="B13" s="311"/>
      <c r="C13" s="577"/>
      <c r="D13" s="311"/>
      <c r="E13" s="311"/>
      <c r="F13" s="311"/>
      <c r="G13" s="311"/>
      <c r="H13" s="311"/>
      <c r="I13" s="311"/>
      <c r="J13" s="311"/>
      <c r="K13" s="311"/>
      <c r="L13" s="311"/>
      <c r="M13" s="311"/>
      <c r="N13" s="311"/>
      <c r="O13" s="311"/>
      <c r="P13" s="311"/>
      <c r="Q13" s="311"/>
      <c r="R13" s="311"/>
      <c r="S13" s="311"/>
      <c r="T13" s="311"/>
      <c r="U13" s="318"/>
      <c r="V13" s="311"/>
      <c r="W13" s="311"/>
      <c r="X13" s="311"/>
      <c r="Y13" s="311"/>
      <c r="Z13" s="311"/>
      <c r="AA13" s="311"/>
      <c r="AB13" s="311"/>
      <c r="AG13" s="498"/>
      <c r="AH13" s="495"/>
      <c r="AI13" s="501"/>
      <c r="AJ13" s="501"/>
      <c r="AK13" s="502"/>
      <c r="AL13" s="501"/>
      <c r="AM13" s="502"/>
      <c r="AN13" s="500"/>
      <c r="AO13" s="498"/>
      <c r="AP13" s="498"/>
      <c r="AQ13" s="498"/>
      <c r="AR13" s="498"/>
      <c r="AS13" s="498"/>
      <c r="AT13" s="498"/>
    </row>
    <row r="14" spans="1:46" x14ac:dyDescent="0.25">
      <c r="A14" s="515" t="s">
        <v>399</v>
      </c>
      <c r="B14" s="311"/>
      <c r="C14" s="577">
        <f>+ROUND((C16-C12)/2,1)+C12</f>
        <v>1.4</v>
      </c>
      <c r="D14" s="311"/>
      <c r="E14" s="318">
        <v>0</v>
      </c>
      <c r="F14" s="311"/>
      <c r="G14" s="318">
        <f>ROUND(+E14*$C14,0)</f>
        <v>0</v>
      </c>
      <c r="H14" s="311"/>
      <c r="I14" s="318">
        <v>0</v>
      </c>
      <c r="J14" s="311"/>
      <c r="K14" s="318">
        <f>ROUND(+I14*$C14,0)</f>
        <v>0</v>
      </c>
      <c r="L14" s="311"/>
      <c r="M14" s="318">
        <v>0</v>
      </c>
      <c r="N14" s="311"/>
      <c r="O14" s="318">
        <f>ROUND(+M14*$C14,0)</f>
        <v>0</v>
      </c>
      <c r="P14" s="311"/>
      <c r="Q14" s="318">
        <v>0</v>
      </c>
      <c r="R14" s="311"/>
      <c r="S14" s="318">
        <f>ROUND(+Q14*$C14,0)</f>
        <v>0</v>
      </c>
      <c r="T14" s="311"/>
      <c r="U14" s="318"/>
      <c r="V14" s="311"/>
      <c r="W14" s="318">
        <f>ROUND(+U14*$C14,0)</f>
        <v>0</v>
      </c>
      <c r="X14" s="311"/>
      <c r="Y14" s="318">
        <f>E14+I14+M14+Q14+U14</f>
        <v>0</v>
      </c>
      <c r="Z14" s="311"/>
      <c r="AA14" s="318">
        <f>G14+K14+O14+S14+W14</f>
        <v>0</v>
      </c>
      <c r="AB14" s="311"/>
      <c r="AG14" s="498"/>
      <c r="AH14" s="495"/>
      <c r="AI14" s="501"/>
      <c r="AJ14" s="501"/>
      <c r="AK14" s="502"/>
      <c r="AL14" s="501"/>
      <c r="AM14" s="502"/>
      <c r="AN14" s="500"/>
      <c r="AO14" s="498"/>
      <c r="AP14" s="498"/>
      <c r="AQ14" s="498"/>
      <c r="AR14" s="498"/>
      <c r="AS14" s="498"/>
      <c r="AT14" s="498"/>
    </row>
    <row r="15" spans="1:46" x14ac:dyDescent="0.25">
      <c r="A15" s="312"/>
      <c r="B15" s="311"/>
      <c r="C15" s="577"/>
      <c r="D15" s="311"/>
      <c r="E15" s="318"/>
      <c r="F15" s="311"/>
      <c r="G15" s="311"/>
      <c r="H15" s="311"/>
      <c r="I15" s="318"/>
      <c r="J15" s="311"/>
      <c r="K15" s="311"/>
      <c r="L15" s="311"/>
      <c r="M15" s="318"/>
      <c r="N15" s="311"/>
      <c r="O15" s="311"/>
      <c r="P15" s="311"/>
      <c r="Q15" s="318"/>
      <c r="R15" s="311"/>
      <c r="S15" s="311"/>
      <c r="T15" s="311"/>
      <c r="U15" s="318"/>
      <c r="V15" s="311"/>
      <c r="W15" s="311"/>
      <c r="X15" s="311"/>
      <c r="Y15" s="318"/>
      <c r="Z15" s="311"/>
      <c r="AA15" s="318"/>
      <c r="AB15" s="311"/>
      <c r="AG15" s="498"/>
      <c r="AH15" s="495"/>
      <c r="AI15" s="499"/>
      <c r="AJ15" s="499"/>
      <c r="AK15" s="499"/>
      <c r="AL15" s="499"/>
      <c r="AM15" s="499"/>
      <c r="AN15" s="500"/>
      <c r="AO15" s="498"/>
      <c r="AP15" s="498"/>
      <c r="AQ15" s="498"/>
      <c r="AR15" s="498"/>
      <c r="AS15" s="498"/>
      <c r="AT15" s="498"/>
    </row>
    <row r="16" spans="1:46" x14ac:dyDescent="0.25">
      <c r="A16" s="312" t="s">
        <v>400</v>
      </c>
      <c r="B16" s="311"/>
      <c r="C16" s="577">
        <v>1.7</v>
      </c>
      <c r="D16" s="311"/>
      <c r="E16" s="318">
        <v>644</v>
      </c>
      <c r="F16" s="311"/>
      <c r="G16" s="318">
        <f>ROUND(+E16*$C16,0)</f>
        <v>1095</v>
      </c>
      <c r="H16" s="311"/>
      <c r="I16" s="318">
        <v>654</v>
      </c>
      <c r="J16" s="311"/>
      <c r="K16" s="318">
        <f>ROUND(+I16*$C16,0)</f>
        <v>1112</v>
      </c>
      <c r="L16" s="311"/>
      <c r="M16" s="318">
        <v>9</v>
      </c>
      <c r="N16" s="311"/>
      <c r="O16" s="318">
        <f>ROUND(+M16*$C16,0)</f>
        <v>15</v>
      </c>
      <c r="P16" s="311"/>
      <c r="Q16" s="318">
        <v>75</v>
      </c>
      <c r="R16" s="311"/>
      <c r="S16" s="318">
        <f>ROUND(+Q16*$C16,0)</f>
        <v>128</v>
      </c>
      <c r="T16" s="311"/>
      <c r="U16" s="318"/>
      <c r="V16" s="311"/>
      <c r="W16" s="318">
        <f>ROUND(+U16*$C16,0)</f>
        <v>0</v>
      </c>
      <c r="X16" s="311"/>
      <c r="Y16" s="318">
        <f>E16+I16+M16+Q16+U16</f>
        <v>1382</v>
      </c>
      <c r="Z16" s="311"/>
      <c r="AA16" s="318">
        <f>G16+K16+O16+S16+W16</f>
        <v>2350</v>
      </c>
      <c r="AB16" s="311"/>
      <c r="AG16" s="498"/>
      <c r="AH16" s="495"/>
      <c r="AI16" s="499"/>
      <c r="AJ16" s="499"/>
      <c r="AK16" s="499"/>
      <c r="AL16" s="499"/>
      <c r="AM16" s="499"/>
      <c r="AN16" s="500"/>
      <c r="AO16" s="498"/>
      <c r="AP16" s="498"/>
      <c r="AQ16" s="498"/>
      <c r="AR16" s="498"/>
      <c r="AS16" s="498"/>
      <c r="AT16" s="498"/>
    </row>
    <row r="17" spans="1:46" x14ac:dyDescent="0.25">
      <c r="A17" s="312"/>
      <c r="B17" s="311"/>
      <c r="C17" s="577"/>
      <c r="D17" s="311"/>
      <c r="E17" s="318"/>
      <c r="F17" s="311"/>
      <c r="G17" s="311"/>
      <c r="H17" s="311"/>
      <c r="I17" s="318"/>
      <c r="J17" s="311"/>
      <c r="K17" s="311"/>
      <c r="L17" s="311"/>
      <c r="M17" s="318"/>
      <c r="N17" s="311"/>
      <c r="O17" s="311"/>
      <c r="P17" s="311"/>
      <c r="Q17" s="318"/>
      <c r="R17" s="311"/>
      <c r="S17" s="311"/>
      <c r="T17" s="311"/>
      <c r="U17" s="318"/>
      <c r="V17" s="311"/>
      <c r="W17" s="311"/>
      <c r="X17" s="311"/>
      <c r="Y17" s="318"/>
      <c r="Z17" s="311"/>
      <c r="AA17" s="318"/>
      <c r="AB17" s="311"/>
      <c r="AG17" s="498"/>
      <c r="AH17" s="495"/>
      <c r="AI17" s="499"/>
      <c r="AJ17" s="499"/>
      <c r="AK17" s="499"/>
      <c r="AL17" s="499"/>
      <c r="AM17" s="499"/>
      <c r="AN17" s="500"/>
      <c r="AO17" s="498"/>
      <c r="AP17" s="498"/>
      <c r="AQ17" s="498"/>
      <c r="AR17" s="498"/>
      <c r="AS17" s="498"/>
      <c r="AT17" s="498"/>
    </row>
    <row r="18" spans="1:46" x14ac:dyDescent="0.25">
      <c r="A18" s="312" t="s">
        <v>401</v>
      </c>
      <c r="B18" s="311"/>
      <c r="C18" s="577">
        <v>4.0999999999999996</v>
      </c>
      <c r="D18" s="311"/>
      <c r="E18" s="318">
        <v>103</v>
      </c>
      <c r="F18" s="311"/>
      <c r="G18" s="318">
        <f>ROUND(+E18*$C18,0)</f>
        <v>422</v>
      </c>
      <c r="H18" s="311"/>
      <c r="I18" s="318">
        <v>771</v>
      </c>
      <c r="J18" s="311"/>
      <c r="K18" s="318">
        <f>ROUND(+I18*$C18,0)</f>
        <v>3161</v>
      </c>
      <c r="L18" s="311"/>
      <c r="M18" s="318">
        <v>12</v>
      </c>
      <c r="N18" s="311"/>
      <c r="O18" s="318">
        <f>ROUND(+M18*$C18,0)</f>
        <v>49</v>
      </c>
      <c r="P18" s="311"/>
      <c r="Q18" s="318">
        <v>48</v>
      </c>
      <c r="R18" s="311"/>
      <c r="S18" s="318">
        <f>ROUND(+Q18*$C18,0)</f>
        <v>197</v>
      </c>
      <c r="T18" s="311"/>
      <c r="U18" s="318"/>
      <c r="V18" s="311"/>
      <c r="W18" s="318">
        <f>ROUND(+U18*$C18,0)</f>
        <v>0</v>
      </c>
      <c r="X18" s="311"/>
      <c r="Y18" s="318">
        <f>E18+I18+M18+Q18+U18</f>
        <v>934</v>
      </c>
      <c r="Z18" s="311"/>
      <c r="AA18" s="318">
        <f>G18+K18+O18+S18+W18</f>
        <v>3829</v>
      </c>
      <c r="AB18" s="311"/>
      <c r="AG18" s="498"/>
      <c r="AH18" s="495"/>
      <c r="AI18" s="499"/>
      <c r="AJ18" s="499"/>
      <c r="AK18" s="499"/>
      <c r="AL18" s="499"/>
      <c r="AM18" s="499"/>
      <c r="AN18" s="500"/>
      <c r="AO18" s="498"/>
      <c r="AP18" s="498"/>
      <c r="AQ18" s="498"/>
      <c r="AR18" s="498"/>
      <c r="AS18" s="498"/>
      <c r="AT18" s="498"/>
    </row>
    <row r="19" spans="1:46" x14ac:dyDescent="0.25">
      <c r="A19" s="312"/>
      <c r="B19" s="311"/>
      <c r="C19" s="577"/>
      <c r="D19" s="311"/>
      <c r="E19" s="318"/>
      <c r="F19" s="311"/>
      <c r="G19" s="311"/>
      <c r="H19" s="311"/>
      <c r="I19" s="318"/>
      <c r="J19" s="311"/>
      <c r="K19" s="311"/>
      <c r="L19" s="311"/>
      <c r="M19" s="318"/>
      <c r="N19" s="311"/>
      <c r="O19" s="311"/>
      <c r="P19" s="311"/>
      <c r="Q19" s="318"/>
      <c r="R19" s="311"/>
      <c r="S19" s="311"/>
      <c r="T19" s="311"/>
      <c r="U19" s="318"/>
      <c r="V19" s="311"/>
      <c r="W19" s="311"/>
      <c r="X19" s="311"/>
      <c r="Y19" s="318"/>
      <c r="Z19" s="311"/>
      <c r="AA19" s="318"/>
      <c r="AB19" s="311"/>
      <c r="AG19" s="498"/>
      <c r="AH19" s="495"/>
      <c r="AI19" s="499"/>
      <c r="AJ19" s="499"/>
      <c r="AK19" s="499"/>
      <c r="AL19" s="499"/>
      <c r="AM19" s="499"/>
      <c r="AN19" s="500"/>
      <c r="AO19" s="498"/>
      <c r="AP19" s="498"/>
      <c r="AQ19" s="498"/>
      <c r="AR19" s="498"/>
      <c r="AS19" s="498"/>
      <c r="AT19" s="498"/>
    </row>
    <row r="20" spans="1:46" x14ac:dyDescent="0.25">
      <c r="A20" s="312" t="s">
        <v>402</v>
      </c>
      <c r="B20" s="311"/>
      <c r="C20" s="577">
        <v>5.6</v>
      </c>
      <c r="D20" s="311"/>
      <c r="E20" s="318">
        <v>31</v>
      </c>
      <c r="F20" s="311"/>
      <c r="G20" s="318">
        <f>ROUND(+E20*$C20,0)</f>
        <v>174</v>
      </c>
      <c r="H20" s="311"/>
      <c r="I20" s="318">
        <v>733</v>
      </c>
      <c r="J20" s="311"/>
      <c r="K20" s="318">
        <f>ROUND(+I20*$C20,0)</f>
        <v>4105</v>
      </c>
      <c r="L20" s="311"/>
      <c r="M20" s="318">
        <v>38</v>
      </c>
      <c r="N20" s="311"/>
      <c r="O20" s="318">
        <f>ROUND(+M20*$C20,0)</f>
        <v>213</v>
      </c>
      <c r="P20" s="311"/>
      <c r="Q20" s="318">
        <v>137</v>
      </c>
      <c r="R20" s="311"/>
      <c r="S20" s="318">
        <f>ROUND(+Q20*$C20,0)</f>
        <v>767</v>
      </c>
      <c r="T20" s="311"/>
      <c r="U20" s="318"/>
      <c r="V20" s="311"/>
      <c r="W20" s="318">
        <f>ROUND(+U20*$C20,0)</f>
        <v>0</v>
      </c>
      <c r="X20" s="311"/>
      <c r="Y20" s="318">
        <f>E20+I20+M20+Q20+U20</f>
        <v>939</v>
      </c>
      <c r="Z20" s="311"/>
      <c r="AA20" s="318">
        <f>G20+K20+O20+S20+W20</f>
        <v>5259</v>
      </c>
      <c r="AB20" s="311"/>
      <c r="AG20" s="498"/>
      <c r="AH20" s="495"/>
      <c r="AI20" s="499"/>
      <c r="AJ20" s="499"/>
      <c r="AK20" s="499"/>
      <c r="AL20" s="499"/>
      <c r="AM20" s="499"/>
      <c r="AN20" s="500"/>
      <c r="AO20" s="498"/>
      <c r="AP20" s="498"/>
      <c r="AQ20" s="498"/>
      <c r="AR20" s="498"/>
      <c r="AS20" s="498"/>
      <c r="AT20" s="498"/>
    </row>
    <row r="21" spans="1:46" x14ac:dyDescent="0.25">
      <c r="A21" s="312"/>
      <c r="B21" s="311"/>
      <c r="C21" s="577"/>
      <c r="D21" s="311"/>
      <c r="E21" s="318"/>
      <c r="F21" s="311"/>
      <c r="G21" s="311"/>
      <c r="H21" s="311"/>
      <c r="I21" s="318"/>
      <c r="J21" s="311"/>
      <c r="K21" s="311"/>
      <c r="L21" s="311"/>
      <c r="M21" s="318"/>
      <c r="N21" s="311"/>
      <c r="O21" s="311"/>
      <c r="P21" s="311"/>
      <c r="Q21" s="318"/>
      <c r="R21" s="311"/>
      <c r="S21" s="311"/>
      <c r="T21" s="311"/>
      <c r="U21" s="318"/>
      <c r="V21" s="311"/>
      <c r="W21" s="311"/>
      <c r="X21" s="311"/>
      <c r="Y21" s="318"/>
      <c r="Z21" s="311"/>
      <c r="AA21" s="318"/>
      <c r="AB21" s="311"/>
      <c r="AG21" s="498"/>
      <c r="AH21" s="495"/>
      <c r="AI21" s="499"/>
      <c r="AJ21" s="499"/>
      <c r="AK21" s="499"/>
      <c r="AL21" s="499"/>
      <c r="AM21" s="499"/>
      <c r="AN21" s="500"/>
      <c r="AO21" s="498"/>
      <c r="AP21" s="498"/>
      <c r="AQ21" s="498"/>
      <c r="AR21" s="498"/>
      <c r="AS21" s="498"/>
      <c r="AT21" s="498"/>
    </row>
    <row r="22" spans="1:46" x14ac:dyDescent="0.25">
      <c r="A22" s="312" t="s">
        <v>403</v>
      </c>
      <c r="B22" s="311"/>
      <c r="C22" s="577">
        <v>8.6</v>
      </c>
      <c r="D22" s="311"/>
      <c r="E22" s="318"/>
      <c r="F22" s="311"/>
      <c r="G22" s="318">
        <f>ROUND(+E22*$C22,0)</f>
        <v>0</v>
      </c>
      <c r="H22" s="311"/>
      <c r="I22" s="318">
        <v>83</v>
      </c>
      <c r="J22" s="311"/>
      <c r="K22" s="318">
        <f>ROUND(+I22*$C22,0)</f>
        <v>714</v>
      </c>
      <c r="L22" s="311"/>
      <c r="M22" s="318">
        <v>14</v>
      </c>
      <c r="N22" s="311"/>
      <c r="O22" s="318">
        <f>ROUND(+M22*$C22,0)</f>
        <v>120</v>
      </c>
      <c r="P22" s="311"/>
      <c r="Q22" s="318">
        <v>41</v>
      </c>
      <c r="R22" s="311"/>
      <c r="S22" s="318">
        <f>ROUND(+Q22*$C22,0)</f>
        <v>353</v>
      </c>
      <c r="T22" s="311"/>
      <c r="U22" s="318"/>
      <c r="V22" s="311"/>
      <c r="W22" s="318">
        <f>ROUND(+U22*$C22,0)</f>
        <v>0</v>
      </c>
      <c r="X22" s="311"/>
      <c r="Y22" s="318">
        <f>E22+I22+M22+Q22+U22</f>
        <v>138</v>
      </c>
      <c r="Z22" s="311"/>
      <c r="AA22" s="318">
        <f>G22+K22+O22+S22+W22</f>
        <v>1187</v>
      </c>
      <c r="AB22" s="311"/>
      <c r="AG22" s="498"/>
      <c r="AH22" s="495"/>
      <c r="AI22" s="499"/>
      <c r="AJ22" s="499"/>
      <c r="AK22" s="499"/>
      <c r="AL22" s="499"/>
      <c r="AM22" s="499"/>
      <c r="AN22" s="500"/>
      <c r="AO22" s="498"/>
      <c r="AP22" s="498"/>
      <c r="AQ22" s="498"/>
      <c r="AR22" s="498"/>
      <c r="AS22" s="498"/>
      <c r="AT22" s="498"/>
    </row>
    <row r="23" spans="1:46" x14ac:dyDescent="0.25">
      <c r="A23" s="312"/>
      <c r="B23" s="311"/>
      <c r="C23" s="577"/>
      <c r="D23" s="311"/>
      <c r="E23" s="318"/>
      <c r="F23" s="311"/>
      <c r="G23" s="311"/>
      <c r="H23" s="311"/>
      <c r="I23" s="318"/>
      <c r="J23" s="311"/>
      <c r="K23" s="311"/>
      <c r="L23" s="311"/>
      <c r="M23" s="318"/>
      <c r="N23" s="311"/>
      <c r="O23" s="311"/>
      <c r="P23" s="311"/>
      <c r="Q23" s="318"/>
      <c r="R23" s="311"/>
      <c r="S23" s="311"/>
      <c r="T23" s="311"/>
      <c r="U23" s="318"/>
      <c r="V23" s="311"/>
      <c r="W23" s="311"/>
      <c r="X23" s="311"/>
      <c r="Y23" s="318"/>
      <c r="Z23" s="311"/>
      <c r="AA23" s="318"/>
      <c r="AB23" s="311"/>
      <c r="AG23" s="498"/>
      <c r="AH23" s="495"/>
      <c r="AI23" s="499"/>
      <c r="AJ23" s="499"/>
      <c r="AK23" s="499"/>
      <c r="AL23" s="499"/>
      <c r="AM23" s="499"/>
      <c r="AN23" s="500"/>
      <c r="AO23" s="498"/>
      <c r="AP23" s="498"/>
      <c r="AQ23" s="498"/>
      <c r="AR23" s="498"/>
      <c r="AS23" s="498"/>
      <c r="AT23" s="498"/>
    </row>
    <row r="24" spans="1:46" x14ac:dyDescent="0.25">
      <c r="A24" s="312" t="s">
        <v>404</v>
      </c>
      <c r="B24" s="311"/>
      <c r="C24" s="577">
        <v>12</v>
      </c>
      <c r="D24" s="311"/>
      <c r="E24" s="318"/>
      <c r="F24" s="311"/>
      <c r="G24" s="318">
        <f>ROUND(+E24*$C24,0)</f>
        <v>0</v>
      </c>
      <c r="H24" s="311"/>
      <c r="I24" s="318">
        <v>57</v>
      </c>
      <c r="J24" s="311"/>
      <c r="K24" s="318">
        <f>ROUND(+I24*$C24,0)</f>
        <v>684</v>
      </c>
      <c r="L24" s="311"/>
      <c r="M24" s="318">
        <v>13</v>
      </c>
      <c r="N24" s="311"/>
      <c r="O24" s="318">
        <f>ROUND(+M24*$C24,0)</f>
        <v>156</v>
      </c>
      <c r="P24" s="311"/>
      <c r="Q24" s="318">
        <v>19</v>
      </c>
      <c r="R24" s="311"/>
      <c r="S24" s="318">
        <f>ROUND(+Q24*$C24,0)</f>
        <v>228</v>
      </c>
      <c r="T24" s="311"/>
      <c r="U24" s="318">
        <v>3</v>
      </c>
      <c r="V24" s="311"/>
      <c r="W24" s="318">
        <f>ROUND(+U24*$C24,0)</f>
        <v>36</v>
      </c>
      <c r="X24" s="311"/>
      <c r="Y24" s="318">
        <f>E24+I24+M24+Q24+U24</f>
        <v>92</v>
      </c>
      <c r="Z24" s="311"/>
      <c r="AA24" s="318">
        <f>G24+K24+O24+S24+W24</f>
        <v>1104</v>
      </c>
      <c r="AB24" s="311"/>
      <c r="AG24" s="498"/>
      <c r="AH24" s="495"/>
      <c r="AI24" s="499"/>
      <c r="AJ24" s="499"/>
      <c r="AK24" s="499"/>
      <c r="AL24" s="499"/>
      <c r="AM24" s="499"/>
      <c r="AN24" s="498"/>
      <c r="AO24" s="498"/>
      <c r="AP24" s="498"/>
      <c r="AQ24" s="498"/>
      <c r="AR24" s="498"/>
      <c r="AS24" s="498"/>
      <c r="AT24" s="498"/>
    </row>
    <row r="25" spans="1:46" x14ac:dyDescent="0.25">
      <c r="A25" s="312"/>
      <c r="B25" s="311"/>
      <c r="C25" s="577"/>
      <c r="D25" s="311"/>
      <c r="E25" s="318"/>
      <c r="F25" s="311"/>
      <c r="G25" s="311"/>
      <c r="H25" s="311"/>
      <c r="I25" s="318"/>
      <c r="J25" s="311"/>
      <c r="K25" s="311"/>
      <c r="L25" s="311"/>
      <c r="M25" s="318"/>
      <c r="N25" s="311"/>
      <c r="O25" s="311"/>
      <c r="P25" s="311"/>
      <c r="Q25" s="318"/>
      <c r="R25" s="311"/>
      <c r="S25" s="311"/>
      <c r="T25" s="311"/>
      <c r="U25" s="318"/>
      <c r="V25" s="311"/>
      <c r="W25" s="311"/>
      <c r="X25" s="311"/>
      <c r="Y25" s="318"/>
      <c r="Z25" s="311"/>
      <c r="AA25" s="318"/>
      <c r="AB25" s="311"/>
      <c r="AG25" s="498"/>
      <c r="AH25" s="495"/>
      <c r="AI25" s="501"/>
      <c r="AJ25" s="501"/>
      <c r="AK25" s="501"/>
      <c r="AL25" s="501"/>
      <c r="AM25" s="501"/>
      <c r="AN25" s="500"/>
      <c r="AO25" s="498"/>
      <c r="AP25" s="498"/>
      <c r="AQ25" s="498"/>
      <c r="AR25" s="498"/>
      <c r="AS25" s="498"/>
      <c r="AT25" s="498"/>
    </row>
    <row r="26" spans="1:46" x14ac:dyDescent="0.25">
      <c r="A26" s="312" t="s">
        <v>405</v>
      </c>
      <c r="B26" s="311"/>
      <c r="C26" s="577">
        <v>22.5</v>
      </c>
      <c r="D26" s="311"/>
      <c r="E26" s="318"/>
      <c r="F26" s="311"/>
      <c r="G26" s="318">
        <f>ROUND(+E26*$C26,0)</f>
        <v>0</v>
      </c>
      <c r="H26" s="311"/>
      <c r="I26" s="318">
        <v>55</v>
      </c>
      <c r="J26" s="311"/>
      <c r="K26" s="318">
        <f>ROUND(+I26*$C26,0)</f>
        <v>1238</v>
      </c>
      <c r="L26" s="311"/>
      <c r="M26" s="318">
        <v>7</v>
      </c>
      <c r="N26" s="311"/>
      <c r="O26" s="318">
        <f>ROUND(+M26*$C26,0)</f>
        <v>158</v>
      </c>
      <c r="P26" s="311"/>
      <c r="Q26" s="318">
        <v>7</v>
      </c>
      <c r="R26" s="311"/>
      <c r="S26" s="318">
        <f>ROUND(+Q26*$C26,0)</f>
        <v>158</v>
      </c>
      <c r="T26" s="311"/>
      <c r="U26" s="318">
        <v>3</v>
      </c>
      <c r="V26" s="311"/>
      <c r="W26" s="318">
        <f>ROUND(+U26*$C26,0)</f>
        <v>68</v>
      </c>
      <c r="X26" s="311"/>
      <c r="Y26" s="318">
        <f>E26+I26+M26+Q26+U26</f>
        <v>72</v>
      </c>
      <c r="Z26" s="311"/>
      <c r="AA26" s="318">
        <f>G26+K26+O26+S26+W26</f>
        <v>1622</v>
      </c>
      <c r="AB26" s="311"/>
      <c r="AG26" s="498"/>
      <c r="AH26" s="495"/>
      <c r="AI26" s="502"/>
      <c r="AJ26" s="501"/>
      <c r="AK26" s="501"/>
      <c r="AL26" s="501"/>
      <c r="AM26" s="501"/>
      <c r="AN26" s="500"/>
      <c r="AO26" s="498"/>
      <c r="AP26" s="498"/>
      <c r="AQ26" s="498"/>
      <c r="AR26" s="498"/>
      <c r="AS26" s="498"/>
      <c r="AT26" s="498"/>
    </row>
    <row r="27" spans="1:46" x14ac:dyDescent="0.25">
      <c r="A27" s="312"/>
      <c r="B27" s="311"/>
      <c r="C27" s="577"/>
      <c r="D27" s="311"/>
      <c r="E27" s="318"/>
      <c r="F27" s="311"/>
      <c r="G27" s="323"/>
      <c r="H27" s="311"/>
      <c r="I27" s="318"/>
      <c r="J27" s="311"/>
      <c r="K27" s="311"/>
      <c r="L27" s="311"/>
      <c r="M27" s="318"/>
      <c r="N27" s="311"/>
      <c r="O27" s="311"/>
      <c r="P27" s="311"/>
      <c r="Q27" s="318"/>
      <c r="R27" s="311"/>
      <c r="S27" s="311"/>
      <c r="T27" s="311"/>
      <c r="U27" s="318"/>
      <c r="V27" s="311"/>
      <c r="W27" s="311"/>
      <c r="X27" s="311"/>
      <c r="Y27" s="318"/>
      <c r="Z27" s="311"/>
      <c r="AA27" s="318"/>
      <c r="AB27" s="311"/>
      <c r="AG27" s="498"/>
      <c r="AH27" s="495"/>
      <c r="AI27" s="502"/>
      <c r="AJ27" s="501"/>
      <c r="AK27" s="501"/>
      <c r="AL27" s="501"/>
      <c r="AM27" s="502"/>
      <c r="AN27" s="500"/>
      <c r="AO27" s="498"/>
      <c r="AP27" s="498"/>
      <c r="AQ27" s="498"/>
      <c r="AR27" s="498"/>
      <c r="AS27" s="498"/>
      <c r="AT27" s="498"/>
    </row>
    <row r="28" spans="1:46" x14ac:dyDescent="0.25">
      <c r="A28" s="312" t="s">
        <v>406</v>
      </c>
      <c r="B28" s="311"/>
      <c r="C28" s="577">
        <v>46.4</v>
      </c>
      <c r="D28" s="311"/>
      <c r="E28" s="318"/>
      <c r="F28" s="311"/>
      <c r="G28" s="322">
        <f>ROUND(+E28*$C28,0)</f>
        <v>0</v>
      </c>
      <c r="H28" s="311"/>
      <c r="I28" s="318">
        <v>29</v>
      </c>
      <c r="J28" s="311"/>
      <c r="K28" s="318">
        <f>ROUND(+I28*$C28,0)</f>
        <v>1346</v>
      </c>
      <c r="L28" s="311"/>
      <c r="M28" s="318">
        <v>3</v>
      </c>
      <c r="N28" s="311"/>
      <c r="O28" s="318">
        <f>ROUND(+M28*$C28,0)</f>
        <v>139</v>
      </c>
      <c r="P28" s="311"/>
      <c r="Q28" s="318">
        <v>3</v>
      </c>
      <c r="R28" s="311"/>
      <c r="S28" s="318">
        <f>ROUND(+Q28*$C28,0)</f>
        <v>139</v>
      </c>
      <c r="T28" s="311"/>
      <c r="U28" s="318"/>
      <c r="V28" s="311"/>
      <c r="W28" s="318">
        <f>ROUND(+U28*$C28,0)</f>
        <v>0</v>
      </c>
      <c r="X28" s="311"/>
      <c r="Y28" s="318">
        <f>E28+I28+M28+Q28+U28</f>
        <v>35</v>
      </c>
      <c r="Z28" s="311"/>
      <c r="AA28" s="318">
        <f>G28+K28+O28+S28+W28</f>
        <v>1624</v>
      </c>
      <c r="AB28" s="311"/>
      <c r="AG28" s="498"/>
      <c r="AH28" s="495"/>
      <c r="AI28" s="502"/>
      <c r="AJ28" s="502"/>
      <c r="AK28" s="502"/>
      <c r="AL28" s="501"/>
      <c r="AM28" s="502"/>
      <c r="AN28" s="498"/>
      <c r="AO28" s="498"/>
      <c r="AP28" s="498"/>
      <c r="AQ28" s="498"/>
      <c r="AR28" s="498"/>
      <c r="AS28" s="498"/>
      <c r="AT28" s="498"/>
    </row>
    <row r="29" spans="1:46" x14ac:dyDescent="0.25">
      <c r="A29" s="312"/>
      <c r="B29" s="311"/>
      <c r="C29" s="577"/>
      <c r="D29" s="311"/>
      <c r="E29" s="318"/>
      <c r="F29" s="311"/>
      <c r="G29" s="323"/>
      <c r="H29" s="311"/>
      <c r="I29" s="318"/>
      <c r="J29" s="311"/>
      <c r="K29" s="311"/>
      <c r="L29" s="311"/>
      <c r="M29" s="318"/>
      <c r="N29" s="311"/>
      <c r="O29" s="311"/>
      <c r="P29" s="311"/>
      <c r="Q29" s="318"/>
      <c r="R29" s="311"/>
      <c r="S29" s="311"/>
      <c r="T29" s="311"/>
      <c r="U29" s="318"/>
      <c r="V29" s="311"/>
      <c r="W29" s="318"/>
      <c r="X29" s="311"/>
      <c r="Y29" s="318"/>
      <c r="Z29" s="311"/>
      <c r="AA29" s="318"/>
      <c r="AB29" s="311"/>
      <c r="AG29" s="498"/>
      <c r="AH29" s="495"/>
      <c r="AI29" s="502"/>
      <c r="AJ29" s="501"/>
      <c r="AK29" s="501"/>
      <c r="AL29" s="501"/>
      <c r="AM29" s="502"/>
      <c r="AN29" s="498"/>
      <c r="AO29" s="498"/>
      <c r="AP29" s="498"/>
      <c r="AQ29" s="498"/>
      <c r="AR29" s="498"/>
      <c r="AS29" s="498"/>
      <c r="AT29" s="498"/>
    </row>
    <row r="30" spans="1:46" x14ac:dyDescent="0.25">
      <c r="A30" s="312">
        <v>10</v>
      </c>
      <c r="B30" s="311"/>
      <c r="C30" s="577">
        <f>+C28</f>
        <v>46.4</v>
      </c>
      <c r="D30" s="311"/>
      <c r="E30" s="318"/>
      <c r="F30" s="311"/>
      <c r="G30" s="405">
        <f>ROUND(+E30*$C30,0)</f>
        <v>0</v>
      </c>
      <c r="H30" s="311"/>
      <c r="I30" s="405">
        <v>0</v>
      </c>
      <c r="J30" s="311"/>
      <c r="K30" s="318">
        <f>ROUND(+I30*$C30,0)</f>
        <v>0</v>
      </c>
      <c r="L30" s="311"/>
      <c r="M30" s="318">
        <v>2</v>
      </c>
      <c r="N30" s="311"/>
      <c r="O30" s="318">
        <f>ROUND(+M30*$C30,0)</f>
        <v>93</v>
      </c>
      <c r="P30" s="311"/>
      <c r="Q30" s="318">
        <v>2</v>
      </c>
      <c r="R30" s="311"/>
      <c r="S30" s="318">
        <f>ROUND(+Q30*$C30,0)</f>
        <v>93</v>
      </c>
      <c r="T30" s="311"/>
      <c r="U30" s="318"/>
      <c r="V30" s="311"/>
      <c r="W30" s="318"/>
      <c r="X30" s="311"/>
      <c r="Y30" s="318">
        <f>E30+I30+M30+Q30+U30</f>
        <v>4</v>
      </c>
      <c r="Z30" s="311"/>
      <c r="AA30" s="318">
        <f>G30+K30+O30+S30+W30</f>
        <v>186</v>
      </c>
      <c r="AB30" s="311"/>
      <c r="AG30" s="498"/>
      <c r="AH30" s="495"/>
      <c r="AI30" s="502"/>
      <c r="AJ30" s="501"/>
      <c r="AK30" s="501"/>
      <c r="AL30" s="688"/>
      <c r="AM30" s="502"/>
      <c r="AN30" s="498"/>
      <c r="AO30" s="498"/>
      <c r="AP30" s="498"/>
      <c r="AQ30" s="498"/>
      <c r="AR30" s="498"/>
      <c r="AS30" s="498"/>
      <c r="AT30" s="498"/>
    </row>
    <row r="31" spans="1:46" x14ac:dyDescent="0.25">
      <c r="A31" s="311"/>
      <c r="B31" s="311"/>
      <c r="C31" s="574"/>
      <c r="D31" s="311"/>
      <c r="E31" s="319"/>
      <c r="F31" s="311"/>
      <c r="G31" s="323"/>
      <c r="H31" s="311"/>
      <c r="I31" s="318"/>
      <c r="J31" s="311"/>
      <c r="K31" s="319"/>
      <c r="L31" s="311"/>
      <c r="M31" s="319"/>
      <c r="N31" s="311"/>
      <c r="O31" s="319"/>
      <c r="P31" s="311"/>
      <c r="Q31" s="319"/>
      <c r="R31" s="311"/>
      <c r="S31" s="319"/>
      <c r="T31" s="311"/>
      <c r="U31" s="319"/>
      <c r="V31" s="311"/>
      <c r="W31" s="319"/>
      <c r="X31" s="311"/>
      <c r="Y31" s="319"/>
      <c r="Z31" s="311"/>
      <c r="AA31" s="319"/>
      <c r="AB31" s="311"/>
      <c r="AG31" s="498"/>
      <c r="AH31" s="495"/>
      <c r="AI31" s="502"/>
      <c r="AJ31" s="501"/>
      <c r="AK31" s="501"/>
      <c r="AL31" s="502"/>
      <c r="AM31" s="502"/>
      <c r="AN31" s="498"/>
      <c r="AO31" s="498"/>
      <c r="AP31" s="498"/>
      <c r="AQ31" s="498"/>
      <c r="AR31" s="498"/>
      <c r="AS31" s="498"/>
      <c r="AT31" s="498"/>
    </row>
    <row r="32" spans="1:46" ht="15.6" thickBot="1" x14ac:dyDescent="0.3">
      <c r="A32" s="311" t="s">
        <v>315</v>
      </c>
      <c r="B32" s="311"/>
      <c r="C32" s="574"/>
      <c r="D32" s="311"/>
      <c r="E32" s="320">
        <f>SUM(E12:E30)</f>
        <v>79469</v>
      </c>
      <c r="F32" s="311"/>
      <c r="G32" s="320">
        <f>SUM(G12:G30)</f>
        <v>80382</v>
      </c>
      <c r="H32" s="311"/>
      <c r="I32" s="320">
        <f>SUM(I12:I30)</f>
        <v>6705</v>
      </c>
      <c r="J32" s="311"/>
      <c r="K32" s="320">
        <f>SUM(K12:K30)</f>
        <v>16683</v>
      </c>
      <c r="L32" s="311"/>
      <c r="M32" s="320">
        <f>SUM(M12:M30)</f>
        <v>111</v>
      </c>
      <c r="N32" s="311"/>
      <c r="O32" s="320">
        <f>SUM(O12:O30)</f>
        <v>956</v>
      </c>
      <c r="P32" s="311"/>
      <c r="Q32" s="320">
        <f>SUM(Q12:Q30)</f>
        <v>502</v>
      </c>
      <c r="R32" s="311"/>
      <c r="S32" s="320">
        <f>SUM(S12:S30)</f>
        <v>2233</v>
      </c>
      <c r="T32" s="311"/>
      <c r="U32" s="320">
        <f>SUM(U12:U30)</f>
        <v>6</v>
      </c>
      <c r="V32" s="311"/>
      <c r="W32" s="320">
        <f>SUM(W12:W30)</f>
        <v>104</v>
      </c>
      <c r="X32" s="311"/>
      <c r="Y32" s="320">
        <f>SUM(Y12:Y30)</f>
        <v>86793</v>
      </c>
      <c r="Z32" s="311"/>
      <c r="AA32" s="320">
        <f>SUM(AA12:AA30)</f>
        <v>100358</v>
      </c>
      <c r="AB32" s="311"/>
      <c r="AG32" s="498"/>
      <c r="AH32" s="495"/>
      <c r="AI32" s="502"/>
      <c r="AJ32" s="501"/>
      <c r="AK32" s="501"/>
      <c r="AL32" s="502"/>
      <c r="AM32" s="502"/>
      <c r="AN32" s="498"/>
      <c r="AO32" s="498"/>
      <c r="AP32" s="498"/>
      <c r="AQ32" s="498"/>
      <c r="AR32" s="498"/>
      <c r="AS32" s="498"/>
      <c r="AT32" s="498"/>
    </row>
    <row r="33" spans="1:46" ht="15.75" customHeight="1" thickTop="1" x14ac:dyDescent="0.25">
      <c r="AB33" s="311"/>
      <c r="AG33" s="498"/>
      <c r="AH33" s="498"/>
      <c r="AI33" s="502"/>
      <c r="AJ33" s="502"/>
      <c r="AK33" s="502"/>
      <c r="AL33" s="502"/>
      <c r="AM33" s="502"/>
      <c r="AN33" s="498"/>
      <c r="AO33" s="498"/>
      <c r="AP33" s="498"/>
      <c r="AQ33" s="498"/>
      <c r="AR33" s="498"/>
      <c r="AS33" s="498"/>
      <c r="AT33" s="498"/>
    </row>
    <row r="34" spans="1:46" x14ac:dyDescent="0.25">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11"/>
      <c r="AC34" s="321"/>
      <c r="AD34" s="321"/>
      <c r="AE34" s="321"/>
      <c r="AG34" s="498"/>
      <c r="AH34" s="501"/>
      <c r="AI34" s="501"/>
      <c r="AJ34" s="501"/>
      <c r="AK34" s="501"/>
      <c r="AL34" s="501"/>
      <c r="AM34" s="501"/>
      <c r="AN34" s="501"/>
      <c r="AO34" s="501"/>
      <c r="AP34" s="501"/>
      <c r="AQ34" s="501"/>
      <c r="AR34" s="501"/>
      <c r="AS34" s="501"/>
      <c r="AT34" s="501"/>
    </row>
    <row r="35" spans="1:46" x14ac:dyDescent="0.25">
      <c r="A35" s="311"/>
      <c r="B35" s="311"/>
      <c r="C35" s="574"/>
      <c r="D35" s="311"/>
      <c r="E35" s="322"/>
      <c r="F35" s="311"/>
      <c r="G35" s="322"/>
      <c r="H35" s="311"/>
      <c r="I35" s="322"/>
      <c r="J35" s="311"/>
      <c r="K35" s="322"/>
      <c r="L35" s="311"/>
      <c r="M35" s="322"/>
      <c r="N35" s="311"/>
      <c r="O35" s="322"/>
      <c r="P35" s="311"/>
      <c r="Q35" s="322"/>
      <c r="R35" s="311"/>
      <c r="S35" s="322"/>
      <c r="T35" s="311"/>
      <c r="U35" s="322"/>
      <c r="V35" s="311"/>
      <c r="W35" s="322"/>
      <c r="X35" s="311"/>
      <c r="Y35" s="322"/>
      <c r="Z35" s="311"/>
      <c r="AA35" s="322"/>
      <c r="AB35" s="311"/>
      <c r="AC35" s="322"/>
      <c r="AD35" s="323"/>
      <c r="AE35" s="322"/>
      <c r="AG35" s="498"/>
      <c r="AH35" s="498"/>
      <c r="AI35" s="498"/>
      <c r="AJ35" s="498"/>
      <c r="AK35" s="498"/>
      <c r="AL35" s="498"/>
      <c r="AM35" s="498"/>
      <c r="AN35" s="498"/>
      <c r="AO35" s="498"/>
      <c r="AP35" s="498"/>
      <c r="AQ35" s="498"/>
      <c r="AR35" s="498"/>
      <c r="AS35" s="498"/>
      <c r="AT35" s="498"/>
    </row>
    <row r="36" spans="1:46" x14ac:dyDescent="0.25">
      <c r="A36" s="324" t="s">
        <v>51</v>
      </c>
      <c r="B36" s="309"/>
      <c r="C36" s="573"/>
      <c r="D36" s="309"/>
      <c r="E36" s="309"/>
      <c r="F36" s="309"/>
      <c r="G36" s="309"/>
      <c r="H36" s="309"/>
      <c r="I36" s="309"/>
      <c r="J36" s="309"/>
      <c r="K36" s="309"/>
      <c r="L36" s="309"/>
      <c r="M36" s="324"/>
      <c r="N36" s="309"/>
      <c r="O36" s="309"/>
      <c r="P36" s="309"/>
      <c r="Q36" s="309"/>
      <c r="R36" s="309"/>
      <c r="S36" s="309"/>
      <c r="T36" s="309"/>
      <c r="U36" s="309"/>
      <c r="V36" s="309"/>
      <c r="W36" s="309"/>
      <c r="X36" s="309"/>
      <c r="Y36" s="309"/>
      <c r="Z36" s="309"/>
      <c r="AA36" s="309"/>
      <c r="AB36" s="309"/>
      <c r="AC36" s="309"/>
      <c r="AD36" s="309"/>
      <c r="AE36" s="309"/>
      <c r="AG36" s="498"/>
      <c r="AH36" s="498"/>
      <c r="AI36" s="500"/>
      <c r="AJ36" s="500"/>
      <c r="AK36" s="500"/>
      <c r="AL36" s="500"/>
      <c r="AM36" s="500"/>
      <c r="AN36" s="498"/>
      <c r="AO36" s="498"/>
      <c r="AP36" s="498"/>
      <c r="AQ36" s="498"/>
      <c r="AR36" s="498"/>
      <c r="AS36" s="498"/>
      <c r="AT36" s="498"/>
    </row>
    <row r="37" spans="1:46" x14ac:dyDescent="0.25">
      <c r="A37" s="324"/>
      <c r="B37" s="324"/>
      <c r="C37" s="579"/>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09"/>
      <c r="AC37" s="309"/>
      <c r="AD37" s="309"/>
      <c r="AE37" s="309"/>
    </row>
    <row r="38" spans="1:46" ht="11.25" customHeight="1" x14ac:dyDescent="0.25">
      <c r="A38" s="309"/>
      <c r="B38" s="309"/>
      <c r="C38" s="573"/>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row>
    <row r="39" spans="1:46" x14ac:dyDescent="0.25">
      <c r="A39" s="309" t="s">
        <v>310</v>
      </c>
      <c r="B39" s="309"/>
      <c r="C39" s="573"/>
      <c r="D39" s="309"/>
      <c r="E39" s="309"/>
      <c r="F39" s="309"/>
      <c r="G39" s="309"/>
      <c r="H39" s="309"/>
      <c r="I39" s="309"/>
      <c r="J39" s="309"/>
      <c r="K39" s="324"/>
      <c r="L39" s="309"/>
      <c r="M39" s="309"/>
      <c r="N39" s="309"/>
      <c r="O39" s="309"/>
      <c r="P39" s="309"/>
      <c r="Q39" s="309"/>
      <c r="R39" s="309"/>
      <c r="S39" s="309"/>
      <c r="T39" s="309"/>
      <c r="U39" s="309"/>
      <c r="V39" s="309"/>
      <c r="W39" s="309"/>
      <c r="X39" s="309"/>
      <c r="Y39" s="309"/>
      <c r="Z39" s="309"/>
      <c r="AA39" s="309"/>
      <c r="AB39" s="309"/>
      <c r="AC39" s="309"/>
      <c r="AD39" s="309"/>
      <c r="AE39" s="309"/>
    </row>
    <row r="40" spans="1:46" x14ac:dyDescent="0.25">
      <c r="A40" s="311"/>
      <c r="B40" s="311"/>
      <c r="C40" s="574"/>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row>
    <row r="41" spans="1:46" x14ac:dyDescent="0.25">
      <c r="A41" s="312"/>
      <c r="B41" s="312"/>
      <c r="C41" s="575" t="s">
        <v>311</v>
      </c>
      <c r="D41" s="312"/>
      <c r="E41" s="309" t="s">
        <v>192</v>
      </c>
      <c r="F41" s="309"/>
      <c r="G41" s="309"/>
      <c r="H41" s="312"/>
      <c r="I41" s="309" t="s">
        <v>325</v>
      </c>
      <c r="J41" s="309"/>
      <c r="K41" s="309"/>
      <c r="L41" s="312"/>
      <c r="M41" s="309" t="s">
        <v>194</v>
      </c>
      <c r="N41" s="309"/>
      <c r="O41" s="309"/>
      <c r="P41" s="312"/>
      <c r="Q41" s="309" t="s">
        <v>195</v>
      </c>
      <c r="R41" s="309"/>
      <c r="S41" s="309"/>
      <c r="T41" s="312"/>
      <c r="U41" s="760" t="s">
        <v>103</v>
      </c>
      <c r="V41" s="760"/>
      <c r="W41" s="760"/>
      <c r="X41" s="312"/>
      <c r="Y41" s="309" t="s">
        <v>315</v>
      </c>
      <c r="Z41" s="309"/>
      <c r="AA41" s="309"/>
    </row>
    <row r="42" spans="1:46" x14ac:dyDescent="0.25">
      <c r="A42" s="312" t="s">
        <v>316</v>
      </c>
      <c r="B42" s="312"/>
      <c r="C42" s="575" t="s">
        <v>317</v>
      </c>
      <c r="D42" s="312"/>
      <c r="E42" s="313" t="s">
        <v>300</v>
      </c>
      <c r="F42" s="313"/>
      <c r="G42" s="313"/>
      <c r="H42" s="312"/>
      <c r="I42" s="313" t="s">
        <v>300</v>
      </c>
      <c r="J42" s="313"/>
      <c r="K42" s="313"/>
      <c r="L42" s="312"/>
      <c r="M42" s="313" t="s">
        <v>300</v>
      </c>
      <c r="N42" s="313"/>
      <c r="O42" s="313"/>
      <c r="P42" s="312"/>
      <c r="Q42" s="313" t="s">
        <v>300</v>
      </c>
      <c r="R42" s="313"/>
      <c r="S42" s="313"/>
      <c r="T42" s="312"/>
      <c r="U42" s="313" t="s">
        <v>300</v>
      </c>
      <c r="V42" s="313"/>
      <c r="W42" s="313"/>
      <c r="X42" s="312"/>
      <c r="Y42" s="313" t="s">
        <v>300</v>
      </c>
      <c r="Z42" s="313"/>
      <c r="AA42" s="313"/>
    </row>
    <row r="43" spans="1:46" x14ac:dyDescent="0.25">
      <c r="A43" s="312" t="s">
        <v>318</v>
      </c>
      <c r="B43" s="312"/>
      <c r="C43" s="575" t="s">
        <v>319</v>
      </c>
      <c r="D43" s="312"/>
      <c r="E43" s="312" t="s">
        <v>320</v>
      </c>
      <c r="F43" s="312"/>
      <c r="G43" s="312" t="s">
        <v>321</v>
      </c>
      <c r="H43" s="312"/>
      <c r="I43" s="312" t="s">
        <v>320</v>
      </c>
      <c r="J43" s="312"/>
      <c r="K43" s="312" t="s">
        <v>321</v>
      </c>
      <c r="L43" s="312"/>
      <c r="M43" s="312" t="s">
        <v>320</v>
      </c>
      <c r="N43" s="312"/>
      <c r="O43" s="312" t="s">
        <v>321</v>
      </c>
      <c r="P43" s="312"/>
      <c r="Q43" s="312" t="s">
        <v>320</v>
      </c>
      <c r="R43" s="312"/>
      <c r="S43" s="312" t="s">
        <v>321</v>
      </c>
      <c r="T43" s="312"/>
      <c r="U43" s="312" t="s">
        <v>320</v>
      </c>
      <c r="V43" s="312"/>
      <c r="W43" s="312" t="s">
        <v>321</v>
      </c>
      <c r="X43" s="312"/>
      <c r="Y43" s="312" t="s">
        <v>320</v>
      </c>
      <c r="Z43" s="312"/>
      <c r="AA43" s="312" t="s">
        <v>321</v>
      </c>
    </row>
    <row r="44" spans="1:46" x14ac:dyDescent="0.25">
      <c r="A44" s="314">
        <v>-1</v>
      </c>
      <c r="B44" s="315"/>
      <c r="C44" s="576">
        <v>-2</v>
      </c>
      <c r="D44" s="315"/>
      <c r="E44" s="314">
        <v>-3</v>
      </c>
      <c r="F44" s="315"/>
      <c r="G44" s="314" t="s">
        <v>322</v>
      </c>
      <c r="H44" s="315"/>
      <c r="I44" s="314">
        <v>-5</v>
      </c>
      <c r="J44" s="315"/>
      <c r="K44" s="314" t="s">
        <v>323</v>
      </c>
      <c r="L44" s="315"/>
      <c r="M44" s="314">
        <v>-7</v>
      </c>
      <c r="N44" s="315"/>
      <c r="O44" s="314" t="s">
        <v>326</v>
      </c>
      <c r="P44" s="315"/>
      <c r="Q44" s="314">
        <v>-9</v>
      </c>
      <c r="R44" s="315"/>
      <c r="S44" s="314" t="s">
        <v>327</v>
      </c>
      <c r="T44" s="315"/>
      <c r="U44" s="314">
        <v>-11</v>
      </c>
      <c r="V44" s="315"/>
      <c r="W44" s="314" t="s">
        <v>349</v>
      </c>
      <c r="X44" s="315"/>
      <c r="Y44" s="314">
        <v>-15</v>
      </c>
      <c r="Z44" s="315"/>
      <c r="AA44" s="314">
        <v>-16</v>
      </c>
    </row>
    <row r="45" spans="1:46" x14ac:dyDescent="0.25">
      <c r="A45" s="311"/>
      <c r="B45" s="311"/>
      <c r="C45" s="574"/>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row>
    <row r="46" spans="1:46" x14ac:dyDescent="0.25">
      <c r="A46" s="325" t="s">
        <v>399</v>
      </c>
      <c r="B46" s="311"/>
      <c r="C46" s="580">
        <v>1</v>
      </c>
      <c r="D46" s="311"/>
      <c r="E46" s="534">
        <f>E12+E14</f>
        <v>78691</v>
      </c>
      <c r="F46" s="311"/>
      <c r="G46" s="318">
        <f>ROUND(+E46*$C46,0)</f>
        <v>78691</v>
      </c>
      <c r="H46" s="311"/>
      <c r="I46" s="318">
        <f>I12</f>
        <v>4323</v>
      </c>
      <c r="J46" s="311"/>
      <c r="K46" s="318">
        <f>ROUND(+I46*$C46,0)</f>
        <v>4323</v>
      </c>
      <c r="L46" s="311"/>
      <c r="M46" s="318">
        <f>M12</f>
        <v>13</v>
      </c>
      <c r="N46" s="311"/>
      <c r="O46" s="318">
        <f>ROUND(+M46*$C46,0)</f>
        <v>13</v>
      </c>
      <c r="P46" s="311"/>
      <c r="Q46" s="318">
        <f>Q12</f>
        <v>170</v>
      </c>
      <c r="R46" s="311"/>
      <c r="S46" s="318">
        <f>ROUND(+Q46*$C46,0)</f>
        <v>170</v>
      </c>
      <c r="T46" s="311"/>
      <c r="U46" s="318">
        <f>U12</f>
        <v>0</v>
      </c>
      <c r="V46" s="311"/>
      <c r="W46" s="318">
        <f>ROUND(+U46*$C46,0)</f>
        <v>0</v>
      </c>
      <c r="X46" s="311"/>
      <c r="Y46" s="318">
        <f>E46+I46+M46+Q46+U46</f>
        <v>83197</v>
      </c>
      <c r="Z46" s="311"/>
      <c r="AA46" s="318">
        <f>G46+K46+O46+S46+W46</f>
        <v>83197</v>
      </c>
    </row>
    <row r="47" spans="1:46" x14ac:dyDescent="0.25">
      <c r="A47" s="325"/>
      <c r="B47" s="311"/>
      <c r="C47" s="580"/>
      <c r="D47" s="311"/>
      <c r="E47" s="311"/>
      <c r="F47" s="311"/>
      <c r="G47" s="318"/>
      <c r="H47" s="311"/>
      <c r="I47" s="311"/>
      <c r="J47" s="311"/>
      <c r="K47" s="318"/>
      <c r="L47" s="311"/>
      <c r="M47" s="311"/>
      <c r="N47" s="311"/>
      <c r="O47" s="318"/>
      <c r="P47" s="311"/>
      <c r="Q47" s="311"/>
      <c r="R47" s="311"/>
      <c r="S47" s="318"/>
      <c r="T47" s="311"/>
      <c r="U47" s="311"/>
      <c r="V47" s="311"/>
      <c r="W47" s="318"/>
      <c r="X47" s="311"/>
      <c r="Y47" s="311"/>
      <c r="Z47" s="311"/>
      <c r="AA47" s="311"/>
    </row>
    <row r="48" spans="1:46" x14ac:dyDescent="0.25">
      <c r="A48" s="325" t="s">
        <v>400</v>
      </c>
      <c r="B48" s="311"/>
      <c r="C48" s="580">
        <v>1.6</v>
      </c>
      <c r="D48" s="311"/>
      <c r="E48" s="318">
        <f>E16</f>
        <v>644</v>
      </c>
      <c r="F48" s="311"/>
      <c r="G48" s="318">
        <f>ROUND(+E48*$C48,0)</f>
        <v>1030</v>
      </c>
      <c r="H48" s="311"/>
      <c r="I48" s="318">
        <f>I16</f>
        <v>654</v>
      </c>
      <c r="J48" s="311"/>
      <c r="K48" s="318">
        <f>ROUND(+I48*$C48,0)</f>
        <v>1046</v>
      </c>
      <c r="L48" s="311"/>
      <c r="M48" s="318">
        <f>M16</f>
        <v>9</v>
      </c>
      <c r="N48" s="311"/>
      <c r="O48" s="318">
        <f>ROUND(+M48*$C48,0)</f>
        <v>14</v>
      </c>
      <c r="P48" s="311"/>
      <c r="Q48" s="318">
        <f>Q16</f>
        <v>75</v>
      </c>
      <c r="R48" s="311"/>
      <c r="S48" s="318">
        <f>ROUND(+Q48*$C48,0)</f>
        <v>120</v>
      </c>
      <c r="T48" s="311"/>
      <c r="U48" s="318">
        <f>U16</f>
        <v>0</v>
      </c>
      <c r="V48" s="311"/>
      <c r="W48" s="318">
        <f>ROUND(+U48*$C48,0)</f>
        <v>0</v>
      </c>
      <c r="X48" s="311"/>
      <c r="Y48" s="318">
        <f>E48+I48+M48+Q48+U48</f>
        <v>1382</v>
      </c>
      <c r="Z48" s="311"/>
      <c r="AA48" s="318">
        <f>G48+K48+O48+S48+W48</f>
        <v>2210</v>
      </c>
    </row>
    <row r="49" spans="1:27" x14ac:dyDescent="0.25">
      <c r="A49" s="325"/>
      <c r="B49" s="311"/>
      <c r="C49" s="580"/>
      <c r="D49" s="311"/>
      <c r="E49" s="318"/>
      <c r="F49" s="311"/>
      <c r="G49" s="318"/>
      <c r="H49" s="311"/>
      <c r="I49" s="318"/>
      <c r="J49" s="311"/>
      <c r="K49" s="318"/>
      <c r="L49" s="311"/>
      <c r="M49" s="318"/>
      <c r="N49" s="311"/>
      <c r="O49" s="318"/>
      <c r="P49" s="311"/>
      <c r="Q49" s="318"/>
      <c r="R49" s="311"/>
      <c r="S49" s="318"/>
      <c r="T49" s="311"/>
      <c r="U49" s="318"/>
      <c r="V49" s="311"/>
      <c r="W49" s="318"/>
      <c r="X49" s="311"/>
      <c r="Y49" s="311"/>
      <c r="Z49" s="311"/>
      <c r="AA49" s="311"/>
    </row>
    <row r="50" spans="1:27" x14ac:dyDescent="0.25">
      <c r="A50" s="325" t="s">
        <v>401</v>
      </c>
      <c r="B50" s="311"/>
      <c r="C50" s="580">
        <v>2.6</v>
      </c>
      <c r="D50" s="311"/>
      <c r="E50" s="318">
        <f>E18</f>
        <v>103</v>
      </c>
      <c r="F50" s="311"/>
      <c r="G50" s="318">
        <f>ROUND(+E50*$C50,0)</f>
        <v>268</v>
      </c>
      <c r="H50" s="311"/>
      <c r="I50" s="318">
        <f>I18</f>
        <v>771</v>
      </c>
      <c r="J50" s="311"/>
      <c r="K50" s="318">
        <f>ROUND(+I50*$C50,0)</f>
        <v>2005</v>
      </c>
      <c r="L50" s="311"/>
      <c r="M50" s="318">
        <f>M18</f>
        <v>12</v>
      </c>
      <c r="N50" s="311"/>
      <c r="O50" s="318">
        <f>ROUND(+M50*$C50,0)</f>
        <v>31</v>
      </c>
      <c r="P50" s="311"/>
      <c r="Q50" s="318">
        <f>Q18</f>
        <v>48</v>
      </c>
      <c r="R50" s="311"/>
      <c r="S50" s="318">
        <f>ROUND(+Q50*$C50,0)</f>
        <v>125</v>
      </c>
      <c r="T50" s="311"/>
      <c r="U50" s="318">
        <f>U18</f>
        <v>0</v>
      </c>
      <c r="V50" s="311"/>
      <c r="W50" s="318">
        <f>ROUND(+U50*$C50,0)</f>
        <v>0</v>
      </c>
      <c r="X50" s="311"/>
      <c r="Y50" s="318">
        <f>E50+I50+M50+Q50+U50</f>
        <v>934</v>
      </c>
      <c r="Z50" s="311"/>
      <c r="AA50" s="318">
        <f>G50+K50+O50+S50+W50</f>
        <v>2429</v>
      </c>
    </row>
    <row r="51" spans="1:27" x14ac:dyDescent="0.25">
      <c r="A51" s="325"/>
      <c r="B51" s="311"/>
      <c r="C51" s="580"/>
      <c r="D51" s="311"/>
      <c r="E51" s="318"/>
      <c r="F51" s="311"/>
      <c r="G51" s="318"/>
      <c r="H51" s="311"/>
      <c r="I51" s="318"/>
      <c r="J51" s="311"/>
      <c r="K51" s="318"/>
      <c r="L51" s="311"/>
      <c r="M51" s="318"/>
      <c r="N51" s="311"/>
      <c r="O51" s="318"/>
      <c r="P51" s="311"/>
      <c r="Q51" s="318"/>
      <c r="R51" s="311"/>
      <c r="S51" s="318"/>
      <c r="T51" s="311"/>
      <c r="U51" s="318"/>
      <c r="V51" s="311"/>
      <c r="W51" s="318"/>
      <c r="X51" s="311"/>
      <c r="Y51" s="311"/>
      <c r="Z51" s="311"/>
      <c r="AA51" s="311"/>
    </row>
    <row r="52" spans="1:27" x14ac:dyDescent="0.25">
      <c r="A52" s="325" t="s">
        <v>402</v>
      </c>
      <c r="B52" s="311"/>
      <c r="C52" s="580">
        <v>3.5</v>
      </c>
      <c r="D52" s="311"/>
      <c r="E52" s="318">
        <f>E20</f>
        <v>31</v>
      </c>
      <c r="F52" s="311"/>
      <c r="G52" s="318">
        <f>ROUND(+E52*$C52,0)</f>
        <v>109</v>
      </c>
      <c r="H52" s="311"/>
      <c r="I52" s="318">
        <f>I20</f>
        <v>733</v>
      </c>
      <c r="J52" s="311"/>
      <c r="K52" s="318">
        <f>ROUND(+I52*$C52,0)</f>
        <v>2566</v>
      </c>
      <c r="L52" s="311"/>
      <c r="M52" s="318">
        <f>M20</f>
        <v>38</v>
      </c>
      <c r="N52" s="311"/>
      <c r="O52" s="318">
        <f>ROUND(+M52*$C52,0)</f>
        <v>133</v>
      </c>
      <c r="P52" s="311"/>
      <c r="Q52" s="318">
        <f>Q20</f>
        <v>137</v>
      </c>
      <c r="R52" s="311"/>
      <c r="S52" s="318">
        <f>ROUND(+Q52*$C52,0)</f>
        <v>480</v>
      </c>
      <c r="T52" s="311"/>
      <c r="U52" s="318">
        <f>U20</f>
        <v>0</v>
      </c>
      <c r="V52" s="311"/>
      <c r="W52" s="318">
        <f>ROUND(+U52*$C52,0)</f>
        <v>0</v>
      </c>
      <c r="X52" s="311"/>
      <c r="Y52" s="318">
        <f>E52+I52+M52+Q52+U52</f>
        <v>939</v>
      </c>
      <c r="Z52" s="311"/>
      <c r="AA52" s="318">
        <f>G52+K52+O52+S52+W52</f>
        <v>3288</v>
      </c>
    </row>
    <row r="53" spans="1:27" x14ac:dyDescent="0.25">
      <c r="A53" s="325"/>
      <c r="B53" s="311"/>
      <c r="C53" s="580"/>
      <c r="D53" s="311"/>
      <c r="E53" s="318"/>
      <c r="F53" s="311"/>
      <c r="G53" s="318"/>
      <c r="H53" s="311"/>
      <c r="I53" s="318"/>
      <c r="J53" s="311"/>
      <c r="K53" s="318"/>
      <c r="L53" s="311"/>
      <c r="M53" s="318"/>
      <c r="N53" s="311"/>
      <c r="O53" s="318"/>
      <c r="P53" s="311"/>
      <c r="Q53" s="318"/>
      <c r="R53" s="311"/>
      <c r="S53" s="318"/>
      <c r="T53" s="311"/>
      <c r="U53" s="318"/>
      <c r="V53" s="311"/>
      <c r="W53" s="318"/>
      <c r="X53" s="311"/>
      <c r="Y53" s="311"/>
      <c r="Z53" s="311"/>
      <c r="AA53" s="311"/>
    </row>
    <row r="54" spans="1:27" x14ac:dyDescent="0.25">
      <c r="A54" s="325">
        <v>3</v>
      </c>
      <c r="B54" s="311"/>
      <c r="C54" s="580">
        <v>5.5</v>
      </c>
      <c r="D54" s="311"/>
      <c r="E54" s="318">
        <f>E22</f>
        <v>0</v>
      </c>
      <c r="F54" s="318"/>
      <c r="G54" s="318">
        <f>ROUND(+E54*$C54,0)</f>
        <v>0</v>
      </c>
      <c r="H54" s="318"/>
      <c r="I54" s="318">
        <f>I22</f>
        <v>83</v>
      </c>
      <c r="J54" s="318"/>
      <c r="K54" s="318">
        <f>ROUND(+I54*$C54,0)</f>
        <v>457</v>
      </c>
      <c r="L54" s="318"/>
      <c r="M54" s="318">
        <f>M22</f>
        <v>14</v>
      </c>
      <c r="N54" s="318"/>
      <c r="O54" s="318">
        <f>ROUND(+M54*$C54,0)</f>
        <v>77</v>
      </c>
      <c r="P54" s="318"/>
      <c r="Q54" s="318">
        <f>Q22</f>
        <v>41</v>
      </c>
      <c r="R54" s="318"/>
      <c r="S54" s="318">
        <f>ROUND(+Q54*$C54,0)</f>
        <v>226</v>
      </c>
      <c r="T54" s="318"/>
      <c r="U54" s="318">
        <f>U22</f>
        <v>0</v>
      </c>
      <c r="V54" s="318"/>
      <c r="W54" s="318">
        <f>ROUND(+U54*$C54,0)</f>
        <v>0</v>
      </c>
      <c r="X54" s="311"/>
      <c r="Y54" s="318">
        <f>E54+I54+M54+Q54+U54</f>
        <v>138</v>
      </c>
      <c r="Z54" s="311"/>
      <c r="AA54" s="318">
        <f>G54+K54+O54+S54+W54</f>
        <v>760</v>
      </c>
    </row>
    <row r="55" spans="1:27" x14ac:dyDescent="0.25">
      <c r="A55" s="325"/>
      <c r="B55" s="311"/>
      <c r="C55" s="580"/>
      <c r="D55" s="311"/>
      <c r="E55" s="318"/>
      <c r="F55" s="311"/>
      <c r="G55" s="318"/>
      <c r="H55" s="311"/>
      <c r="I55" s="318"/>
      <c r="J55" s="311"/>
      <c r="K55" s="318"/>
      <c r="L55" s="311"/>
      <c r="M55" s="318"/>
      <c r="N55" s="311"/>
      <c r="O55" s="318"/>
      <c r="P55" s="311"/>
      <c r="Q55" s="318"/>
      <c r="R55" s="311"/>
      <c r="S55" s="318"/>
      <c r="T55" s="311"/>
      <c r="U55" s="318"/>
      <c r="V55" s="311"/>
      <c r="W55" s="318"/>
      <c r="X55" s="311"/>
      <c r="Y55" s="311"/>
      <c r="Z55" s="311"/>
      <c r="AA55" s="311"/>
    </row>
    <row r="56" spans="1:27" x14ac:dyDescent="0.25">
      <c r="A56" s="325" t="s">
        <v>404</v>
      </c>
      <c r="B56" s="311"/>
      <c r="C56" s="580">
        <v>6.6</v>
      </c>
      <c r="D56" s="311"/>
      <c r="E56" s="318">
        <f>E24</f>
        <v>0</v>
      </c>
      <c r="F56" s="311"/>
      <c r="G56" s="318">
        <f>ROUND(+E56*$C56,0)</f>
        <v>0</v>
      </c>
      <c r="H56" s="311"/>
      <c r="I56" s="318">
        <f>I24</f>
        <v>57</v>
      </c>
      <c r="J56" s="311"/>
      <c r="K56" s="318">
        <f>ROUND(+I56*$C56,0)</f>
        <v>376</v>
      </c>
      <c r="L56" s="311"/>
      <c r="M56" s="318">
        <f>M24</f>
        <v>13</v>
      </c>
      <c r="N56" s="311"/>
      <c r="O56" s="318">
        <f>ROUND(+M56*$C56,0)</f>
        <v>86</v>
      </c>
      <c r="P56" s="311"/>
      <c r="Q56" s="318">
        <f>Q24</f>
        <v>19</v>
      </c>
      <c r="R56" s="311"/>
      <c r="S56" s="318">
        <f>ROUND(+Q56*$C56,0)</f>
        <v>125</v>
      </c>
      <c r="T56" s="311"/>
      <c r="U56" s="318">
        <f>U24</f>
        <v>3</v>
      </c>
      <c r="V56" s="311"/>
      <c r="W56" s="318">
        <f>ROUND(+U56*$C56,0)</f>
        <v>20</v>
      </c>
      <c r="X56" s="311"/>
      <c r="Y56" s="318">
        <f>E56+I56+M56+Q56+U56</f>
        <v>92</v>
      </c>
      <c r="Z56" s="311"/>
      <c r="AA56" s="318">
        <f>G56+K56+O56+S56+W56</f>
        <v>607</v>
      </c>
    </row>
    <row r="57" spans="1:27" x14ac:dyDescent="0.25">
      <c r="A57" s="325"/>
      <c r="B57" s="311"/>
      <c r="C57" s="580"/>
      <c r="D57" s="311"/>
      <c r="E57" s="318"/>
      <c r="F57" s="311"/>
      <c r="G57" s="318"/>
      <c r="H57" s="311"/>
      <c r="I57" s="318"/>
      <c r="J57" s="311"/>
      <c r="K57" s="318"/>
      <c r="L57" s="311"/>
      <c r="M57" s="318"/>
      <c r="N57" s="311"/>
      <c r="O57" s="318"/>
      <c r="P57" s="311"/>
      <c r="Q57" s="318"/>
      <c r="R57" s="311"/>
      <c r="S57" s="318"/>
      <c r="T57" s="311"/>
      <c r="U57" s="318"/>
      <c r="V57" s="311"/>
      <c r="W57" s="318"/>
      <c r="X57" s="311"/>
      <c r="Y57" s="311"/>
      <c r="Z57" s="311"/>
      <c r="AA57" s="311"/>
    </row>
    <row r="58" spans="1:27" x14ac:dyDescent="0.25">
      <c r="A58" s="325" t="s">
        <v>405</v>
      </c>
      <c r="B58" s="311"/>
      <c r="C58" s="580">
        <v>7.5</v>
      </c>
      <c r="D58" s="311"/>
      <c r="E58" s="318">
        <f>E26</f>
        <v>0</v>
      </c>
      <c r="F58" s="311"/>
      <c r="G58" s="318">
        <f>ROUND(+E58*$C58,0)</f>
        <v>0</v>
      </c>
      <c r="H58" s="311"/>
      <c r="I58" s="318">
        <f>I26</f>
        <v>55</v>
      </c>
      <c r="J58" s="311"/>
      <c r="K58" s="318">
        <f>ROUND(+I58*$C58,0)</f>
        <v>413</v>
      </c>
      <c r="L58" s="311"/>
      <c r="M58" s="318">
        <f>M26</f>
        <v>7</v>
      </c>
      <c r="N58" s="311"/>
      <c r="O58" s="318">
        <f>ROUND(+M58*$C58,0)</f>
        <v>53</v>
      </c>
      <c r="P58" s="311"/>
      <c r="Q58" s="318">
        <f>Q26</f>
        <v>7</v>
      </c>
      <c r="R58" s="311"/>
      <c r="S58" s="318">
        <f>ROUND(+Q58*$C58,0)</f>
        <v>53</v>
      </c>
      <c r="T58" s="311"/>
      <c r="U58" s="318">
        <f>U26</f>
        <v>3</v>
      </c>
      <c r="V58" s="311"/>
      <c r="W58" s="318">
        <f>ROUND(+U58*$C58,0)</f>
        <v>23</v>
      </c>
      <c r="X58" s="311"/>
      <c r="Y58" s="318">
        <f>E58+I58+M58+Q58+U58</f>
        <v>72</v>
      </c>
      <c r="Z58" s="311"/>
      <c r="AA58" s="318">
        <f>G58+K58+O58+S58+W58</f>
        <v>542</v>
      </c>
    </row>
    <row r="59" spans="1:27" x14ac:dyDescent="0.25">
      <c r="A59" s="325"/>
      <c r="B59" s="311"/>
      <c r="C59" s="580"/>
      <c r="D59" s="311"/>
      <c r="E59" s="318"/>
      <c r="F59" s="311"/>
      <c r="G59" s="318"/>
      <c r="H59" s="311"/>
      <c r="I59" s="318"/>
      <c r="J59" s="311"/>
      <c r="K59" s="318"/>
      <c r="L59" s="311"/>
      <c r="M59" s="318"/>
      <c r="N59" s="311"/>
      <c r="O59" s="318"/>
      <c r="P59" s="311"/>
      <c r="Q59" s="318"/>
      <c r="R59" s="311"/>
      <c r="S59" s="318"/>
      <c r="T59" s="311"/>
      <c r="U59" s="318"/>
      <c r="V59" s="311"/>
      <c r="W59" s="318"/>
      <c r="X59" s="311"/>
      <c r="Y59" s="311"/>
      <c r="Z59" s="311"/>
      <c r="AA59" s="311"/>
    </row>
    <row r="60" spans="1:27" x14ac:dyDescent="0.25">
      <c r="A60" s="325" t="s">
        <v>406</v>
      </c>
      <c r="B60" s="311"/>
      <c r="C60" s="580">
        <v>9.6</v>
      </c>
      <c r="D60" s="311"/>
      <c r="E60" s="318">
        <f>E28</f>
        <v>0</v>
      </c>
      <c r="F60" s="311"/>
      <c r="G60" s="318">
        <f>ROUND(+E60*$C60,0)</f>
        <v>0</v>
      </c>
      <c r="H60" s="311"/>
      <c r="I60" s="318">
        <f>I28</f>
        <v>29</v>
      </c>
      <c r="J60" s="311"/>
      <c r="K60" s="318">
        <f>ROUND(+I60*$C60,0)</f>
        <v>278</v>
      </c>
      <c r="L60" s="311"/>
      <c r="M60" s="318">
        <f>M28</f>
        <v>3</v>
      </c>
      <c r="N60" s="311"/>
      <c r="O60" s="318">
        <f>ROUND(+M60*$C60,0)</f>
        <v>29</v>
      </c>
      <c r="P60" s="311"/>
      <c r="Q60" s="318">
        <f>Q28</f>
        <v>3</v>
      </c>
      <c r="R60" s="311"/>
      <c r="S60" s="318">
        <f>ROUND(+Q60*$C60,0)</f>
        <v>29</v>
      </c>
      <c r="T60" s="311"/>
      <c r="U60" s="318">
        <f>U28</f>
        <v>0</v>
      </c>
      <c r="V60" s="311"/>
      <c r="W60" s="318">
        <f>ROUND(+U60*$C60,0)</f>
        <v>0</v>
      </c>
      <c r="X60" s="311"/>
      <c r="Y60" s="318">
        <f>E60+I60+M60+Q60+U60</f>
        <v>35</v>
      </c>
      <c r="Z60" s="311"/>
      <c r="AA60" s="318">
        <f>G60+K60+O60+S60+W60</f>
        <v>336</v>
      </c>
    </row>
    <row r="61" spans="1:27" x14ac:dyDescent="0.25">
      <c r="A61" s="325"/>
      <c r="B61" s="311"/>
      <c r="C61" s="580"/>
      <c r="D61" s="311"/>
      <c r="E61" s="318"/>
      <c r="F61" s="311"/>
      <c r="G61" s="318"/>
      <c r="H61" s="311"/>
      <c r="I61" s="318"/>
      <c r="J61" s="311"/>
      <c r="K61" s="318"/>
      <c r="L61" s="311"/>
      <c r="M61" s="318"/>
      <c r="N61" s="311"/>
      <c r="O61" s="318"/>
      <c r="P61" s="311"/>
      <c r="Q61" s="318"/>
      <c r="R61" s="311"/>
      <c r="S61" s="318"/>
      <c r="T61" s="311"/>
      <c r="U61" s="318"/>
      <c r="V61" s="311"/>
      <c r="W61" s="318"/>
      <c r="X61" s="311"/>
      <c r="Y61" s="311"/>
      <c r="Z61" s="311"/>
      <c r="AA61" s="311"/>
    </row>
    <row r="62" spans="1:27" x14ac:dyDescent="0.25">
      <c r="A62" s="325">
        <v>10</v>
      </c>
      <c r="B62" s="311"/>
      <c r="C62" s="580">
        <v>16.7</v>
      </c>
      <c r="D62" s="311"/>
      <c r="E62" s="318">
        <v>0</v>
      </c>
      <c r="F62" s="311"/>
      <c r="G62" s="318">
        <v>0</v>
      </c>
      <c r="H62" s="311"/>
      <c r="I62" s="318">
        <f>+I30</f>
        <v>0</v>
      </c>
      <c r="J62" s="311"/>
      <c r="K62" s="318">
        <f>ROUND(+I62*$C62,0)</f>
        <v>0</v>
      </c>
      <c r="L62" s="311"/>
      <c r="M62" s="318">
        <f>+M30</f>
        <v>2</v>
      </c>
      <c r="N62" s="311"/>
      <c r="O62" s="318">
        <f>ROUND(+M62*$C62,0)</f>
        <v>33</v>
      </c>
      <c r="P62" s="311"/>
      <c r="Q62" s="318">
        <f>+Q30</f>
        <v>2</v>
      </c>
      <c r="R62" s="311"/>
      <c r="S62" s="318">
        <f>ROUND(+Q62*$C62,0)</f>
        <v>33</v>
      </c>
      <c r="T62" s="311"/>
      <c r="U62" s="318">
        <v>0</v>
      </c>
      <c r="V62" s="311"/>
      <c r="W62" s="318">
        <v>0</v>
      </c>
      <c r="X62" s="311"/>
      <c r="Y62" s="318">
        <f>E62+I62+M62+Q62+U62</f>
        <v>4</v>
      </c>
      <c r="Z62" s="311"/>
      <c r="AA62" s="318">
        <f>G62+K62+O62+S62+W62</f>
        <v>66</v>
      </c>
    </row>
    <row r="63" spans="1:27" hidden="1" x14ac:dyDescent="0.25">
      <c r="A63" s="325"/>
      <c r="B63" s="311"/>
      <c r="C63" s="580"/>
      <c r="D63" s="311"/>
      <c r="E63" s="318"/>
      <c r="F63" s="311"/>
      <c r="G63" s="318"/>
      <c r="H63" s="311"/>
      <c r="I63" s="318"/>
      <c r="J63" s="311"/>
      <c r="K63" s="318"/>
      <c r="L63" s="311"/>
      <c r="M63" s="318"/>
      <c r="N63" s="311"/>
      <c r="O63" s="318"/>
      <c r="P63" s="311"/>
      <c r="Q63" s="318"/>
      <c r="R63" s="311"/>
      <c r="S63" s="318"/>
      <c r="T63" s="311"/>
      <c r="U63" s="318"/>
      <c r="V63" s="311"/>
      <c r="W63" s="318"/>
      <c r="X63" s="311"/>
      <c r="Y63" s="311"/>
      <c r="Z63" s="311"/>
      <c r="AA63" s="311"/>
    </row>
    <row r="64" spans="1:27" hidden="1" x14ac:dyDescent="0.25">
      <c r="A64" s="325">
        <v>12</v>
      </c>
      <c r="B64" s="311"/>
      <c r="C64" s="580">
        <f>+C62</f>
        <v>16.7</v>
      </c>
      <c r="D64" s="311"/>
      <c r="E64" s="318">
        <v>0</v>
      </c>
      <c r="F64" s="311"/>
      <c r="G64" s="318">
        <v>0</v>
      </c>
      <c r="H64" s="311"/>
      <c r="I64" s="318">
        <v>0</v>
      </c>
      <c r="J64" s="311"/>
      <c r="K64" s="318">
        <v>0</v>
      </c>
      <c r="L64" s="311"/>
      <c r="M64" s="318">
        <v>0</v>
      </c>
      <c r="N64" s="311"/>
      <c r="O64" s="318">
        <v>0</v>
      </c>
      <c r="P64" s="311"/>
      <c r="Q64" s="318">
        <v>0</v>
      </c>
      <c r="R64" s="311"/>
      <c r="S64" s="318">
        <v>0</v>
      </c>
      <c r="T64" s="311"/>
      <c r="U64" s="318">
        <v>0</v>
      </c>
      <c r="V64" s="311"/>
      <c r="W64" s="318">
        <v>0</v>
      </c>
      <c r="X64" s="311"/>
      <c r="Y64" s="318">
        <f>E64+I64+M64+Q64+U64</f>
        <v>0</v>
      </c>
      <c r="Z64" s="311"/>
      <c r="AA64" s="318">
        <f>G64+K64+O64+S64+W64</f>
        <v>0</v>
      </c>
    </row>
    <row r="65" spans="1:29" x14ac:dyDescent="0.25">
      <c r="A65" s="311"/>
      <c r="B65" s="311"/>
      <c r="C65" s="574"/>
      <c r="D65" s="311"/>
      <c r="E65" s="319"/>
      <c r="F65" s="311"/>
      <c r="G65" s="319"/>
      <c r="H65" s="311"/>
      <c r="I65" s="319"/>
      <c r="J65" s="311"/>
      <c r="K65" s="319"/>
      <c r="L65" s="311"/>
      <c r="M65" s="319"/>
      <c r="N65" s="311"/>
      <c r="O65" s="319"/>
      <c r="P65" s="311"/>
      <c r="Q65" s="319"/>
      <c r="R65" s="311"/>
      <c r="S65" s="319"/>
      <c r="T65" s="311"/>
      <c r="U65" s="319"/>
      <c r="V65" s="311"/>
      <c r="W65" s="319"/>
      <c r="X65" s="311"/>
      <c r="Y65" s="319"/>
      <c r="Z65" s="311"/>
      <c r="AA65" s="319"/>
    </row>
    <row r="66" spans="1:29" ht="15.6" thickBot="1" x14ac:dyDescent="0.3">
      <c r="A66" s="311" t="s">
        <v>315</v>
      </c>
      <c r="B66" s="311"/>
      <c r="C66" s="574"/>
      <c r="D66" s="311"/>
      <c r="E66" s="320">
        <f>SUM(E46:E64)</f>
        <v>79469</v>
      </c>
      <c r="F66" s="311"/>
      <c r="G66" s="320">
        <f t="shared" ref="G66:AA66" si="0">SUM(G46:G64)</f>
        <v>80098</v>
      </c>
      <c r="H66" s="311"/>
      <c r="I66" s="320">
        <f t="shared" si="0"/>
        <v>6705</v>
      </c>
      <c r="J66" s="311"/>
      <c r="K66" s="320">
        <f t="shared" si="0"/>
        <v>11464</v>
      </c>
      <c r="L66" s="311"/>
      <c r="M66" s="320">
        <f t="shared" si="0"/>
        <v>111</v>
      </c>
      <c r="N66" s="311"/>
      <c r="O66" s="320">
        <f t="shared" si="0"/>
        <v>469</v>
      </c>
      <c r="P66" s="311"/>
      <c r="Q66" s="320">
        <f t="shared" si="0"/>
        <v>502</v>
      </c>
      <c r="R66" s="311"/>
      <c r="S66" s="320">
        <f t="shared" si="0"/>
        <v>1361</v>
      </c>
      <c r="T66" s="311"/>
      <c r="U66" s="320">
        <f t="shared" si="0"/>
        <v>6</v>
      </c>
      <c r="V66" s="311"/>
      <c r="W66" s="320">
        <f t="shared" si="0"/>
        <v>43</v>
      </c>
      <c r="X66" s="311"/>
      <c r="Y66" s="320">
        <f t="shared" si="0"/>
        <v>86793</v>
      </c>
      <c r="Z66" s="311"/>
      <c r="AA66" s="320">
        <f t="shared" si="0"/>
        <v>93435</v>
      </c>
    </row>
    <row r="67" spans="1:29" ht="15.6" thickTop="1" x14ac:dyDescent="0.25">
      <c r="A67" s="326"/>
      <c r="B67" s="326"/>
      <c r="C67" s="581"/>
      <c r="D67" s="326"/>
      <c r="E67" s="326"/>
      <c r="F67" s="326"/>
      <c r="G67" s="326"/>
      <c r="H67" s="326"/>
      <c r="I67" s="326"/>
      <c r="J67" s="326"/>
      <c r="K67" s="326"/>
      <c r="L67" s="326"/>
      <c r="M67" s="326"/>
      <c r="N67" s="326"/>
      <c r="O67" s="326"/>
      <c r="P67" s="326"/>
      <c r="Q67" s="326"/>
      <c r="R67" s="326"/>
      <c r="S67" s="326"/>
      <c r="T67" s="326"/>
      <c r="U67" s="326"/>
      <c r="V67" s="326"/>
      <c r="W67" s="326"/>
      <c r="X67" s="326"/>
      <c r="Y67" s="326"/>
      <c r="Z67" s="327"/>
      <c r="AA67" s="327"/>
    </row>
    <row r="68" spans="1:29" x14ac:dyDescent="0.25">
      <c r="A68" s="326"/>
      <c r="B68" s="326"/>
      <c r="C68" s="581"/>
      <c r="D68" s="326"/>
      <c r="E68" s="326"/>
      <c r="F68" s="326"/>
      <c r="G68" s="326"/>
      <c r="H68" s="326"/>
      <c r="I68" s="326"/>
      <c r="J68" s="326"/>
      <c r="K68" s="311"/>
      <c r="L68" s="326"/>
      <c r="M68" s="326"/>
      <c r="N68" s="326"/>
      <c r="O68" s="326"/>
      <c r="P68" s="326"/>
      <c r="Q68" s="326"/>
      <c r="R68" s="326"/>
      <c r="S68" s="326"/>
      <c r="T68" s="326"/>
      <c r="U68" s="326"/>
      <c r="V68" s="326"/>
      <c r="W68" s="326"/>
      <c r="X68" s="326"/>
      <c r="Y68" s="326"/>
      <c r="Z68" s="326"/>
      <c r="AA68" s="326"/>
      <c r="AB68" s="326"/>
      <c r="AC68" s="326"/>
    </row>
    <row r="69" spans="1:29" x14ac:dyDescent="0.25">
      <c r="A69" s="326"/>
      <c r="B69" s="326"/>
      <c r="C69" s="581"/>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row>
    <row r="70" spans="1:29" x14ac:dyDescent="0.25">
      <c r="A70" s="326"/>
      <c r="B70" s="326"/>
      <c r="C70" s="581"/>
      <c r="D70" s="326"/>
      <c r="E70" s="406"/>
      <c r="F70" s="406"/>
      <c r="G70" s="406"/>
      <c r="H70" s="406"/>
      <c r="I70" s="406"/>
      <c r="J70" s="406"/>
      <c r="K70" s="406"/>
      <c r="L70" s="406"/>
      <c r="M70" s="406"/>
      <c r="N70" s="406"/>
      <c r="O70" s="406"/>
      <c r="P70" s="406"/>
      <c r="Q70" s="406"/>
      <c r="R70" s="406"/>
      <c r="S70" s="406"/>
      <c r="T70" s="406"/>
      <c r="U70" s="406"/>
      <c r="V70" s="406"/>
      <c r="W70" s="406"/>
      <c r="X70" s="326"/>
      <c r="Y70" s="326"/>
      <c r="Z70" s="326"/>
      <c r="AA70" s="326"/>
      <c r="AB70" s="326"/>
      <c r="AC70" s="326"/>
    </row>
    <row r="71" spans="1:29" x14ac:dyDescent="0.25">
      <c r="A71" s="326"/>
      <c r="B71" s="326"/>
      <c r="C71" s="581"/>
      <c r="D71" s="326"/>
      <c r="E71" s="407"/>
      <c r="F71" s="407"/>
      <c r="G71" s="407"/>
      <c r="H71" s="406"/>
      <c r="I71" s="408"/>
      <c r="J71" s="409"/>
      <c r="K71" s="408"/>
      <c r="L71" s="406"/>
      <c r="M71" s="406"/>
      <c r="N71" s="406"/>
      <c r="O71" s="406"/>
      <c r="P71" s="406"/>
      <c r="Q71" s="406"/>
      <c r="R71" s="406"/>
      <c r="S71" s="406"/>
      <c r="T71" s="406"/>
      <c r="U71" s="406"/>
      <c r="V71" s="406"/>
      <c r="W71" s="406"/>
      <c r="X71" s="326"/>
      <c r="Y71" s="326"/>
      <c r="Z71" s="326"/>
      <c r="AA71" s="326"/>
      <c r="AB71" s="326"/>
      <c r="AC71" s="326"/>
    </row>
    <row r="72" spans="1:29" x14ac:dyDescent="0.25">
      <c r="A72" s="326"/>
      <c r="B72" s="326"/>
      <c r="C72" s="581"/>
      <c r="D72" s="326"/>
      <c r="E72" s="407"/>
      <c r="F72" s="407"/>
      <c r="G72" s="407"/>
      <c r="H72" s="406"/>
      <c r="I72" s="408"/>
      <c r="J72" s="409"/>
      <c r="K72" s="408"/>
      <c r="L72" s="406"/>
      <c r="M72" s="406"/>
      <c r="N72" s="406"/>
      <c r="O72" s="406"/>
      <c r="P72" s="406"/>
      <c r="Q72" s="406"/>
      <c r="R72" s="406"/>
      <c r="S72" s="406"/>
      <c r="T72" s="406"/>
      <c r="U72" s="406"/>
      <c r="V72" s="406"/>
      <c r="W72" s="406"/>
      <c r="X72" s="326"/>
      <c r="Y72" s="326"/>
      <c r="Z72" s="326"/>
      <c r="AA72" s="326"/>
      <c r="AB72" s="326"/>
      <c r="AC72" s="326"/>
    </row>
    <row r="73" spans="1:29" x14ac:dyDescent="0.25">
      <c r="A73" s="326"/>
      <c r="B73" s="326"/>
      <c r="C73" s="581"/>
      <c r="D73" s="326"/>
      <c r="E73" s="406"/>
      <c r="F73" s="406"/>
      <c r="G73" s="406"/>
      <c r="H73" s="406"/>
      <c r="I73" s="406"/>
      <c r="J73" s="406"/>
      <c r="K73" s="406"/>
      <c r="L73" s="406"/>
      <c r="M73" s="406"/>
      <c r="N73" s="406"/>
      <c r="O73" s="406"/>
      <c r="P73" s="406"/>
      <c r="Q73" s="406"/>
      <c r="R73" s="406"/>
      <c r="S73" s="406"/>
      <c r="T73" s="406"/>
      <c r="U73" s="406"/>
      <c r="V73" s="406"/>
      <c r="W73" s="406"/>
      <c r="X73" s="326"/>
      <c r="Y73" s="326"/>
      <c r="Z73" s="326"/>
      <c r="AA73" s="326"/>
      <c r="AB73" s="326"/>
      <c r="AC73" s="326"/>
    </row>
    <row r="74" spans="1:29" x14ac:dyDescent="0.25">
      <c r="A74" s="326"/>
      <c r="B74" s="326"/>
      <c r="C74" s="581"/>
      <c r="D74" s="326"/>
      <c r="E74" s="408"/>
      <c r="F74" s="406"/>
      <c r="G74" s="323"/>
      <c r="H74" s="406"/>
      <c r="I74" s="410"/>
      <c r="J74" s="406"/>
      <c r="K74" s="411"/>
      <c r="L74" s="406"/>
      <c r="M74" s="406"/>
      <c r="N74" s="406"/>
      <c r="O74" s="323"/>
      <c r="P74" s="406"/>
      <c r="Q74" s="406"/>
      <c r="R74" s="406"/>
      <c r="S74" s="406"/>
      <c r="T74" s="406"/>
      <c r="U74" s="406"/>
      <c r="V74" s="406"/>
      <c r="W74" s="406"/>
      <c r="X74" s="326"/>
      <c r="Y74" s="326"/>
      <c r="Z74" s="326"/>
      <c r="AA74" s="326"/>
      <c r="AB74" s="326"/>
      <c r="AC74" s="326"/>
    </row>
    <row r="75" spans="1:29" x14ac:dyDescent="0.25">
      <c r="A75" s="326"/>
      <c r="B75" s="326"/>
      <c r="C75" s="581"/>
      <c r="D75" s="326"/>
      <c r="E75" s="408"/>
      <c r="F75" s="406"/>
      <c r="G75" s="323"/>
      <c r="H75" s="406"/>
      <c r="I75" s="410"/>
      <c r="J75" s="406"/>
      <c r="K75" s="411"/>
      <c r="L75" s="406"/>
      <c r="M75" s="406"/>
      <c r="N75" s="406"/>
      <c r="O75" s="323"/>
      <c r="P75" s="406"/>
      <c r="Q75" s="406"/>
      <c r="R75" s="406"/>
      <c r="S75" s="406"/>
      <c r="T75" s="406"/>
      <c r="U75" s="406"/>
      <c r="V75" s="406"/>
      <c r="W75" s="406"/>
      <c r="X75" s="326"/>
      <c r="Y75" s="326"/>
      <c r="Z75" s="326"/>
      <c r="AA75" s="326"/>
      <c r="AB75" s="326"/>
      <c r="AC75" s="326"/>
    </row>
    <row r="76" spans="1:29" x14ac:dyDescent="0.25">
      <c r="A76" s="326"/>
      <c r="B76" s="326"/>
      <c r="C76" s="581"/>
      <c r="D76" s="326"/>
      <c r="E76" s="408"/>
      <c r="F76" s="406"/>
      <c r="G76" s="323"/>
      <c r="H76" s="406"/>
      <c r="I76" s="410"/>
      <c r="J76" s="406"/>
      <c r="K76" s="411"/>
      <c r="L76" s="406"/>
      <c r="M76" s="406"/>
      <c r="N76" s="406"/>
      <c r="O76" s="323"/>
      <c r="P76" s="406"/>
      <c r="Q76" s="406"/>
      <c r="R76" s="406"/>
      <c r="S76" s="406"/>
      <c r="T76" s="406"/>
      <c r="U76" s="406"/>
      <c r="V76" s="406"/>
      <c r="W76" s="406"/>
      <c r="X76" s="326"/>
      <c r="Y76" s="326"/>
      <c r="Z76" s="326"/>
      <c r="AA76" s="326"/>
      <c r="AB76" s="326"/>
      <c r="AC76" s="326"/>
    </row>
    <row r="77" spans="1:29" x14ac:dyDescent="0.25">
      <c r="A77" s="326"/>
      <c r="B77" s="326"/>
      <c r="C77" s="581"/>
      <c r="D77" s="326"/>
      <c r="E77" s="408"/>
      <c r="F77" s="406"/>
      <c r="G77" s="323"/>
      <c r="H77" s="406"/>
      <c r="I77" s="410"/>
      <c r="J77" s="406"/>
      <c r="K77" s="411"/>
      <c r="L77" s="406"/>
      <c r="M77" s="406"/>
      <c r="N77" s="406"/>
      <c r="O77" s="323"/>
      <c r="P77" s="406"/>
      <c r="Q77" s="406"/>
      <c r="R77" s="406"/>
      <c r="S77" s="406"/>
      <c r="T77" s="406"/>
      <c r="U77" s="406"/>
      <c r="V77" s="406"/>
      <c r="W77" s="406"/>
      <c r="X77" s="326"/>
      <c r="Y77" s="326"/>
      <c r="Z77" s="326"/>
      <c r="AA77" s="326"/>
      <c r="AB77" s="326"/>
      <c r="AC77" s="326"/>
    </row>
    <row r="78" spans="1:29" x14ac:dyDescent="0.25">
      <c r="A78" s="326"/>
      <c r="B78" s="326"/>
      <c r="C78" s="581"/>
      <c r="D78" s="326"/>
      <c r="E78" s="408"/>
      <c r="F78" s="406"/>
      <c r="G78" s="323"/>
      <c r="H78" s="406"/>
      <c r="I78" s="410"/>
      <c r="J78" s="406"/>
      <c r="K78" s="411"/>
      <c r="L78" s="406"/>
      <c r="M78" s="406"/>
      <c r="N78" s="406"/>
      <c r="O78" s="323"/>
      <c r="P78" s="406"/>
      <c r="Q78" s="406"/>
      <c r="R78" s="406"/>
      <c r="S78" s="406"/>
      <c r="T78" s="406"/>
      <c r="U78" s="406"/>
      <c r="V78" s="406"/>
      <c r="W78" s="406"/>
      <c r="X78" s="326"/>
      <c r="Y78" s="326"/>
      <c r="Z78" s="326"/>
      <c r="AA78" s="326"/>
      <c r="AB78" s="326"/>
      <c r="AC78" s="326"/>
    </row>
    <row r="79" spans="1:29" x14ac:dyDescent="0.25">
      <c r="A79" s="326"/>
      <c r="B79" s="326"/>
      <c r="C79" s="581"/>
      <c r="D79" s="326"/>
      <c r="E79" s="408"/>
      <c r="F79" s="406"/>
      <c r="G79" s="323"/>
      <c r="H79" s="406"/>
      <c r="I79" s="410"/>
      <c r="J79" s="406"/>
      <c r="K79" s="411"/>
      <c r="L79" s="406"/>
      <c r="M79" s="406"/>
      <c r="N79" s="406"/>
      <c r="O79" s="323"/>
      <c r="P79" s="406"/>
      <c r="Q79" s="406"/>
      <c r="R79" s="406"/>
      <c r="S79" s="406"/>
      <c r="T79" s="406"/>
      <c r="U79" s="406"/>
      <c r="V79" s="406"/>
      <c r="W79" s="406"/>
      <c r="X79" s="326"/>
      <c r="Y79" s="326"/>
      <c r="Z79" s="326"/>
      <c r="AA79" s="326"/>
      <c r="AB79" s="326"/>
      <c r="AC79" s="326"/>
    </row>
    <row r="80" spans="1:29" x14ac:dyDescent="0.25">
      <c r="A80" s="326"/>
      <c r="B80" s="326"/>
      <c r="C80" s="581"/>
      <c r="D80" s="326"/>
      <c r="E80" s="408"/>
      <c r="F80" s="406"/>
      <c r="G80" s="323"/>
      <c r="H80" s="406"/>
      <c r="I80" s="410"/>
      <c r="J80" s="406"/>
      <c r="K80" s="411"/>
      <c r="L80" s="406"/>
      <c r="M80" s="406"/>
      <c r="N80" s="406"/>
      <c r="O80" s="323"/>
      <c r="P80" s="406"/>
      <c r="Q80" s="406"/>
      <c r="R80" s="406"/>
      <c r="S80" s="406"/>
      <c r="T80" s="406"/>
      <c r="U80" s="406"/>
      <c r="V80" s="406"/>
      <c r="W80" s="406"/>
      <c r="X80" s="326"/>
      <c r="Y80" s="326"/>
      <c r="Z80" s="326"/>
      <c r="AA80" s="326"/>
      <c r="AB80" s="326"/>
      <c r="AC80" s="326"/>
    </row>
    <row r="81" spans="1:29" x14ac:dyDescent="0.25">
      <c r="A81" s="326"/>
      <c r="B81" s="326"/>
      <c r="C81" s="581"/>
      <c r="D81" s="326"/>
      <c r="E81" s="408"/>
      <c r="F81" s="406"/>
      <c r="G81" s="323"/>
      <c r="H81" s="406"/>
      <c r="I81" s="410"/>
      <c r="J81" s="406"/>
      <c r="K81" s="411"/>
      <c r="L81" s="406"/>
      <c r="M81" s="406"/>
      <c r="N81" s="406"/>
      <c r="O81" s="323"/>
      <c r="P81" s="406"/>
      <c r="Q81" s="406"/>
      <c r="R81" s="406"/>
      <c r="S81" s="406"/>
      <c r="T81" s="406"/>
      <c r="U81" s="406"/>
      <c r="V81" s="406"/>
      <c r="W81" s="406"/>
      <c r="X81" s="326"/>
      <c r="Y81" s="326"/>
      <c r="Z81" s="326"/>
      <c r="AA81" s="326"/>
      <c r="AB81" s="326"/>
      <c r="AC81" s="326"/>
    </row>
    <row r="82" spans="1:29" x14ac:dyDescent="0.25">
      <c r="A82" s="326"/>
      <c r="B82" s="326"/>
      <c r="C82" s="581"/>
      <c r="D82" s="326"/>
      <c r="E82" s="408"/>
      <c r="F82" s="406"/>
      <c r="G82" s="323"/>
      <c r="H82" s="406"/>
      <c r="I82" s="410"/>
      <c r="J82" s="406"/>
      <c r="K82" s="411"/>
      <c r="L82" s="406"/>
      <c r="M82" s="406"/>
      <c r="N82" s="406"/>
      <c r="O82" s="323"/>
      <c r="P82" s="406"/>
      <c r="Q82" s="406"/>
      <c r="R82" s="406"/>
      <c r="S82" s="406"/>
      <c r="T82" s="406"/>
      <c r="U82" s="406"/>
      <c r="V82" s="406"/>
      <c r="W82" s="406"/>
      <c r="X82" s="326"/>
      <c r="Y82" s="326"/>
      <c r="Z82" s="326"/>
      <c r="AA82" s="326"/>
      <c r="AB82" s="326"/>
      <c r="AC82" s="326"/>
    </row>
    <row r="83" spans="1:29" x14ac:dyDescent="0.25">
      <c r="A83" s="326"/>
      <c r="B83" s="326"/>
      <c r="C83" s="581"/>
      <c r="D83" s="326"/>
      <c r="E83" s="408"/>
      <c r="F83" s="406"/>
      <c r="G83" s="323"/>
      <c r="H83" s="406"/>
      <c r="I83" s="410"/>
      <c r="J83" s="406"/>
      <c r="K83" s="411"/>
      <c r="L83" s="406"/>
      <c r="M83" s="406"/>
      <c r="N83" s="406"/>
      <c r="O83" s="323"/>
      <c r="P83" s="406"/>
      <c r="Q83" s="406"/>
      <c r="R83" s="406"/>
      <c r="S83" s="406"/>
      <c r="T83" s="406"/>
      <c r="U83" s="406"/>
      <c r="V83" s="406"/>
      <c r="W83" s="406"/>
      <c r="X83" s="326"/>
      <c r="Y83" s="326"/>
      <c r="Z83" s="326"/>
      <c r="AA83" s="326"/>
      <c r="AB83" s="326"/>
      <c r="AC83" s="326"/>
    </row>
    <row r="84" spans="1:29" x14ac:dyDescent="0.25">
      <c r="A84" s="326"/>
      <c r="B84" s="326"/>
      <c r="C84" s="581"/>
      <c r="D84" s="326"/>
      <c r="E84" s="408"/>
      <c r="F84" s="406"/>
      <c r="G84" s="323"/>
      <c r="H84" s="406"/>
      <c r="I84" s="412"/>
      <c r="J84" s="406"/>
      <c r="K84" s="411"/>
      <c r="L84" s="406"/>
      <c r="M84" s="406"/>
      <c r="N84" s="406"/>
      <c r="O84" s="406"/>
      <c r="P84" s="406"/>
      <c r="Q84" s="406"/>
      <c r="R84" s="406"/>
      <c r="S84" s="406"/>
      <c r="T84" s="406"/>
      <c r="U84" s="406"/>
      <c r="V84" s="406"/>
      <c r="W84" s="406"/>
      <c r="X84" s="326"/>
      <c r="Y84" s="326"/>
      <c r="Z84" s="326"/>
      <c r="AA84" s="326"/>
      <c r="AB84" s="326"/>
      <c r="AC84" s="326"/>
    </row>
    <row r="85" spans="1:29" x14ac:dyDescent="0.25">
      <c r="A85" s="326"/>
      <c r="B85" s="326"/>
      <c r="C85" s="581"/>
      <c r="D85" s="326"/>
      <c r="E85" s="406"/>
      <c r="F85" s="406"/>
      <c r="G85" s="406"/>
      <c r="H85" s="406"/>
      <c r="I85" s="406"/>
      <c r="J85" s="406"/>
      <c r="K85" s="406"/>
      <c r="L85" s="406"/>
      <c r="M85" s="406"/>
      <c r="N85" s="406"/>
      <c r="O85" s="406"/>
      <c r="P85" s="406"/>
      <c r="Q85" s="406"/>
      <c r="R85" s="406"/>
      <c r="S85" s="406"/>
      <c r="T85" s="406"/>
      <c r="U85" s="406"/>
      <c r="V85" s="406"/>
      <c r="W85" s="406"/>
      <c r="X85" s="326"/>
      <c r="Y85" s="326"/>
      <c r="Z85" s="326"/>
      <c r="AA85" s="326"/>
      <c r="AB85" s="326"/>
      <c r="AC85" s="326"/>
    </row>
    <row r="86" spans="1:29" x14ac:dyDescent="0.25">
      <c r="A86" s="326"/>
      <c r="B86" s="326"/>
      <c r="C86" s="581"/>
      <c r="D86" s="326"/>
      <c r="E86" s="406"/>
      <c r="F86" s="406"/>
      <c r="G86" s="406"/>
      <c r="H86" s="406"/>
      <c r="I86" s="406"/>
      <c r="J86" s="406"/>
      <c r="K86" s="406"/>
      <c r="L86" s="406"/>
      <c r="M86" s="406"/>
      <c r="N86" s="406"/>
      <c r="O86" s="408"/>
      <c r="P86" s="406"/>
      <c r="Q86" s="406"/>
      <c r="R86" s="406"/>
      <c r="S86" s="406"/>
      <c r="T86" s="406"/>
      <c r="U86" s="406"/>
      <c r="V86" s="406"/>
      <c r="W86" s="406"/>
      <c r="X86" s="326"/>
      <c r="Y86" s="326"/>
      <c r="Z86" s="326"/>
      <c r="AA86" s="326"/>
      <c r="AB86" s="326"/>
      <c r="AC86" s="326"/>
    </row>
    <row r="87" spans="1:29" x14ac:dyDescent="0.25">
      <c r="A87" s="326"/>
      <c r="B87" s="326"/>
      <c r="C87" s="581"/>
      <c r="D87" s="326"/>
      <c r="E87" s="406"/>
      <c r="F87" s="406"/>
      <c r="G87" s="759"/>
      <c r="H87" s="759"/>
      <c r="I87" s="759"/>
      <c r="J87" s="406"/>
      <c r="K87" s="759"/>
      <c r="L87" s="759"/>
      <c r="M87" s="759"/>
      <c r="N87" s="406"/>
      <c r="O87" s="409"/>
      <c r="P87" s="406"/>
      <c r="Q87" s="406"/>
      <c r="R87" s="406"/>
      <c r="S87" s="406"/>
      <c r="T87" s="406"/>
      <c r="U87" s="406"/>
      <c r="V87" s="406"/>
      <c r="W87" s="406"/>
      <c r="X87" s="326"/>
      <c r="Y87" s="326"/>
      <c r="Z87" s="326"/>
      <c r="AA87" s="326"/>
      <c r="AB87" s="326"/>
      <c r="AC87" s="326"/>
    </row>
    <row r="88" spans="1:29" x14ac:dyDescent="0.25">
      <c r="A88" s="326"/>
      <c r="B88" s="326"/>
      <c r="C88" s="581"/>
      <c r="D88" s="326"/>
      <c r="E88" s="409"/>
      <c r="F88" s="406"/>
      <c r="G88" s="409"/>
      <c r="H88" s="409"/>
      <c r="I88" s="409"/>
      <c r="J88" s="406"/>
      <c r="K88" s="409"/>
      <c r="L88" s="409"/>
      <c r="M88" s="409"/>
      <c r="N88" s="406"/>
      <c r="O88" s="408"/>
      <c r="P88" s="406"/>
      <c r="Q88" s="409"/>
      <c r="R88" s="406"/>
      <c r="S88" s="406"/>
      <c r="T88" s="406"/>
      <c r="U88" s="406"/>
      <c r="V88" s="406"/>
      <c r="W88" s="406"/>
      <c r="X88" s="326"/>
      <c r="Y88" s="326"/>
      <c r="Z88" s="326"/>
      <c r="AA88" s="326"/>
      <c r="AB88" s="326"/>
      <c r="AC88" s="326"/>
    </row>
    <row r="89" spans="1:29" x14ac:dyDescent="0.25">
      <c r="A89" s="326"/>
      <c r="B89" s="326"/>
      <c r="C89" s="581"/>
      <c r="D89" s="326"/>
      <c r="E89" s="406"/>
      <c r="F89" s="406"/>
      <c r="G89" s="406"/>
      <c r="H89" s="406"/>
      <c r="I89" s="406"/>
      <c r="J89" s="406"/>
      <c r="K89" s="406"/>
      <c r="L89" s="406"/>
      <c r="M89" s="406"/>
      <c r="N89" s="406"/>
      <c r="O89" s="406"/>
      <c r="P89" s="406"/>
      <c r="Q89" s="406"/>
      <c r="R89" s="406"/>
      <c r="S89" s="406"/>
      <c r="T89" s="406"/>
      <c r="U89" s="406"/>
      <c r="V89" s="406"/>
      <c r="W89" s="406"/>
      <c r="X89" s="326"/>
      <c r="Y89" s="326"/>
      <c r="Z89" s="326"/>
      <c r="AA89" s="326"/>
      <c r="AB89" s="326"/>
      <c r="AC89" s="326"/>
    </row>
    <row r="90" spans="1:29" x14ac:dyDescent="0.25">
      <c r="A90" s="326"/>
      <c r="B90" s="326"/>
      <c r="C90" s="581"/>
      <c r="D90" s="326"/>
      <c r="E90" s="408"/>
      <c r="F90" s="408"/>
      <c r="G90" s="413"/>
      <c r="H90" s="406"/>
      <c r="I90" s="414"/>
      <c r="J90" s="410"/>
      <c r="K90" s="411"/>
      <c r="L90" s="406"/>
      <c r="M90" s="414"/>
      <c r="N90" s="406"/>
      <c r="O90" s="414"/>
      <c r="P90" s="406"/>
      <c r="Q90" s="415"/>
      <c r="R90" s="406"/>
      <c r="S90" s="410"/>
      <c r="T90" s="406"/>
      <c r="U90" s="406"/>
      <c r="V90" s="406"/>
      <c r="W90" s="406"/>
      <c r="X90" s="326"/>
      <c r="Y90" s="326"/>
      <c r="Z90" s="326"/>
      <c r="AA90" s="326"/>
      <c r="AB90" s="326"/>
      <c r="AC90" s="326"/>
    </row>
    <row r="91" spans="1:29" x14ac:dyDescent="0.25">
      <c r="A91" s="326"/>
      <c r="B91" s="326"/>
      <c r="C91" s="581"/>
      <c r="D91" s="326"/>
      <c r="E91" s="408"/>
      <c r="F91" s="408"/>
      <c r="G91" s="413"/>
      <c r="H91" s="406"/>
      <c r="I91" s="406"/>
      <c r="J91" s="406"/>
      <c r="K91" s="411"/>
      <c r="L91" s="406"/>
      <c r="M91" s="406"/>
      <c r="N91" s="406"/>
      <c r="O91" s="406"/>
      <c r="P91" s="406"/>
      <c r="Q91" s="415"/>
      <c r="R91" s="406"/>
      <c r="S91" s="410"/>
      <c r="T91" s="406"/>
      <c r="U91" s="406"/>
      <c r="V91" s="406"/>
      <c r="W91" s="406"/>
      <c r="X91" s="326"/>
      <c r="Y91" s="326"/>
      <c r="Z91" s="326"/>
      <c r="AA91" s="326"/>
      <c r="AB91" s="326"/>
      <c r="AC91" s="326"/>
    </row>
    <row r="92" spans="1:29" x14ac:dyDescent="0.25">
      <c r="A92" s="326"/>
      <c r="B92" s="326"/>
      <c r="C92" s="581"/>
      <c r="D92" s="326"/>
      <c r="E92" s="408"/>
      <c r="F92" s="408"/>
      <c r="G92" s="413"/>
      <c r="H92" s="406"/>
      <c r="I92" s="410"/>
      <c r="J92" s="406"/>
      <c r="K92" s="411"/>
      <c r="L92" s="406"/>
      <c r="M92" s="410"/>
      <c r="N92" s="406"/>
      <c r="O92" s="416"/>
      <c r="P92" s="406"/>
      <c r="Q92" s="416"/>
      <c r="R92" s="406"/>
      <c r="S92" s="410"/>
      <c r="T92" s="406"/>
      <c r="U92" s="406"/>
      <c r="V92" s="406"/>
      <c r="W92" s="406"/>
      <c r="X92" s="326"/>
      <c r="Y92" s="326"/>
      <c r="Z92" s="326"/>
      <c r="AA92" s="326"/>
      <c r="AB92" s="326"/>
      <c r="AC92" s="326"/>
    </row>
    <row r="93" spans="1:29" x14ac:dyDescent="0.25">
      <c r="A93" s="326"/>
      <c r="B93" s="326"/>
      <c r="C93" s="581"/>
      <c r="D93" s="326"/>
      <c r="E93" s="408"/>
      <c r="F93" s="408"/>
      <c r="G93" s="413"/>
      <c r="H93" s="406"/>
      <c r="I93" s="410"/>
      <c r="J93" s="406"/>
      <c r="K93" s="321"/>
      <c r="L93" s="406"/>
      <c r="M93" s="410"/>
      <c r="N93" s="406"/>
      <c r="O93" s="416"/>
      <c r="P93" s="406"/>
      <c r="Q93" s="416"/>
      <c r="R93" s="406"/>
      <c r="S93" s="410"/>
      <c r="T93" s="406"/>
      <c r="U93" s="406"/>
      <c r="V93" s="406"/>
      <c r="W93" s="406"/>
      <c r="X93" s="326"/>
      <c r="Y93" s="326"/>
      <c r="Z93" s="326"/>
      <c r="AA93" s="326"/>
      <c r="AB93" s="326"/>
      <c r="AC93" s="326"/>
    </row>
    <row r="94" spans="1:29" x14ac:dyDescent="0.25">
      <c r="A94" s="326"/>
      <c r="B94" s="326"/>
      <c r="C94" s="581"/>
      <c r="D94" s="326"/>
      <c r="E94" s="408"/>
      <c r="F94" s="408"/>
      <c r="G94" s="413"/>
      <c r="H94" s="406"/>
      <c r="I94" s="410"/>
      <c r="J94" s="406"/>
      <c r="K94" s="411"/>
      <c r="L94" s="406"/>
      <c r="M94" s="410"/>
      <c r="N94" s="406"/>
      <c r="O94" s="416"/>
      <c r="P94" s="406"/>
      <c r="Q94" s="416"/>
      <c r="R94" s="406"/>
      <c r="S94" s="410"/>
      <c r="T94" s="406"/>
      <c r="U94" s="406"/>
      <c r="V94" s="406"/>
      <c r="W94" s="406"/>
      <c r="X94" s="326"/>
      <c r="Y94" s="326"/>
      <c r="Z94" s="326"/>
      <c r="AA94" s="326"/>
      <c r="AB94" s="326"/>
      <c r="AC94" s="326"/>
    </row>
    <row r="95" spans="1:29" x14ac:dyDescent="0.25">
      <c r="E95" s="408"/>
      <c r="F95" s="408"/>
      <c r="G95" s="413"/>
      <c r="H95" s="321"/>
      <c r="I95" s="410"/>
      <c r="J95" s="321"/>
      <c r="K95" s="411"/>
      <c r="L95" s="321"/>
      <c r="M95" s="410"/>
      <c r="N95" s="321"/>
      <c r="O95" s="416"/>
      <c r="P95" s="321"/>
      <c r="Q95" s="416"/>
      <c r="R95" s="321"/>
      <c r="S95" s="410"/>
      <c r="T95" s="321"/>
      <c r="U95" s="321"/>
      <c r="V95" s="321"/>
      <c r="W95" s="321"/>
    </row>
    <row r="96" spans="1:29" x14ac:dyDescent="0.25">
      <c r="E96" s="408"/>
      <c r="F96" s="408"/>
      <c r="G96" s="413"/>
      <c r="H96" s="321"/>
      <c r="I96" s="410"/>
      <c r="J96" s="321"/>
      <c r="K96" s="411"/>
      <c r="L96" s="321"/>
      <c r="M96" s="410"/>
      <c r="N96" s="321"/>
      <c r="O96" s="416"/>
      <c r="P96" s="321"/>
      <c r="Q96" s="416"/>
      <c r="R96" s="321"/>
      <c r="S96" s="410"/>
      <c r="T96" s="321"/>
      <c r="U96" s="321"/>
      <c r="V96" s="321"/>
      <c r="W96" s="321"/>
    </row>
    <row r="97" spans="5:23" x14ac:dyDescent="0.25">
      <c r="E97" s="408"/>
      <c r="F97" s="408"/>
      <c r="G97" s="413"/>
      <c r="H97" s="321"/>
      <c r="I97" s="410"/>
      <c r="J97" s="321"/>
      <c r="K97" s="411"/>
      <c r="L97" s="321"/>
      <c r="M97" s="410"/>
      <c r="N97" s="321"/>
      <c r="O97" s="416"/>
      <c r="P97" s="321"/>
      <c r="Q97" s="416"/>
      <c r="R97" s="321"/>
      <c r="S97" s="410"/>
      <c r="T97" s="321"/>
      <c r="U97" s="321"/>
      <c r="V97" s="321"/>
      <c r="W97" s="321"/>
    </row>
    <row r="98" spans="5:23" x14ac:dyDescent="0.25">
      <c r="E98" s="408"/>
      <c r="F98" s="408"/>
      <c r="G98" s="413"/>
      <c r="H98" s="321"/>
      <c r="I98" s="410"/>
      <c r="J98" s="321"/>
      <c r="K98" s="411"/>
      <c r="L98" s="321"/>
      <c r="M98" s="410"/>
      <c r="N98" s="321"/>
      <c r="O98" s="416"/>
      <c r="P98" s="321"/>
      <c r="Q98" s="416"/>
      <c r="R98" s="321"/>
      <c r="S98" s="410"/>
      <c r="T98" s="321"/>
      <c r="U98" s="321"/>
      <c r="V98" s="321"/>
      <c r="W98" s="321"/>
    </row>
    <row r="99" spans="5:23" x14ac:dyDescent="0.25">
      <c r="E99" s="408"/>
      <c r="F99" s="408"/>
      <c r="G99" s="413"/>
      <c r="H99" s="321"/>
      <c r="I99" s="410"/>
      <c r="J99" s="321"/>
      <c r="K99" s="411"/>
      <c r="L99" s="321"/>
      <c r="M99" s="410"/>
      <c r="N99" s="321"/>
      <c r="O99" s="416"/>
      <c r="P99" s="321"/>
      <c r="Q99" s="416"/>
      <c r="R99" s="321"/>
      <c r="S99" s="410"/>
      <c r="T99" s="321"/>
      <c r="U99" s="321"/>
      <c r="V99" s="321"/>
      <c r="W99" s="321"/>
    </row>
    <row r="100" spans="5:23" x14ac:dyDescent="0.25">
      <c r="E100" s="408"/>
      <c r="F100" s="408"/>
      <c r="G100" s="413"/>
      <c r="H100" s="321"/>
      <c r="I100" s="410"/>
      <c r="J100" s="321"/>
      <c r="K100" s="411"/>
      <c r="L100" s="321"/>
      <c r="M100" s="410"/>
      <c r="N100" s="321"/>
      <c r="O100" s="416"/>
      <c r="P100" s="321"/>
      <c r="Q100" s="416"/>
      <c r="R100" s="321"/>
      <c r="S100" s="410"/>
      <c r="T100" s="321"/>
      <c r="U100" s="321"/>
      <c r="V100" s="321"/>
      <c r="W100" s="321"/>
    </row>
    <row r="101" spans="5:23" x14ac:dyDescent="0.25">
      <c r="E101" s="408"/>
      <c r="F101" s="408"/>
      <c r="G101" s="413"/>
      <c r="H101" s="321"/>
      <c r="I101" s="410"/>
      <c r="J101" s="321"/>
      <c r="K101" s="411"/>
      <c r="L101" s="321"/>
      <c r="M101" s="410"/>
      <c r="N101" s="321"/>
      <c r="O101" s="416"/>
      <c r="P101" s="321"/>
      <c r="Q101" s="416"/>
      <c r="R101" s="321"/>
      <c r="S101" s="410"/>
      <c r="T101" s="321"/>
      <c r="U101" s="321"/>
      <c r="V101" s="321"/>
      <c r="W101" s="321"/>
    </row>
    <row r="102" spans="5:23" x14ac:dyDescent="0.25">
      <c r="E102" s="408"/>
      <c r="F102" s="408"/>
      <c r="G102" s="413"/>
      <c r="H102" s="321"/>
      <c r="I102" s="410"/>
      <c r="J102" s="321"/>
      <c r="K102" s="411"/>
      <c r="L102" s="321"/>
      <c r="M102" s="410"/>
      <c r="N102" s="321"/>
      <c r="O102" s="416"/>
      <c r="P102" s="321"/>
      <c r="Q102" s="416"/>
      <c r="R102" s="321"/>
      <c r="S102" s="410"/>
      <c r="T102" s="321"/>
      <c r="U102" s="321"/>
      <c r="V102" s="321"/>
      <c r="W102" s="321"/>
    </row>
    <row r="103" spans="5:23" x14ac:dyDescent="0.25">
      <c r="E103" s="408"/>
      <c r="F103" s="408"/>
      <c r="G103" s="413"/>
      <c r="H103" s="321"/>
      <c r="I103" s="410"/>
      <c r="J103" s="321"/>
      <c r="K103" s="411"/>
      <c r="L103" s="321"/>
      <c r="M103" s="410"/>
      <c r="N103" s="321"/>
      <c r="O103" s="416"/>
      <c r="P103" s="321"/>
      <c r="Q103" s="416"/>
      <c r="R103" s="321"/>
      <c r="S103" s="410"/>
      <c r="T103" s="321"/>
      <c r="U103" s="321"/>
      <c r="V103" s="321"/>
      <c r="W103" s="321"/>
    </row>
    <row r="104" spans="5:23" x14ac:dyDescent="0.25">
      <c r="E104" s="408"/>
      <c r="F104" s="408"/>
      <c r="G104" s="413"/>
      <c r="H104" s="321"/>
      <c r="I104" s="410"/>
      <c r="J104" s="321"/>
      <c r="K104" s="411"/>
      <c r="L104" s="321"/>
      <c r="M104" s="410"/>
      <c r="N104" s="321"/>
      <c r="O104" s="416"/>
      <c r="P104" s="321"/>
      <c r="Q104" s="416"/>
      <c r="R104" s="321"/>
      <c r="S104" s="410"/>
      <c r="T104" s="321"/>
      <c r="U104" s="321"/>
      <c r="V104" s="321"/>
      <c r="W104" s="321"/>
    </row>
    <row r="105" spans="5:23" x14ac:dyDescent="0.25">
      <c r="E105" s="408"/>
      <c r="F105" s="408"/>
      <c r="G105" s="413"/>
      <c r="H105" s="321"/>
      <c r="I105" s="410"/>
      <c r="J105" s="321"/>
      <c r="K105" s="411"/>
      <c r="L105" s="321"/>
      <c r="M105" s="410"/>
      <c r="N105" s="321"/>
      <c r="O105" s="416"/>
      <c r="P105" s="321"/>
      <c r="Q105" s="416"/>
      <c r="R105" s="321"/>
      <c r="S105" s="410"/>
      <c r="T105" s="321"/>
      <c r="U105" s="321"/>
      <c r="V105" s="321"/>
      <c r="W105" s="321"/>
    </row>
    <row r="106" spans="5:23" x14ac:dyDescent="0.25">
      <c r="E106" s="408"/>
      <c r="F106" s="408"/>
      <c r="G106" s="413"/>
      <c r="H106" s="321"/>
      <c r="I106" s="410"/>
      <c r="J106" s="321"/>
      <c r="K106" s="411"/>
      <c r="L106" s="321"/>
      <c r="M106" s="410"/>
      <c r="N106" s="321"/>
      <c r="O106" s="416"/>
      <c r="P106" s="321"/>
      <c r="Q106" s="416"/>
      <c r="R106" s="321"/>
      <c r="S106" s="410"/>
      <c r="T106" s="321"/>
      <c r="U106" s="321"/>
      <c r="V106" s="321"/>
      <c r="W106" s="321"/>
    </row>
    <row r="107" spans="5:23" x14ac:dyDescent="0.25">
      <c r="E107" s="321"/>
      <c r="F107" s="321"/>
      <c r="G107" s="321"/>
      <c r="H107" s="321"/>
      <c r="I107" s="410"/>
      <c r="J107" s="321"/>
      <c r="K107" s="411"/>
      <c r="L107" s="321"/>
      <c r="M107" s="410"/>
      <c r="N107" s="321"/>
      <c r="O107" s="416"/>
      <c r="P107" s="321"/>
      <c r="Q107" s="416"/>
      <c r="R107" s="321"/>
      <c r="S107" s="410"/>
      <c r="T107" s="321"/>
      <c r="U107" s="321"/>
      <c r="V107" s="321"/>
      <c r="W107" s="321"/>
    </row>
    <row r="108" spans="5:23" x14ac:dyDescent="0.25">
      <c r="E108" s="409"/>
      <c r="F108" s="321"/>
      <c r="G108" s="409"/>
      <c r="H108" s="321"/>
      <c r="I108" s="410"/>
      <c r="J108" s="321"/>
      <c r="K108" s="411"/>
      <c r="L108" s="321"/>
      <c r="M108" s="410"/>
      <c r="N108" s="321"/>
      <c r="O108" s="416"/>
      <c r="P108" s="321"/>
      <c r="Q108" s="416"/>
      <c r="R108" s="321"/>
      <c r="S108" s="410"/>
      <c r="T108" s="321"/>
      <c r="U108" s="321"/>
      <c r="V108" s="321"/>
      <c r="W108" s="321"/>
    </row>
    <row r="109" spans="5:23" x14ac:dyDescent="0.25">
      <c r="E109" s="409"/>
      <c r="F109" s="321"/>
      <c r="G109" s="409"/>
      <c r="H109" s="321"/>
      <c r="I109" s="410"/>
      <c r="J109" s="321"/>
      <c r="K109" s="411"/>
      <c r="L109" s="321"/>
      <c r="M109" s="410"/>
      <c r="N109" s="321"/>
      <c r="O109" s="416"/>
      <c r="P109" s="321"/>
      <c r="Q109" s="416"/>
      <c r="R109" s="321"/>
      <c r="S109" s="410"/>
      <c r="T109" s="321"/>
      <c r="U109" s="321"/>
      <c r="V109" s="321"/>
      <c r="W109" s="321"/>
    </row>
    <row r="110" spans="5:23" x14ac:dyDescent="0.25">
      <c r="E110" s="409"/>
      <c r="F110" s="321"/>
      <c r="G110" s="409"/>
      <c r="H110" s="321"/>
      <c r="I110" s="410"/>
      <c r="J110" s="321"/>
      <c r="K110" s="411"/>
      <c r="L110" s="321"/>
      <c r="M110" s="410"/>
      <c r="N110" s="321"/>
      <c r="O110" s="416"/>
      <c r="P110" s="321"/>
      <c r="Q110" s="416"/>
      <c r="R110" s="321"/>
      <c r="S110" s="410"/>
      <c r="T110" s="321"/>
      <c r="U110" s="321"/>
      <c r="V110" s="321"/>
      <c r="W110" s="321"/>
    </row>
    <row r="111" spans="5:23" x14ac:dyDescent="0.25">
      <c r="E111" s="321"/>
      <c r="F111" s="321"/>
      <c r="G111" s="321"/>
      <c r="H111" s="321"/>
      <c r="I111" s="321"/>
      <c r="J111" s="321"/>
      <c r="K111" s="321"/>
      <c r="L111" s="321"/>
      <c r="M111" s="321"/>
      <c r="N111" s="321"/>
      <c r="O111" s="321"/>
      <c r="P111" s="321"/>
      <c r="Q111" s="321"/>
      <c r="R111" s="321"/>
      <c r="S111" s="321"/>
      <c r="T111" s="321"/>
      <c r="U111" s="321"/>
      <c r="V111" s="321"/>
      <c r="W111" s="321"/>
    </row>
    <row r="112" spans="5:23" x14ac:dyDescent="0.25">
      <c r="E112" s="321"/>
      <c r="F112" s="321"/>
      <c r="G112" s="321"/>
      <c r="H112" s="321"/>
      <c r="I112" s="321"/>
      <c r="J112" s="321"/>
      <c r="K112" s="321"/>
      <c r="L112" s="321"/>
      <c r="M112" s="321"/>
      <c r="N112" s="321"/>
      <c r="O112" s="321"/>
      <c r="P112" s="321"/>
      <c r="Q112" s="321"/>
      <c r="R112" s="321"/>
      <c r="S112" s="321"/>
      <c r="T112" s="321"/>
      <c r="U112" s="321"/>
      <c r="V112" s="321"/>
      <c r="W112" s="321"/>
    </row>
    <row r="113" spans="5:23" x14ac:dyDescent="0.25">
      <c r="E113" s="321"/>
      <c r="F113" s="321"/>
      <c r="G113" s="321"/>
      <c r="H113" s="321"/>
      <c r="I113" s="321"/>
      <c r="J113" s="321"/>
      <c r="K113" s="321"/>
      <c r="L113" s="321"/>
      <c r="M113" s="321"/>
      <c r="N113" s="321"/>
      <c r="O113" s="321"/>
      <c r="P113" s="321"/>
      <c r="Q113" s="321"/>
      <c r="R113" s="321"/>
      <c r="S113" s="321"/>
      <c r="T113" s="321"/>
      <c r="U113" s="321"/>
      <c r="V113" s="321"/>
      <c r="W113" s="321"/>
    </row>
    <row r="114" spans="5:23" x14ac:dyDescent="0.25">
      <c r="E114" s="321"/>
      <c r="F114" s="321"/>
      <c r="G114" s="321"/>
      <c r="H114" s="321"/>
      <c r="I114" s="321"/>
      <c r="J114" s="321"/>
      <c r="K114" s="321"/>
      <c r="L114" s="321"/>
      <c r="M114" s="321"/>
      <c r="N114" s="321"/>
      <c r="O114" s="321"/>
      <c r="P114" s="321"/>
      <c r="Q114" s="321"/>
      <c r="R114" s="321"/>
      <c r="S114" s="321"/>
      <c r="T114" s="321"/>
      <c r="U114" s="321"/>
      <c r="V114" s="321"/>
      <c r="W114" s="321"/>
    </row>
    <row r="115" spans="5:23" x14ac:dyDescent="0.25">
      <c r="E115" s="321"/>
      <c r="F115" s="321"/>
      <c r="G115" s="321"/>
      <c r="H115" s="321"/>
      <c r="I115" s="321"/>
      <c r="J115" s="321"/>
      <c r="K115" s="321"/>
      <c r="L115" s="321"/>
      <c r="M115" s="321"/>
      <c r="N115" s="321"/>
      <c r="O115" s="321"/>
      <c r="P115" s="321"/>
      <c r="Q115" s="321"/>
      <c r="R115" s="321"/>
      <c r="S115" s="321"/>
      <c r="T115" s="321"/>
      <c r="U115" s="321"/>
      <c r="V115" s="321"/>
      <c r="W115" s="321"/>
    </row>
    <row r="116" spans="5:23" x14ac:dyDescent="0.25">
      <c r="E116" s="321"/>
      <c r="F116" s="321"/>
      <c r="G116" s="321"/>
      <c r="H116" s="321"/>
      <c r="I116" s="321"/>
      <c r="J116" s="321"/>
      <c r="K116" s="321"/>
      <c r="L116" s="321"/>
      <c r="M116" s="321"/>
      <c r="N116" s="321"/>
      <c r="O116" s="321"/>
      <c r="P116" s="321"/>
      <c r="Q116" s="321"/>
      <c r="R116" s="321"/>
      <c r="S116" s="321"/>
      <c r="T116" s="321"/>
      <c r="U116" s="321"/>
      <c r="V116" s="321"/>
      <c r="W116" s="321"/>
    </row>
    <row r="117" spans="5:23" x14ac:dyDescent="0.25">
      <c r="E117" s="321"/>
      <c r="F117" s="321"/>
      <c r="G117" s="321"/>
      <c r="H117" s="321"/>
      <c r="I117" s="321"/>
      <c r="J117" s="321"/>
      <c r="K117" s="321"/>
      <c r="L117" s="321"/>
      <c r="M117" s="321"/>
      <c r="N117" s="321"/>
      <c r="O117" s="321"/>
      <c r="P117" s="321"/>
      <c r="Q117" s="321"/>
      <c r="R117" s="321"/>
      <c r="S117" s="321"/>
      <c r="T117" s="321"/>
      <c r="U117" s="321"/>
      <c r="V117" s="321"/>
      <c r="W117" s="321"/>
    </row>
    <row r="118" spans="5:23" x14ac:dyDescent="0.25">
      <c r="E118" s="321"/>
      <c r="F118" s="321"/>
      <c r="G118" s="321"/>
      <c r="H118" s="321"/>
      <c r="I118" s="321"/>
      <c r="J118" s="321"/>
      <c r="K118" s="321"/>
      <c r="L118" s="321"/>
      <c r="M118" s="321"/>
      <c r="N118" s="321"/>
      <c r="O118" s="321"/>
      <c r="P118" s="321"/>
      <c r="Q118" s="321"/>
      <c r="R118" s="321"/>
      <c r="S118" s="321"/>
      <c r="T118" s="321"/>
      <c r="U118" s="321"/>
      <c r="V118" s="321"/>
      <c r="W118" s="321"/>
    </row>
    <row r="119" spans="5:23" x14ac:dyDescent="0.25">
      <c r="E119" s="321"/>
      <c r="F119" s="321"/>
      <c r="G119" s="321"/>
      <c r="H119" s="321"/>
      <c r="I119" s="321"/>
      <c r="J119" s="321"/>
      <c r="K119" s="321"/>
      <c r="L119" s="321"/>
      <c r="M119" s="321"/>
      <c r="N119" s="321"/>
      <c r="O119" s="321"/>
      <c r="P119" s="321"/>
      <c r="Q119" s="321"/>
      <c r="R119" s="321"/>
      <c r="S119" s="321"/>
      <c r="T119" s="321"/>
      <c r="U119" s="321"/>
      <c r="V119" s="321"/>
      <c r="W119" s="321"/>
    </row>
    <row r="120" spans="5:23" x14ac:dyDescent="0.25">
      <c r="E120" s="321"/>
      <c r="F120" s="321"/>
      <c r="G120" s="321"/>
      <c r="H120" s="321"/>
      <c r="I120" s="321"/>
      <c r="J120" s="321"/>
      <c r="K120" s="321"/>
      <c r="L120" s="321"/>
      <c r="M120" s="321"/>
      <c r="N120" s="321"/>
      <c r="O120" s="321"/>
      <c r="P120" s="321"/>
      <c r="Q120" s="321"/>
      <c r="R120" s="321"/>
      <c r="S120" s="321"/>
      <c r="T120" s="321"/>
      <c r="U120" s="321"/>
      <c r="V120" s="321"/>
      <c r="W120" s="321"/>
    </row>
    <row r="121" spans="5:23" x14ac:dyDescent="0.25">
      <c r="E121" s="321"/>
      <c r="F121" s="321"/>
      <c r="G121" s="321"/>
      <c r="H121" s="321"/>
      <c r="I121" s="321"/>
      <c r="J121" s="321"/>
      <c r="K121" s="321"/>
      <c r="L121" s="321"/>
      <c r="M121" s="321"/>
      <c r="N121" s="321"/>
      <c r="O121" s="321"/>
      <c r="P121" s="321"/>
      <c r="Q121" s="321"/>
      <c r="R121" s="321"/>
      <c r="S121" s="321"/>
      <c r="T121" s="321"/>
      <c r="U121" s="321"/>
      <c r="V121" s="321"/>
      <c r="W121" s="321"/>
    </row>
    <row r="122" spans="5:23" x14ac:dyDescent="0.25">
      <c r="E122" s="321"/>
      <c r="F122" s="321"/>
      <c r="G122" s="321"/>
      <c r="H122" s="321"/>
      <c r="I122" s="321"/>
      <c r="J122" s="321"/>
      <c r="K122" s="321"/>
      <c r="L122" s="321"/>
      <c r="M122" s="321"/>
      <c r="N122" s="321"/>
      <c r="O122" s="321"/>
      <c r="P122" s="321"/>
      <c r="Q122" s="321"/>
      <c r="R122" s="321"/>
      <c r="S122" s="321"/>
      <c r="T122" s="321"/>
      <c r="U122" s="321"/>
      <c r="V122" s="321"/>
      <c r="W122" s="321"/>
    </row>
    <row r="123" spans="5:23" x14ac:dyDescent="0.25">
      <c r="E123" s="321"/>
      <c r="F123" s="321"/>
      <c r="G123" s="321"/>
      <c r="H123" s="321"/>
      <c r="I123" s="321"/>
      <c r="J123" s="321"/>
      <c r="K123" s="321"/>
      <c r="L123" s="321"/>
      <c r="M123" s="321"/>
      <c r="N123" s="321"/>
      <c r="O123" s="321"/>
      <c r="P123" s="321"/>
      <c r="Q123" s="321"/>
      <c r="R123" s="321"/>
      <c r="S123" s="321"/>
      <c r="T123" s="321"/>
      <c r="U123" s="321"/>
      <c r="V123" s="321"/>
      <c r="W123" s="321"/>
    </row>
    <row r="124" spans="5:23" x14ac:dyDescent="0.25">
      <c r="E124" s="321"/>
      <c r="F124" s="321"/>
      <c r="G124" s="321"/>
      <c r="H124" s="321"/>
      <c r="I124" s="321"/>
      <c r="J124" s="321"/>
      <c r="K124" s="321"/>
      <c r="L124" s="321"/>
      <c r="M124" s="321"/>
      <c r="N124" s="321"/>
      <c r="O124" s="321"/>
      <c r="P124" s="321"/>
      <c r="Q124" s="321"/>
      <c r="R124" s="321"/>
      <c r="S124" s="321"/>
      <c r="T124" s="321"/>
      <c r="U124" s="321"/>
      <c r="V124" s="321"/>
      <c r="W124" s="321"/>
    </row>
    <row r="125" spans="5:23" x14ac:dyDescent="0.25">
      <c r="E125" s="321"/>
      <c r="F125" s="321"/>
      <c r="G125" s="321"/>
      <c r="H125" s="321"/>
      <c r="I125" s="321"/>
      <c r="J125" s="321"/>
      <c r="K125" s="321"/>
      <c r="L125" s="321"/>
      <c r="M125" s="321"/>
      <c r="N125" s="321"/>
      <c r="O125" s="321"/>
      <c r="P125" s="321"/>
      <c r="Q125" s="321"/>
      <c r="R125" s="321"/>
      <c r="S125" s="321"/>
      <c r="T125" s="321"/>
      <c r="U125" s="321"/>
      <c r="V125" s="321"/>
      <c r="W125" s="321"/>
    </row>
    <row r="126" spans="5:23" x14ac:dyDescent="0.25">
      <c r="E126" s="321"/>
      <c r="F126" s="321"/>
      <c r="G126" s="321"/>
      <c r="H126" s="321"/>
      <c r="I126" s="321"/>
      <c r="J126" s="321"/>
      <c r="K126" s="321"/>
      <c r="L126" s="321"/>
      <c r="M126" s="321"/>
      <c r="N126" s="321"/>
      <c r="O126" s="321"/>
      <c r="P126" s="321"/>
      <c r="Q126" s="321"/>
      <c r="R126" s="321"/>
      <c r="S126" s="321"/>
      <c r="T126" s="321"/>
      <c r="U126" s="321"/>
      <c r="V126" s="321"/>
      <c r="W126" s="321"/>
    </row>
    <row r="127" spans="5:23" x14ac:dyDescent="0.25">
      <c r="E127" s="321"/>
      <c r="F127" s="321"/>
      <c r="G127" s="321"/>
      <c r="H127" s="321"/>
      <c r="I127" s="321"/>
      <c r="J127" s="321"/>
      <c r="K127" s="321"/>
      <c r="L127" s="321"/>
      <c r="M127" s="321"/>
      <c r="N127" s="321"/>
      <c r="O127" s="321"/>
      <c r="P127" s="321"/>
      <c r="Q127" s="321"/>
      <c r="R127" s="321"/>
      <c r="S127" s="321"/>
      <c r="T127" s="321"/>
      <c r="U127" s="321"/>
      <c r="V127" s="321"/>
      <c r="W127" s="321"/>
    </row>
    <row r="128" spans="5:23" x14ac:dyDescent="0.25">
      <c r="E128" s="321"/>
      <c r="F128" s="321"/>
      <c r="G128" s="321"/>
      <c r="H128" s="321"/>
      <c r="I128" s="321"/>
      <c r="J128" s="321"/>
      <c r="K128" s="321"/>
      <c r="L128" s="321"/>
      <c r="M128" s="321"/>
      <c r="N128" s="321"/>
      <c r="O128" s="321"/>
      <c r="P128" s="321"/>
      <c r="Q128" s="321"/>
      <c r="R128" s="321"/>
      <c r="S128" s="321"/>
      <c r="T128" s="321"/>
      <c r="U128" s="321"/>
      <c r="V128" s="321"/>
      <c r="W128" s="321"/>
    </row>
    <row r="129" spans="5:23" x14ac:dyDescent="0.25">
      <c r="E129" s="321"/>
      <c r="F129" s="321"/>
      <c r="G129" s="321"/>
      <c r="H129" s="321"/>
      <c r="I129" s="321"/>
      <c r="J129" s="321"/>
      <c r="K129" s="321"/>
      <c r="L129" s="321"/>
      <c r="M129" s="321"/>
      <c r="N129" s="321"/>
      <c r="O129" s="321"/>
      <c r="P129" s="321"/>
      <c r="Q129" s="321"/>
      <c r="R129" s="321"/>
      <c r="S129" s="321"/>
      <c r="T129" s="321"/>
      <c r="U129" s="321"/>
      <c r="V129" s="321"/>
      <c r="W129" s="321"/>
    </row>
    <row r="130" spans="5:23" x14ac:dyDescent="0.25">
      <c r="E130" s="321"/>
      <c r="F130" s="321"/>
      <c r="G130" s="321"/>
      <c r="H130" s="321"/>
      <c r="I130" s="321"/>
      <c r="J130" s="321"/>
      <c r="K130" s="321"/>
      <c r="L130" s="321"/>
      <c r="M130" s="321"/>
      <c r="N130" s="321"/>
      <c r="O130" s="321"/>
      <c r="P130" s="321"/>
      <c r="Q130" s="321"/>
      <c r="R130" s="321"/>
      <c r="S130" s="321"/>
      <c r="T130" s="321"/>
      <c r="U130" s="321"/>
      <c r="V130" s="321"/>
      <c r="W130" s="321"/>
    </row>
    <row r="131" spans="5:23" x14ac:dyDescent="0.25">
      <c r="E131" s="321"/>
      <c r="F131" s="321"/>
      <c r="G131" s="321"/>
      <c r="H131" s="321"/>
      <c r="I131" s="321"/>
      <c r="J131" s="321"/>
      <c r="K131" s="321"/>
      <c r="L131" s="321"/>
      <c r="M131" s="321"/>
      <c r="N131" s="321"/>
      <c r="O131" s="321"/>
      <c r="P131" s="321"/>
      <c r="Q131" s="321"/>
      <c r="R131" s="321"/>
      <c r="S131" s="321"/>
      <c r="T131" s="321"/>
      <c r="U131" s="321"/>
      <c r="V131" s="321"/>
      <c r="W131" s="321"/>
    </row>
    <row r="132" spans="5:23" x14ac:dyDescent="0.25">
      <c r="E132" s="321"/>
      <c r="F132" s="321"/>
      <c r="G132" s="321"/>
      <c r="H132" s="321"/>
      <c r="I132" s="321"/>
      <c r="J132" s="321"/>
      <c r="K132" s="321"/>
      <c r="L132" s="321"/>
      <c r="M132" s="321"/>
      <c r="N132" s="321"/>
      <c r="O132" s="321"/>
      <c r="P132" s="321"/>
      <c r="Q132" s="321"/>
      <c r="R132" s="321"/>
      <c r="S132" s="321"/>
      <c r="T132" s="321"/>
      <c r="U132" s="321"/>
      <c r="V132" s="321"/>
      <c r="W132" s="321"/>
    </row>
    <row r="133" spans="5:23" x14ac:dyDescent="0.25">
      <c r="E133" s="321"/>
      <c r="F133" s="321"/>
      <c r="G133" s="321"/>
      <c r="H133" s="321"/>
      <c r="I133" s="321"/>
      <c r="J133" s="321"/>
      <c r="K133" s="321"/>
      <c r="L133" s="321"/>
      <c r="M133" s="321"/>
      <c r="N133" s="321"/>
      <c r="O133" s="321"/>
      <c r="P133" s="321"/>
      <c r="Q133" s="321"/>
      <c r="R133" s="321"/>
      <c r="S133" s="321"/>
      <c r="T133" s="321"/>
      <c r="U133" s="321"/>
      <c r="V133" s="321"/>
      <c r="W133" s="321"/>
    </row>
    <row r="134" spans="5:23" x14ac:dyDescent="0.25">
      <c r="E134" s="321"/>
      <c r="F134" s="321"/>
      <c r="G134" s="321"/>
      <c r="H134" s="321"/>
      <c r="I134" s="321"/>
      <c r="J134" s="321"/>
      <c r="K134" s="321"/>
      <c r="L134" s="321"/>
      <c r="M134" s="321"/>
      <c r="N134" s="321"/>
      <c r="O134" s="321"/>
      <c r="P134" s="321"/>
      <c r="Q134" s="321"/>
      <c r="R134" s="321"/>
      <c r="S134" s="321"/>
      <c r="T134" s="321"/>
      <c r="U134" s="321"/>
      <c r="V134" s="321"/>
      <c r="W134" s="321"/>
    </row>
    <row r="135" spans="5:23" x14ac:dyDescent="0.25">
      <c r="E135" s="321"/>
      <c r="F135" s="321"/>
      <c r="G135" s="321"/>
      <c r="H135" s="321"/>
      <c r="I135" s="321"/>
      <c r="J135" s="321"/>
      <c r="K135" s="321"/>
      <c r="L135" s="321"/>
      <c r="M135" s="321"/>
      <c r="N135" s="321"/>
      <c r="O135" s="321"/>
      <c r="P135" s="321"/>
      <c r="Q135" s="321"/>
      <c r="R135" s="321"/>
      <c r="S135" s="321"/>
      <c r="T135" s="321"/>
      <c r="U135" s="321"/>
      <c r="V135" s="321"/>
      <c r="W135" s="321"/>
    </row>
    <row r="136" spans="5:23" x14ac:dyDescent="0.25">
      <c r="E136" s="321"/>
      <c r="F136" s="321"/>
      <c r="G136" s="321"/>
      <c r="H136" s="321"/>
      <c r="I136" s="321"/>
      <c r="J136" s="321"/>
      <c r="K136" s="321"/>
      <c r="L136" s="321"/>
      <c r="M136" s="321"/>
      <c r="N136" s="321"/>
      <c r="O136" s="321"/>
      <c r="P136" s="321"/>
      <c r="Q136" s="321"/>
      <c r="R136" s="321"/>
      <c r="S136" s="321"/>
      <c r="T136" s="321"/>
      <c r="U136" s="321"/>
      <c r="V136" s="321"/>
      <c r="W136" s="321"/>
    </row>
    <row r="137" spans="5:23" x14ac:dyDescent="0.25">
      <c r="E137" s="321"/>
      <c r="F137" s="321"/>
      <c r="G137" s="321"/>
      <c r="H137" s="321"/>
      <c r="I137" s="321"/>
      <c r="J137" s="321"/>
      <c r="K137" s="321"/>
      <c r="L137" s="321"/>
      <c r="M137" s="321"/>
      <c r="N137" s="321"/>
      <c r="O137" s="321"/>
      <c r="P137" s="321"/>
      <c r="Q137" s="321"/>
      <c r="R137" s="321"/>
      <c r="S137" s="321"/>
      <c r="T137" s="321"/>
      <c r="U137" s="321"/>
      <c r="V137" s="321"/>
      <c r="W137" s="321"/>
    </row>
    <row r="138" spans="5:23" x14ac:dyDescent="0.25">
      <c r="E138" s="321"/>
      <c r="F138" s="321"/>
      <c r="G138" s="321"/>
      <c r="H138" s="321"/>
      <c r="I138" s="321"/>
      <c r="J138" s="321"/>
      <c r="K138" s="321"/>
      <c r="L138" s="321"/>
      <c r="M138" s="321"/>
      <c r="N138" s="321"/>
      <c r="O138" s="321"/>
      <c r="P138" s="321"/>
      <c r="Q138" s="321"/>
      <c r="R138" s="321"/>
      <c r="S138" s="321"/>
      <c r="T138" s="321"/>
      <c r="U138" s="321"/>
      <c r="V138" s="321"/>
      <c r="W138" s="321"/>
    </row>
    <row r="139" spans="5:23" x14ac:dyDescent="0.25">
      <c r="E139" s="321"/>
      <c r="F139" s="321"/>
      <c r="G139" s="321"/>
      <c r="H139" s="321"/>
      <c r="I139" s="321"/>
      <c r="J139" s="321"/>
      <c r="K139" s="321"/>
      <c r="L139" s="321"/>
      <c r="M139" s="321"/>
      <c r="N139" s="321"/>
      <c r="O139" s="321"/>
      <c r="P139" s="321"/>
      <c r="Q139" s="321"/>
      <c r="R139" s="321"/>
      <c r="S139" s="321"/>
      <c r="T139" s="321"/>
      <c r="U139" s="321"/>
      <c r="V139" s="321"/>
      <c r="W139" s="321"/>
    </row>
    <row r="140" spans="5:23" x14ac:dyDescent="0.25">
      <c r="E140" s="321"/>
      <c r="F140" s="321"/>
      <c r="G140" s="321"/>
      <c r="H140" s="321"/>
      <c r="I140" s="321"/>
      <c r="J140" s="321"/>
      <c r="K140" s="321"/>
      <c r="L140" s="321"/>
      <c r="M140" s="321"/>
      <c r="N140" s="321"/>
      <c r="O140" s="321"/>
      <c r="P140" s="321"/>
      <c r="Q140" s="321"/>
      <c r="R140" s="321"/>
      <c r="S140" s="321"/>
      <c r="T140" s="321"/>
      <c r="U140" s="321"/>
      <c r="V140" s="321"/>
      <c r="W140" s="321"/>
    </row>
    <row r="141" spans="5:23" x14ac:dyDescent="0.25">
      <c r="E141" s="321"/>
      <c r="F141" s="321"/>
      <c r="G141" s="321"/>
      <c r="H141" s="321"/>
      <c r="I141" s="321"/>
      <c r="J141" s="321"/>
      <c r="K141" s="321"/>
      <c r="L141" s="321"/>
      <c r="M141" s="321"/>
      <c r="N141" s="321"/>
      <c r="O141" s="321"/>
      <c r="P141" s="321"/>
      <c r="Q141" s="321"/>
      <c r="R141" s="321"/>
      <c r="S141" s="321"/>
      <c r="T141" s="321"/>
      <c r="U141" s="321"/>
      <c r="V141" s="321"/>
      <c r="W141" s="321"/>
    </row>
    <row r="142" spans="5:23" x14ac:dyDescent="0.25">
      <c r="E142" s="321"/>
      <c r="F142" s="321"/>
      <c r="G142" s="321"/>
      <c r="H142" s="321"/>
      <c r="I142" s="321"/>
      <c r="J142" s="321"/>
      <c r="K142" s="321"/>
      <c r="L142" s="321"/>
      <c r="M142" s="321"/>
      <c r="N142" s="321"/>
      <c r="O142" s="321"/>
      <c r="P142" s="321"/>
      <c r="Q142" s="321"/>
      <c r="R142" s="321"/>
      <c r="S142" s="321"/>
      <c r="T142" s="321"/>
      <c r="U142" s="321"/>
      <c r="V142" s="321"/>
      <c r="W142" s="321"/>
    </row>
    <row r="143" spans="5:23" x14ac:dyDescent="0.25">
      <c r="E143" s="321"/>
      <c r="F143" s="321"/>
      <c r="G143" s="321"/>
      <c r="H143" s="321"/>
      <c r="I143" s="321"/>
      <c r="J143" s="321"/>
      <c r="K143" s="321"/>
      <c r="L143" s="321"/>
      <c r="M143" s="321"/>
      <c r="N143" s="321"/>
      <c r="O143" s="321"/>
      <c r="P143" s="321"/>
      <c r="Q143" s="321"/>
      <c r="R143" s="321"/>
      <c r="S143" s="321"/>
      <c r="T143" s="321"/>
      <c r="U143" s="321"/>
      <c r="V143" s="321"/>
      <c r="W143" s="321"/>
    </row>
    <row r="144" spans="5:23" x14ac:dyDescent="0.25">
      <c r="E144" s="321"/>
      <c r="F144" s="321"/>
      <c r="G144" s="321"/>
      <c r="H144" s="321"/>
      <c r="I144" s="321"/>
      <c r="J144" s="321"/>
      <c r="K144" s="321"/>
      <c r="L144" s="321"/>
      <c r="M144" s="321"/>
      <c r="N144" s="321"/>
      <c r="O144" s="321"/>
      <c r="P144" s="321"/>
      <c r="Q144" s="321"/>
      <c r="R144" s="321"/>
      <c r="S144" s="321"/>
      <c r="T144" s="321"/>
      <c r="U144" s="321"/>
      <c r="V144" s="321"/>
      <c r="W144" s="321"/>
    </row>
    <row r="145" spans="5:23" x14ac:dyDescent="0.25">
      <c r="E145" s="321"/>
      <c r="F145" s="321"/>
      <c r="G145" s="321"/>
      <c r="H145" s="321"/>
      <c r="I145" s="321"/>
      <c r="J145" s="321"/>
      <c r="K145" s="321"/>
      <c r="L145" s="321"/>
      <c r="M145" s="321"/>
      <c r="N145" s="321"/>
      <c r="O145" s="321"/>
      <c r="P145" s="321"/>
      <c r="Q145" s="321"/>
      <c r="R145" s="321"/>
      <c r="S145" s="321"/>
      <c r="T145" s="321"/>
      <c r="U145" s="321"/>
      <c r="V145" s="321"/>
      <c r="W145" s="321"/>
    </row>
    <row r="146" spans="5:23" x14ac:dyDescent="0.25">
      <c r="E146" s="321"/>
      <c r="F146" s="321"/>
      <c r="G146" s="321"/>
      <c r="H146" s="321"/>
      <c r="I146" s="321"/>
      <c r="J146" s="321"/>
      <c r="K146" s="321"/>
      <c r="L146" s="321"/>
      <c r="M146" s="321"/>
      <c r="N146" s="321"/>
      <c r="O146" s="321"/>
      <c r="P146" s="321"/>
      <c r="Q146" s="321"/>
      <c r="R146" s="321"/>
      <c r="S146" s="321"/>
      <c r="T146" s="321"/>
      <c r="U146" s="321"/>
      <c r="V146" s="321"/>
      <c r="W146" s="321"/>
    </row>
    <row r="147" spans="5:23" x14ac:dyDescent="0.25">
      <c r="E147" s="321"/>
      <c r="F147" s="321"/>
      <c r="G147" s="321"/>
      <c r="H147" s="321"/>
      <c r="I147" s="321"/>
      <c r="J147" s="321"/>
      <c r="K147" s="321"/>
      <c r="L147" s="321"/>
      <c r="M147" s="321"/>
      <c r="N147" s="321"/>
      <c r="O147" s="321"/>
      <c r="P147" s="321"/>
      <c r="Q147" s="321"/>
      <c r="R147" s="321"/>
      <c r="S147" s="321"/>
      <c r="T147" s="321"/>
      <c r="U147" s="321"/>
      <c r="V147" s="321"/>
      <c r="W147" s="321"/>
    </row>
    <row r="148" spans="5:23" x14ac:dyDescent="0.25">
      <c r="E148" s="321"/>
      <c r="F148" s="321"/>
      <c r="G148" s="321"/>
      <c r="H148" s="321"/>
      <c r="I148" s="321"/>
      <c r="J148" s="321"/>
      <c r="K148" s="321"/>
      <c r="L148" s="321"/>
      <c r="M148" s="321"/>
      <c r="N148" s="321"/>
      <c r="O148" s="321"/>
      <c r="P148" s="321"/>
      <c r="Q148" s="321"/>
      <c r="R148" s="321"/>
      <c r="S148" s="321"/>
      <c r="T148" s="321"/>
      <c r="U148" s="321"/>
      <c r="V148" s="321"/>
      <c r="W148" s="321"/>
    </row>
    <row r="149" spans="5:23" x14ac:dyDescent="0.25">
      <c r="E149" s="321"/>
      <c r="F149" s="321"/>
      <c r="G149" s="321"/>
      <c r="H149" s="321"/>
      <c r="I149" s="321"/>
      <c r="J149" s="321"/>
      <c r="K149" s="321"/>
      <c r="L149" s="321"/>
      <c r="M149" s="321"/>
      <c r="N149" s="321"/>
      <c r="O149" s="321"/>
      <c r="P149" s="321"/>
      <c r="Q149" s="321"/>
      <c r="R149" s="321"/>
      <c r="S149" s="321"/>
      <c r="T149" s="321"/>
      <c r="U149" s="321"/>
      <c r="V149" s="321"/>
      <c r="W149" s="321"/>
    </row>
    <row r="150" spans="5:23" x14ac:dyDescent="0.25">
      <c r="E150" s="321"/>
      <c r="F150" s="321"/>
      <c r="G150" s="321"/>
      <c r="H150" s="321"/>
      <c r="I150" s="321"/>
      <c r="J150" s="321"/>
      <c r="K150" s="321"/>
      <c r="L150" s="321"/>
      <c r="M150" s="321"/>
      <c r="N150" s="321"/>
      <c r="O150" s="321"/>
      <c r="P150" s="321"/>
      <c r="Q150" s="321"/>
      <c r="R150" s="321"/>
      <c r="S150" s="321"/>
      <c r="T150" s="321"/>
      <c r="U150" s="321"/>
      <c r="V150" s="321"/>
      <c r="W150" s="321"/>
    </row>
    <row r="151" spans="5:23" x14ac:dyDescent="0.25">
      <c r="E151" s="321"/>
      <c r="F151" s="321"/>
      <c r="G151" s="321"/>
      <c r="H151" s="321"/>
      <c r="I151" s="321"/>
      <c r="J151" s="321"/>
      <c r="K151" s="321"/>
      <c r="L151" s="321"/>
      <c r="M151" s="321"/>
      <c r="N151" s="321"/>
      <c r="O151" s="321"/>
      <c r="P151" s="321"/>
      <c r="Q151" s="321"/>
      <c r="R151" s="321"/>
      <c r="S151" s="321"/>
      <c r="T151" s="321"/>
      <c r="U151" s="321"/>
      <c r="V151" s="321"/>
      <c r="W151" s="321"/>
    </row>
    <row r="152" spans="5:23" x14ac:dyDescent="0.25">
      <c r="E152" s="321"/>
      <c r="F152" s="321"/>
      <c r="G152" s="321"/>
      <c r="H152" s="321"/>
      <c r="I152" s="321"/>
      <c r="J152" s="321"/>
      <c r="K152" s="321"/>
      <c r="L152" s="321"/>
      <c r="M152" s="321"/>
      <c r="N152" s="321"/>
      <c r="O152" s="321"/>
      <c r="P152" s="321"/>
      <c r="Q152" s="321"/>
      <c r="R152" s="321"/>
      <c r="S152" s="321"/>
      <c r="T152" s="321"/>
      <c r="U152" s="321"/>
      <c r="V152" s="321"/>
      <c r="W152" s="321"/>
    </row>
    <row r="153" spans="5:23" x14ac:dyDescent="0.25">
      <c r="E153" s="321"/>
      <c r="F153" s="321"/>
      <c r="G153" s="321"/>
      <c r="H153" s="321"/>
      <c r="I153" s="321"/>
      <c r="J153" s="321"/>
      <c r="K153" s="321"/>
      <c r="L153" s="321"/>
      <c r="M153" s="321"/>
      <c r="N153" s="321"/>
      <c r="O153" s="321"/>
      <c r="P153" s="321"/>
      <c r="Q153" s="321"/>
      <c r="R153" s="321"/>
      <c r="S153" s="321"/>
      <c r="T153" s="321"/>
      <c r="U153" s="321"/>
      <c r="V153" s="321"/>
      <c r="W153" s="321"/>
    </row>
    <row r="154" spans="5:23" x14ac:dyDescent="0.25">
      <c r="E154" s="321"/>
      <c r="F154" s="321"/>
      <c r="G154" s="321"/>
      <c r="H154" s="321"/>
      <c r="I154" s="321"/>
      <c r="J154" s="321"/>
      <c r="K154" s="321"/>
      <c r="L154" s="321"/>
      <c r="M154" s="321"/>
      <c r="N154" s="321"/>
      <c r="O154" s="321"/>
      <c r="P154" s="321"/>
      <c r="Q154" s="321"/>
      <c r="R154" s="321"/>
      <c r="S154" s="321"/>
      <c r="T154" s="321"/>
      <c r="U154" s="321"/>
      <c r="V154" s="321"/>
      <c r="W154" s="321"/>
    </row>
    <row r="155" spans="5:23" x14ac:dyDescent="0.25">
      <c r="E155" s="321"/>
      <c r="F155" s="321"/>
      <c r="G155" s="321"/>
      <c r="H155" s="321"/>
      <c r="I155" s="321"/>
      <c r="J155" s="321"/>
      <c r="K155" s="321"/>
      <c r="L155" s="321"/>
      <c r="M155" s="321"/>
      <c r="N155" s="321"/>
      <c r="O155" s="321"/>
      <c r="P155" s="321"/>
      <c r="Q155" s="321"/>
      <c r="R155" s="321"/>
      <c r="S155" s="321"/>
      <c r="T155" s="321"/>
      <c r="U155" s="321"/>
      <c r="V155" s="321"/>
      <c r="W155" s="321"/>
    </row>
    <row r="156" spans="5:23" x14ac:dyDescent="0.25">
      <c r="E156" s="321"/>
      <c r="F156" s="321"/>
      <c r="G156" s="321"/>
      <c r="H156" s="321"/>
      <c r="I156" s="321"/>
      <c r="J156" s="321"/>
      <c r="K156" s="321"/>
      <c r="L156" s="321"/>
      <c r="M156" s="321"/>
      <c r="N156" s="321"/>
      <c r="O156" s="321"/>
      <c r="P156" s="321"/>
      <c r="Q156" s="321"/>
      <c r="R156" s="321"/>
      <c r="S156" s="321"/>
      <c r="T156" s="321"/>
      <c r="U156" s="321"/>
      <c r="V156" s="321"/>
      <c r="W156" s="321"/>
    </row>
    <row r="157" spans="5:23" x14ac:dyDescent="0.25">
      <c r="E157" s="321"/>
      <c r="F157" s="321"/>
      <c r="G157" s="321"/>
      <c r="H157" s="321"/>
      <c r="I157" s="321"/>
      <c r="J157" s="321"/>
      <c r="K157" s="321"/>
      <c r="L157" s="321"/>
      <c r="M157" s="321"/>
      <c r="N157" s="321"/>
      <c r="O157" s="321"/>
      <c r="P157" s="321"/>
      <c r="Q157" s="321"/>
      <c r="R157" s="321"/>
      <c r="S157" s="321"/>
      <c r="T157" s="321"/>
      <c r="U157" s="321"/>
      <c r="V157" s="321"/>
      <c r="W157" s="321"/>
    </row>
    <row r="158" spans="5:23" x14ac:dyDescent="0.25">
      <c r="E158" s="321"/>
      <c r="F158" s="321"/>
      <c r="G158" s="321"/>
      <c r="H158" s="321"/>
      <c r="I158" s="321"/>
      <c r="J158" s="321"/>
      <c r="K158" s="321"/>
      <c r="L158" s="321"/>
      <c r="M158" s="321"/>
      <c r="N158" s="321"/>
      <c r="O158" s="321"/>
      <c r="P158" s="321"/>
      <c r="Q158" s="321"/>
      <c r="R158" s="321"/>
      <c r="S158" s="321"/>
      <c r="T158" s="321"/>
      <c r="U158" s="321"/>
      <c r="V158" s="321"/>
      <c r="W158" s="321"/>
    </row>
    <row r="159" spans="5:23" x14ac:dyDescent="0.25">
      <c r="E159" s="321"/>
      <c r="F159" s="321"/>
      <c r="G159" s="321"/>
      <c r="H159" s="321"/>
      <c r="I159" s="321"/>
      <c r="J159" s="321"/>
      <c r="K159" s="321"/>
      <c r="L159" s="321"/>
      <c r="M159" s="321"/>
      <c r="N159" s="321"/>
      <c r="O159" s="321"/>
      <c r="P159" s="321"/>
      <c r="Q159" s="321"/>
      <c r="R159" s="321"/>
      <c r="S159" s="321"/>
      <c r="T159" s="321"/>
      <c r="U159" s="321"/>
      <c r="V159" s="321"/>
      <c r="W159" s="321"/>
    </row>
    <row r="160" spans="5:23" x14ac:dyDescent="0.25">
      <c r="E160" s="321"/>
      <c r="F160" s="321"/>
      <c r="G160" s="321"/>
      <c r="H160" s="321"/>
      <c r="I160" s="321"/>
      <c r="J160" s="321"/>
      <c r="K160" s="321"/>
      <c r="L160" s="321"/>
      <c r="M160" s="321"/>
      <c r="N160" s="321"/>
      <c r="O160" s="321"/>
      <c r="P160" s="321"/>
      <c r="Q160" s="321"/>
      <c r="R160" s="321"/>
      <c r="S160" s="321"/>
      <c r="T160" s="321"/>
      <c r="U160" s="321"/>
      <c r="V160" s="321"/>
      <c r="W160" s="321"/>
    </row>
    <row r="161" spans="5:23" x14ac:dyDescent="0.25">
      <c r="E161" s="321"/>
      <c r="F161" s="321"/>
      <c r="G161" s="321"/>
      <c r="H161" s="321"/>
      <c r="I161" s="321"/>
      <c r="J161" s="321"/>
      <c r="K161" s="321"/>
      <c r="L161" s="321"/>
      <c r="M161" s="321"/>
      <c r="N161" s="321"/>
      <c r="O161" s="321"/>
      <c r="P161" s="321"/>
      <c r="Q161" s="321"/>
      <c r="R161" s="321"/>
      <c r="S161" s="321"/>
      <c r="T161" s="321"/>
      <c r="U161" s="321"/>
      <c r="V161" s="321"/>
      <c r="W161" s="321"/>
    </row>
    <row r="162" spans="5:23" x14ac:dyDescent="0.25">
      <c r="E162" s="321"/>
      <c r="F162" s="321"/>
      <c r="G162" s="321"/>
      <c r="H162" s="321"/>
      <c r="I162" s="321"/>
      <c r="J162" s="321"/>
      <c r="K162" s="321"/>
      <c r="L162" s="321"/>
      <c r="M162" s="321"/>
      <c r="N162" s="321"/>
      <c r="O162" s="321"/>
      <c r="P162" s="321"/>
      <c r="Q162" s="321"/>
      <c r="R162" s="321"/>
      <c r="S162" s="321"/>
      <c r="T162" s="321"/>
      <c r="U162" s="321"/>
      <c r="V162" s="321"/>
      <c r="W162" s="321"/>
    </row>
    <row r="163" spans="5:23" x14ac:dyDescent="0.25">
      <c r="E163" s="321"/>
      <c r="F163" s="321"/>
      <c r="G163" s="321"/>
      <c r="H163" s="321"/>
      <c r="I163" s="321"/>
      <c r="J163" s="321"/>
      <c r="K163" s="321"/>
      <c r="L163" s="321"/>
      <c r="M163" s="321"/>
      <c r="N163" s="321"/>
      <c r="O163" s="321"/>
      <c r="P163" s="321"/>
      <c r="Q163" s="321"/>
      <c r="R163" s="321"/>
      <c r="S163" s="321"/>
      <c r="T163" s="321"/>
      <c r="U163" s="321"/>
      <c r="V163" s="321"/>
      <c r="W163" s="321"/>
    </row>
    <row r="164" spans="5:23" x14ac:dyDescent="0.25">
      <c r="E164" s="321"/>
      <c r="F164" s="321"/>
      <c r="G164" s="321"/>
      <c r="H164" s="321"/>
      <c r="I164" s="321"/>
      <c r="J164" s="321"/>
      <c r="K164" s="321"/>
      <c r="L164" s="321"/>
      <c r="M164" s="321"/>
      <c r="N164" s="321"/>
      <c r="O164" s="321"/>
      <c r="P164" s="321"/>
      <c r="Q164" s="321"/>
      <c r="R164" s="321"/>
      <c r="S164" s="321"/>
      <c r="T164" s="321"/>
      <c r="U164" s="321"/>
      <c r="V164" s="321"/>
      <c r="W164" s="321"/>
    </row>
    <row r="165" spans="5:23" x14ac:dyDescent="0.25">
      <c r="E165" s="321"/>
      <c r="F165" s="321"/>
      <c r="G165" s="321"/>
      <c r="H165" s="321"/>
      <c r="I165" s="321"/>
      <c r="J165" s="321"/>
      <c r="K165" s="321"/>
      <c r="L165" s="321"/>
      <c r="M165" s="321"/>
      <c r="N165" s="321"/>
      <c r="O165" s="321"/>
      <c r="P165" s="321"/>
      <c r="Q165" s="321"/>
      <c r="R165" s="321"/>
      <c r="S165" s="321"/>
      <c r="T165" s="321"/>
      <c r="U165" s="321"/>
      <c r="V165" s="321"/>
      <c r="W165" s="321"/>
    </row>
    <row r="166" spans="5:23" x14ac:dyDescent="0.25">
      <c r="E166" s="321"/>
      <c r="F166" s="321"/>
      <c r="G166" s="321"/>
      <c r="H166" s="321"/>
      <c r="I166" s="321"/>
      <c r="J166" s="321"/>
      <c r="K166" s="321"/>
      <c r="L166" s="321"/>
      <c r="M166" s="321"/>
      <c r="N166" s="321"/>
      <c r="O166" s="321"/>
      <c r="P166" s="321"/>
      <c r="Q166" s="321"/>
      <c r="R166" s="321"/>
      <c r="S166" s="321"/>
      <c r="T166" s="321"/>
      <c r="U166" s="321"/>
      <c r="V166" s="321"/>
      <c r="W166" s="321"/>
    </row>
    <row r="167" spans="5:23" x14ac:dyDescent="0.25">
      <c r="E167" s="321"/>
      <c r="F167" s="321"/>
      <c r="G167" s="321"/>
      <c r="H167" s="321"/>
      <c r="I167" s="321"/>
      <c r="J167" s="321"/>
      <c r="K167" s="321"/>
      <c r="L167" s="321"/>
      <c r="M167" s="321"/>
      <c r="N167" s="321"/>
      <c r="O167" s="321"/>
      <c r="P167" s="321"/>
      <c r="Q167" s="321"/>
      <c r="R167" s="321"/>
      <c r="S167" s="321"/>
      <c r="T167" s="321"/>
      <c r="U167" s="321"/>
      <c r="V167" s="321"/>
      <c r="W167" s="321"/>
    </row>
    <row r="168" spans="5:23" x14ac:dyDescent="0.25">
      <c r="E168" s="321"/>
      <c r="F168" s="321"/>
      <c r="G168" s="321"/>
      <c r="H168" s="321"/>
      <c r="I168" s="321"/>
      <c r="J168" s="321"/>
      <c r="K168" s="321"/>
      <c r="L168" s="321"/>
      <c r="M168" s="321"/>
      <c r="N168" s="321"/>
      <c r="O168" s="321"/>
      <c r="P168" s="321"/>
      <c r="Q168" s="321"/>
      <c r="R168" s="321"/>
      <c r="S168" s="321"/>
      <c r="T168" s="321"/>
      <c r="U168" s="321"/>
      <c r="V168" s="321"/>
      <c r="W168" s="321"/>
    </row>
    <row r="169" spans="5:23" x14ac:dyDescent="0.25">
      <c r="E169" s="321"/>
      <c r="F169" s="321"/>
      <c r="G169" s="321"/>
      <c r="H169" s="321"/>
      <c r="I169" s="321"/>
      <c r="J169" s="321"/>
      <c r="K169" s="321"/>
      <c r="L169" s="321"/>
      <c r="M169" s="321"/>
      <c r="N169" s="321"/>
      <c r="O169" s="321"/>
      <c r="P169" s="321"/>
      <c r="Q169" s="321"/>
      <c r="R169" s="321"/>
      <c r="S169" s="321"/>
      <c r="T169" s="321"/>
      <c r="U169" s="321"/>
      <c r="V169" s="321"/>
      <c r="W169" s="321"/>
    </row>
    <row r="170" spans="5:23" x14ac:dyDescent="0.25">
      <c r="E170" s="321"/>
      <c r="F170" s="321"/>
      <c r="G170" s="321"/>
      <c r="H170" s="321"/>
      <c r="I170" s="321"/>
      <c r="J170" s="321"/>
      <c r="K170" s="321"/>
      <c r="L170" s="321"/>
      <c r="M170" s="321"/>
      <c r="N170" s="321"/>
      <c r="O170" s="321"/>
      <c r="P170" s="321"/>
      <c r="Q170" s="321"/>
      <c r="R170" s="321"/>
      <c r="S170" s="321"/>
      <c r="T170" s="321"/>
      <c r="U170" s="321"/>
      <c r="V170" s="321"/>
      <c r="W170" s="321"/>
    </row>
    <row r="171" spans="5:23" x14ac:dyDescent="0.25">
      <c r="E171" s="321"/>
      <c r="F171" s="321"/>
      <c r="G171" s="321"/>
      <c r="H171" s="321"/>
      <c r="I171" s="321"/>
      <c r="J171" s="321"/>
      <c r="K171" s="321"/>
      <c r="L171" s="321"/>
      <c r="M171" s="321"/>
      <c r="N171" s="321"/>
      <c r="O171" s="321"/>
      <c r="P171" s="321"/>
      <c r="Q171" s="321"/>
      <c r="R171" s="321"/>
      <c r="S171" s="321"/>
      <c r="T171" s="321"/>
      <c r="U171" s="321"/>
      <c r="V171" s="321"/>
      <c r="W171" s="321"/>
    </row>
    <row r="172" spans="5:23" x14ac:dyDescent="0.25">
      <c r="E172" s="321"/>
      <c r="F172" s="321"/>
      <c r="G172" s="321"/>
      <c r="H172" s="321"/>
      <c r="I172" s="321"/>
      <c r="J172" s="321"/>
      <c r="K172" s="321"/>
      <c r="L172" s="321"/>
      <c r="M172" s="321"/>
      <c r="N172" s="321"/>
      <c r="O172" s="321"/>
      <c r="P172" s="321"/>
      <c r="Q172" s="321"/>
      <c r="R172" s="321"/>
      <c r="S172" s="321"/>
      <c r="T172" s="321"/>
      <c r="U172" s="321"/>
      <c r="V172" s="321"/>
      <c r="W172" s="321"/>
    </row>
    <row r="173" spans="5:23" x14ac:dyDescent="0.25">
      <c r="E173" s="321"/>
      <c r="F173" s="321"/>
      <c r="G173" s="321"/>
      <c r="H173" s="321"/>
      <c r="I173" s="321"/>
      <c r="J173" s="321"/>
      <c r="K173" s="321"/>
      <c r="L173" s="321"/>
      <c r="M173" s="321"/>
      <c r="N173" s="321"/>
      <c r="O173" s="321"/>
      <c r="P173" s="321"/>
      <c r="Q173" s="321"/>
      <c r="R173" s="321"/>
      <c r="S173" s="321"/>
      <c r="T173" s="321"/>
      <c r="U173" s="321"/>
      <c r="V173" s="321"/>
      <c r="W173" s="321"/>
    </row>
    <row r="174" spans="5:23" x14ac:dyDescent="0.25">
      <c r="E174" s="321"/>
      <c r="F174" s="321"/>
      <c r="G174" s="321"/>
      <c r="H174" s="321"/>
      <c r="I174" s="321"/>
      <c r="J174" s="321"/>
      <c r="K174" s="321"/>
      <c r="L174" s="321"/>
      <c r="M174" s="321"/>
      <c r="N174" s="321"/>
      <c r="O174" s="321"/>
      <c r="P174" s="321"/>
      <c r="Q174" s="321"/>
      <c r="R174" s="321"/>
      <c r="S174" s="321"/>
      <c r="T174" s="321"/>
      <c r="U174" s="321"/>
      <c r="V174" s="321"/>
      <c r="W174" s="321"/>
    </row>
    <row r="175" spans="5:23" x14ac:dyDescent="0.25">
      <c r="E175" s="321"/>
      <c r="F175" s="321"/>
      <c r="G175" s="321"/>
      <c r="H175" s="321"/>
      <c r="I175" s="321"/>
      <c r="J175" s="321"/>
      <c r="K175" s="321"/>
      <c r="L175" s="321"/>
      <c r="M175" s="321"/>
      <c r="N175" s="321"/>
      <c r="O175" s="321"/>
      <c r="P175" s="321"/>
      <c r="Q175" s="321"/>
      <c r="R175" s="321"/>
      <c r="S175" s="321"/>
      <c r="T175" s="321"/>
      <c r="U175" s="321"/>
      <c r="V175" s="321"/>
      <c r="W175" s="321"/>
    </row>
    <row r="176" spans="5:23" x14ac:dyDescent="0.25">
      <c r="E176" s="321"/>
      <c r="F176" s="321"/>
      <c r="G176" s="321"/>
      <c r="H176" s="321"/>
      <c r="I176" s="321"/>
      <c r="J176" s="321"/>
      <c r="K176" s="321"/>
      <c r="L176" s="321"/>
      <c r="M176" s="321"/>
      <c r="N176" s="321"/>
      <c r="O176" s="321"/>
      <c r="P176" s="321"/>
      <c r="Q176" s="321"/>
      <c r="R176" s="321"/>
      <c r="S176" s="321"/>
      <c r="T176" s="321"/>
      <c r="U176" s="321"/>
      <c r="V176" s="321"/>
      <c r="W176" s="321"/>
    </row>
    <row r="177" spans="5:23" x14ac:dyDescent="0.25">
      <c r="E177" s="321"/>
      <c r="F177" s="321"/>
      <c r="G177" s="321"/>
      <c r="H177" s="321"/>
      <c r="I177" s="321"/>
      <c r="J177" s="321"/>
      <c r="K177" s="321"/>
      <c r="L177" s="321"/>
      <c r="M177" s="321"/>
      <c r="N177" s="321"/>
      <c r="O177" s="321"/>
      <c r="P177" s="321"/>
      <c r="Q177" s="321"/>
      <c r="R177" s="321"/>
      <c r="S177" s="321"/>
      <c r="T177" s="321"/>
      <c r="U177" s="321"/>
      <c r="V177" s="321"/>
      <c r="W177" s="321"/>
    </row>
    <row r="178" spans="5:23" x14ac:dyDescent="0.25">
      <c r="E178" s="321"/>
      <c r="F178" s="321"/>
      <c r="G178" s="321"/>
      <c r="H178" s="321"/>
      <c r="I178" s="321"/>
      <c r="J178" s="321"/>
      <c r="K178" s="321"/>
      <c r="L178" s="321"/>
      <c r="M178" s="321"/>
      <c r="N178" s="321"/>
      <c r="O178" s="321"/>
      <c r="P178" s="321"/>
      <c r="Q178" s="321"/>
      <c r="R178" s="321"/>
      <c r="S178" s="321"/>
      <c r="T178" s="321"/>
      <c r="U178" s="321"/>
      <c r="V178" s="321"/>
      <c r="W178" s="321"/>
    </row>
    <row r="179" spans="5:23" x14ac:dyDescent="0.25">
      <c r="E179" s="321"/>
      <c r="F179" s="321"/>
      <c r="G179" s="321"/>
      <c r="H179" s="321"/>
      <c r="I179" s="321"/>
      <c r="J179" s="321"/>
      <c r="K179" s="321"/>
      <c r="L179" s="321"/>
      <c r="M179" s="321"/>
      <c r="N179" s="321"/>
      <c r="O179" s="321"/>
      <c r="P179" s="321"/>
      <c r="Q179" s="321"/>
      <c r="R179" s="321"/>
      <c r="S179" s="321"/>
      <c r="T179" s="321"/>
      <c r="U179" s="321"/>
      <c r="V179" s="321"/>
      <c r="W179" s="321"/>
    </row>
    <row r="180" spans="5:23" x14ac:dyDescent="0.25">
      <c r="E180" s="321"/>
      <c r="F180" s="321"/>
      <c r="G180" s="321"/>
      <c r="H180" s="321"/>
      <c r="I180" s="321"/>
      <c r="J180" s="321"/>
      <c r="K180" s="321"/>
      <c r="L180" s="321"/>
      <c r="M180" s="321"/>
      <c r="N180" s="321"/>
      <c r="O180" s="321"/>
      <c r="P180" s="321"/>
      <c r="Q180" s="321"/>
      <c r="R180" s="321"/>
      <c r="S180" s="321"/>
      <c r="T180" s="321"/>
      <c r="U180" s="321"/>
      <c r="V180" s="321"/>
      <c r="W180" s="321"/>
    </row>
    <row r="181" spans="5:23" x14ac:dyDescent="0.25">
      <c r="E181" s="321"/>
      <c r="F181" s="321"/>
      <c r="G181" s="321"/>
      <c r="H181" s="321"/>
      <c r="I181" s="321"/>
      <c r="J181" s="321"/>
      <c r="K181" s="321"/>
      <c r="L181" s="321"/>
      <c r="M181" s="321"/>
      <c r="N181" s="321"/>
      <c r="O181" s="321"/>
      <c r="P181" s="321"/>
      <c r="Q181" s="321"/>
      <c r="R181" s="321"/>
      <c r="S181" s="321"/>
      <c r="T181" s="321"/>
      <c r="U181" s="321"/>
      <c r="V181" s="321"/>
      <c r="W181" s="321"/>
    </row>
    <row r="182" spans="5:23" x14ac:dyDescent="0.25">
      <c r="E182" s="321"/>
      <c r="F182" s="321"/>
      <c r="G182" s="321"/>
      <c r="H182" s="321"/>
      <c r="I182" s="321"/>
      <c r="J182" s="321"/>
      <c r="K182" s="321"/>
      <c r="L182" s="321"/>
      <c r="M182" s="321"/>
      <c r="N182" s="321"/>
      <c r="O182" s="321"/>
      <c r="P182" s="321"/>
      <c r="Q182" s="321"/>
      <c r="R182" s="321"/>
      <c r="S182" s="321"/>
      <c r="T182" s="321"/>
      <c r="U182" s="321"/>
      <c r="V182" s="321"/>
      <c r="W182" s="321"/>
    </row>
    <row r="183" spans="5:23" x14ac:dyDescent="0.25">
      <c r="E183" s="321"/>
      <c r="F183" s="321"/>
      <c r="G183" s="321"/>
      <c r="H183" s="321"/>
      <c r="I183" s="321"/>
      <c r="J183" s="321"/>
      <c r="K183" s="321"/>
      <c r="L183" s="321"/>
      <c r="M183" s="321"/>
      <c r="N183" s="321"/>
      <c r="O183" s="321"/>
      <c r="P183" s="321"/>
      <c r="Q183" s="321"/>
      <c r="R183" s="321"/>
      <c r="S183" s="321"/>
      <c r="T183" s="321"/>
      <c r="U183" s="321"/>
      <c r="V183" s="321"/>
      <c r="W183" s="321"/>
    </row>
    <row r="184" spans="5:23" x14ac:dyDescent="0.25">
      <c r="E184" s="321"/>
      <c r="F184" s="321"/>
      <c r="G184" s="321"/>
      <c r="H184" s="321"/>
      <c r="I184" s="321"/>
      <c r="J184" s="321"/>
      <c r="K184" s="321"/>
      <c r="L184" s="321"/>
      <c r="M184" s="321"/>
      <c r="N184" s="321"/>
      <c r="O184" s="321"/>
      <c r="P184" s="321"/>
      <c r="Q184" s="321"/>
      <c r="R184" s="321"/>
      <c r="S184" s="321"/>
      <c r="T184" s="321"/>
      <c r="U184" s="321"/>
      <c r="V184" s="321"/>
      <c r="W184" s="321"/>
    </row>
    <row r="185" spans="5:23" x14ac:dyDescent="0.25">
      <c r="E185" s="321"/>
      <c r="F185" s="321"/>
      <c r="G185" s="321"/>
      <c r="H185" s="321"/>
      <c r="I185" s="321"/>
      <c r="J185" s="321"/>
      <c r="K185" s="321"/>
      <c r="L185" s="321"/>
      <c r="M185" s="321"/>
      <c r="N185" s="321"/>
      <c r="O185" s="321"/>
      <c r="P185" s="321"/>
      <c r="Q185" s="321"/>
      <c r="R185" s="321"/>
      <c r="S185" s="321"/>
      <c r="T185" s="321"/>
      <c r="U185" s="321"/>
      <c r="V185" s="321"/>
      <c r="W185" s="321"/>
    </row>
    <row r="186" spans="5:23" x14ac:dyDescent="0.25">
      <c r="E186" s="321"/>
      <c r="F186" s="321"/>
      <c r="G186" s="321"/>
      <c r="H186" s="321"/>
      <c r="I186" s="321"/>
      <c r="J186" s="321"/>
      <c r="K186" s="321"/>
      <c r="L186" s="321"/>
      <c r="M186" s="321"/>
      <c r="N186" s="321"/>
      <c r="O186" s="321"/>
      <c r="P186" s="321"/>
      <c r="Q186" s="321"/>
      <c r="R186" s="321"/>
      <c r="S186" s="321"/>
      <c r="T186" s="321"/>
      <c r="U186" s="321"/>
      <c r="V186" s="321"/>
      <c r="W186" s="321"/>
    </row>
    <row r="187" spans="5:23" x14ac:dyDescent="0.25">
      <c r="E187" s="321"/>
      <c r="F187" s="321"/>
      <c r="G187" s="321"/>
      <c r="H187" s="321"/>
      <c r="I187" s="321"/>
      <c r="J187" s="321"/>
      <c r="K187" s="321"/>
      <c r="L187" s="321"/>
      <c r="M187" s="321"/>
      <c r="N187" s="321"/>
      <c r="O187" s="321"/>
      <c r="P187" s="321"/>
      <c r="Q187" s="321"/>
      <c r="R187" s="321"/>
      <c r="S187" s="321"/>
      <c r="T187" s="321"/>
      <c r="U187" s="321"/>
      <c r="V187" s="321"/>
      <c r="W187" s="321"/>
    </row>
    <row r="188" spans="5:23" x14ac:dyDescent="0.25">
      <c r="E188" s="321"/>
      <c r="F188" s="321"/>
      <c r="G188" s="321"/>
      <c r="H188" s="321"/>
      <c r="I188" s="321"/>
      <c r="J188" s="321"/>
      <c r="K188" s="321"/>
      <c r="L188" s="321"/>
      <c r="M188" s="321"/>
      <c r="N188" s="321"/>
      <c r="O188" s="321"/>
      <c r="P188" s="321"/>
      <c r="Q188" s="321"/>
      <c r="R188" s="321"/>
      <c r="S188" s="321"/>
      <c r="T188" s="321"/>
      <c r="U188" s="321"/>
      <c r="V188" s="321"/>
      <c r="W188" s="321"/>
    </row>
    <row r="189" spans="5:23" x14ac:dyDescent="0.25">
      <c r="E189" s="321"/>
      <c r="F189" s="321"/>
      <c r="G189" s="321"/>
      <c r="H189" s="321"/>
      <c r="I189" s="321"/>
      <c r="J189" s="321"/>
      <c r="K189" s="321"/>
      <c r="L189" s="321"/>
      <c r="M189" s="321"/>
      <c r="N189" s="321"/>
      <c r="O189" s="321"/>
      <c r="P189" s="321"/>
      <c r="Q189" s="321"/>
      <c r="R189" s="321"/>
      <c r="S189" s="321"/>
      <c r="T189" s="321"/>
      <c r="U189" s="321"/>
      <c r="V189" s="321"/>
      <c r="W189" s="321"/>
    </row>
    <row r="190" spans="5:23" x14ac:dyDescent="0.25">
      <c r="E190" s="321"/>
      <c r="F190" s="321"/>
      <c r="G190" s="321"/>
      <c r="H190" s="321"/>
      <c r="I190" s="321"/>
      <c r="J190" s="321"/>
      <c r="K190" s="321"/>
      <c r="L190" s="321"/>
      <c r="M190" s="321"/>
      <c r="N190" s="321"/>
      <c r="O190" s="321"/>
      <c r="P190" s="321"/>
      <c r="Q190" s="321"/>
      <c r="R190" s="321"/>
      <c r="S190" s="321"/>
      <c r="T190" s="321"/>
      <c r="U190" s="321"/>
      <c r="V190" s="321"/>
      <c r="W190" s="321"/>
    </row>
    <row r="191" spans="5:23" x14ac:dyDescent="0.25">
      <c r="E191" s="321"/>
      <c r="F191" s="321"/>
      <c r="G191" s="321"/>
      <c r="H191" s="321"/>
      <c r="I191" s="321"/>
      <c r="J191" s="321"/>
      <c r="K191" s="321"/>
      <c r="L191" s="321"/>
      <c r="M191" s="321"/>
      <c r="N191" s="321"/>
      <c r="O191" s="321"/>
      <c r="P191" s="321"/>
      <c r="Q191" s="321"/>
      <c r="R191" s="321"/>
      <c r="S191" s="321"/>
      <c r="T191" s="321"/>
      <c r="U191" s="321"/>
      <c r="V191" s="321"/>
      <c r="W191" s="321"/>
    </row>
    <row r="192" spans="5:23" x14ac:dyDescent="0.25">
      <c r="E192" s="321"/>
      <c r="F192" s="321"/>
      <c r="G192" s="321"/>
      <c r="H192" s="321"/>
      <c r="I192" s="321"/>
      <c r="J192" s="321"/>
      <c r="K192" s="321"/>
      <c r="L192" s="321"/>
      <c r="M192" s="321"/>
      <c r="N192" s="321"/>
      <c r="O192" s="321"/>
      <c r="P192" s="321"/>
      <c r="Q192" s="321"/>
      <c r="R192" s="321"/>
      <c r="S192" s="321"/>
      <c r="T192" s="321"/>
      <c r="U192" s="321"/>
      <c r="V192" s="321"/>
      <c r="W192" s="321"/>
    </row>
    <row r="193" spans="5:23" x14ac:dyDescent="0.25">
      <c r="E193" s="321"/>
      <c r="F193" s="321"/>
      <c r="G193" s="321"/>
      <c r="H193" s="321"/>
      <c r="I193" s="321"/>
      <c r="J193" s="321"/>
      <c r="K193" s="321"/>
      <c r="L193" s="321"/>
      <c r="M193" s="321"/>
      <c r="N193" s="321"/>
      <c r="O193" s="321"/>
      <c r="P193" s="321"/>
      <c r="Q193" s="321"/>
      <c r="R193" s="321"/>
      <c r="S193" s="321"/>
      <c r="T193" s="321"/>
      <c r="U193" s="321"/>
      <c r="V193" s="321"/>
      <c r="W193" s="321"/>
    </row>
    <row r="194" spans="5:23" x14ac:dyDescent="0.25">
      <c r="E194" s="321"/>
      <c r="F194" s="321"/>
      <c r="G194" s="321"/>
      <c r="H194" s="321"/>
      <c r="I194" s="321"/>
      <c r="J194" s="321"/>
      <c r="K194" s="321"/>
      <c r="L194" s="321"/>
      <c r="M194" s="321"/>
      <c r="N194" s="321"/>
      <c r="O194" s="321"/>
      <c r="P194" s="321"/>
      <c r="Q194" s="321"/>
      <c r="R194" s="321"/>
      <c r="S194" s="321"/>
      <c r="T194" s="321"/>
      <c r="U194" s="321"/>
      <c r="V194" s="321"/>
      <c r="W194" s="321"/>
    </row>
    <row r="195" spans="5:23" x14ac:dyDescent="0.25">
      <c r="E195" s="321"/>
      <c r="F195" s="321"/>
      <c r="G195" s="321"/>
      <c r="H195" s="321"/>
      <c r="I195" s="321"/>
      <c r="J195" s="321"/>
      <c r="K195" s="321"/>
      <c r="L195" s="321"/>
      <c r="M195" s="321"/>
      <c r="N195" s="321"/>
      <c r="O195" s="321"/>
      <c r="P195" s="321"/>
      <c r="Q195" s="321"/>
      <c r="R195" s="321"/>
      <c r="S195" s="321"/>
      <c r="T195" s="321"/>
      <c r="U195" s="321"/>
      <c r="V195" s="321"/>
      <c r="W195" s="321"/>
    </row>
    <row r="196" spans="5:23" x14ac:dyDescent="0.25">
      <c r="E196" s="321"/>
      <c r="F196" s="321"/>
      <c r="G196" s="321"/>
      <c r="H196" s="321"/>
      <c r="I196" s="321"/>
      <c r="J196" s="321"/>
      <c r="K196" s="321"/>
      <c r="L196" s="321"/>
      <c r="M196" s="321"/>
      <c r="N196" s="321"/>
      <c r="O196" s="321"/>
      <c r="P196" s="321"/>
      <c r="Q196" s="321"/>
      <c r="R196" s="321"/>
      <c r="S196" s="321"/>
      <c r="T196" s="321"/>
      <c r="U196" s="321"/>
      <c r="V196" s="321"/>
      <c r="W196" s="321"/>
    </row>
  </sheetData>
  <mergeCells count="7">
    <mergeCell ref="A1:AA1"/>
    <mergeCell ref="A4:AA4"/>
    <mergeCell ref="A2:AA2"/>
    <mergeCell ref="G87:I87"/>
    <mergeCell ref="K87:M87"/>
    <mergeCell ref="U41:W41"/>
    <mergeCell ref="U7:W7"/>
  </mergeCells>
  <phoneticPr fontId="13" type="noConversion"/>
  <printOptions horizontalCentered="1"/>
  <pageMargins left="0.5" right="0.5" top="1.5" bottom="0.5" header="0.5" footer="0.5"/>
  <pageSetup scale="80" fitToHeight="0" orientation="landscape" r:id="rId1"/>
  <headerFooter alignWithMargins="0"/>
  <rowBreaks count="1" manualBreakCount="1">
    <brk id="35"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1:S71"/>
  <sheetViews>
    <sheetView zoomScaleNormal="100" workbookViewId="0">
      <selection activeCell="J64" sqref="J64"/>
    </sheetView>
  </sheetViews>
  <sheetFormatPr defaultColWidth="9.81640625" defaultRowHeight="15" x14ac:dyDescent="0.25"/>
  <cols>
    <col min="1" max="1" width="7.81640625" style="37" customWidth="1"/>
    <col min="2" max="2" width="9.08984375" style="37" customWidth="1"/>
    <col min="3" max="3" width="11.36328125" style="37" customWidth="1"/>
    <col min="4" max="4" width="9.81640625" style="37" customWidth="1"/>
    <col min="5" max="5" width="11.453125" style="37" customWidth="1"/>
    <col min="6" max="6" width="9.81640625" style="37" customWidth="1"/>
    <col min="7" max="7" width="10.08984375" style="37" customWidth="1"/>
    <col min="8" max="16384" width="9.81640625" style="37"/>
  </cols>
  <sheetData>
    <row r="1" spans="1:9" x14ac:dyDescent="0.25">
      <c r="A1" s="36" t="s">
        <v>51</v>
      </c>
      <c r="B1" s="1"/>
      <c r="C1" s="36"/>
      <c r="D1" s="1"/>
      <c r="E1" s="1"/>
      <c r="F1" s="1"/>
      <c r="G1" s="1"/>
    </row>
    <row r="2" spans="1:9" x14ac:dyDescent="0.25">
      <c r="A2" s="36"/>
      <c r="B2" s="1"/>
      <c r="C2" s="36"/>
      <c r="D2" s="1"/>
      <c r="E2" s="1"/>
      <c r="F2" s="1"/>
      <c r="G2" s="1"/>
    </row>
    <row r="3" spans="1:9" x14ac:dyDescent="0.25">
      <c r="A3" s="1"/>
      <c r="B3" s="1"/>
      <c r="C3" s="1"/>
      <c r="D3" s="1"/>
      <c r="E3" s="1"/>
      <c r="F3" s="1"/>
      <c r="G3" s="1"/>
      <c r="I3" s="2"/>
    </row>
    <row r="4" spans="1:9" x14ac:dyDescent="0.25">
      <c r="A4" s="1" t="s">
        <v>215</v>
      </c>
      <c r="B4" s="1"/>
      <c r="C4" s="1"/>
      <c r="D4" s="1"/>
      <c r="E4" s="1"/>
      <c r="F4" s="1"/>
      <c r="G4" s="1"/>
    </row>
    <row r="5" spans="1:9" x14ac:dyDescent="0.25">
      <c r="A5" s="2"/>
      <c r="B5" s="2"/>
      <c r="C5" s="2"/>
      <c r="D5" s="2"/>
      <c r="E5" s="2"/>
      <c r="F5" s="2"/>
      <c r="G5" s="2"/>
    </row>
    <row r="6" spans="1:9" x14ac:dyDescent="0.25">
      <c r="A6" s="2"/>
      <c r="B6" s="124"/>
      <c r="C6" s="2"/>
      <c r="D6" s="2"/>
      <c r="E6" s="2"/>
      <c r="F6" s="2"/>
      <c r="G6" s="2"/>
    </row>
    <row r="7" spans="1:9" x14ac:dyDescent="0.25">
      <c r="A7" s="2" t="s">
        <v>348</v>
      </c>
      <c r="B7" s="2"/>
      <c r="C7" s="2"/>
      <c r="D7" s="2"/>
      <c r="E7" s="2"/>
      <c r="F7" s="2"/>
      <c r="G7" s="2"/>
    </row>
    <row r="8" spans="1:9" hidden="1" x14ac:dyDescent="0.25">
      <c r="A8" s="2"/>
      <c r="B8" s="2"/>
      <c r="C8" s="2"/>
      <c r="D8" s="2"/>
      <c r="E8" s="2"/>
      <c r="F8" s="2"/>
      <c r="G8" s="2"/>
    </row>
    <row r="9" spans="1:9" ht="9.15" hidden="1" customHeight="1" x14ac:dyDescent="0.25">
      <c r="A9" s="2"/>
      <c r="B9" s="2"/>
      <c r="C9" s="2"/>
      <c r="D9" s="2"/>
      <c r="E9" s="2"/>
      <c r="F9" s="2"/>
      <c r="G9" s="2"/>
    </row>
    <row r="10" spans="1:9" ht="27.6" hidden="1" customHeight="1" x14ac:dyDescent="0.25">
      <c r="A10" s="744" t="s">
        <v>364</v>
      </c>
      <c r="B10" s="744"/>
      <c r="C10" s="744"/>
      <c r="D10" s="744"/>
      <c r="E10" s="744"/>
      <c r="F10" s="744"/>
      <c r="G10" s="744"/>
    </row>
    <row r="11" spans="1:9" ht="9.15" hidden="1" customHeight="1" x14ac:dyDescent="0.25">
      <c r="A11" s="2"/>
      <c r="B11" s="2"/>
      <c r="C11" s="2"/>
      <c r="D11" s="2"/>
      <c r="E11" s="2"/>
      <c r="F11" s="2"/>
      <c r="G11" s="2"/>
    </row>
    <row r="12" spans="1:9" ht="13.35" hidden="1" customHeight="1" x14ac:dyDescent="0.25">
      <c r="A12" s="2"/>
      <c r="B12" s="2"/>
      <c r="C12" s="2"/>
      <c r="D12" s="11" t="s">
        <v>365</v>
      </c>
      <c r="E12" s="2"/>
      <c r="F12" s="2"/>
      <c r="G12" s="2"/>
    </row>
    <row r="13" spans="1:9" ht="13.35" hidden="1" customHeight="1" x14ac:dyDescent="0.25">
      <c r="A13" s="2"/>
      <c r="B13" s="2"/>
      <c r="C13" s="2"/>
      <c r="D13" s="11" t="s">
        <v>441</v>
      </c>
      <c r="E13" s="2"/>
      <c r="F13" s="2"/>
      <c r="G13" s="2"/>
    </row>
    <row r="14" spans="1:9" ht="13.35" hidden="1" customHeight="1" x14ac:dyDescent="0.25">
      <c r="A14" s="1" t="s">
        <v>184</v>
      </c>
      <c r="B14" s="36"/>
      <c r="C14" s="2"/>
      <c r="D14" s="11" t="s">
        <v>368</v>
      </c>
      <c r="E14" s="2"/>
      <c r="F14" s="11" t="s">
        <v>186</v>
      </c>
      <c r="G14" s="2"/>
    </row>
    <row r="15" spans="1:9" ht="13.35" hidden="1" customHeight="1" x14ac:dyDescent="0.25">
      <c r="A15" s="1" t="s">
        <v>187</v>
      </c>
      <c r="B15" s="36"/>
      <c r="C15" s="2"/>
      <c r="D15" s="11" t="s">
        <v>369</v>
      </c>
      <c r="E15" s="2"/>
      <c r="F15" s="11" t="s">
        <v>188</v>
      </c>
      <c r="G15" s="2"/>
    </row>
    <row r="16" spans="1:9" hidden="1" x14ac:dyDescent="0.25">
      <c r="A16" s="3" t="s">
        <v>189</v>
      </c>
      <c r="B16" s="125"/>
      <c r="C16" s="2"/>
      <c r="D16" s="10" t="s">
        <v>208</v>
      </c>
      <c r="E16" s="2" t="s">
        <v>305</v>
      </c>
      <c r="F16" s="10" t="s">
        <v>191</v>
      </c>
      <c r="G16" s="2"/>
    </row>
    <row r="17" spans="1:19" ht="7.95" hidden="1" customHeight="1" x14ac:dyDescent="0.25">
      <c r="A17" s="2"/>
      <c r="C17" s="2"/>
      <c r="D17" s="2"/>
      <c r="E17" s="2"/>
      <c r="F17" s="126"/>
      <c r="G17" s="2"/>
    </row>
    <row r="18" spans="1:19" ht="13.35" hidden="1" customHeight="1" x14ac:dyDescent="0.25">
      <c r="A18" s="2" t="s">
        <v>192</v>
      </c>
      <c r="C18" s="2"/>
      <c r="D18" s="252">
        <f>+'SCH-B - COS'!K295</f>
        <v>0</v>
      </c>
      <c r="E18" s="2"/>
      <c r="F18" s="126">
        <f>+'SCH-B - COS'!K296</f>
        <v>0</v>
      </c>
      <c r="G18" s="126"/>
      <c r="H18" s="126"/>
      <c r="I18" s="126"/>
      <c r="J18" s="126"/>
      <c r="K18" s="126"/>
      <c r="M18" s="126"/>
      <c r="O18" s="126"/>
      <c r="Q18" s="126"/>
      <c r="S18" s="126"/>
    </row>
    <row r="19" spans="1:19" ht="13.35" hidden="1" customHeight="1" x14ac:dyDescent="0.25">
      <c r="A19" s="2" t="s">
        <v>193</v>
      </c>
      <c r="C19" s="2"/>
      <c r="D19" s="249">
        <f>+'SCH-B - COS'!M295</f>
        <v>0</v>
      </c>
      <c r="E19" s="2"/>
      <c r="F19" s="126">
        <f>+'SCH-B - COS'!M296</f>
        <v>0</v>
      </c>
      <c r="G19" s="2"/>
    </row>
    <row r="20" spans="1:19" ht="13.35" hidden="1" customHeight="1" x14ac:dyDescent="0.25">
      <c r="A20" s="2" t="s">
        <v>194</v>
      </c>
      <c r="C20" s="2"/>
      <c r="D20" s="249">
        <f>+'SCH-B - COS'!O295</f>
        <v>0</v>
      </c>
      <c r="E20" s="2"/>
      <c r="F20" s="126">
        <f>+'SCH-B - COS'!O296</f>
        <v>0</v>
      </c>
      <c r="G20" s="2"/>
    </row>
    <row r="21" spans="1:19" ht="13.35" hidden="1" customHeight="1" x14ac:dyDescent="0.25">
      <c r="A21" s="2" t="s">
        <v>195</v>
      </c>
      <c r="C21" s="2"/>
      <c r="D21" s="249">
        <f>+'SCH-B - COS'!Q295</f>
        <v>0</v>
      </c>
      <c r="E21" s="2"/>
      <c r="F21" s="126">
        <f>+'SCH-B - COS'!Q296</f>
        <v>0</v>
      </c>
      <c r="G21" s="2"/>
    </row>
    <row r="22" spans="1:19" ht="13.35" hidden="1" customHeight="1" x14ac:dyDescent="0.25">
      <c r="A22" s="2" t="s">
        <v>312</v>
      </c>
      <c r="C22" s="2"/>
      <c r="D22" s="249">
        <f>+'SCH-B - COS'!S295</f>
        <v>0</v>
      </c>
      <c r="E22" s="2"/>
      <c r="F22" s="126">
        <f>+'SCH-B - COS'!S296</f>
        <v>0</v>
      </c>
      <c r="G22" s="2"/>
    </row>
    <row r="23" spans="1:19" ht="13.35" hidden="1" customHeight="1" x14ac:dyDescent="0.25">
      <c r="A23" s="2" t="s">
        <v>197</v>
      </c>
      <c r="C23" s="2"/>
      <c r="D23" s="249">
        <f>+'SCH-B - COS'!U295</f>
        <v>0</v>
      </c>
      <c r="E23" s="2"/>
      <c r="F23" s="126">
        <f>+'SCH-B - COS'!U296</f>
        <v>0</v>
      </c>
      <c r="G23" s="2"/>
    </row>
    <row r="24" spans="1:19" ht="13.35" hidden="1" customHeight="1" x14ac:dyDescent="0.25">
      <c r="A24" s="2" t="s">
        <v>198</v>
      </c>
      <c r="C24" s="2"/>
      <c r="D24" s="249">
        <f>+'SCH-B - COS'!W295</f>
        <v>0</v>
      </c>
      <c r="E24" s="2"/>
      <c r="F24" s="126">
        <f>+'SCH-B - COS'!W296</f>
        <v>0</v>
      </c>
      <c r="G24" s="2"/>
    </row>
    <row r="25" spans="1:19" ht="8.4" hidden="1" customHeight="1" x14ac:dyDescent="0.25">
      <c r="A25" s="2"/>
      <c r="C25" s="2"/>
      <c r="D25" s="250"/>
      <c r="E25" s="2"/>
      <c r="F25" s="6"/>
      <c r="G25" s="2"/>
    </row>
    <row r="26" spans="1:19" ht="15.6" hidden="1" thickBot="1" x14ac:dyDescent="0.3">
      <c r="A26" s="2" t="s">
        <v>199</v>
      </c>
      <c r="C26" s="2"/>
      <c r="D26" s="251">
        <f>SUM(D18:D25)</f>
        <v>0</v>
      </c>
      <c r="E26" s="2"/>
      <c r="F26" s="159">
        <f>SUM(F18:F25)</f>
        <v>0</v>
      </c>
      <c r="G26" s="2"/>
    </row>
    <row r="27" spans="1:19" ht="12" hidden="1" customHeight="1" thickTop="1" x14ac:dyDescent="0.25">
      <c r="A27" s="2"/>
      <c r="B27" s="2"/>
      <c r="C27"/>
      <c r="D27"/>
      <c r="E27"/>
      <c r="F27"/>
      <c r="G27"/>
      <c r="H27"/>
    </row>
    <row r="28" spans="1:19" ht="15" hidden="1" customHeight="1" x14ac:dyDescent="0.25">
      <c r="A28" s="2"/>
      <c r="B28" s="2"/>
      <c r="C28"/>
      <c r="D28"/>
      <c r="E28"/>
      <c r="F28"/>
      <c r="G28"/>
      <c r="H28"/>
    </row>
    <row r="29" spans="1:19" ht="15" hidden="1" customHeight="1" x14ac:dyDescent="0.25">
      <c r="A29" s="127" t="s">
        <v>370</v>
      </c>
      <c r="B29" s="2"/>
      <c r="C29"/>
      <c r="D29"/>
      <c r="E29"/>
      <c r="F29"/>
      <c r="G29"/>
      <c r="H29"/>
    </row>
    <row r="30" spans="1:19" ht="15" hidden="1" customHeight="1" x14ac:dyDescent="0.25">
      <c r="A30" s="127" t="s">
        <v>371</v>
      </c>
      <c r="B30" s="2"/>
      <c r="C30"/>
      <c r="D30"/>
      <c r="E30"/>
      <c r="F30"/>
      <c r="G30"/>
      <c r="H30"/>
    </row>
    <row r="31" spans="1:19" ht="15" hidden="1" customHeight="1" x14ac:dyDescent="0.25">
      <c r="A31" s="2"/>
      <c r="B31" s="2"/>
      <c r="C31"/>
      <c r="D31"/>
      <c r="E31"/>
      <c r="F31"/>
      <c r="G31"/>
      <c r="H31"/>
    </row>
    <row r="32" spans="1:19" ht="15" hidden="1" customHeight="1" x14ac:dyDescent="0.25">
      <c r="A32" s="2"/>
      <c r="B32" s="2" t="s">
        <v>373</v>
      </c>
      <c r="C32"/>
      <c r="D32"/>
      <c r="E32"/>
      <c r="F32"/>
      <c r="G32"/>
      <c r="H32"/>
    </row>
    <row r="33" spans="1:8" ht="15" hidden="1" customHeight="1" x14ac:dyDescent="0.25">
      <c r="A33" s="2" t="s">
        <v>374</v>
      </c>
      <c r="B33" s="2"/>
      <c r="C33"/>
      <c r="D33"/>
      <c r="E33"/>
      <c r="F33"/>
      <c r="G33"/>
      <c r="H33"/>
    </row>
    <row r="34" spans="1:8" ht="15" hidden="1" customHeight="1" x14ac:dyDescent="0.25">
      <c r="A34" s="2"/>
      <c r="B34" s="2"/>
      <c r="C34"/>
      <c r="D34"/>
      <c r="E34"/>
      <c r="F34"/>
      <c r="G34"/>
      <c r="H34"/>
    </row>
    <row r="35" spans="1:8" ht="12.75" hidden="1" customHeight="1" x14ac:dyDescent="0.25">
      <c r="A35" s="2"/>
      <c r="B35" s="2"/>
      <c r="C35"/>
      <c r="D35" t="s">
        <v>365</v>
      </c>
      <c r="E35"/>
      <c r="F35"/>
      <c r="G35"/>
      <c r="H35"/>
    </row>
    <row r="36" spans="1:8" ht="12.75" hidden="1" customHeight="1" x14ac:dyDescent="0.25">
      <c r="A36" s="2"/>
      <c r="B36" s="2"/>
      <c r="C36"/>
      <c r="D36" t="s">
        <v>366</v>
      </c>
      <c r="E36"/>
      <c r="F36"/>
      <c r="G36"/>
      <c r="H36"/>
    </row>
    <row r="37" spans="1:8" ht="12.75" hidden="1" customHeight="1" x14ac:dyDescent="0.25">
      <c r="A37" s="2"/>
      <c r="B37" s="2"/>
      <c r="C37"/>
      <c r="D37" t="s">
        <v>367</v>
      </c>
      <c r="E37"/>
      <c r="F37"/>
      <c r="G37"/>
      <c r="H37"/>
    </row>
    <row r="38" spans="1:8" ht="12.75" hidden="1" customHeight="1" x14ac:dyDescent="0.25">
      <c r="A38" s="1" t="s">
        <v>184</v>
      </c>
      <c r="B38" s="36"/>
      <c r="C38"/>
      <c r="D38" t="s">
        <v>375</v>
      </c>
      <c r="E38"/>
      <c r="F38" t="s">
        <v>186</v>
      </c>
      <c r="G38"/>
      <c r="H38"/>
    </row>
    <row r="39" spans="1:8" ht="12.75" hidden="1" customHeight="1" x14ac:dyDescent="0.25">
      <c r="A39" s="1" t="s">
        <v>187</v>
      </c>
      <c r="B39" s="36"/>
      <c r="C39"/>
      <c r="D39" t="s">
        <v>369</v>
      </c>
      <c r="E39"/>
      <c r="F39" t="s">
        <v>188</v>
      </c>
      <c r="G39"/>
      <c r="H39"/>
    </row>
    <row r="40" spans="1:8" ht="15" hidden="1" customHeight="1" x14ac:dyDescent="0.25">
      <c r="A40" s="3" t="s">
        <v>189</v>
      </c>
      <c r="B40" s="125"/>
      <c r="C40"/>
      <c r="D40" t="s">
        <v>208</v>
      </c>
      <c r="E40" t="s">
        <v>305</v>
      </c>
      <c r="F40" t="s">
        <v>191</v>
      </c>
      <c r="G40"/>
      <c r="H40"/>
    </row>
    <row r="41" spans="1:8" ht="12.75" hidden="1" customHeight="1" x14ac:dyDescent="0.25">
      <c r="A41" s="2"/>
      <c r="C41"/>
      <c r="D41"/>
      <c r="E41"/>
      <c r="F41"/>
      <c r="G41"/>
      <c r="H41"/>
    </row>
    <row r="42" spans="1:8" ht="12.75" hidden="1" customHeight="1" x14ac:dyDescent="0.25">
      <c r="A42" s="2" t="s">
        <v>192</v>
      </c>
      <c r="C42"/>
      <c r="D42">
        <v>3511291</v>
      </c>
      <c r="E42"/>
      <c r="F42">
        <f t="shared" ref="F42:F48" si="0">ROUND(D42/D$50,4)</f>
        <v>0.5907</v>
      </c>
      <c r="G42"/>
      <c r="H42"/>
    </row>
    <row r="43" spans="1:8" ht="12.75" hidden="1" customHeight="1" x14ac:dyDescent="0.25">
      <c r="A43" s="2" t="s">
        <v>193</v>
      </c>
      <c r="C43"/>
      <c r="D43">
        <v>941329</v>
      </c>
      <c r="E43"/>
      <c r="F43">
        <f t="shared" si="0"/>
        <v>0.1583</v>
      </c>
      <c r="G43"/>
      <c r="H43"/>
    </row>
    <row r="44" spans="1:8" ht="12.75" hidden="1" customHeight="1" x14ac:dyDescent="0.25">
      <c r="A44" s="2" t="s">
        <v>194</v>
      </c>
      <c r="C44"/>
      <c r="D44">
        <v>191461</v>
      </c>
      <c r="E44"/>
      <c r="F44">
        <f t="shared" si="0"/>
        <v>3.2199999999999999E-2</v>
      </c>
      <c r="G44"/>
      <c r="H44"/>
    </row>
    <row r="45" spans="1:8" ht="12.75" hidden="1" customHeight="1" x14ac:dyDescent="0.25">
      <c r="A45" s="2" t="s">
        <v>376</v>
      </c>
      <c r="C45"/>
      <c r="D45">
        <v>42532</v>
      </c>
      <c r="E45"/>
      <c r="F45">
        <f t="shared" si="0"/>
        <v>7.1999999999999998E-3</v>
      </c>
      <c r="G45"/>
      <c r="H45"/>
    </row>
    <row r="46" spans="1:8" ht="12.75" hidden="1" customHeight="1" x14ac:dyDescent="0.25">
      <c r="A46" s="2" t="s">
        <v>196</v>
      </c>
      <c r="C46"/>
      <c r="D46">
        <v>62932</v>
      </c>
      <c r="E46"/>
      <c r="F46">
        <f t="shared" si="0"/>
        <v>1.06E-2</v>
      </c>
      <c r="G46"/>
      <c r="H46"/>
    </row>
    <row r="47" spans="1:8" ht="12.75" hidden="1" customHeight="1" x14ac:dyDescent="0.25">
      <c r="A47" s="2" t="s">
        <v>197</v>
      </c>
      <c r="C47"/>
      <c r="D47">
        <v>229566</v>
      </c>
      <c r="E47"/>
      <c r="F47">
        <f t="shared" si="0"/>
        <v>3.8600000000000002E-2</v>
      </c>
      <c r="G47"/>
      <c r="H47"/>
    </row>
    <row r="48" spans="1:8" ht="12.75" hidden="1" customHeight="1" x14ac:dyDescent="0.25">
      <c r="A48" s="2" t="s">
        <v>198</v>
      </c>
      <c r="C48"/>
      <c r="D48">
        <v>965510</v>
      </c>
      <c r="E48"/>
      <c r="F48">
        <f t="shared" si="0"/>
        <v>0.16239999999999999</v>
      </c>
      <c r="G48"/>
      <c r="H48"/>
    </row>
    <row r="49" spans="1:8" ht="15" hidden="1" customHeight="1" x14ac:dyDescent="0.25">
      <c r="A49" s="2"/>
      <c r="C49"/>
      <c r="D49"/>
      <c r="E49"/>
      <c r="F49"/>
      <c r="G49"/>
      <c r="H49"/>
    </row>
    <row r="50" spans="1:8" ht="15" hidden="1" customHeight="1" x14ac:dyDescent="0.25">
      <c r="A50" s="2" t="s">
        <v>199</v>
      </c>
      <c r="C50"/>
      <c r="D50">
        <f>SUM(D42:D49)</f>
        <v>5944621</v>
      </c>
      <c r="E50"/>
      <c r="F50">
        <f>SUM(F42:F49)</f>
        <v>1</v>
      </c>
      <c r="G50"/>
      <c r="H50"/>
    </row>
    <row r="51" spans="1:8" x14ac:dyDescent="0.25">
      <c r="A51" s="2"/>
      <c r="B51" s="2"/>
      <c r="C51"/>
      <c r="D51"/>
      <c r="E51"/>
      <c r="F51"/>
      <c r="G51"/>
      <c r="H51"/>
    </row>
    <row r="52" spans="1:8" x14ac:dyDescent="0.25">
      <c r="A52" s="2" t="s">
        <v>346</v>
      </c>
      <c r="B52" s="2"/>
      <c r="C52" s="2"/>
      <c r="D52" s="2"/>
      <c r="E52" s="2"/>
      <c r="F52" s="2"/>
      <c r="G52" s="2"/>
    </row>
    <row r="53" spans="1:8" x14ac:dyDescent="0.25">
      <c r="A53" s="2" t="s">
        <v>153</v>
      </c>
      <c r="B53" s="2"/>
      <c r="C53" s="2"/>
      <c r="D53" s="2"/>
      <c r="E53" s="2"/>
      <c r="F53" s="2"/>
      <c r="G53" s="2"/>
    </row>
    <row r="54" spans="1:8" x14ac:dyDescent="0.25">
      <c r="A54" s="2"/>
      <c r="B54" s="2"/>
      <c r="C54" s="2"/>
      <c r="D54" s="2"/>
      <c r="E54" s="2"/>
      <c r="F54" s="2"/>
      <c r="G54" s="2"/>
    </row>
    <row r="55" spans="1:8" ht="27.6" customHeight="1" x14ac:dyDescent="0.25">
      <c r="A55" s="744" t="s">
        <v>377</v>
      </c>
      <c r="B55" s="744"/>
      <c r="C55" s="744"/>
      <c r="D55" s="744"/>
      <c r="E55" s="744"/>
      <c r="F55" s="744"/>
      <c r="G55" s="744"/>
    </row>
    <row r="56" spans="1:8" ht="9.75" customHeight="1" x14ac:dyDescent="0.25">
      <c r="A56" s="2"/>
      <c r="B56" s="2"/>
      <c r="C56" s="2"/>
      <c r="D56" s="2"/>
      <c r="E56" s="2"/>
      <c r="F56" s="2"/>
      <c r="G56" s="2"/>
    </row>
    <row r="57" spans="1:8" x14ac:dyDescent="0.25">
      <c r="A57" s="2"/>
      <c r="B57" s="2"/>
      <c r="C57" s="2"/>
      <c r="D57" s="11" t="s">
        <v>365</v>
      </c>
      <c r="E57" s="2"/>
      <c r="F57" s="2"/>
      <c r="G57" s="2"/>
    </row>
    <row r="58" spans="1:8" x14ac:dyDescent="0.25">
      <c r="A58" s="2"/>
      <c r="B58" s="2"/>
      <c r="C58" s="2"/>
      <c r="D58" s="11" t="s">
        <v>441</v>
      </c>
      <c r="E58" s="2"/>
      <c r="F58" s="2"/>
      <c r="G58" s="2"/>
    </row>
    <row r="59" spans="1:8" x14ac:dyDescent="0.25">
      <c r="A59" s="1" t="s">
        <v>184</v>
      </c>
      <c r="B59" s="36"/>
      <c r="C59" s="2"/>
      <c r="D59" s="11" t="s">
        <v>375</v>
      </c>
      <c r="E59" s="2"/>
      <c r="F59" s="11" t="s">
        <v>186</v>
      </c>
      <c r="G59" s="2"/>
    </row>
    <row r="60" spans="1:8" x14ac:dyDescent="0.25">
      <c r="A60" s="1" t="s">
        <v>187</v>
      </c>
      <c r="B60" s="36"/>
      <c r="C60" s="2"/>
      <c r="D60" s="11" t="s">
        <v>369</v>
      </c>
      <c r="E60" s="2"/>
      <c r="F60" s="11" t="s">
        <v>188</v>
      </c>
      <c r="G60" s="2"/>
    </row>
    <row r="61" spans="1:8" x14ac:dyDescent="0.25">
      <c r="A61" s="3" t="s">
        <v>189</v>
      </c>
      <c r="B61" s="125"/>
      <c r="C61" s="2"/>
      <c r="D61" s="10" t="s">
        <v>208</v>
      </c>
      <c r="E61" s="2" t="s">
        <v>305</v>
      </c>
      <c r="F61" s="10" t="s">
        <v>191</v>
      </c>
      <c r="G61" s="2"/>
    </row>
    <row r="62" spans="1:8" ht="10.65" customHeight="1" x14ac:dyDescent="0.25">
      <c r="A62" s="2"/>
      <c r="C62" s="2"/>
      <c r="D62" s="2"/>
      <c r="E62" s="2"/>
      <c r="F62" s="126"/>
      <c r="G62" s="2"/>
    </row>
    <row r="63" spans="1:8" x14ac:dyDescent="0.25">
      <c r="A63" s="2" t="s">
        <v>192</v>
      </c>
      <c r="C63" s="2"/>
      <c r="D63" s="252">
        <f>+'SCH-B - COS'!K297</f>
        <v>2225310.9340926162</v>
      </c>
      <c r="E63" s="2"/>
      <c r="F63" s="126">
        <f>+'SCH-B - COS'!K298</f>
        <v>0.48280000000000001</v>
      </c>
      <c r="G63" s="2"/>
    </row>
    <row r="64" spans="1:8" x14ac:dyDescent="0.25">
      <c r="A64" s="2" t="s">
        <v>325</v>
      </c>
      <c r="C64" s="2"/>
      <c r="D64" s="249">
        <f>+'SCH-B - COS'!M297</f>
        <v>917697.12363959581</v>
      </c>
      <c r="E64" s="2"/>
      <c r="F64" s="126">
        <f>+'SCH-B - COS'!M298</f>
        <v>0.1991</v>
      </c>
      <c r="G64" s="2"/>
    </row>
    <row r="65" spans="1:7" x14ac:dyDescent="0.25">
      <c r="A65" s="2" t="s">
        <v>194</v>
      </c>
      <c r="C65" s="2"/>
      <c r="D65" s="249">
        <f>+'SCH-B - COS'!O297</f>
        <v>284842.54576009139</v>
      </c>
      <c r="E65" s="2"/>
      <c r="F65" s="126">
        <f>+'SCH-B - COS'!O298</f>
        <v>6.1800000000000001E-2</v>
      </c>
      <c r="G65" s="2"/>
    </row>
    <row r="66" spans="1:7" x14ac:dyDescent="0.25">
      <c r="A66" s="2" t="s">
        <v>195</v>
      </c>
      <c r="C66" s="2"/>
      <c r="D66" s="249">
        <f>+'SCH-B - COS'!Q297</f>
        <v>143402.68149313642</v>
      </c>
      <c r="E66" s="2"/>
      <c r="F66" s="126">
        <f>+'SCH-B - COS'!Q298</f>
        <v>3.1099999999999999E-2</v>
      </c>
      <c r="G66" s="2"/>
    </row>
    <row r="67" spans="1:7" x14ac:dyDescent="0.25">
      <c r="A67" s="2" t="s">
        <v>103</v>
      </c>
      <c r="C67" s="2"/>
      <c r="D67" s="249">
        <f>+'SCH-B - COS'!S297</f>
        <v>68521.99623637856</v>
      </c>
      <c r="E67" s="2"/>
      <c r="F67" s="126">
        <f>+'SCH-B - COS'!S298</f>
        <v>1.49E-2</v>
      </c>
      <c r="G67" s="2"/>
    </row>
    <row r="68" spans="1:7" x14ac:dyDescent="0.25">
      <c r="A68" s="2" t="s">
        <v>232</v>
      </c>
      <c r="C68" s="2"/>
      <c r="D68" s="249">
        <f>+'SCH-B - COS'!W297</f>
        <v>969026.89378487784</v>
      </c>
      <c r="E68" s="2"/>
      <c r="F68" s="126">
        <f>+'SCH-B - COS'!W298</f>
        <v>0.21029999999999999</v>
      </c>
      <c r="G68" s="2"/>
    </row>
    <row r="69" spans="1:7" ht="7.95" customHeight="1" x14ac:dyDescent="0.25">
      <c r="A69" s="2"/>
      <c r="C69" s="2"/>
      <c r="D69" s="5"/>
      <c r="E69" s="2"/>
      <c r="F69" s="6"/>
      <c r="G69" s="2"/>
    </row>
    <row r="70" spans="1:7" ht="15.6" thickBot="1" x14ac:dyDescent="0.3">
      <c r="A70" s="2" t="s">
        <v>199</v>
      </c>
      <c r="C70" s="2"/>
      <c r="D70" s="219">
        <f>SUM(D63:D69)</f>
        <v>4608802.175006696</v>
      </c>
      <c r="E70" s="2"/>
      <c r="F70" s="159">
        <f>SUM(F63:F69)</f>
        <v>1</v>
      </c>
      <c r="G70" s="2"/>
    </row>
    <row r="71" spans="1:7" ht="15.6" thickTop="1" x14ac:dyDescent="0.25">
      <c r="A71" s="2"/>
      <c r="B71" s="2"/>
      <c r="C71" s="2"/>
      <c r="D71" s="161"/>
      <c r="E71" s="13"/>
      <c r="F71" s="156"/>
      <c r="G71" s="2"/>
    </row>
  </sheetData>
  <mergeCells count="2">
    <mergeCell ref="A55:G55"/>
    <mergeCell ref="A10:G10"/>
  </mergeCells>
  <phoneticPr fontId="13" type="noConversion"/>
  <printOptions horizontalCentered="1"/>
  <pageMargins left="1" right="1" top="1" bottom="0.5" header="0.5" footer="0.5"/>
  <pageSetup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A1:I41"/>
  <sheetViews>
    <sheetView zoomScaleNormal="100" workbookViewId="0">
      <selection activeCell="N24" sqref="N24"/>
    </sheetView>
  </sheetViews>
  <sheetFormatPr defaultColWidth="9.81640625" defaultRowHeight="15" x14ac:dyDescent="0.25"/>
  <cols>
    <col min="1" max="1" width="7.81640625" style="37" customWidth="1"/>
    <col min="2" max="2" width="8.81640625" style="37" customWidth="1"/>
    <col min="3" max="3" width="11.08984375" style="37" customWidth="1"/>
    <col min="4" max="4" width="9.81640625" style="37" customWidth="1"/>
    <col min="5" max="5" width="11.08984375" style="37" customWidth="1"/>
    <col min="6" max="6" width="9.81640625" style="37" customWidth="1"/>
    <col min="7" max="7" width="7.81640625" style="37" customWidth="1"/>
    <col min="8" max="16384" width="9.81640625" style="37"/>
  </cols>
  <sheetData>
    <row r="1" spans="1:9" x14ac:dyDescent="0.25">
      <c r="A1" s="36" t="s">
        <v>51</v>
      </c>
      <c r="B1" s="36"/>
      <c r="C1" s="36"/>
      <c r="D1" s="36"/>
      <c r="E1" s="36"/>
      <c r="F1" s="36"/>
      <c r="G1" s="36"/>
      <c r="I1" s="2"/>
    </row>
    <row r="2" spans="1:9" x14ac:dyDescent="0.25">
      <c r="A2" s="36"/>
      <c r="B2" s="36"/>
      <c r="C2" s="36"/>
      <c r="D2" s="36"/>
      <c r="E2" s="36"/>
      <c r="F2" s="36"/>
      <c r="G2" s="36"/>
      <c r="I2" s="2"/>
    </row>
    <row r="3" spans="1:9" x14ac:dyDescent="0.25">
      <c r="A3" s="1"/>
      <c r="B3" s="1"/>
      <c r="C3" s="36"/>
      <c r="D3" s="36"/>
      <c r="E3" s="36"/>
      <c r="F3" s="36"/>
      <c r="G3" s="36"/>
    </row>
    <row r="4" spans="1:9" x14ac:dyDescent="0.25">
      <c r="A4" s="1" t="s">
        <v>215</v>
      </c>
      <c r="B4" s="1"/>
      <c r="C4" s="1"/>
      <c r="D4" s="1"/>
      <c r="E4" s="1"/>
      <c r="F4" s="1"/>
      <c r="G4" s="1"/>
    </row>
    <row r="5" spans="1:9" x14ac:dyDescent="0.25">
      <c r="A5" s="2"/>
      <c r="B5" s="2"/>
    </row>
    <row r="6" spans="1:9" x14ac:dyDescent="0.25">
      <c r="A6" s="2"/>
      <c r="B6" s="2"/>
    </row>
    <row r="7" spans="1:9" x14ac:dyDescent="0.25">
      <c r="A7" s="2" t="s">
        <v>100</v>
      </c>
      <c r="B7" s="2"/>
    </row>
    <row r="8" spans="1:9" x14ac:dyDescent="0.25">
      <c r="A8" s="2"/>
      <c r="B8" s="2"/>
    </row>
    <row r="9" spans="1:9" ht="15" customHeight="1" x14ac:dyDescent="0.25">
      <c r="A9" s="744" t="s">
        <v>477</v>
      </c>
      <c r="B9" s="744"/>
      <c r="C9" s="744"/>
      <c r="D9" s="744"/>
      <c r="E9" s="744"/>
      <c r="F9" s="744"/>
      <c r="G9" s="121"/>
    </row>
    <row r="10" spans="1:9" x14ac:dyDescent="0.25">
      <c r="A10" s="2"/>
      <c r="B10" s="2"/>
    </row>
    <row r="11" spans="1:9" x14ac:dyDescent="0.25">
      <c r="A11" s="1" t="s">
        <v>233</v>
      </c>
      <c r="B11" s="1"/>
      <c r="D11" s="11" t="s">
        <v>315</v>
      </c>
      <c r="E11" s="11"/>
      <c r="F11" s="11" t="s">
        <v>186</v>
      </c>
    </row>
    <row r="12" spans="1:9" x14ac:dyDescent="0.25">
      <c r="A12" s="1" t="s">
        <v>187</v>
      </c>
      <c r="B12" s="1"/>
      <c r="D12" s="11" t="s">
        <v>476</v>
      </c>
      <c r="E12" s="11"/>
      <c r="F12" s="11" t="s">
        <v>188</v>
      </c>
    </row>
    <row r="13" spans="1:9" x14ac:dyDescent="0.25">
      <c r="A13" s="3" t="s">
        <v>189</v>
      </c>
      <c r="B13" s="3"/>
      <c r="D13" s="129" t="s">
        <v>208</v>
      </c>
      <c r="E13" s="122"/>
      <c r="F13" s="129" t="s">
        <v>191</v>
      </c>
    </row>
    <row r="14" spans="1:9" ht="12.75" customHeight="1" x14ac:dyDescent="0.25">
      <c r="A14" s="2"/>
      <c r="B14" s="2"/>
      <c r="D14" s="2"/>
      <c r="E14" s="2"/>
      <c r="F14" s="4"/>
    </row>
    <row r="15" spans="1:9" ht="13.35" customHeight="1" x14ac:dyDescent="0.25">
      <c r="A15" s="2" t="s">
        <v>192</v>
      </c>
      <c r="B15" s="2"/>
      <c r="D15" s="9">
        <v>345962.5</v>
      </c>
      <c r="E15" s="9"/>
      <c r="F15" s="456">
        <f>ROUND(D15/$D$22,5)+0.00001</f>
        <v>0.91916999999999993</v>
      </c>
      <c r="H15" s="341"/>
    </row>
    <row r="16" spans="1:9" ht="13.35" customHeight="1" x14ac:dyDescent="0.25">
      <c r="A16" s="2" t="s">
        <v>325</v>
      </c>
      <c r="B16" s="2"/>
      <c r="D16" s="9">
        <v>27783</v>
      </c>
      <c r="E16" s="9"/>
      <c r="F16" s="456">
        <f t="shared" ref="F16:F20" si="0">ROUND(D16/$D$22,5)</f>
        <v>7.3810000000000001E-2</v>
      </c>
      <c r="H16" s="341"/>
    </row>
    <row r="17" spans="1:8" ht="13.35" customHeight="1" x14ac:dyDescent="0.25">
      <c r="A17" s="2" t="s">
        <v>194</v>
      </c>
      <c r="B17" s="2"/>
      <c r="D17" s="9">
        <v>455.5</v>
      </c>
      <c r="E17" s="9"/>
      <c r="F17" s="456">
        <f t="shared" si="0"/>
        <v>1.2099999999999999E-3</v>
      </c>
      <c r="H17" s="341"/>
    </row>
    <row r="18" spans="1:8" ht="13.35" customHeight="1" x14ac:dyDescent="0.25">
      <c r="A18" s="2" t="s">
        <v>195</v>
      </c>
      <c r="B18" s="2"/>
      <c r="D18" s="9">
        <v>2115</v>
      </c>
      <c r="E18" s="9"/>
      <c r="F18" s="456">
        <f t="shared" si="0"/>
        <v>5.62E-3</v>
      </c>
      <c r="H18" s="341"/>
    </row>
    <row r="19" spans="1:8" ht="13.35" customHeight="1" x14ac:dyDescent="0.25">
      <c r="A19" s="2" t="s">
        <v>103</v>
      </c>
      <c r="B19" s="2"/>
      <c r="D19" s="9">
        <v>73</v>
      </c>
      <c r="E19" s="9"/>
      <c r="F19" s="457">
        <f t="shared" si="0"/>
        <v>1.9000000000000001E-4</v>
      </c>
      <c r="H19" s="302"/>
    </row>
    <row r="20" spans="1:8" ht="13.35" hidden="1" customHeight="1" x14ac:dyDescent="0.25">
      <c r="A20" s="2" t="s">
        <v>197</v>
      </c>
      <c r="B20" s="2"/>
      <c r="D20" s="123">
        <v>0</v>
      </c>
      <c r="E20" s="9"/>
      <c r="F20" s="456">
        <f t="shared" si="0"/>
        <v>0</v>
      </c>
      <c r="H20" s="2"/>
    </row>
    <row r="21" spans="1:8" x14ac:dyDescent="0.25">
      <c r="A21" s="2"/>
      <c r="B21" s="2"/>
      <c r="D21" s="5"/>
      <c r="E21" s="9"/>
      <c r="F21" s="156"/>
      <c r="H21" s="2"/>
    </row>
    <row r="22" spans="1:8" ht="15.6" thickBot="1" x14ac:dyDescent="0.3">
      <c r="A22" s="2" t="s">
        <v>199</v>
      </c>
      <c r="B22" s="2"/>
      <c r="D22" s="9">
        <f>SUM(D15:D21)</f>
        <v>376389</v>
      </c>
      <c r="E22" s="9"/>
      <c r="F22" s="527">
        <f>SUM(F15:F21)</f>
        <v>1</v>
      </c>
      <c r="H22" s="302"/>
    </row>
    <row r="23" spans="1:8" ht="15.6" thickTop="1" x14ac:dyDescent="0.25">
      <c r="A23" s="2"/>
      <c r="B23" s="2"/>
      <c r="D23" s="7"/>
      <c r="E23" s="9"/>
      <c r="F23" s="156"/>
      <c r="H23" s="2"/>
    </row>
    <row r="24" spans="1:8" x14ac:dyDescent="0.25">
      <c r="A24" s="2"/>
      <c r="B24" s="2"/>
      <c r="D24" s="2"/>
      <c r="E24" s="2"/>
      <c r="F24" s="2"/>
      <c r="H24" s="2"/>
    </row>
    <row r="25" spans="1:8" x14ac:dyDescent="0.25">
      <c r="A25" s="2"/>
      <c r="B25" s="2"/>
      <c r="D25" s="9"/>
      <c r="E25" s="9"/>
      <c r="F25" s="2"/>
      <c r="H25" s="2"/>
    </row>
    <row r="26" spans="1:8" x14ac:dyDescent="0.25">
      <c r="A26" s="2" t="s">
        <v>101</v>
      </c>
      <c r="B26" s="2"/>
      <c r="D26" s="2"/>
      <c r="E26" s="2"/>
      <c r="F26" s="2"/>
      <c r="H26" s="2"/>
    </row>
    <row r="27" spans="1:8" x14ac:dyDescent="0.25">
      <c r="A27" s="2"/>
      <c r="B27" s="2"/>
      <c r="D27" s="2"/>
      <c r="E27" s="2"/>
      <c r="F27" s="2"/>
      <c r="H27" s="2"/>
    </row>
    <row r="28" spans="1:8" hidden="1" x14ac:dyDescent="0.25">
      <c r="A28" s="2" t="s">
        <v>362</v>
      </c>
      <c r="B28" s="2"/>
      <c r="D28" s="2"/>
      <c r="E28" s="2"/>
      <c r="F28" s="2"/>
      <c r="H28" s="2"/>
    </row>
    <row r="29" spans="1:8" hidden="1" x14ac:dyDescent="0.25">
      <c r="A29" s="2"/>
      <c r="B29" s="2"/>
      <c r="D29" s="2"/>
      <c r="E29" s="2"/>
      <c r="F29" s="2"/>
      <c r="H29" s="2"/>
    </row>
    <row r="30" spans="1:8" hidden="1" x14ac:dyDescent="0.25">
      <c r="A30" s="1" t="s">
        <v>233</v>
      </c>
      <c r="B30" s="1"/>
      <c r="D30" s="11" t="s">
        <v>363</v>
      </c>
      <c r="E30" s="11"/>
      <c r="F30" s="11" t="s">
        <v>186</v>
      </c>
      <c r="H30" s="2"/>
    </row>
    <row r="31" spans="1:8" hidden="1" x14ac:dyDescent="0.25">
      <c r="A31" s="1" t="s">
        <v>187</v>
      </c>
      <c r="B31" s="1"/>
      <c r="D31" s="11" t="s">
        <v>361</v>
      </c>
      <c r="E31" s="11"/>
      <c r="F31" s="11" t="s">
        <v>188</v>
      </c>
      <c r="H31" s="2"/>
    </row>
    <row r="32" spans="1:8" hidden="1" x14ac:dyDescent="0.25">
      <c r="A32" s="3" t="s">
        <v>189</v>
      </c>
      <c r="B32" s="3"/>
      <c r="D32" s="129" t="s">
        <v>208</v>
      </c>
      <c r="E32" s="122"/>
      <c r="F32" s="129" t="s">
        <v>191</v>
      </c>
      <c r="H32" s="2"/>
    </row>
    <row r="33" spans="1:8" ht="12.75" hidden="1" customHeight="1" x14ac:dyDescent="0.25">
      <c r="A33" s="2"/>
      <c r="B33" s="2"/>
      <c r="D33" s="2"/>
      <c r="E33" s="2"/>
      <c r="F33" s="2"/>
      <c r="H33" s="2"/>
    </row>
    <row r="34" spans="1:8" ht="13.35" hidden="1" customHeight="1" x14ac:dyDescent="0.25">
      <c r="A34" s="2" t="s">
        <v>192</v>
      </c>
      <c r="B34" s="2"/>
      <c r="D34" s="9">
        <f>D15</f>
        <v>345962.5</v>
      </c>
      <c r="E34" s="9"/>
      <c r="F34" s="455">
        <f>ROUND(D34/$D$40,45)</f>
        <v>0.919162090284254</v>
      </c>
      <c r="H34" s="2"/>
    </row>
    <row r="35" spans="1:8" ht="13.35" hidden="1" customHeight="1" x14ac:dyDescent="0.25">
      <c r="A35" s="2" t="s">
        <v>325</v>
      </c>
      <c r="B35" s="2"/>
      <c r="D35" s="9">
        <f>D16</f>
        <v>27783</v>
      </c>
      <c r="E35" s="9"/>
      <c r="F35" s="455">
        <f>ROUND(D35/$D$40,45)</f>
        <v>7.3814590755840404E-2</v>
      </c>
      <c r="H35" s="2"/>
    </row>
    <row r="36" spans="1:8" ht="13.35" hidden="1" customHeight="1" x14ac:dyDescent="0.25">
      <c r="A36" s="2" t="s">
        <v>194</v>
      </c>
      <c r="B36" s="2"/>
      <c r="D36" s="9">
        <f>D17</f>
        <v>455.5</v>
      </c>
      <c r="E36" s="9"/>
      <c r="F36" s="455">
        <f>ROUND(D36/$D$40,45)</f>
        <v>1.21018414459509E-3</v>
      </c>
      <c r="H36" s="2"/>
    </row>
    <row r="37" spans="1:8" ht="13.35" hidden="1" customHeight="1" x14ac:dyDescent="0.25">
      <c r="A37" s="2" t="s">
        <v>195</v>
      </c>
      <c r="B37" s="2"/>
      <c r="D37" s="9">
        <f>D18</f>
        <v>2115</v>
      </c>
      <c r="E37" s="9"/>
      <c r="F37" s="455">
        <f>ROUND(D37/$D$40,45)</f>
        <v>5.6191865330814704E-3</v>
      </c>
      <c r="H37" s="2"/>
    </row>
    <row r="38" spans="1:8" ht="13.35" hidden="1" customHeight="1" x14ac:dyDescent="0.25">
      <c r="A38" s="2" t="s">
        <v>103</v>
      </c>
      <c r="B38" s="2"/>
      <c r="D38" s="9">
        <f>D19</f>
        <v>73</v>
      </c>
      <c r="E38" s="9"/>
      <c r="F38" s="455">
        <f>ROUND(D38/$D$40,45)</f>
        <v>1.9394828222928901E-4</v>
      </c>
      <c r="H38" s="2"/>
    </row>
    <row r="39" spans="1:8" hidden="1" x14ac:dyDescent="0.25">
      <c r="A39" s="2"/>
      <c r="B39" s="2"/>
      <c r="D39" s="5"/>
      <c r="E39" s="9"/>
      <c r="F39" s="6"/>
      <c r="H39" s="2"/>
    </row>
    <row r="40" spans="1:8" ht="15.6" hidden="1" thickBot="1" x14ac:dyDescent="0.3">
      <c r="A40" s="2" t="s">
        <v>199</v>
      </c>
      <c r="B40" s="2"/>
      <c r="D40" s="158">
        <f>SUM(D34:D39)</f>
        <v>376389</v>
      </c>
      <c r="E40" s="9"/>
      <c r="F40" s="455">
        <f>SUM(F34:F39)</f>
        <v>1.0000000000000002</v>
      </c>
      <c r="H40" s="2"/>
    </row>
    <row r="41" spans="1:8" ht="15.6" hidden="1" thickTop="1" x14ac:dyDescent="0.25">
      <c r="D41" s="180"/>
      <c r="F41" s="14"/>
    </row>
  </sheetData>
  <mergeCells count="1">
    <mergeCell ref="A9:F9"/>
  </mergeCells>
  <phoneticPr fontId="13" type="noConversion"/>
  <printOptions horizontalCentered="1"/>
  <pageMargins left="1" right="1" top="1" bottom="0.5" header="0.5" footer="0.5"/>
  <pageSetup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sheetPr>
  <dimension ref="A1:W157"/>
  <sheetViews>
    <sheetView zoomScaleNormal="100" workbookViewId="0">
      <selection activeCell="L153" sqref="L153"/>
    </sheetView>
  </sheetViews>
  <sheetFormatPr defaultColWidth="9.81640625" defaultRowHeight="15" x14ac:dyDescent="0.25"/>
  <cols>
    <col min="1" max="1" width="7.81640625" style="37" customWidth="1"/>
    <col min="2" max="2" width="10.453125" style="37" customWidth="1"/>
    <col min="3" max="3" width="12.81640625" style="37" customWidth="1"/>
    <col min="4" max="4" width="11.81640625" style="37" customWidth="1"/>
    <col min="5" max="5" width="13" style="37" customWidth="1"/>
    <col min="6" max="6" width="11.81640625" style="37" customWidth="1"/>
    <col min="7" max="7" width="9.81640625" style="37" customWidth="1"/>
    <col min="8" max="9" width="7.81640625" style="37" customWidth="1"/>
    <col min="10" max="10" width="14.81640625" style="37" customWidth="1"/>
    <col min="11" max="11" width="10.81640625" style="37" customWidth="1"/>
    <col min="12" max="12" width="14.81640625" style="37" customWidth="1"/>
    <col min="13" max="13" width="8.81640625" style="37" customWidth="1"/>
    <col min="14" max="14" width="6.81640625" style="37" customWidth="1"/>
    <col min="15" max="15" width="9.81640625" style="37" customWidth="1"/>
    <col min="16" max="17" width="7.81640625" style="37" customWidth="1"/>
    <col min="18" max="18" width="14.81640625" style="37" customWidth="1"/>
    <col min="19" max="19" width="10.81640625" style="37" customWidth="1"/>
    <col min="20" max="20" width="14.81640625" style="37" customWidth="1"/>
    <col min="21" max="21" width="8.81640625" style="37" customWidth="1"/>
    <col min="22" max="22" width="5.81640625" style="37" customWidth="1"/>
    <col min="23" max="16384" width="9.81640625" style="37"/>
  </cols>
  <sheetData>
    <row r="1" spans="1:23" x14ac:dyDescent="0.25">
      <c r="A1" s="36" t="s">
        <v>51</v>
      </c>
      <c r="B1" s="1"/>
      <c r="C1" s="1"/>
      <c r="D1" s="1"/>
      <c r="E1" s="1"/>
      <c r="F1" s="1"/>
      <c r="G1" s="2"/>
      <c r="H1" s="2"/>
      <c r="I1" s="2"/>
      <c r="J1" s="2"/>
      <c r="K1" s="2"/>
      <c r="L1" s="2"/>
      <c r="M1" s="2"/>
      <c r="N1" s="2"/>
      <c r="O1" s="2"/>
      <c r="P1" s="2"/>
      <c r="Q1" s="2"/>
      <c r="R1" s="2"/>
      <c r="S1" s="2"/>
      <c r="T1" s="2"/>
      <c r="U1" s="2"/>
      <c r="V1" s="2"/>
      <c r="W1" s="2"/>
    </row>
    <row r="2" spans="1:23" x14ac:dyDescent="0.25">
      <c r="A2" s="36"/>
      <c r="B2" s="1"/>
      <c r="C2" s="1"/>
      <c r="D2" s="1"/>
      <c r="E2" s="1"/>
      <c r="F2" s="1"/>
      <c r="G2" s="2"/>
      <c r="H2" s="2"/>
      <c r="I2" s="2"/>
      <c r="J2" s="2"/>
      <c r="K2" s="2"/>
      <c r="L2" s="2"/>
      <c r="M2" s="2"/>
      <c r="N2" s="2"/>
      <c r="O2" s="2"/>
      <c r="P2" s="2"/>
      <c r="Q2" s="2"/>
      <c r="R2" s="2"/>
      <c r="S2" s="2"/>
      <c r="T2" s="2"/>
      <c r="U2" s="2"/>
      <c r="V2" s="2"/>
      <c r="W2" s="2"/>
    </row>
    <row r="3" spans="1:23" x14ac:dyDescent="0.25">
      <c r="A3" s="1"/>
      <c r="B3" s="1"/>
      <c r="C3" s="1"/>
      <c r="D3" s="1"/>
      <c r="E3" s="1"/>
      <c r="F3" s="1"/>
      <c r="G3" s="2"/>
      <c r="H3" s="2"/>
      <c r="I3" s="2"/>
      <c r="J3" s="2"/>
      <c r="K3" s="2"/>
      <c r="L3" s="2"/>
      <c r="M3" s="2"/>
      <c r="N3" s="2"/>
      <c r="O3" s="2"/>
      <c r="P3" s="2"/>
      <c r="Q3" s="2"/>
      <c r="R3" s="2"/>
      <c r="S3" s="2"/>
      <c r="T3" s="2"/>
      <c r="U3" s="2"/>
      <c r="V3" s="2"/>
      <c r="W3" s="2"/>
    </row>
    <row r="4" spans="1:23" x14ac:dyDescent="0.25">
      <c r="A4" s="1" t="s">
        <v>215</v>
      </c>
      <c r="B4" s="1"/>
      <c r="C4" s="1"/>
      <c r="D4" s="1"/>
      <c r="E4" s="1"/>
      <c r="F4" s="1"/>
      <c r="G4" s="2"/>
      <c r="H4" s="2"/>
      <c r="I4" s="2"/>
      <c r="J4" s="2"/>
      <c r="K4" s="2"/>
      <c r="L4" s="2"/>
      <c r="M4" s="2"/>
      <c r="N4" s="2"/>
      <c r="O4" s="2"/>
      <c r="P4" s="2"/>
      <c r="Q4" s="2"/>
      <c r="R4" s="2"/>
      <c r="S4" s="2"/>
      <c r="T4" s="2"/>
      <c r="U4" s="2"/>
      <c r="V4" s="2"/>
      <c r="W4" s="2"/>
    </row>
    <row r="5" spans="1:23" x14ac:dyDescent="0.25">
      <c r="A5" s="2"/>
      <c r="B5" s="2"/>
      <c r="C5" s="2"/>
      <c r="D5" s="2"/>
      <c r="E5" s="2"/>
      <c r="F5" s="2"/>
      <c r="G5" s="2"/>
      <c r="H5" s="2"/>
      <c r="I5" s="2"/>
      <c r="J5" s="2"/>
      <c r="K5" s="2"/>
      <c r="L5" s="2"/>
      <c r="M5" s="2"/>
      <c r="N5" s="2"/>
      <c r="O5" s="2"/>
      <c r="P5" s="2"/>
      <c r="Q5" s="2"/>
      <c r="R5" s="2"/>
      <c r="S5" s="2"/>
      <c r="T5" s="2"/>
      <c r="U5" s="2"/>
      <c r="V5" s="2"/>
      <c r="W5" s="2"/>
    </row>
    <row r="6" spans="1:23" x14ac:dyDescent="0.25">
      <c r="A6" s="2"/>
      <c r="B6" s="2"/>
      <c r="C6" s="2"/>
      <c r="D6" s="2"/>
      <c r="E6" s="2"/>
      <c r="F6" s="2"/>
      <c r="G6" s="2"/>
      <c r="H6" s="2"/>
      <c r="I6" s="2"/>
      <c r="J6" s="2"/>
      <c r="K6" s="2"/>
      <c r="L6" s="2"/>
      <c r="M6" s="2"/>
      <c r="N6" s="2"/>
      <c r="O6" s="2"/>
      <c r="P6" s="2"/>
      <c r="Q6" s="2"/>
      <c r="R6" s="2"/>
      <c r="S6" s="2"/>
      <c r="T6" s="2"/>
      <c r="U6" s="2"/>
      <c r="V6" s="2"/>
      <c r="W6" s="2"/>
    </row>
    <row r="7" spans="1:23" x14ac:dyDescent="0.25">
      <c r="A7" s="2" t="s">
        <v>347</v>
      </c>
      <c r="B7" s="2"/>
      <c r="C7" s="2"/>
      <c r="D7" s="2"/>
      <c r="E7" s="2"/>
      <c r="F7" s="2"/>
      <c r="G7" s="2"/>
      <c r="H7" s="2"/>
      <c r="I7" s="2"/>
      <c r="J7" s="2"/>
      <c r="K7" s="2"/>
      <c r="L7" s="2"/>
      <c r="M7" s="2"/>
      <c r="N7" s="2"/>
      <c r="O7" s="2"/>
      <c r="P7" s="2"/>
      <c r="Q7" s="2"/>
      <c r="R7" s="2"/>
      <c r="S7" s="2"/>
      <c r="T7" s="2"/>
      <c r="U7" s="2"/>
      <c r="V7" s="2"/>
      <c r="W7" s="2"/>
    </row>
    <row r="8" spans="1:23" x14ac:dyDescent="0.25">
      <c r="A8" s="2"/>
      <c r="B8" s="2"/>
      <c r="C8" s="2"/>
      <c r="D8" s="2"/>
      <c r="E8" s="2"/>
      <c r="F8" s="2"/>
      <c r="G8" s="2"/>
      <c r="H8" s="2"/>
      <c r="I8" s="2"/>
      <c r="J8" s="2"/>
      <c r="K8" s="2"/>
      <c r="L8" s="2"/>
      <c r="M8" s="2"/>
      <c r="N8" s="2"/>
      <c r="O8" s="2"/>
      <c r="P8" s="2"/>
      <c r="Q8" s="2"/>
      <c r="R8" s="2"/>
      <c r="S8" s="2"/>
      <c r="T8" s="2"/>
      <c r="U8" s="2"/>
      <c r="V8" s="2"/>
      <c r="W8" s="2"/>
    </row>
    <row r="9" spans="1:23" x14ac:dyDescent="0.25">
      <c r="A9" s="2"/>
      <c r="B9" s="2"/>
      <c r="C9" s="2"/>
      <c r="D9" s="2"/>
      <c r="E9" s="2"/>
      <c r="F9" s="2"/>
      <c r="G9" s="2"/>
      <c r="H9" s="2"/>
      <c r="I9" s="2"/>
      <c r="J9" s="2"/>
      <c r="K9" s="2"/>
      <c r="L9" s="2"/>
      <c r="M9" s="2"/>
      <c r="N9" s="2"/>
      <c r="O9" s="2"/>
      <c r="P9" s="2"/>
      <c r="Q9" s="2"/>
      <c r="R9" s="2"/>
      <c r="S9" s="2"/>
      <c r="T9" s="2"/>
      <c r="U9" s="2"/>
      <c r="V9" s="2"/>
      <c r="W9" s="2"/>
    </row>
    <row r="10" spans="1:23" ht="29.25" customHeight="1" x14ac:dyDescent="0.25">
      <c r="A10" s="744" t="s">
        <v>442</v>
      </c>
      <c r="B10" s="744"/>
      <c r="C10" s="744"/>
      <c r="D10" s="744"/>
      <c r="E10" s="744"/>
      <c r="F10" s="744"/>
      <c r="G10" s="2"/>
      <c r="H10" s="2"/>
      <c r="I10" s="2"/>
      <c r="J10" s="2"/>
      <c r="K10" s="2"/>
      <c r="L10" s="2"/>
      <c r="M10" s="2"/>
      <c r="N10" s="2"/>
      <c r="O10" s="2"/>
      <c r="P10" s="2"/>
      <c r="Q10" s="2"/>
      <c r="R10" s="2"/>
      <c r="S10" s="2"/>
      <c r="T10" s="2"/>
      <c r="U10" s="2"/>
      <c r="V10" s="2"/>
      <c r="W10" s="2"/>
    </row>
    <row r="11" spans="1:23" x14ac:dyDescent="0.25">
      <c r="A11" s="2"/>
      <c r="B11" s="2"/>
      <c r="C11" s="2"/>
      <c r="D11" s="2"/>
      <c r="E11" s="2"/>
      <c r="F11" s="2"/>
      <c r="G11" s="2"/>
      <c r="H11" s="2"/>
      <c r="I11" s="2"/>
      <c r="J11" s="2"/>
      <c r="K11" s="2"/>
      <c r="L11" s="2"/>
      <c r="M11" s="2"/>
      <c r="N11" s="2"/>
      <c r="O11" s="2"/>
      <c r="P11" s="2"/>
      <c r="Q11" s="2"/>
      <c r="R11" s="2"/>
      <c r="S11" s="2"/>
      <c r="T11" s="2"/>
      <c r="U11" s="2"/>
      <c r="V11" s="2"/>
      <c r="W11" s="2"/>
    </row>
    <row r="12" spans="1:23" x14ac:dyDescent="0.25">
      <c r="A12" s="2"/>
      <c r="B12" s="2"/>
      <c r="C12" s="2"/>
      <c r="D12" s="2"/>
      <c r="E12" s="2"/>
      <c r="F12" s="2"/>
      <c r="G12" s="2"/>
      <c r="H12" s="2"/>
      <c r="I12" s="2"/>
      <c r="J12" s="2"/>
      <c r="K12" s="2"/>
      <c r="L12" s="2"/>
      <c r="M12" s="2"/>
      <c r="N12" s="2"/>
      <c r="O12" s="2"/>
      <c r="P12" s="2"/>
      <c r="Q12" s="2"/>
      <c r="R12" s="2"/>
      <c r="S12" s="2"/>
      <c r="T12" s="2"/>
      <c r="U12" s="2"/>
      <c r="V12" s="2"/>
      <c r="W12" s="2"/>
    </row>
    <row r="13" spans="1:23" x14ac:dyDescent="0.25">
      <c r="A13" s="2"/>
      <c r="B13" s="2"/>
      <c r="C13" s="2"/>
      <c r="D13" s="11" t="s">
        <v>379</v>
      </c>
      <c r="E13" s="11"/>
      <c r="F13" s="11"/>
      <c r="G13" s="2"/>
      <c r="H13" s="2"/>
      <c r="I13" s="2"/>
      <c r="J13" s="2"/>
      <c r="K13" s="2"/>
      <c r="L13" s="2"/>
      <c r="M13" s="2"/>
      <c r="N13" s="2"/>
      <c r="O13" s="2"/>
      <c r="P13" s="2"/>
      <c r="Q13" s="2"/>
      <c r="R13" s="2"/>
      <c r="S13" s="2"/>
      <c r="T13" s="2"/>
      <c r="U13" s="2"/>
      <c r="V13" s="2"/>
      <c r="W13" s="2"/>
    </row>
    <row r="14" spans="1:23" x14ac:dyDescent="0.25">
      <c r="A14" s="1" t="s">
        <v>184</v>
      </c>
      <c r="B14" s="36"/>
      <c r="C14" s="2"/>
      <c r="D14" s="11" t="s">
        <v>375</v>
      </c>
      <c r="E14" s="11"/>
      <c r="F14" s="11" t="s">
        <v>186</v>
      </c>
      <c r="G14" s="2"/>
      <c r="H14" s="2"/>
      <c r="I14" s="2"/>
      <c r="J14" s="2"/>
      <c r="K14" s="2"/>
      <c r="L14" s="2"/>
      <c r="M14" s="2"/>
      <c r="N14" s="2"/>
      <c r="O14" s="2"/>
      <c r="P14" s="2"/>
      <c r="Q14" s="2"/>
      <c r="R14" s="2"/>
      <c r="S14" s="2"/>
      <c r="T14" s="2"/>
      <c r="U14" s="2"/>
      <c r="V14" s="2"/>
      <c r="W14" s="2"/>
    </row>
    <row r="15" spans="1:23" x14ac:dyDescent="0.25">
      <c r="A15" s="1" t="s">
        <v>187</v>
      </c>
      <c r="B15" s="36"/>
      <c r="C15" s="2"/>
      <c r="D15" s="11" t="s">
        <v>369</v>
      </c>
      <c r="E15" s="11"/>
      <c r="F15" s="11" t="s">
        <v>188</v>
      </c>
      <c r="G15" s="2"/>
      <c r="H15" s="2"/>
      <c r="I15" s="2"/>
      <c r="J15" s="2"/>
      <c r="K15" s="2"/>
      <c r="L15" s="2"/>
      <c r="M15" s="2"/>
      <c r="N15" s="2"/>
      <c r="O15" s="2"/>
      <c r="P15" s="2"/>
      <c r="Q15" s="2"/>
      <c r="R15" s="2"/>
      <c r="S15" s="2"/>
      <c r="T15" s="2"/>
      <c r="U15" s="2"/>
      <c r="V15" s="2"/>
      <c r="W15" s="2"/>
    </row>
    <row r="16" spans="1:23" x14ac:dyDescent="0.25">
      <c r="A16" s="3" t="s">
        <v>189</v>
      </c>
      <c r="B16" s="125"/>
      <c r="C16" s="2"/>
      <c r="D16" s="10" t="s">
        <v>208</v>
      </c>
      <c r="E16" s="11" t="s">
        <v>305</v>
      </c>
      <c r="F16" s="10" t="s">
        <v>191</v>
      </c>
      <c r="G16" s="2"/>
      <c r="H16" s="2"/>
      <c r="I16" s="2"/>
      <c r="J16" s="2"/>
      <c r="K16" s="2"/>
      <c r="L16" s="2"/>
      <c r="M16" s="2"/>
      <c r="N16" s="2"/>
      <c r="O16" s="2"/>
      <c r="P16" s="2"/>
      <c r="Q16" s="2"/>
      <c r="R16" s="2"/>
      <c r="S16" s="2"/>
      <c r="T16" s="2"/>
      <c r="U16" s="2"/>
      <c r="V16" s="2"/>
      <c r="W16" s="2"/>
    </row>
    <row r="17" spans="1:23" ht="12.75" customHeight="1" x14ac:dyDescent="0.25">
      <c r="A17" s="2"/>
      <c r="C17" s="2"/>
      <c r="D17" s="2"/>
      <c r="E17" s="2"/>
      <c r="F17" s="126"/>
      <c r="G17" s="2"/>
      <c r="H17" s="2"/>
      <c r="I17" s="2"/>
      <c r="J17" s="2"/>
      <c r="K17" s="2"/>
      <c r="L17" s="2"/>
      <c r="M17" s="2"/>
      <c r="N17" s="2"/>
      <c r="O17" s="2"/>
      <c r="P17" s="2"/>
      <c r="Q17" s="2"/>
      <c r="R17" s="2"/>
      <c r="S17" s="2"/>
      <c r="T17" s="2"/>
      <c r="U17" s="2"/>
      <c r="V17" s="2"/>
      <c r="W17" s="2"/>
    </row>
    <row r="18" spans="1:23" ht="13.35" customHeight="1" x14ac:dyDescent="0.25">
      <c r="A18" s="2" t="s">
        <v>192</v>
      </c>
      <c r="C18" s="2"/>
      <c r="D18" s="218">
        <f>+'SCH-B - COS'!K299</f>
        <v>7977789.6017138883</v>
      </c>
      <c r="E18" s="2"/>
      <c r="F18" s="168">
        <f>+'SCH-B - COS'!K300</f>
        <v>0.5605</v>
      </c>
      <c r="G18" s="2"/>
      <c r="H18" s="2"/>
      <c r="I18" s="2"/>
      <c r="J18" s="2"/>
      <c r="K18" s="2"/>
      <c r="L18" s="2"/>
      <c r="M18" s="2"/>
      <c r="N18" s="2"/>
      <c r="O18" s="2"/>
      <c r="P18" s="2"/>
      <c r="Q18" s="2"/>
      <c r="R18" s="2"/>
      <c r="S18" s="2"/>
      <c r="T18" s="2"/>
      <c r="U18" s="2"/>
      <c r="V18" s="2"/>
      <c r="W18" s="2"/>
    </row>
    <row r="19" spans="1:23" ht="13.35" customHeight="1" x14ac:dyDescent="0.25">
      <c r="A19" s="2" t="s">
        <v>325</v>
      </c>
      <c r="C19" s="2"/>
      <c r="D19" s="9">
        <f>+'SCH-B - COS'!M299</f>
        <v>2907698.6078914874</v>
      </c>
      <c r="E19" s="2"/>
      <c r="F19" s="126">
        <f>+'SCH-B - COS'!M300</f>
        <v>0.20430000000000001</v>
      </c>
      <c r="G19" s="2"/>
      <c r="H19" s="2"/>
      <c r="I19" s="2"/>
      <c r="J19" s="2"/>
      <c r="K19" s="2"/>
      <c r="L19" s="2"/>
      <c r="M19" s="2"/>
      <c r="N19" s="2"/>
      <c r="O19" s="2"/>
      <c r="P19" s="2"/>
      <c r="Q19" s="2"/>
      <c r="R19" s="2"/>
      <c r="S19" s="2"/>
      <c r="T19" s="2"/>
      <c r="U19" s="2"/>
      <c r="V19" s="2"/>
      <c r="W19" s="2"/>
    </row>
    <row r="20" spans="1:23" ht="13.35" customHeight="1" x14ac:dyDescent="0.25">
      <c r="A20" s="2" t="s">
        <v>194</v>
      </c>
      <c r="C20" s="2"/>
      <c r="D20" s="9">
        <f>+'SCH-B - COS'!O299</f>
        <v>903195.89652379241</v>
      </c>
      <c r="E20" s="2"/>
      <c r="F20" s="126">
        <f>+'SCH-B - COS'!O300</f>
        <v>6.3399999999999998E-2</v>
      </c>
      <c r="G20" s="2"/>
      <c r="H20" s="2"/>
      <c r="I20" s="2"/>
      <c r="J20" s="2"/>
      <c r="K20" s="2"/>
      <c r="L20" s="2"/>
      <c r="M20" s="2"/>
      <c r="N20" s="2"/>
      <c r="O20" s="2"/>
      <c r="P20" s="2"/>
      <c r="Q20" s="2"/>
      <c r="R20" s="2"/>
      <c r="S20" s="2"/>
      <c r="T20" s="2"/>
      <c r="U20" s="2"/>
      <c r="V20" s="2"/>
      <c r="W20" s="2"/>
    </row>
    <row r="21" spans="1:23" ht="13.35" customHeight="1" x14ac:dyDescent="0.25">
      <c r="A21" s="2" t="s">
        <v>195</v>
      </c>
      <c r="C21" s="2"/>
      <c r="D21" s="9">
        <f>+'SCH-B - COS'!Q299</f>
        <v>470056.34769067477</v>
      </c>
      <c r="E21" s="2"/>
      <c r="F21" s="126">
        <f>+'SCH-B - COS'!Q300</f>
        <v>3.3000000000000002E-2</v>
      </c>
      <c r="G21" s="2"/>
      <c r="H21" s="2"/>
      <c r="I21" s="2"/>
      <c r="J21" s="2"/>
      <c r="K21" s="2"/>
      <c r="L21" s="2"/>
      <c r="M21" s="2"/>
      <c r="N21" s="2"/>
      <c r="O21" s="2"/>
      <c r="P21" s="2"/>
      <c r="Q21" s="2"/>
      <c r="R21" s="2"/>
      <c r="S21" s="2"/>
      <c r="T21" s="2"/>
      <c r="U21" s="2"/>
      <c r="V21" s="2"/>
      <c r="W21" s="2"/>
    </row>
    <row r="22" spans="1:23" ht="13.35" customHeight="1" x14ac:dyDescent="0.25">
      <c r="A22" s="2" t="s">
        <v>103</v>
      </c>
      <c r="C22" s="2"/>
      <c r="D22" s="9">
        <f>+'SCH-B - COS'!S299</f>
        <v>369002.30759968347</v>
      </c>
      <c r="E22" s="2"/>
      <c r="F22" s="126">
        <f>+'SCH-B - COS'!S300</f>
        <v>2.5899999999999999E-2</v>
      </c>
      <c r="G22" s="2"/>
      <c r="H22" s="2"/>
      <c r="I22" s="2"/>
      <c r="J22" s="2"/>
      <c r="K22" s="2"/>
      <c r="L22" s="2"/>
      <c r="M22" s="2"/>
      <c r="N22" s="2"/>
      <c r="O22" s="2"/>
      <c r="P22" s="2"/>
      <c r="Q22" s="2"/>
      <c r="R22" s="2"/>
      <c r="S22" s="2"/>
      <c r="T22" s="2"/>
      <c r="U22" s="2"/>
      <c r="V22" s="2"/>
      <c r="W22" s="2"/>
    </row>
    <row r="23" spans="1:23" ht="13.35" customHeight="1" x14ac:dyDescent="0.25">
      <c r="A23" s="2" t="s">
        <v>232</v>
      </c>
      <c r="C23" s="2"/>
      <c r="D23" s="9">
        <f>+'SCH-B - COS'!W299</f>
        <v>1607695.5321905443</v>
      </c>
      <c r="E23" s="2"/>
      <c r="F23" s="126">
        <f>+'SCH-B - COS'!W300</f>
        <v>0.1129</v>
      </c>
      <c r="G23" s="2"/>
      <c r="H23" s="2"/>
      <c r="I23" s="2"/>
      <c r="J23" s="2"/>
      <c r="K23" s="2"/>
      <c r="L23" s="2"/>
      <c r="M23" s="2"/>
      <c r="N23" s="2"/>
      <c r="O23" s="2"/>
      <c r="P23" s="2"/>
      <c r="Q23" s="2"/>
      <c r="R23" s="2"/>
      <c r="S23" s="2"/>
      <c r="T23" s="2"/>
      <c r="U23" s="2"/>
      <c r="V23" s="2"/>
      <c r="W23" s="2"/>
    </row>
    <row r="24" spans="1:23" x14ac:dyDescent="0.25">
      <c r="A24" s="2"/>
      <c r="C24" s="2"/>
      <c r="D24" s="5"/>
      <c r="E24" s="2"/>
      <c r="F24" s="6"/>
      <c r="G24" s="2"/>
      <c r="H24" s="2"/>
      <c r="I24" s="2"/>
      <c r="J24" s="2"/>
      <c r="K24" s="2"/>
      <c r="L24" s="2"/>
      <c r="M24" s="2"/>
      <c r="N24" s="2"/>
      <c r="O24" s="2"/>
      <c r="P24" s="2"/>
      <c r="Q24" s="2"/>
      <c r="R24" s="2"/>
      <c r="S24" s="2"/>
      <c r="T24" s="2"/>
      <c r="U24" s="2"/>
      <c r="V24" s="2"/>
      <c r="W24" s="2"/>
    </row>
    <row r="25" spans="1:23" ht="15.6" thickBot="1" x14ac:dyDescent="0.3">
      <c r="A25" s="2" t="s">
        <v>199</v>
      </c>
      <c r="C25" s="2"/>
      <c r="D25" s="219">
        <f>SUM(D18:D24)</f>
        <v>14235438.293610072</v>
      </c>
      <c r="E25" s="2"/>
      <c r="F25" s="159">
        <f>SUM(F18:F24)</f>
        <v>1</v>
      </c>
      <c r="G25" s="2"/>
      <c r="H25" s="2"/>
      <c r="I25" s="2"/>
      <c r="J25" s="2"/>
      <c r="K25" s="2"/>
      <c r="L25" s="2"/>
      <c r="M25" s="2"/>
      <c r="N25" s="2"/>
      <c r="O25" s="2"/>
      <c r="P25" s="2"/>
      <c r="Q25" s="2"/>
      <c r="R25" s="2"/>
      <c r="S25" s="2"/>
      <c r="T25" s="2"/>
      <c r="U25" s="2"/>
      <c r="V25" s="2"/>
      <c r="W25" s="2"/>
    </row>
    <row r="26" spans="1:23" ht="15.6" thickTop="1" x14ac:dyDescent="0.25">
      <c r="A26" s="2"/>
      <c r="C26" s="2"/>
      <c r="D26" s="453"/>
      <c r="E26" s="2"/>
      <c r="F26" s="454"/>
      <c r="G26" s="2"/>
      <c r="H26" s="2"/>
      <c r="I26" s="2"/>
      <c r="J26" s="2"/>
      <c r="K26" s="2"/>
      <c r="L26" s="2"/>
      <c r="M26" s="2"/>
      <c r="N26" s="2"/>
      <c r="O26" s="2"/>
      <c r="P26" s="2"/>
      <c r="Q26" s="2"/>
      <c r="R26" s="2"/>
      <c r="S26" s="2"/>
      <c r="T26" s="2"/>
      <c r="U26" s="2"/>
      <c r="V26" s="2"/>
      <c r="W26" s="2"/>
    </row>
    <row r="27" spans="1:23" x14ac:dyDescent="0.25">
      <c r="A27" s="2"/>
      <c r="B27" s="2"/>
      <c r="C27" s="2"/>
      <c r="D27" s="161"/>
      <c r="E27" s="13"/>
      <c r="F27" s="156"/>
      <c r="G27" s="2"/>
      <c r="H27" s="2"/>
      <c r="I27" s="2"/>
      <c r="J27" s="2"/>
      <c r="K27" s="2"/>
      <c r="L27" s="2"/>
      <c r="M27" s="2"/>
      <c r="N27" s="2"/>
      <c r="O27" s="2"/>
      <c r="P27" s="2"/>
      <c r="Q27" s="2"/>
      <c r="R27" s="2"/>
      <c r="S27" s="2"/>
      <c r="T27" s="2"/>
      <c r="U27" s="2"/>
      <c r="V27" s="2"/>
      <c r="W27" s="2"/>
    </row>
    <row r="28" spans="1:23" x14ac:dyDescent="0.25">
      <c r="A28" s="2" t="s">
        <v>90</v>
      </c>
      <c r="B28" s="2"/>
      <c r="C28" s="2"/>
      <c r="D28" s="2"/>
      <c r="E28" s="2"/>
      <c r="F28" s="2"/>
      <c r="G28" s="2"/>
      <c r="H28" s="2"/>
      <c r="I28" s="2"/>
      <c r="J28" s="2"/>
      <c r="K28" s="2"/>
      <c r="L28" s="2"/>
      <c r="M28" s="2"/>
      <c r="N28" s="2"/>
      <c r="O28" s="2"/>
      <c r="P28" s="2"/>
      <c r="Q28" s="2"/>
      <c r="R28" s="2"/>
      <c r="S28" s="2"/>
      <c r="T28" s="2"/>
      <c r="U28" s="2"/>
      <c r="V28" s="2"/>
      <c r="W28" s="2"/>
    </row>
    <row r="29" spans="1:23" hidden="1" x14ac:dyDescent="0.25">
      <c r="A29" s="2"/>
      <c r="B29" s="2"/>
      <c r="C29" s="2"/>
      <c r="D29" s="2"/>
      <c r="E29" s="2"/>
      <c r="F29" s="2"/>
      <c r="G29" s="2"/>
      <c r="H29" s="2"/>
      <c r="I29" s="2"/>
      <c r="J29" s="2"/>
      <c r="K29" s="2"/>
      <c r="L29" s="2"/>
      <c r="M29" s="2"/>
      <c r="N29" s="2"/>
      <c r="O29" s="2"/>
      <c r="P29" s="2"/>
      <c r="Q29" s="2"/>
      <c r="R29" s="2"/>
      <c r="S29" s="2"/>
      <c r="T29" s="2"/>
      <c r="U29" s="2"/>
      <c r="V29" s="2"/>
      <c r="W29" s="2"/>
    </row>
    <row r="30" spans="1:23" hidden="1" x14ac:dyDescent="0.25">
      <c r="A30" s="2"/>
      <c r="B30" s="2"/>
      <c r="C30" s="2"/>
      <c r="D30" s="2"/>
      <c r="E30" s="2"/>
      <c r="F30" s="2"/>
      <c r="G30" s="2"/>
      <c r="H30" s="2"/>
      <c r="I30" s="2"/>
      <c r="J30" s="2"/>
      <c r="K30" s="2"/>
      <c r="L30" s="2"/>
      <c r="M30" s="2"/>
      <c r="N30" s="2"/>
      <c r="O30" s="2"/>
      <c r="P30" s="2"/>
      <c r="Q30" s="2"/>
      <c r="R30" s="2"/>
      <c r="S30" s="2"/>
      <c r="T30" s="2"/>
      <c r="U30" s="2"/>
      <c r="V30" s="2"/>
      <c r="W30" s="2"/>
    </row>
    <row r="31" spans="1:23" ht="29.25" hidden="1" customHeight="1" x14ac:dyDescent="0.25">
      <c r="A31" s="744" t="s">
        <v>1</v>
      </c>
      <c r="B31" s="744"/>
      <c r="C31" s="744"/>
      <c r="D31" s="744"/>
      <c r="E31" s="744"/>
      <c r="F31" s="744"/>
      <c r="G31" s="2"/>
      <c r="H31" s="2"/>
      <c r="I31" s="2"/>
      <c r="J31" s="2"/>
      <c r="K31" s="2"/>
      <c r="L31" s="2"/>
      <c r="M31" s="2"/>
      <c r="N31" s="2"/>
      <c r="O31" s="2"/>
      <c r="P31" s="2"/>
      <c r="Q31" s="2"/>
      <c r="R31" s="2"/>
      <c r="S31" s="2"/>
      <c r="T31" s="2"/>
      <c r="U31" s="2"/>
      <c r="V31" s="2"/>
      <c r="W31" s="2"/>
    </row>
    <row r="32" spans="1:23" hidden="1" x14ac:dyDescent="0.25">
      <c r="A32" s="2"/>
      <c r="B32" s="2"/>
      <c r="C32" s="2"/>
      <c r="D32" s="2"/>
      <c r="E32" s="2"/>
      <c r="F32" s="2"/>
      <c r="G32" s="2"/>
      <c r="H32" s="2"/>
      <c r="I32" s="2"/>
      <c r="J32" s="2"/>
      <c r="K32" s="2"/>
      <c r="L32" s="2"/>
      <c r="M32" s="2"/>
      <c r="N32" s="2"/>
      <c r="O32" s="2"/>
      <c r="P32" s="2"/>
      <c r="Q32" s="2"/>
      <c r="R32" s="2"/>
      <c r="S32" s="2"/>
      <c r="T32" s="2"/>
      <c r="U32" s="2"/>
      <c r="V32" s="2"/>
      <c r="W32" s="2"/>
    </row>
    <row r="33" spans="1:23" hidden="1" x14ac:dyDescent="0.25">
      <c r="A33" s="2"/>
      <c r="B33" s="2"/>
      <c r="C33" s="2"/>
      <c r="D33" s="2"/>
      <c r="E33" s="2"/>
      <c r="F33" s="2"/>
      <c r="G33" s="2"/>
      <c r="H33" s="2"/>
      <c r="I33" s="2"/>
      <c r="J33" s="2"/>
      <c r="K33" s="2"/>
      <c r="L33" s="2"/>
      <c r="M33" s="2"/>
      <c r="N33" s="2"/>
      <c r="O33" s="2"/>
      <c r="P33" s="2"/>
      <c r="Q33" s="2"/>
      <c r="R33" s="2"/>
      <c r="S33" s="2"/>
      <c r="T33" s="2"/>
      <c r="U33" s="2"/>
      <c r="V33" s="2"/>
      <c r="W33" s="2"/>
    </row>
    <row r="34" spans="1:23" hidden="1" x14ac:dyDescent="0.25">
      <c r="A34" s="2"/>
      <c r="B34" s="2"/>
      <c r="C34" s="2"/>
      <c r="D34" s="11" t="s">
        <v>379</v>
      </c>
      <c r="E34" s="11"/>
      <c r="F34" s="11"/>
      <c r="G34" s="2"/>
      <c r="H34" s="2"/>
      <c r="I34" s="2"/>
      <c r="J34" s="2"/>
      <c r="K34" s="2"/>
      <c r="L34" s="2"/>
      <c r="M34" s="2"/>
      <c r="N34" s="2"/>
      <c r="O34" s="2"/>
      <c r="P34" s="2"/>
      <c r="Q34" s="2"/>
      <c r="R34" s="2"/>
      <c r="S34" s="2"/>
      <c r="T34" s="2"/>
      <c r="U34" s="2"/>
      <c r="V34" s="2"/>
      <c r="W34" s="2"/>
    </row>
    <row r="35" spans="1:23" hidden="1" x14ac:dyDescent="0.25">
      <c r="A35" s="1" t="s">
        <v>184</v>
      </c>
      <c r="B35" s="36"/>
      <c r="C35" s="2"/>
      <c r="D35" s="11" t="s">
        <v>375</v>
      </c>
      <c r="E35" s="11"/>
      <c r="F35" s="11" t="s">
        <v>186</v>
      </c>
      <c r="G35" s="2"/>
      <c r="H35" s="2"/>
      <c r="I35" s="2"/>
      <c r="J35" s="2"/>
      <c r="K35" s="2"/>
      <c r="L35" s="2"/>
      <c r="M35" s="2"/>
      <c r="N35" s="2"/>
      <c r="O35" s="2"/>
      <c r="P35" s="2"/>
      <c r="Q35" s="2"/>
      <c r="R35" s="2"/>
      <c r="S35" s="2"/>
      <c r="T35" s="2"/>
      <c r="U35" s="2"/>
      <c r="V35" s="2"/>
      <c r="W35" s="2"/>
    </row>
    <row r="36" spans="1:23" hidden="1" x14ac:dyDescent="0.25">
      <c r="A36" s="1" t="s">
        <v>187</v>
      </c>
      <c r="B36" s="36"/>
      <c r="C36" s="2"/>
      <c r="D36" s="11" t="s">
        <v>369</v>
      </c>
      <c r="E36" s="11"/>
      <c r="F36" s="11" t="s">
        <v>188</v>
      </c>
      <c r="G36" s="2"/>
      <c r="H36" s="2"/>
      <c r="I36" s="2"/>
      <c r="J36" s="2"/>
      <c r="K36" s="2"/>
      <c r="L36" s="2"/>
      <c r="M36" s="2"/>
      <c r="N36" s="2"/>
      <c r="O36" s="2"/>
      <c r="P36" s="2"/>
      <c r="Q36" s="2"/>
      <c r="R36" s="2"/>
      <c r="S36" s="2"/>
      <c r="T36" s="2"/>
      <c r="U36" s="2"/>
      <c r="V36" s="2"/>
      <c r="W36" s="2"/>
    </row>
    <row r="37" spans="1:23" hidden="1" x14ac:dyDescent="0.25">
      <c r="A37" s="3" t="s">
        <v>189</v>
      </c>
      <c r="B37" s="125"/>
      <c r="C37" s="2"/>
      <c r="D37" s="10" t="s">
        <v>208</v>
      </c>
      <c r="E37" s="11" t="s">
        <v>305</v>
      </c>
      <c r="F37" s="10" t="s">
        <v>191</v>
      </c>
      <c r="G37" s="2"/>
      <c r="H37" s="2"/>
      <c r="I37" s="2"/>
      <c r="J37" s="2"/>
      <c r="K37" s="2"/>
      <c r="L37" s="2"/>
      <c r="M37" s="2"/>
      <c r="N37" s="2"/>
      <c r="O37" s="2"/>
      <c r="P37" s="2"/>
      <c r="Q37" s="2"/>
      <c r="R37" s="2"/>
      <c r="S37" s="2"/>
      <c r="T37" s="2"/>
      <c r="U37" s="2"/>
      <c r="V37" s="2"/>
      <c r="W37" s="2"/>
    </row>
    <row r="38" spans="1:23" ht="12.75" hidden="1" customHeight="1" x14ac:dyDescent="0.25">
      <c r="A38" s="2"/>
      <c r="C38" s="2"/>
      <c r="D38" s="2"/>
      <c r="E38" s="2"/>
      <c r="F38" s="126"/>
      <c r="G38" s="2"/>
      <c r="H38" s="2"/>
      <c r="I38" s="2"/>
      <c r="J38" s="2"/>
      <c r="K38" s="2"/>
      <c r="L38" s="2"/>
      <c r="M38" s="2"/>
      <c r="N38" s="2"/>
      <c r="O38" s="2"/>
      <c r="P38" s="2"/>
      <c r="Q38" s="2"/>
      <c r="R38" s="2"/>
      <c r="S38" s="2"/>
      <c r="T38" s="2"/>
      <c r="U38" s="2"/>
      <c r="V38" s="2"/>
      <c r="W38" s="2"/>
    </row>
    <row r="39" spans="1:23" ht="13.35" hidden="1" customHeight="1" x14ac:dyDescent="0.25">
      <c r="A39" s="2" t="s">
        <v>192</v>
      </c>
      <c r="C39" s="2"/>
      <c r="D39" s="218">
        <f>+'SCH-B - COS'!K301</f>
        <v>18100363.987946711</v>
      </c>
      <c r="E39" s="2"/>
      <c r="F39" s="168">
        <f>+'SCH-B - COS'!K302</f>
        <v>0.55159999999999998</v>
      </c>
      <c r="G39" s="2"/>
      <c r="H39" s="2"/>
      <c r="I39" s="2"/>
      <c r="J39" s="2"/>
      <c r="K39" s="2"/>
      <c r="L39" s="2"/>
      <c r="M39" s="2"/>
      <c r="N39" s="2"/>
      <c r="O39" s="2"/>
      <c r="P39" s="2"/>
      <c r="Q39" s="2"/>
      <c r="R39" s="2"/>
      <c r="S39" s="2"/>
      <c r="T39" s="2"/>
      <c r="U39" s="2"/>
      <c r="V39" s="2"/>
      <c r="W39" s="2"/>
    </row>
    <row r="40" spans="1:23" ht="13.35" hidden="1" customHeight="1" x14ac:dyDescent="0.25">
      <c r="A40" s="2" t="s">
        <v>325</v>
      </c>
      <c r="C40" s="2"/>
      <c r="D40" s="9">
        <f>+'SCH-B - COS'!M301</f>
        <v>7147945.3529627137</v>
      </c>
      <c r="E40" s="2"/>
      <c r="F40" s="126">
        <f>+'SCH-B - COS'!M302</f>
        <v>0.21790000000000001</v>
      </c>
      <c r="G40" s="2"/>
      <c r="H40" s="2"/>
      <c r="I40" s="2"/>
      <c r="J40" s="2"/>
      <c r="K40" s="2"/>
      <c r="L40" s="2"/>
      <c r="M40" s="2"/>
      <c r="N40" s="2"/>
      <c r="O40" s="2"/>
      <c r="P40" s="2"/>
      <c r="Q40" s="2"/>
      <c r="R40" s="2"/>
      <c r="S40" s="2"/>
      <c r="T40" s="2"/>
      <c r="U40" s="2"/>
      <c r="V40" s="2"/>
      <c r="W40" s="2"/>
    </row>
    <row r="41" spans="1:23" ht="13.35" hidden="1" customHeight="1" x14ac:dyDescent="0.25">
      <c r="A41" s="2" t="s">
        <v>194</v>
      </c>
      <c r="C41" s="2"/>
      <c r="D41" s="9">
        <f>+'SCH-B - COS'!O301</f>
        <v>2348927.213706878</v>
      </c>
      <c r="E41" s="2"/>
      <c r="F41" s="126">
        <f>+'SCH-B - COS'!O302</f>
        <v>7.1599999999999997E-2</v>
      </c>
      <c r="G41" s="2"/>
      <c r="H41" s="2"/>
      <c r="I41" s="2"/>
      <c r="J41" s="2"/>
      <c r="K41" s="2"/>
      <c r="L41" s="2"/>
      <c r="M41" s="2"/>
      <c r="N41" s="2"/>
      <c r="O41" s="2"/>
      <c r="P41" s="2"/>
      <c r="Q41" s="2"/>
      <c r="R41" s="2"/>
      <c r="S41" s="2"/>
      <c r="T41" s="2"/>
      <c r="U41" s="2"/>
      <c r="V41" s="2"/>
      <c r="W41" s="2"/>
    </row>
    <row r="42" spans="1:23" ht="13.35" hidden="1" customHeight="1" x14ac:dyDescent="0.25">
      <c r="A42" s="2" t="s">
        <v>195</v>
      </c>
      <c r="C42" s="2"/>
      <c r="D42" s="9">
        <f>+'SCH-B - COS'!Q301</f>
        <v>1199624.8298954573</v>
      </c>
      <c r="E42" s="2"/>
      <c r="F42" s="126">
        <f>+'SCH-B - COS'!Q302</f>
        <v>3.6600000000000001E-2</v>
      </c>
      <c r="G42" s="2"/>
      <c r="H42" s="2"/>
      <c r="I42" s="2"/>
      <c r="J42" s="2"/>
      <c r="K42" s="2"/>
      <c r="L42" s="2"/>
      <c r="M42" s="2"/>
      <c r="N42" s="2"/>
      <c r="O42" s="2"/>
      <c r="P42" s="2"/>
      <c r="Q42" s="2"/>
      <c r="R42" s="2"/>
      <c r="S42" s="2"/>
      <c r="T42" s="2"/>
      <c r="U42" s="2"/>
      <c r="V42" s="2"/>
      <c r="W42" s="2"/>
    </row>
    <row r="43" spans="1:23" ht="13.35" hidden="1" customHeight="1" x14ac:dyDescent="0.25">
      <c r="A43" s="2" t="s">
        <v>103</v>
      </c>
      <c r="C43" s="2"/>
      <c r="D43" s="9">
        <f>+'SCH-B - COS'!S301</f>
        <v>1115739.9290365709</v>
      </c>
      <c r="E43" s="2"/>
      <c r="F43" s="126">
        <f>+'SCH-B - COS'!S302</f>
        <v>3.4000000000000002E-2</v>
      </c>
      <c r="G43" s="2"/>
      <c r="H43" s="2"/>
      <c r="I43" s="2"/>
      <c r="J43" s="2"/>
      <c r="K43" s="2"/>
      <c r="L43" s="2"/>
      <c r="M43" s="2"/>
      <c r="N43" s="2"/>
      <c r="O43" s="2"/>
      <c r="P43" s="2"/>
      <c r="Q43" s="2"/>
      <c r="R43" s="2"/>
      <c r="S43" s="2"/>
      <c r="T43" s="2"/>
      <c r="U43" s="2"/>
      <c r="V43" s="2"/>
      <c r="W43" s="2"/>
    </row>
    <row r="44" spans="1:23" ht="13.35" hidden="1" customHeight="1" x14ac:dyDescent="0.25">
      <c r="A44" s="2" t="s">
        <v>197</v>
      </c>
      <c r="C44" s="2"/>
      <c r="D44" s="9">
        <f>+'SCH-B - COS'!U301</f>
        <v>0</v>
      </c>
      <c r="E44" s="2"/>
      <c r="F44" s="126">
        <f>+'SCH-B - COS'!U302</f>
        <v>0</v>
      </c>
      <c r="G44" s="2"/>
      <c r="H44" s="2"/>
      <c r="I44" s="2"/>
      <c r="J44" s="2"/>
      <c r="K44" s="2"/>
      <c r="L44" s="2"/>
      <c r="M44" s="2"/>
      <c r="N44" s="2"/>
      <c r="O44" s="2"/>
      <c r="P44" s="2"/>
      <c r="Q44" s="2"/>
      <c r="R44" s="2"/>
      <c r="S44" s="2"/>
      <c r="T44" s="2"/>
      <c r="U44" s="2"/>
      <c r="V44" s="2"/>
      <c r="W44" s="2"/>
    </row>
    <row r="45" spans="1:23" ht="13.35" hidden="1" customHeight="1" x14ac:dyDescent="0.25">
      <c r="A45" s="2" t="s">
        <v>232</v>
      </c>
      <c r="C45" s="2"/>
      <c r="D45" s="9">
        <f>+'SCH-B - COS'!W301</f>
        <v>2897277.7800499969</v>
      </c>
      <c r="E45" s="2"/>
      <c r="F45" s="126">
        <f>+'SCH-B - COS'!W302</f>
        <v>8.8300000000000003E-2</v>
      </c>
      <c r="G45" s="2"/>
      <c r="H45" s="2"/>
      <c r="I45" s="2"/>
      <c r="J45" s="2"/>
      <c r="K45" s="2"/>
      <c r="L45" s="2"/>
      <c r="M45" s="2"/>
      <c r="N45" s="2"/>
      <c r="O45" s="2"/>
      <c r="P45" s="2"/>
      <c r="Q45" s="2"/>
      <c r="R45" s="2"/>
      <c r="S45" s="2"/>
      <c r="T45" s="2"/>
      <c r="U45" s="2"/>
      <c r="V45" s="2"/>
      <c r="W45" s="2"/>
    </row>
    <row r="46" spans="1:23" hidden="1" x14ac:dyDescent="0.25">
      <c r="A46" s="2"/>
      <c r="C46" s="2"/>
      <c r="D46" s="5"/>
      <c r="E46" s="2"/>
      <c r="F46" s="6"/>
      <c r="G46" s="2"/>
      <c r="H46" s="2"/>
      <c r="I46" s="2"/>
      <c r="J46" s="2"/>
      <c r="K46" s="2"/>
      <c r="L46" s="2"/>
      <c r="M46" s="2"/>
      <c r="N46" s="2"/>
      <c r="O46" s="2"/>
      <c r="P46" s="2"/>
      <c r="Q46" s="2"/>
      <c r="R46" s="2"/>
      <c r="S46" s="2"/>
      <c r="T46" s="2"/>
      <c r="U46" s="2"/>
      <c r="V46" s="2"/>
      <c r="W46" s="2"/>
    </row>
    <row r="47" spans="1:23" ht="15.6" hidden="1" thickBot="1" x14ac:dyDescent="0.3">
      <c r="A47" s="2" t="s">
        <v>199</v>
      </c>
      <c r="C47" s="2"/>
      <c r="D47" s="219">
        <f>SUM(D39:D46)</f>
        <v>32809879.093598332</v>
      </c>
      <c r="E47" s="2"/>
      <c r="F47" s="126">
        <f>SUM(F39:F46)</f>
        <v>1</v>
      </c>
      <c r="G47" s="2"/>
      <c r="H47" s="2"/>
      <c r="I47" s="2"/>
      <c r="J47" s="2"/>
      <c r="K47" s="2"/>
      <c r="L47" s="2"/>
      <c r="M47" s="2"/>
      <c r="N47" s="2"/>
      <c r="O47" s="2"/>
      <c r="P47" s="2"/>
      <c r="Q47" s="2"/>
      <c r="R47" s="2"/>
      <c r="S47" s="2"/>
      <c r="T47" s="2"/>
      <c r="U47" s="2"/>
      <c r="V47" s="2"/>
      <c r="W47" s="2"/>
    </row>
    <row r="48" spans="1:23" x14ac:dyDescent="0.25">
      <c r="A48" s="2"/>
      <c r="B48" s="2"/>
      <c r="C48" s="2"/>
      <c r="D48" s="2"/>
      <c r="E48" s="2"/>
      <c r="F48" s="2"/>
      <c r="G48" s="2"/>
      <c r="H48" s="2"/>
      <c r="I48" s="2"/>
      <c r="J48" s="2"/>
      <c r="K48" s="2"/>
      <c r="L48" s="2"/>
      <c r="M48" s="2"/>
      <c r="N48" s="2"/>
      <c r="O48" s="2"/>
      <c r="P48" s="2"/>
      <c r="Q48" s="2"/>
      <c r="R48" s="2"/>
      <c r="S48" s="2"/>
      <c r="T48" s="2"/>
      <c r="U48" s="2"/>
      <c r="V48" s="2"/>
      <c r="W48" s="2"/>
    </row>
    <row r="49" spans="1:23" x14ac:dyDescent="0.25">
      <c r="A49" s="2"/>
      <c r="B49" s="2"/>
      <c r="C49" s="2"/>
      <c r="D49" s="2"/>
      <c r="E49" s="2"/>
      <c r="F49" s="2"/>
      <c r="G49" s="2"/>
      <c r="H49" s="2"/>
      <c r="I49" s="2"/>
      <c r="J49" s="2"/>
      <c r="K49" s="2"/>
      <c r="L49" s="2"/>
      <c r="M49" s="2"/>
      <c r="N49" s="2"/>
      <c r="O49" s="2"/>
      <c r="P49" s="2"/>
      <c r="Q49" s="2"/>
      <c r="R49" s="2"/>
      <c r="S49" s="2"/>
      <c r="T49" s="2"/>
      <c r="U49" s="2"/>
      <c r="V49" s="2"/>
      <c r="W49" s="2"/>
    </row>
    <row r="50" spans="1:23" x14ac:dyDescent="0.25">
      <c r="A50" s="36" t="s">
        <v>51</v>
      </c>
      <c r="B50" s="1"/>
      <c r="C50" s="36"/>
      <c r="D50" s="1"/>
      <c r="E50" s="1"/>
      <c r="F50" s="1"/>
      <c r="G50" s="2"/>
      <c r="H50" s="2"/>
      <c r="I50" s="2"/>
      <c r="J50" s="2"/>
      <c r="K50" s="2"/>
      <c r="L50" s="2"/>
      <c r="M50" s="2"/>
      <c r="N50" s="2"/>
      <c r="O50" s="2"/>
      <c r="P50" s="2"/>
      <c r="Q50" s="2"/>
      <c r="R50" s="2"/>
      <c r="S50" s="2"/>
      <c r="T50" s="2"/>
      <c r="U50" s="2"/>
      <c r="V50" s="2"/>
      <c r="W50" s="2"/>
    </row>
    <row r="51" spans="1:23" x14ac:dyDescent="0.25">
      <c r="A51" s="36"/>
      <c r="B51" s="1"/>
      <c r="C51" s="36"/>
      <c r="D51" s="1"/>
      <c r="E51" s="1"/>
      <c r="F51" s="1"/>
      <c r="G51" s="2"/>
      <c r="H51" s="2"/>
      <c r="I51" s="2"/>
      <c r="J51" s="2"/>
      <c r="K51" s="2"/>
      <c r="L51" s="2"/>
      <c r="M51" s="2"/>
      <c r="N51" s="2"/>
      <c r="O51" s="2"/>
      <c r="P51" s="2"/>
      <c r="Q51" s="2"/>
      <c r="R51" s="2"/>
      <c r="S51" s="2"/>
      <c r="T51" s="2"/>
      <c r="U51" s="2"/>
      <c r="V51" s="2"/>
      <c r="W51" s="2"/>
    </row>
    <row r="52" spans="1:23" x14ac:dyDescent="0.25">
      <c r="A52" s="1"/>
      <c r="B52" s="1"/>
      <c r="C52" s="1"/>
      <c r="D52" s="1"/>
      <c r="E52" s="1"/>
      <c r="F52" s="1"/>
      <c r="G52" s="2"/>
      <c r="H52" s="2"/>
      <c r="I52" s="2"/>
      <c r="J52" s="2"/>
      <c r="K52" s="2"/>
      <c r="L52" s="2"/>
      <c r="M52" s="2"/>
      <c r="N52" s="2"/>
      <c r="O52" s="2"/>
      <c r="P52" s="2"/>
      <c r="Q52" s="2"/>
      <c r="R52" s="2"/>
      <c r="S52" s="2"/>
      <c r="T52" s="2"/>
      <c r="U52" s="2"/>
      <c r="V52" s="2"/>
      <c r="W52" s="2"/>
    </row>
    <row r="53" spans="1:23" x14ac:dyDescent="0.25">
      <c r="A53" s="1" t="s">
        <v>215</v>
      </c>
      <c r="B53" s="1"/>
      <c r="C53" s="1"/>
      <c r="D53" s="1"/>
      <c r="E53" s="1"/>
      <c r="F53" s="1"/>
      <c r="G53" s="2"/>
      <c r="H53" s="2"/>
      <c r="I53" s="2"/>
      <c r="J53" s="2"/>
      <c r="K53" s="2"/>
      <c r="L53" s="2"/>
      <c r="M53" s="2"/>
      <c r="N53" s="2"/>
      <c r="O53" s="2"/>
      <c r="P53" s="2"/>
      <c r="Q53" s="2"/>
      <c r="R53" s="2"/>
      <c r="S53" s="2"/>
      <c r="T53" s="2"/>
      <c r="U53" s="2"/>
      <c r="V53" s="2"/>
      <c r="W53" s="2"/>
    </row>
    <row r="54" spans="1:23" x14ac:dyDescent="0.25">
      <c r="A54" s="2"/>
      <c r="B54" s="2"/>
      <c r="C54" s="2"/>
      <c r="D54" s="2"/>
      <c r="E54" s="2"/>
      <c r="F54" s="2"/>
      <c r="G54" s="2"/>
      <c r="H54" s="2"/>
      <c r="I54" s="2"/>
      <c r="J54" s="2"/>
      <c r="K54" s="2"/>
      <c r="L54" s="2"/>
      <c r="M54" s="2"/>
      <c r="N54" s="2"/>
      <c r="O54" s="126"/>
      <c r="P54" s="2"/>
      <c r="Q54" s="2"/>
      <c r="R54" s="2"/>
      <c r="S54" s="2"/>
      <c r="T54" s="2"/>
      <c r="U54" s="2"/>
      <c r="V54" s="2"/>
      <c r="W54" s="2"/>
    </row>
    <row r="55" spans="1:23" x14ac:dyDescent="0.25">
      <c r="A55" s="2"/>
      <c r="B55" s="2"/>
      <c r="C55" s="2"/>
      <c r="D55" s="2"/>
      <c r="E55" s="2"/>
      <c r="F55" s="2"/>
      <c r="G55" s="2"/>
      <c r="H55" s="2"/>
      <c r="I55" s="2"/>
      <c r="J55" s="2"/>
      <c r="K55" s="2"/>
      <c r="L55" s="2"/>
      <c r="M55" s="2"/>
      <c r="N55" s="2"/>
      <c r="O55" s="126"/>
      <c r="P55" s="2"/>
      <c r="Q55" s="2"/>
      <c r="R55" s="2"/>
      <c r="S55" s="2"/>
      <c r="T55" s="2"/>
      <c r="U55" s="2"/>
      <c r="V55" s="2"/>
      <c r="W55" s="2"/>
    </row>
    <row r="56" spans="1:23" x14ac:dyDescent="0.25">
      <c r="A56" s="2" t="s">
        <v>380</v>
      </c>
      <c r="B56" s="2"/>
      <c r="C56" s="2"/>
      <c r="D56" s="2"/>
      <c r="E56" s="2"/>
      <c r="F56" s="2"/>
      <c r="G56" s="2"/>
      <c r="O56" s="126"/>
      <c r="P56" s="2"/>
      <c r="Q56" s="2"/>
      <c r="R56" s="2"/>
      <c r="S56" s="2"/>
      <c r="T56" s="2"/>
      <c r="U56" s="2"/>
      <c r="V56" s="2"/>
      <c r="W56" s="2"/>
    </row>
    <row r="57" spans="1:23" x14ac:dyDescent="0.25">
      <c r="A57" s="2"/>
      <c r="B57" s="2"/>
      <c r="C57" s="2"/>
      <c r="D57" s="2"/>
      <c r="E57" s="2"/>
      <c r="F57" s="2"/>
      <c r="G57" s="2"/>
      <c r="O57" s="126"/>
      <c r="P57" s="2"/>
      <c r="Q57" s="2"/>
      <c r="R57" s="2"/>
      <c r="S57" s="2"/>
      <c r="T57" s="2"/>
      <c r="U57" s="2"/>
      <c r="V57" s="2"/>
      <c r="W57" s="2"/>
    </row>
    <row r="58" spans="1:23" ht="14.7" customHeight="1" x14ac:dyDescent="0.25">
      <c r="A58" s="744" t="s">
        <v>150</v>
      </c>
      <c r="B58" s="744"/>
      <c r="C58" s="744"/>
      <c r="D58" s="744"/>
      <c r="E58" s="744"/>
      <c r="F58" s="744"/>
      <c r="G58" s="2"/>
      <c r="O58" s="126"/>
      <c r="P58" s="2"/>
      <c r="Q58" s="2"/>
      <c r="R58" s="2"/>
      <c r="S58" s="2"/>
      <c r="T58" s="2"/>
      <c r="U58" s="2"/>
      <c r="V58" s="2"/>
      <c r="W58" s="2"/>
    </row>
    <row r="59" spans="1:23" x14ac:dyDescent="0.25">
      <c r="A59" s="2"/>
      <c r="B59" s="2"/>
      <c r="C59" s="2"/>
      <c r="D59" s="2"/>
      <c r="E59" s="2"/>
      <c r="F59" s="2"/>
      <c r="G59" s="2"/>
      <c r="O59" s="2"/>
      <c r="P59" s="2"/>
      <c r="Q59" s="2"/>
      <c r="R59" s="2"/>
      <c r="S59" s="2"/>
      <c r="T59" s="2"/>
      <c r="U59" s="2"/>
      <c r="V59" s="2"/>
      <c r="W59" s="2"/>
    </row>
    <row r="60" spans="1:23" x14ac:dyDescent="0.25">
      <c r="A60" s="1" t="s">
        <v>184</v>
      </c>
      <c r="B60" s="36"/>
      <c r="C60" s="2"/>
      <c r="D60" s="11" t="s">
        <v>381</v>
      </c>
      <c r="E60" s="11"/>
      <c r="F60" s="11" t="s">
        <v>186</v>
      </c>
      <c r="G60" s="2"/>
      <c r="O60" s="2"/>
      <c r="P60" s="2"/>
      <c r="Q60" s="2"/>
      <c r="R60" s="2"/>
      <c r="S60" s="2"/>
      <c r="T60" s="2"/>
      <c r="U60" s="2"/>
      <c r="V60" s="2"/>
      <c r="W60" s="2"/>
    </row>
    <row r="61" spans="1:23" x14ac:dyDescent="0.25">
      <c r="A61" s="1" t="s">
        <v>187</v>
      </c>
      <c r="B61" s="36"/>
      <c r="C61" s="2"/>
      <c r="D61" s="11" t="s">
        <v>382</v>
      </c>
      <c r="E61" s="11"/>
      <c r="F61" s="11" t="s">
        <v>188</v>
      </c>
      <c r="G61" s="2"/>
      <c r="O61" s="2"/>
      <c r="P61" s="2"/>
      <c r="Q61" s="2"/>
      <c r="R61" s="2"/>
      <c r="S61" s="2"/>
      <c r="T61" s="2"/>
      <c r="U61" s="2"/>
      <c r="V61" s="2"/>
      <c r="W61" s="2"/>
    </row>
    <row r="62" spans="1:23" x14ac:dyDescent="0.25">
      <c r="A62" s="3" t="s">
        <v>189</v>
      </c>
      <c r="B62" s="125"/>
      <c r="C62" s="2"/>
      <c r="D62" s="10" t="s">
        <v>208</v>
      </c>
      <c r="E62" s="11" t="s">
        <v>305</v>
      </c>
      <c r="F62" s="10" t="s">
        <v>191</v>
      </c>
      <c r="G62" s="2"/>
      <c r="O62" s="2"/>
      <c r="P62" s="2"/>
      <c r="Q62" s="2"/>
      <c r="R62" s="2"/>
      <c r="S62" s="2"/>
      <c r="T62" s="2"/>
      <c r="U62" s="2"/>
      <c r="V62" s="2"/>
      <c r="W62" s="2"/>
    </row>
    <row r="63" spans="1:23" x14ac:dyDescent="0.25">
      <c r="A63" s="2"/>
      <c r="C63" s="2"/>
      <c r="D63" s="2"/>
      <c r="E63" s="2"/>
      <c r="F63" s="126"/>
      <c r="G63" s="2"/>
      <c r="O63" s="2"/>
      <c r="P63" s="2"/>
      <c r="Q63" s="2"/>
      <c r="R63" s="2"/>
      <c r="S63" s="2"/>
      <c r="T63" s="2"/>
      <c r="U63" s="2"/>
      <c r="V63" s="2"/>
      <c r="W63" s="2"/>
    </row>
    <row r="64" spans="1:23" x14ac:dyDescent="0.25">
      <c r="A64" s="2" t="s">
        <v>192</v>
      </c>
      <c r="C64" s="2"/>
      <c r="D64" s="218">
        <f>+'SCH-B - COS'!K303</f>
        <v>6590670.1206636429</v>
      </c>
      <c r="E64" s="2"/>
      <c r="F64" s="168">
        <f>+'SCH-B - COS'!K304</f>
        <v>0.55869999999999997</v>
      </c>
      <c r="G64" s="2"/>
      <c r="O64" s="2"/>
      <c r="P64" s="2"/>
      <c r="Q64" s="2"/>
      <c r="R64" s="2"/>
      <c r="S64" s="2"/>
      <c r="T64" s="2"/>
      <c r="U64" s="2"/>
      <c r="V64" s="2"/>
      <c r="W64" s="2"/>
    </row>
    <row r="65" spans="1:23" x14ac:dyDescent="0.25">
      <c r="A65" s="2" t="s">
        <v>325</v>
      </c>
      <c r="C65" s="2"/>
      <c r="D65" s="9">
        <f>+'SCH-B - COS'!M303</f>
        <v>2494350.8619275498</v>
      </c>
      <c r="E65" s="2"/>
      <c r="F65" s="126">
        <f>+'SCH-B - COS'!M304</f>
        <v>0.2114</v>
      </c>
      <c r="G65" s="2"/>
      <c r="O65" s="2"/>
      <c r="P65" s="2"/>
      <c r="Q65" s="2"/>
      <c r="R65" s="2"/>
      <c r="S65" s="2"/>
      <c r="T65" s="2"/>
      <c r="U65" s="2"/>
      <c r="V65" s="2"/>
      <c r="W65" s="2"/>
    </row>
    <row r="66" spans="1:23" x14ac:dyDescent="0.25">
      <c r="A66" s="2" t="s">
        <v>194</v>
      </c>
      <c r="C66" s="2"/>
      <c r="D66" s="9">
        <f>+'SCH-B - COS'!O303</f>
        <v>780823.25716651417</v>
      </c>
      <c r="E66" s="2"/>
      <c r="F66" s="126">
        <f>+'SCH-B - COS'!O304</f>
        <v>6.6199999999999995E-2</v>
      </c>
      <c r="G66" s="2"/>
      <c r="O66" s="2"/>
      <c r="P66" s="2"/>
      <c r="Q66" s="2"/>
      <c r="R66" s="2"/>
      <c r="S66" s="2"/>
      <c r="T66" s="2"/>
      <c r="U66" s="2"/>
      <c r="V66" s="2"/>
      <c r="W66" s="2"/>
    </row>
    <row r="67" spans="1:23" x14ac:dyDescent="0.25">
      <c r="A67" s="2" t="s">
        <v>195</v>
      </c>
      <c r="C67" s="2"/>
      <c r="D67" s="9">
        <f>+'SCH-B - COS'!Q303</f>
        <v>407127.56993274251</v>
      </c>
      <c r="E67" s="2"/>
      <c r="F67" s="126">
        <f>+'SCH-B - COS'!Q304</f>
        <v>3.4500000000000003E-2</v>
      </c>
      <c r="G67" s="2"/>
      <c r="O67" s="2"/>
      <c r="P67" s="2"/>
      <c r="Q67" s="2"/>
      <c r="R67" s="2"/>
      <c r="S67" s="2"/>
      <c r="T67" s="2"/>
      <c r="U67" s="2"/>
      <c r="V67" s="2"/>
      <c r="W67" s="2"/>
    </row>
    <row r="68" spans="1:23" ht="13.95" customHeight="1" x14ac:dyDescent="0.25">
      <c r="A68" s="2" t="s">
        <v>103</v>
      </c>
      <c r="C68" s="2"/>
      <c r="D68" s="9">
        <f>+'SCH-B - COS'!S303</f>
        <v>319813.75800558284</v>
      </c>
      <c r="E68" s="2"/>
      <c r="F68" s="126">
        <f>+'SCH-B - COS'!S304</f>
        <v>2.7099999999999999E-2</v>
      </c>
      <c r="G68" s="2"/>
      <c r="O68" s="2"/>
      <c r="P68" s="2"/>
      <c r="Q68" s="2"/>
      <c r="R68" s="2"/>
      <c r="S68" s="2"/>
      <c r="T68" s="2"/>
      <c r="U68" s="2"/>
      <c r="V68" s="2"/>
      <c r="W68" s="2"/>
    </row>
    <row r="69" spans="1:23" ht="13.35" customHeight="1" x14ac:dyDescent="0.25">
      <c r="A69" s="2" t="s">
        <v>232</v>
      </c>
      <c r="C69" s="2"/>
      <c r="D69" s="9">
        <f>+'SCH-B - COS'!W303</f>
        <v>1205016.7623039677</v>
      </c>
      <c r="E69" s="2"/>
      <c r="F69" s="126">
        <f>+'SCH-B - COS'!W304</f>
        <v>0.1021</v>
      </c>
      <c r="G69" s="2"/>
      <c r="O69" s="2"/>
      <c r="P69" s="2"/>
      <c r="Q69" s="2"/>
      <c r="R69" s="2"/>
      <c r="S69" s="2"/>
      <c r="T69" s="2"/>
      <c r="U69" s="2"/>
      <c r="V69" s="2"/>
      <c r="W69" s="2"/>
    </row>
    <row r="70" spans="1:23" ht="13.35" customHeight="1" x14ac:dyDescent="0.25">
      <c r="A70" s="2"/>
      <c r="C70" s="2"/>
      <c r="D70" s="5"/>
      <c r="E70" s="2"/>
      <c r="F70" s="6"/>
      <c r="G70" s="2"/>
      <c r="O70" s="2"/>
      <c r="P70" s="2"/>
      <c r="Q70" s="2"/>
      <c r="R70" s="2"/>
      <c r="S70" s="2"/>
      <c r="T70" s="2"/>
      <c r="U70" s="2"/>
      <c r="V70" s="2"/>
      <c r="W70" s="2"/>
    </row>
    <row r="71" spans="1:23" ht="13.35" customHeight="1" thickBot="1" x14ac:dyDescent="0.3">
      <c r="A71" s="2" t="s">
        <v>199</v>
      </c>
      <c r="C71" s="2"/>
      <c r="D71" s="219">
        <f>SUM(D64:D70)</f>
        <v>11797802.33</v>
      </c>
      <c r="E71" s="2"/>
      <c r="F71" s="126">
        <f>SUM(F64:F70)</f>
        <v>1</v>
      </c>
      <c r="G71" s="2"/>
      <c r="O71" s="2"/>
      <c r="P71" s="2"/>
      <c r="Q71" s="2"/>
      <c r="R71" s="2"/>
      <c r="S71" s="2"/>
      <c r="T71" s="2"/>
      <c r="U71" s="2"/>
      <c r="V71" s="2"/>
      <c r="W71" s="2"/>
    </row>
    <row r="72" spans="1:23" ht="13.35" customHeight="1" thickTop="1" x14ac:dyDescent="0.25">
      <c r="A72" s="2"/>
      <c r="B72" s="2"/>
      <c r="C72" s="2"/>
      <c r="D72" s="161"/>
      <c r="E72" s="13"/>
      <c r="F72" s="8"/>
      <c r="G72" s="2"/>
      <c r="O72" s="2"/>
      <c r="P72" s="2"/>
      <c r="Q72" s="2"/>
      <c r="R72" s="2"/>
      <c r="S72" s="2"/>
      <c r="T72" s="2"/>
      <c r="U72" s="2"/>
      <c r="V72" s="2"/>
      <c r="W72" s="2"/>
    </row>
    <row r="73" spans="1:23" ht="13.35" customHeight="1" x14ac:dyDescent="0.25">
      <c r="A73" s="2"/>
      <c r="B73" s="2"/>
      <c r="C73" s="2"/>
      <c r="D73" s="2"/>
      <c r="E73" s="2"/>
      <c r="F73" s="2"/>
      <c r="G73" s="2"/>
      <c r="O73" s="2"/>
      <c r="P73" s="2"/>
      <c r="Q73" s="2"/>
      <c r="R73" s="2"/>
      <c r="S73" s="2"/>
      <c r="T73" s="2"/>
      <c r="U73" s="2"/>
      <c r="V73" s="2"/>
      <c r="W73" s="2"/>
    </row>
    <row r="74" spans="1:23" ht="13.35" customHeight="1" x14ac:dyDescent="0.25">
      <c r="A74" s="2"/>
      <c r="B74" s="2"/>
      <c r="C74" s="2"/>
      <c r="D74" s="2"/>
      <c r="E74" s="2"/>
      <c r="F74" s="2"/>
      <c r="G74" s="2"/>
      <c r="O74" s="2"/>
      <c r="P74" s="2"/>
      <c r="Q74" s="2"/>
      <c r="R74" s="2"/>
      <c r="S74" s="2"/>
      <c r="T74" s="2"/>
      <c r="U74" s="2"/>
      <c r="V74" s="2"/>
      <c r="W74" s="2"/>
    </row>
    <row r="75" spans="1:23" x14ac:dyDescent="0.25">
      <c r="A75" s="2" t="s">
        <v>135</v>
      </c>
      <c r="B75" s="2"/>
      <c r="C75" s="2"/>
      <c r="D75" s="2"/>
      <c r="E75" s="2"/>
      <c r="F75" s="2"/>
      <c r="G75" s="2"/>
      <c r="O75" s="2"/>
      <c r="P75" s="2"/>
      <c r="Q75" s="2"/>
      <c r="R75" s="2"/>
      <c r="S75" s="2"/>
      <c r="T75" s="2"/>
      <c r="U75" s="2"/>
      <c r="V75" s="2"/>
      <c r="W75" s="2"/>
    </row>
    <row r="76" spans="1:23" x14ac:dyDescent="0.25">
      <c r="A76" s="2" t="s">
        <v>154</v>
      </c>
      <c r="B76" s="2"/>
      <c r="C76" s="2"/>
      <c r="D76" s="2"/>
      <c r="E76" s="2"/>
      <c r="F76" s="2"/>
      <c r="G76" s="2"/>
      <c r="O76" s="2"/>
      <c r="P76" s="2"/>
      <c r="Q76" s="2"/>
      <c r="R76" s="2"/>
      <c r="S76" s="2"/>
      <c r="T76" s="2"/>
      <c r="U76" s="2"/>
      <c r="V76" s="2"/>
      <c r="W76" s="2"/>
    </row>
    <row r="77" spans="1:23" x14ac:dyDescent="0.25">
      <c r="A77" s="2"/>
      <c r="B77" s="2"/>
      <c r="C77" s="2"/>
      <c r="D77" s="2"/>
      <c r="E77" s="2"/>
      <c r="F77" s="2"/>
      <c r="G77" s="2"/>
      <c r="O77" s="2"/>
      <c r="P77" s="2"/>
      <c r="Q77" s="2"/>
      <c r="R77" s="2"/>
      <c r="S77" s="2"/>
      <c r="T77" s="2"/>
      <c r="U77" s="2"/>
      <c r="V77" s="2"/>
      <c r="W77" s="2"/>
    </row>
    <row r="78" spans="1:23" ht="28.2" customHeight="1" x14ac:dyDescent="0.25">
      <c r="A78" s="744" t="s">
        <v>383</v>
      </c>
      <c r="B78" s="744"/>
      <c r="C78" s="744"/>
      <c r="D78" s="744"/>
      <c r="E78" s="744"/>
      <c r="F78" s="744"/>
      <c r="G78" s="2"/>
      <c r="O78" s="2"/>
      <c r="P78" s="2"/>
      <c r="Q78" s="2"/>
      <c r="R78" s="2"/>
      <c r="S78" s="2"/>
      <c r="T78" s="2"/>
      <c r="U78" s="2"/>
      <c r="V78" s="2"/>
      <c r="W78" s="2"/>
    </row>
    <row r="79" spans="1:23" x14ac:dyDescent="0.25">
      <c r="A79" s="2"/>
      <c r="B79" s="2"/>
      <c r="C79" s="2"/>
      <c r="D79" s="2"/>
      <c r="E79" s="2"/>
      <c r="F79" s="2"/>
      <c r="G79" s="2"/>
      <c r="O79" s="2"/>
      <c r="P79" s="2"/>
      <c r="Q79" s="2"/>
      <c r="R79" s="2"/>
      <c r="S79" s="2"/>
      <c r="T79" s="2"/>
      <c r="U79" s="2"/>
      <c r="V79" s="2"/>
      <c r="W79" s="2"/>
    </row>
    <row r="80" spans="1:23" x14ac:dyDescent="0.25">
      <c r="A80" s="2"/>
      <c r="B80" s="2"/>
      <c r="C80" s="2"/>
      <c r="D80" s="11" t="s">
        <v>384</v>
      </c>
      <c r="E80" s="11"/>
      <c r="F80" s="11"/>
      <c r="G80" s="2"/>
      <c r="O80" s="2"/>
      <c r="P80" s="2"/>
      <c r="Q80" s="2"/>
      <c r="R80" s="2"/>
      <c r="S80" s="2"/>
      <c r="T80" s="2"/>
      <c r="U80" s="2"/>
      <c r="V80" s="2"/>
      <c r="W80" s="2"/>
    </row>
    <row r="81" spans="1:23" x14ac:dyDescent="0.25">
      <c r="A81" s="1" t="s">
        <v>184</v>
      </c>
      <c r="B81" s="36"/>
      <c r="C81" s="2"/>
      <c r="D81" s="11" t="s">
        <v>385</v>
      </c>
      <c r="E81" s="11"/>
      <c r="F81" s="11" t="s">
        <v>186</v>
      </c>
      <c r="G81" s="2"/>
      <c r="O81" s="2"/>
      <c r="P81" s="2"/>
      <c r="Q81" s="2"/>
      <c r="R81" s="2"/>
      <c r="S81" s="2"/>
      <c r="T81" s="2"/>
      <c r="U81" s="2"/>
      <c r="V81" s="2"/>
      <c r="W81" s="2"/>
    </row>
    <row r="82" spans="1:23" x14ac:dyDescent="0.25">
      <c r="A82" s="1" t="s">
        <v>187</v>
      </c>
      <c r="B82" s="36"/>
      <c r="C82" s="2"/>
      <c r="D82" s="11" t="s">
        <v>386</v>
      </c>
      <c r="E82" s="11"/>
      <c r="F82" s="11" t="s">
        <v>188</v>
      </c>
      <c r="G82" s="2"/>
      <c r="O82" s="2"/>
      <c r="P82" s="2"/>
      <c r="Q82" s="2"/>
      <c r="R82" s="2"/>
      <c r="S82" s="2"/>
      <c r="T82" s="2"/>
      <c r="U82" s="2"/>
      <c r="V82" s="2"/>
      <c r="W82" s="2"/>
    </row>
    <row r="83" spans="1:23" x14ac:dyDescent="0.25">
      <c r="A83" s="3" t="s">
        <v>189</v>
      </c>
      <c r="B83" s="125"/>
      <c r="C83" s="2"/>
      <c r="D83" s="10" t="s">
        <v>208</v>
      </c>
      <c r="E83" s="11" t="s">
        <v>305</v>
      </c>
      <c r="F83" s="10" t="s">
        <v>191</v>
      </c>
      <c r="G83" s="2"/>
      <c r="O83" s="2"/>
      <c r="P83" s="2"/>
      <c r="Q83" s="2"/>
      <c r="R83" s="2"/>
      <c r="S83" s="2"/>
      <c r="T83" s="2"/>
      <c r="U83" s="2"/>
      <c r="V83" s="2"/>
      <c r="W83" s="2"/>
    </row>
    <row r="84" spans="1:23" x14ac:dyDescent="0.25">
      <c r="A84" s="2"/>
      <c r="C84" s="2"/>
      <c r="D84" s="2"/>
      <c r="E84" s="2"/>
      <c r="F84" s="126"/>
      <c r="G84" s="2"/>
      <c r="O84" s="2"/>
      <c r="P84" s="2"/>
      <c r="Q84" s="2"/>
      <c r="R84" s="2"/>
      <c r="S84" s="2"/>
      <c r="T84" s="2"/>
      <c r="U84" s="2"/>
      <c r="V84" s="2"/>
      <c r="W84" s="2"/>
    </row>
    <row r="85" spans="1:23" x14ac:dyDescent="0.25">
      <c r="A85" s="2" t="s">
        <v>192</v>
      </c>
      <c r="C85" s="2"/>
      <c r="D85" s="218">
        <f>+'SCH-B - COS'!K305</f>
        <v>165177689.09414819</v>
      </c>
      <c r="E85" s="2"/>
      <c r="F85" s="168">
        <f>+'SCH-B - COS'!K306</f>
        <v>0.50290000000000001</v>
      </c>
      <c r="G85" s="2"/>
      <c r="O85" s="2"/>
      <c r="P85" s="2"/>
      <c r="Q85" s="2"/>
      <c r="R85" s="2"/>
      <c r="S85" s="2"/>
      <c r="T85" s="2"/>
      <c r="U85" s="2"/>
      <c r="V85" s="2"/>
      <c r="W85" s="2"/>
    </row>
    <row r="86" spans="1:23" x14ac:dyDescent="0.25">
      <c r="A86" s="2" t="s">
        <v>325</v>
      </c>
      <c r="C86" s="2"/>
      <c r="D86" s="9">
        <f>+'SCH-B - COS'!M305</f>
        <v>71633798.915021673</v>
      </c>
      <c r="E86" s="2"/>
      <c r="F86" s="126">
        <f>+'SCH-B - COS'!M306</f>
        <v>0.218</v>
      </c>
      <c r="G86" s="2"/>
      <c r="O86" s="2"/>
      <c r="P86" s="2"/>
      <c r="Q86" s="2"/>
      <c r="R86" s="2"/>
      <c r="S86" s="2"/>
      <c r="T86" s="2"/>
      <c r="U86" s="2"/>
      <c r="V86" s="2"/>
      <c r="W86" s="2"/>
    </row>
    <row r="87" spans="1:23" x14ac:dyDescent="0.25">
      <c r="A87" s="2" t="s">
        <v>194</v>
      </c>
      <c r="C87" s="2"/>
      <c r="D87" s="9">
        <f>+'SCH-B - COS'!O305</f>
        <v>23934169.504735935</v>
      </c>
      <c r="E87" s="2"/>
      <c r="F87" s="126">
        <f>+'SCH-B - COS'!O306</f>
        <v>7.2800000000000004E-2</v>
      </c>
      <c r="G87" s="2"/>
      <c r="O87" s="2"/>
      <c r="P87" s="2"/>
      <c r="Q87" s="2"/>
      <c r="R87" s="2"/>
      <c r="S87" s="2"/>
      <c r="T87" s="2"/>
      <c r="U87" s="2"/>
      <c r="V87" s="2"/>
      <c r="W87" s="2"/>
    </row>
    <row r="88" spans="1:23" x14ac:dyDescent="0.25">
      <c r="A88" s="2" t="s">
        <v>195</v>
      </c>
      <c r="C88" s="2"/>
      <c r="D88" s="9">
        <f>+'SCH-B - COS'!Q305</f>
        <v>12064015.911874592</v>
      </c>
      <c r="E88" s="2"/>
      <c r="F88" s="126">
        <f>+'SCH-B - COS'!Q306</f>
        <v>3.6700000000000003E-2</v>
      </c>
      <c r="G88" s="2"/>
      <c r="O88" s="2"/>
      <c r="P88" s="2"/>
      <c r="Q88" s="2"/>
      <c r="R88" s="2"/>
      <c r="S88" s="2"/>
      <c r="T88" s="2"/>
      <c r="U88" s="2"/>
      <c r="V88" s="2"/>
      <c r="W88" s="2"/>
    </row>
    <row r="89" spans="1:23" ht="13.95" customHeight="1" x14ac:dyDescent="0.25">
      <c r="A89" s="2" t="s">
        <v>103</v>
      </c>
      <c r="C89" s="2"/>
      <c r="D89" s="9">
        <f>+'SCH-B - COS'!S305</f>
        <v>10657978.088769285</v>
      </c>
      <c r="E89" s="2"/>
      <c r="F89" s="126">
        <f>+'SCH-B - COS'!S306</f>
        <v>3.2399999999999998E-2</v>
      </c>
      <c r="G89" s="2"/>
      <c r="O89" s="2"/>
      <c r="P89" s="2"/>
      <c r="Q89" s="2"/>
      <c r="R89" s="2"/>
      <c r="S89" s="2"/>
      <c r="T89" s="2"/>
      <c r="U89" s="2"/>
      <c r="V89" s="2"/>
      <c r="W89" s="2"/>
    </row>
    <row r="90" spans="1:23" ht="13.35" customHeight="1" x14ac:dyDescent="0.25">
      <c r="A90" s="2" t="s">
        <v>232</v>
      </c>
      <c r="C90" s="2"/>
      <c r="D90" s="9">
        <f>+'SCH-B - COS'!W305</f>
        <v>45094045.415450245</v>
      </c>
      <c r="E90" s="2"/>
      <c r="F90" s="126">
        <f>+'SCH-B - COS'!W306</f>
        <v>0.13719999999999999</v>
      </c>
      <c r="G90" s="2"/>
      <c r="O90" s="2"/>
      <c r="P90" s="2"/>
      <c r="Q90" s="2"/>
      <c r="R90" s="2"/>
      <c r="S90" s="2"/>
      <c r="T90" s="2"/>
      <c r="U90" s="2"/>
      <c r="V90" s="2"/>
      <c r="W90" s="2"/>
    </row>
    <row r="91" spans="1:23" ht="13.35" customHeight="1" x14ac:dyDescent="0.25">
      <c r="A91" s="2"/>
      <c r="C91" s="2"/>
      <c r="D91" s="5"/>
      <c r="E91" s="2"/>
      <c r="F91" s="6"/>
      <c r="G91" s="2"/>
      <c r="O91" s="2"/>
      <c r="P91" s="2"/>
      <c r="Q91" s="2"/>
      <c r="R91" s="2"/>
      <c r="S91" s="2"/>
      <c r="T91" s="2"/>
      <c r="U91" s="2"/>
      <c r="V91" s="2"/>
      <c r="W91" s="2"/>
    </row>
    <row r="92" spans="1:23" ht="13.35" customHeight="1" thickBot="1" x14ac:dyDescent="0.3">
      <c r="A92" s="2" t="s">
        <v>199</v>
      </c>
      <c r="C92" s="2"/>
      <c r="D92" s="219">
        <f>SUM(D85:D91)</f>
        <v>328561696.92999995</v>
      </c>
      <c r="E92" s="2"/>
      <c r="F92" s="126">
        <f>SUM(F85:F91)</f>
        <v>0.99999999999999989</v>
      </c>
      <c r="G92" s="2"/>
      <c r="O92" s="2"/>
      <c r="P92" s="2"/>
      <c r="Q92" s="2"/>
      <c r="R92" s="2"/>
      <c r="S92" s="2"/>
      <c r="T92" s="2"/>
      <c r="U92" s="2"/>
      <c r="V92" s="2"/>
      <c r="W92" s="2"/>
    </row>
    <row r="93" spans="1:23" ht="13.35" customHeight="1" thickTop="1" x14ac:dyDescent="0.25">
      <c r="A93" s="2"/>
      <c r="B93" s="2"/>
      <c r="C93" s="2"/>
      <c r="D93" s="161"/>
      <c r="E93" s="13"/>
      <c r="F93" s="8"/>
      <c r="G93" s="2"/>
      <c r="O93" s="2"/>
      <c r="P93" s="2"/>
      <c r="Q93" s="2"/>
      <c r="R93" s="2"/>
      <c r="S93" s="2"/>
      <c r="T93" s="2"/>
      <c r="U93" s="2"/>
      <c r="V93" s="2"/>
      <c r="W93" s="2"/>
    </row>
    <row r="94" spans="1:23" x14ac:dyDescent="0.25">
      <c r="A94" s="36" t="s">
        <v>51</v>
      </c>
      <c r="B94" s="1"/>
      <c r="C94" s="36"/>
      <c r="D94" s="1"/>
      <c r="E94" s="1"/>
      <c r="F94" s="1"/>
      <c r="G94" s="2"/>
      <c r="O94" s="2"/>
      <c r="P94" s="2"/>
      <c r="Q94" s="2"/>
      <c r="R94" s="2"/>
      <c r="S94" s="2"/>
      <c r="T94" s="2"/>
      <c r="U94" s="2"/>
      <c r="V94" s="2"/>
      <c r="W94" s="2"/>
    </row>
    <row r="95" spans="1:23" x14ac:dyDescent="0.25">
      <c r="A95" s="36"/>
      <c r="B95" s="1"/>
      <c r="C95" s="36"/>
      <c r="D95" s="1"/>
      <c r="E95" s="1"/>
      <c r="F95" s="1"/>
      <c r="G95" s="2"/>
      <c r="O95" s="2"/>
      <c r="P95" s="2"/>
      <c r="Q95" s="2"/>
      <c r="R95" s="2"/>
      <c r="S95" s="2"/>
      <c r="T95" s="2"/>
      <c r="U95" s="2"/>
      <c r="V95" s="2"/>
      <c r="W95" s="2"/>
    </row>
    <row r="96" spans="1:23" x14ac:dyDescent="0.25">
      <c r="A96" s="1"/>
      <c r="B96" s="1"/>
      <c r="C96" s="1"/>
      <c r="D96" s="1"/>
      <c r="E96" s="1"/>
      <c r="F96" s="1"/>
      <c r="G96" s="2"/>
      <c r="O96" s="2"/>
      <c r="P96" s="2"/>
      <c r="Q96" s="2"/>
      <c r="R96" s="2"/>
      <c r="S96" s="2"/>
      <c r="T96" s="2"/>
      <c r="U96" s="2"/>
      <c r="V96" s="2"/>
      <c r="W96" s="2"/>
    </row>
    <row r="97" spans="1:23" x14ac:dyDescent="0.25">
      <c r="A97" s="1" t="s">
        <v>215</v>
      </c>
      <c r="B97" s="1"/>
      <c r="C97" s="1"/>
      <c r="D97" s="1"/>
      <c r="E97" s="1"/>
      <c r="F97" s="1"/>
      <c r="G97" s="2"/>
      <c r="O97" s="2"/>
      <c r="P97" s="2"/>
      <c r="Q97" s="2"/>
      <c r="R97" s="2"/>
      <c r="S97" s="2"/>
      <c r="T97" s="2"/>
      <c r="U97" s="2"/>
      <c r="V97" s="2"/>
      <c r="W97" s="2"/>
    </row>
    <row r="98" spans="1:23" x14ac:dyDescent="0.25">
      <c r="A98" s="2"/>
      <c r="B98" s="2"/>
      <c r="C98" s="2"/>
      <c r="D98" s="2"/>
      <c r="E98" s="2"/>
      <c r="F98" s="2"/>
      <c r="G98" s="2"/>
      <c r="H98" s="2"/>
      <c r="I98" s="2"/>
      <c r="J98" s="2"/>
      <c r="K98" s="2"/>
      <c r="L98" s="2"/>
      <c r="M98" s="2"/>
      <c r="N98" s="2"/>
      <c r="O98" s="2"/>
      <c r="P98" s="2"/>
      <c r="Q98" s="2"/>
      <c r="R98" s="2"/>
      <c r="S98" s="2"/>
      <c r="T98" s="2"/>
      <c r="U98" s="126"/>
      <c r="V98" s="2"/>
      <c r="W98" s="2"/>
    </row>
    <row r="99" spans="1:23" x14ac:dyDescent="0.25">
      <c r="A99" s="2"/>
      <c r="B99" s="2"/>
      <c r="C99" s="2"/>
      <c r="D99" s="2"/>
      <c r="E99" s="2"/>
      <c r="F99" s="2"/>
      <c r="G99" s="2"/>
      <c r="H99" s="2"/>
      <c r="I99" s="2"/>
      <c r="J99" s="2"/>
      <c r="K99" s="2"/>
      <c r="L99" s="2"/>
      <c r="M99" s="2"/>
      <c r="N99" s="2"/>
      <c r="O99" s="2"/>
      <c r="P99" s="2"/>
      <c r="Q99" s="2"/>
      <c r="R99" s="2"/>
      <c r="S99" s="9"/>
      <c r="T99" s="2"/>
      <c r="U99" s="126"/>
      <c r="V99" s="2"/>
      <c r="W99" s="2"/>
    </row>
    <row r="100" spans="1:23" x14ac:dyDescent="0.25">
      <c r="A100" s="2" t="s">
        <v>294</v>
      </c>
      <c r="B100" s="2"/>
      <c r="C100" s="2"/>
      <c r="D100" s="2"/>
      <c r="E100" s="2"/>
      <c r="F100" s="2"/>
      <c r="G100" s="2"/>
      <c r="H100" s="2"/>
      <c r="I100" s="2"/>
      <c r="J100" s="2"/>
      <c r="K100" s="2"/>
      <c r="L100" s="2"/>
      <c r="M100" s="2"/>
      <c r="N100" s="2"/>
      <c r="O100" s="2"/>
      <c r="P100" s="2"/>
      <c r="Q100" s="2"/>
      <c r="R100" s="2"/>
      <c r="S100" s="9"/>
      <c r="T100" s="2"/>
      <c r="U100" s="126"/>
      <c r="V100" s="2"/>
      <c r="W100" s="2"/>
    </row>
    <row r="101" spans="1:23" x14ac:dyDescent="0.25">
      <c r="A101" s="2"/>
      <c r="B101" s="2"/>
      <c r="C101" s="2"/>
      <c r="D101" s="2"/>
      <c r="E101" s="2"/>
      <c r="F101" s="2"/>
      <c r="G101" s="2"/>
      <c r="H101" s="2"/>
      <c r="I101" s="2"/>
      <c r="J101" s="2"/>
      <c r="K101" s="2"/>
      <c r="L101" s="2"/>
      <c r="M101" s="2"/>
      <c r="N101" s="2"/>
      <c r="O101" s="2"/>
      <c r="P101" s="2"/>
      <c r="Q101" s="2"/>
      <c r="R101" s="2"/>
      <c r="S101" s="9"/>
      <c r="T101" s="2"/>
      <c r="U101" s="126"/>
      <c r="V101" s="2"/>
      <c r="W101" s="2"/>
    </row>
    <row r="102" spans="1:23" ht="28.2" customHeight="1" x14ac:dyDescent="0.25">
      <c r="A102" s="744" t="s">
        <v>387</v>
      </c>
      <c r="B102" s="744"/>
      <c r="C102" s="744"/>
      <c r="D102" s="744"/>
      <c r="E102" s="744"/>
      <c r="F102" s="744"/>
      <c r="G102" s="2"/>
      <c r="H102" s="2"/>
      <c r="I102" s="2"/>
      <c r="J102" s="2"/>
      <c r="K102" s="2"/>
      <c r="L102" s="2"/>
      <c r="M102" s="2"/>
      <c r="N102" s="2"/>
      <c r="O102" s="2"/>
      <c r="P102" s="2"/>
      <c r="Q102" s="2"/>
      <c r="R102" s="2"/>
      <c r="S102" s="9"/>
      <c r="T102" s="2"/>
      <c r="U102" s="126"/>
      <c r="V102" s="2"/>
      <c r="W102" s="2"/>
    </row>
    <row r="103" spans="1:23" x14ac:dyDescent="0.25">
      <c r="A103" s="2"/>
      <c r="B103" s="2"/>
      <c r="C103" s="2"/>
      <c r="D103" s="2"/>
      <c r="E103" s="2"/>
      <c r="F103" s="2"/>
      <c r="G103" s="2"/>
      <c r="H103" s="2"/>
      <c r="I103" s="2"/>
      <c r="J103" s="2"/>
      <c r="K103" s="2"/>
      <c r="L103" s="2"/>
      <c r="M103" s="2"/>
      <c r="N103" s="2"/>
      <c r="O103" s="2"/>
    </row>
    <row r="104" spans="1:23" x14ac:dyDescent="0.25">
      <c r="A104" s="2"/>
      <c r="B104" s="2"/>
      <c r="C104" s="2"/>
      <c r="D104" s="11" t="s">
        <v>384</v>
      </c>
      <c r="E104" s="11"/>
      <c r="F104" s="11"/>
      <c r="G104" s="2"/>
      <c r="H104" s="2"/>
      <c r="I104" s="2"/>
      <c r="J104" s="2"/>
      <c r="K104" s="2"/>
      <c r="L104" s="2"/>
      <c r="M104" s="2"/>
      <c r="N104" s="2"/>
      <c r="O104" s="2"/>
    </row>
    <row r="105" spans="1:23" x14ac:dyDescent="0.25">
      <c r="A105" s="1" t="s">
        <v>184</v>
      </c>
      <c r="B105" s="36"/>
      <c r="C105" s="2"/>
      <c r="D105" s="11" t="s">
        <v>388</v>
      </c>
      <c r="E105" s="11"/>
      <c r="F105" s="11" t="s">
        <v>186</v>
      </c>
      <c r="G105" s="2"/>
      <c r="H105" s="2"/>
      <c r="I105" s="2"/>
      <c r="J105" s="2"/>
      <c r="K105" s="2"/>
      <c r="L105" s="2"/>
      <c r="M105" s="2"/>
      <c r="N105" s="2"/>
      <c r="O105" s="2"/>
    </row>
    <row r="106" spans="1:23" x14ac:dyDescent="0.25">
      <c r="A106" s="1" t="s">
        <v>187</v>
      </c>
      <c r="B106" s="36"/>
      <c r="C106" s="2"/>
      <c r="D106" s="11" t="s">
        <v>389</v>
      </c>
      <c r="E106" s="11"/>
      <c r="F106" s="11" t="s">
        <v>188</v>
      </c>
      <c r="G106" s="2"/>
      <c r="H106" s="2"/>
      <c r="I106" s="2"/>
      <c r="J106" s="2"/>
      <c r="K106" s="2"/>
      <c r="L106" s="2"/>
      <c r="M106" s="2"/>
      <c r="N106" s="2"/>
      <c r="O106" s="2"/>
    </row>
    <row r="107" spans="1:23" x14ac:dyDescent="0.25">
      <c r="A107" s="3" t="s">
        <v>189</v>
      </c>
      <c r="B107" s="125"/>
      <c r="C107" s="2"/>
      <c r="D107" s="10" t="s">
        <v>208</v>
      </c>
      <c r="E107" s="11" t="s">
        <v>305</v>
      </c>
      <c r="F107" s="10" t="s">
        <v>191</v>
      </c>
      <c r="G107" s="2"/>
      <c r="H107" s="2"/>
      <c r="I107" s="2"/>
      <c r="J107" s="2"/>
      <c r="K107" s="2"/>
      <c r="L107" s="2"/>
      <c r="M107" s="2"/>
      <c r="N107" s="2"/>
      <c r="O107" s="2"/>
    </row>
    <row r="108" spans="1:23" x14ac:dyDescent="0.25">
      <c r="A108" s="2"/>
      <c r="C108" s="2"/>
      <c r="D108" s="2"/>
      <c r="E108" s="2"/>
      <c r="F108" s="126"/>
      <c r="G108" s="2"/>
      <c r="H108" s="2"/>
      <c r="I108" s="2"/>
      <c r="J108" s="2"/>
      <c r="K108" s="2"/>
      <c r="L108" s="2"/>
      <c r="M108" s="2"/>
      <c r="N108" s="2"/>
      <c r="O108" s="2"/>
    </row>
    <row r="109" spans="1:23" x14ac:dyDescent="0.25">
      <c r="A109" s="2" t="s">
        <v>192</v>
      </c>
      <c r="C109" s="2"/>
      <c r="D109" s="218">
        <f>+'SCH-B - COS'!K307</f>
        <v>159838194.24390018</v>
      </c>
      <c r="E109" s="2"/>
      <c r="F109" s="168">
        <f>+'SCH-B - COS'!K308</f>
        <v>0.50600000000000001</v>
      </c>
      <c r="G109" s="2"/>
      <c r="H109" s="2"/>
      <c r="I109" s="2"/>
      <c r="J109" s="2"/>
      <c r="K109" s="2"/>
      <c r="L109" s="2"/>
      <c r="M109" s="2"/>
      <c r="N109" s="2"/>
      <c r="O109" s="2"/>
    </row>
    <row r="110" spans="1:23" x14ac:dyDescent="0.25">
      <c r="A110" s="2" t="s">
        <v>325</v>
      </c>
      <c r="C110" s="2"/>
      <c r="D110" s="9">
        <f>+'SCH-B - COS'!M307</f>
        <v>68878907.136795685</v>
      </c>
      <c r="E110" s="2"/>
      <c r="F110" s="126">
        <f>+'SCH-B - COS'!M308</f>
        <v>0.218</v>
      </c>
      <c r="G110" s="2"/>
      <c r="H110" s="2"/>
      <c r="I110" s="2"/>
      <c r="J110" s="2"/>
      <c r="K110" s="2"/>
      <c r="L110" s="2"/>
      <c r="M110" s="2"/>
      <c r="N110" s="2"/>
      <c r="O110" s="2"/>
    </row>
    <row r="111" spans="1:23" x14ac:dyDescent="0.25">
      <c r="A111" s="2" t="s">
        <v>194</v>
      </c>
      <c r="C111" s="2"/>
      <c r="D111" s="9">
        <f>+'SCH-B - COS'!O307</f>
        <v>23130404.359997936</v>
      </c>
      <c r="E111" s="2"/>
      <c r="F111" s="126">
        <f>+'SCH-B - COS'!O308</f>
        <v>7.3200000000000001E-2</v>
      </c>
      <c r="G111" s="2"/>
      <c r="H111" s="2"/>
      <c r="I111" s="2"/>
      <c r="J111" s="2"/>
      <c r="K111" s="2"/>
      <c r="L111" s="2"/>
      <c r="M111" s="2"/>
      <c r="N111" s="2"/>
      <c r="O111" s="2"/>
    </row>
    <row r="112" spans="1:23" x14ac:dyDescent="0.25">
      <c r="A112" s="2" t="s">
        <v>195</v>
      </c>
      <c r="C112" s="2"/>
      <c r="D112" s="9">
        <f>+'SCH-B - COS'!Q307</f>
        <v>11704108.694220593</v>
      </c>
      <c r="E112" s="2"/>
      <c r="F112" s="126">
        <f>+'SCH-B - COS'!Q308</f>
        <v>3.6999999999999998E-2</v>
      </c>
      <c r="G112" s="2"/>
      <c r="H112" s="2"/>
      <c r="I112" s="2"/>
      <c r="J112" s="2"/>
      <c r="K112" s="2"/>
      <c r="L112" s="2"/>
      <c r="M112" s="2"/>
      <c r="N112" s="2"/>
      <c r="O112" s="2"/>
    </row>
    <row r="113" spans="1:15" x14ac:dyDescent="0.25">
      <c r="A113" s="2" t="s">
        <v>103</v>
      </c>
      <c r="C113" s="2"/>
      <c r="D113" s="9">
        <f>+'SCH-B - COS'!S307</f>
        <v>11395373.716066286</v>
      </c>
      <c r="E113" s="2"/>
      <c r="F113" s="126">
        <f>+'SCH-B - COS'!S308</f>
        <v>3.61E-2</v>
      </c>
      <c r="G113" s="2"/>
      <c r="H113" s="2"/>
      <c r="I113" s="2"/>
      <c r="J113" s="2"/>
      <c r="K113" s="2"/>
      <c r="L113" s="2"/>
      <c r="M113" s="2"/>
      <c r="N113" s="2"/>
      <c r="O113" s="2"/>
    </row>
    <row r="114" spans="1:15" x14ac:dyDescent="0.25">
      <c r="A114" s="2" t="s">
        <v>232</v>
      </c>
      <c r="C114" s="2"/>
      <c r="D114" s="9">
        <f>+'SCH-B - COS'!W307</f>
        <v>40990137.579019248</v>
      </c>
      <c r="E114" s="2"/>
      <c r="F114" s="126">
        <f>+'SCH-B - COS'!W308</f>
        <v>0.12970000000000001</v>
      </c>
      <c r="G114" s="2"/>
      <c r="H114" s="2"/>
      <c r="I114" s="2"/>
      <c r="J114" s="2"/>
      <c r="K114" s="2"/>
      <c r="L114" s="2"/>
      <c r="M114" s="2"/>
      <c r="N114" s="2"/>
      <c r="O114" s="2"/>
    </row>
    <row r="115" spans="1:15" ht="12.75" customHeight="1" x14ac:dyDescent="0.25">
      <c r="A115" s="2"/>
      <c r="C115" s="2"/>
      <c r="D115" s="5"/>
      <c r="E115" s="2"/>
      <c r="F115" s="6"/>
      <c r="G115" s="2"/>
      <c r="H115" s="2"/>
      <c r="I115" s="2"/>
      <c r="J115" s="2"/>
      <c r="K115" s="2"/>
      <c r="L115" s="2"/>
      <c r="M115" s="2"/>
      <c r="N115" s="2"/>
      <c r="O115" s="2"/>
    </row>
    <row r="116" spans="1:15" ht="13.35" customHeight="1" thickBot="1" x14ac:dyDescent="0.3">
      <c r="A116" s="2" t="s">
        <v>199</v>
      </c>
      <c r="C116" s="2"/>
      <c r="D116" s="219">
        <f>SUM(D109:D115)</f>
        <v>315937125.72999996</v>
      </c>
      <c r="E116" s="2"/>
      <c r="F116" s="126">
        <f>SUM(F109:F115)</f>
        <v>1</v>
      </c>
      <c r="G116" s="2"/>
      <c r="H116" s="2"/>
      <c r="I116" s="2"/>
      <c r="J116" s="2"/>
      <c r="K116" s="2"/>
      <c r="L116" s="2"/>
      <c r="M116" s="2"/>
      <c r="N116" s="2"/>
      <c r="O116" s="2"/>
    </row>
    <row r="117" spans="1:15" ht="13.35" customHeight="1" thickTop="1" x14ac:dyDescent="0.25">
      <c r="A117" s="2"/>
      <c r="B117" s="2"/>
      <c r="C117" s="2"/>
      <c r="D117" s="161"/>
      <c r="E117" s="13"/>
      <c r="F117" s="8"/>
      <c r="G117" s="2"/>
      <c r="H117" s="2"/>
      <c r="I117" s="2"/>
      <c r="J117" s="2"/>
      <c r="K117" s="2"/>
      <c r="L117" s="2"/>
      <c r="M117" s="2"/>
      <c r="N117" s="2"/>
      <c r="O117" s="2"/>
    </row>
    <row r="118" spans="1:15" ht="13.35" customHeight="1" x14ac:dyDescent="0.25">
      <c r="A118" s="2"/>
      <c r="B118" s="2"/>
      <c r="C118" s="2"/>
      <c r="D118" s="2"/>
      <c r="E118" s="2"/>
      <c r="F118" s="2"/>
      <c r="G118" s="2"/>
      <c r="H118" s="2"/>
      <c r="I118" s="2"/>
      <c r="J118" s="2"/>
      <c r="K118" s="2"/>
      <c r="L118" s="2"/>
      <c r="M118" s="2"/>
      <c r="N118" s="2"/>
      <c r="O118" s="2"/>
    </row>
    <row r="119" spans="1:15" ht="13.35" customHeight="1" x14ac:dyDescent="0.25">
      <c r="A119" s="2" t="s">
        <v>136</v>
      </c>
      <c r="B119" s="2"/>
      <c r="C119" s="2"/>
      <c r="D119" s="2"/>
      <c r="E119" s="2"/>
      <c r="F119" s="2"/>
      <c r="G119" s="2"/>
      <c r="H119" s="2"/>
      <c r="I119" s="2"/>
      <c r="J119" s="2"/>
      <c r="K119" s="2"/>
      <c r="L119" s="2"/>
      <c r="M119" s="2"/>
      <c r="N119" s="2"/>
      <c r="O119" s="2"/>
    </row>
    <row r="120" spans="1:15" ht="13.35" customHeight="1" x14ac:dyDescent="0.25">
      <c r="A120" s="2" t="s">
        <v>390</v>
      </c>
      <c r="B120" s="2"/>
      <c r="C120" s="2"/>
      <c r="D120" s="2"/>
      <c r="E120" s="2"/>
      <c r="F120" s="2"/>
      <c r="G120" s="2"/>
      <c r="H120" s="2"/>
      <c r="I120" s="2"/>
      <c r="J120" s="2"/>
      <c r="K120" s="2"/>
      <c r="L120" s="2"/>
      <c r="M120" s="2"/>
      <c r="N120" s="2"/>
      <c r="O120" s="2"/>
    </row>
    <row r="121" spans="1:15" ht="13.35" customHeight="1" x14ac:dyDescent="0.25">
      <c r="A121" s="2"/>
      <c r="B121" s="2"/>
      <c r="C121" s="2"/>
      <c r="D121" s="2"/>
      <c r="E121" s="2"/>
      <c r="F121" s="2"/>
      <c r="G121" s="2"/>
      <c r="H121" s="2"/>
      <c r="I121" s="2"/>
      <c r="J121" s="2"/>
      <c r="K121" s="2"/>
      <c r="L121" s="2"/>
      <c r="M121" s="2"/>
      <c r="N121" s="2"/>
      <c r="O121" s="2"/>
    </row>
    <row r="122" spans="1:15" ht="29.25" customHeight="1" x14ac:dyDescent="0.25">
      <c r="A122" s="744" t="s">
        <v>391</v>
      </c>
      <c r="B122" s="744"/>
      <c r="C122" s="744"/>
      <c r="D122" s="744"/>
      <c r="E122" s="744"/>
      <c r="F122" s="744"/>
      <c r="G122" s="2"/>
      <c r="H122" s="2"/>
      <c r="I122" s="2"/>
      <c r="J122" s="2"/>
      <c r="K122" s="2"/>
      <c r="L122" s="2"/>
      <c r="M122" s="2"/>
      <c r="N122" s="2"/>
      <c r="O122" s="2"/>
    </row>
    <row r="123" spans="1:15" x14ac:dyDescent="0.25">
      <c r="A123" s="2"/>
      <c r="B123" s="2"/>
      <c r="C123" s="2"/>
      <c r="D123" s="2"/>
      <c r="E123" s="2"/>
      <c r="F123" s="2"/>
      <c r="G123" s="2"/>
      <c r="H123" s="2"/>
      <c r="I123" s="2"/>
      <c r="J123" s="2"/>
      <c r="K123" s="2"/>
      <c r="L123" s="2"/>
      <c r="M123" s="2"/>
      <c r="N123" s="2"/>
      <c r="O123" s="2"/>
    </row>
    <row r="124" spans="1:15" x14ac:dyDescent="0.25">
      <c r="A124" s="1" t="s">
        <v>184</v>
      </c>
      <c r="B124" s="36"/>
      <c r="C124" s="2"/>
      <c r="D124" s="11" t="s">
        <v>392</v>
      </c>
      <c r="E124" s="11"/>
      <c r="F124" s="11" t="s">
        <v>186</v>
      </c>
      <c r="G124" s="2"/>
      <c r="H124" s="2"/>
      <c r="I124" s="2"/>
      <c r="J124" s="2"/>
      <c r="K124" s="2"/>
      <c r="L124" s="2"/>
      <c r="M124" s="2"/>
      <c r="N124" s="2"/>
      <c r="O124" s="2"/>
    </row>
    <row r="125" spans="1:15" x14ac:dyDescent="0.25">
      <c r="A125" s="1" t="s">
        <v>187</v>
      </c>
      <c r="B125" s="36"/>
      <c r="C125" s="2"/>
      <c r="D125" s="11" t="s">
        <v>393</v>
      </c>
      <c r="E125" s="11"/>
      <c r="F125" s="11" t="s">
        <v>188</v>
      </c>
      <c r="G125" s="2"/>
      <c r="H125" s="2"/>
      <c r="I125" s="2"/>
      <c r="J125" s="2"/>
      <c r="K125" s="2"/>
      <c r="L125" s="2"/>
      <c r="M125" s="2"/>
      <c r="N125" s="2"/>
      <c r="O125" s="2"/>
    </row>
    <row r="126" spans="1:15" x14ac:dyDescent="0.25">
      <c r="A126" s="3" t="s">
        <v>189</v>
      </c>
      <c r="B126" s="125"/>
      <c r="C126" s="2"/>
      <c r="D126" s="10" t="s">
        <v>208</v>
      </c>
      <c r="E126" s="11" t="s">
        <v>305</v>
      </c>
      <c r="F126" s="10" t="s">
        <v>191</v>
      </c>
      <c r="G126" s="2"/>
      <c r="H126" s="2"/>
      <c r="I126" s="2"/>
      <c r="J126" s="2"/>
      <c r="K126" s="2"/>
      <c r="L126" s="2"/>
      <c r="M126" s="2"/>
      <c r="N126" s="2"/>
      <c r="O126" s="2"/>
    </row>
    <row r="127" spans="1:15" x14ac:dyDescent="0.25">
      <c r="A127" s="2"/>
      <c r="C127" s="2"/>
      <c r="D127" s="2"/>
      <c r="E127" s="2"/>
      <c r="F127" s="126"/>
      <c r="G127" s="2"/>
      <c r="H127" s="2"/>
      <c r="I127" s="2"/>
      <c r="J127" s="2"/>
      <c r="K127" s="2"/>
      <c r="L127" s="2"/>
      <c r="M127" s="2"/>
      <c r="N127" s="2"/>
      <c r="O127" s="2"/>
    </row>
    <row r="128" spans="1:15" x14ac:dyDescent="0.25">
      <c r="A128" s="2" t="s">
        <v>192</v>
      </c>
      <c r="C128" s="2"/>
      <c r="D128" s="218">
        <f>+'SCH-B - COS'!K309</f>
        <v>37343076.308903329</v>
      </c>
      <c r="E128" s="2"/>
      <c r="F128" s="168">
        <f>+'SCH-B - COS'!K310</f>
        <v>0.53200000000000003</v>
      </c>
      <c r="G128" s="2"/>
      <c r="H128" s="2"/>
      <c r="I128" s="2"/>
      <c r="J128" s="2"/>
      <c r="K128" s="2"/>
      <c r="L128" s="2"/>
      <c r="M128" s="2"/>
      <c r="N128" s="2"/>
      <c r="O128" s="2"/>
    </row>
    <row r="129" spans="1:21" x14ac:dyDescent="0.25">
      <c r="A129" s="2" t="s">
        <v>325</v>
      </c>
      <c r="C129" s="2"/>
      <c r="D129" s="9">
        <f>+'SCH-B - COS'!M309</f>
        <v>15316370.253081238</v>
      </c>
      <c r="E129" s="2"/>
      <c r="F129" s="126">
        <f>+'SCH-B - COS'!M310</f>
        <v>0.21809999999999999</v>
      </c>
      <c r="G129" s="2"/>
      <c r="H129" s="2"/>
      <c r="I129" s="2"/>
      <c r="J129" s="2"/>
      <c r="K129" s="2"/>
      <c r="L129" s="2"/>
      <c r="M129" s="2"/>
      <c r="N129" s="2"/>
      <c r="O129" s="2"/>
    </row>
    <row r="130" spans="1:21" x14ac:dyDescent="0.25">
      <c r="A130" s="2" t="s">
        <v>194</v>
      </c>
      <c r="C130" s="2"/>
      <c r="D130" s="9">
        <f>+'SCH-B - COS'!O309</f>
        <v>5070241.9987856923</v>
      </c>
      <c r="E130" s="2"/>
      <c r="F130" s="126">
        <f>+'SCH-B - COS'!O310</f>
        <v>7.22E-2</v>
      </c>
      <c r="G130" s="2"/>
      <c r="H130" s="2"/>
      <c r="I130" s="2"/>
      <c r="J130" s="2"/>
      <c r="K130" s="2"/>
      <c r="L130" s="2"/>
      <c r="M130" s="2"/>
      <c r="N130" s="2"/>
      <c r="O130" s="2"/>
    </row>
    <row r="131" spans="1:21" x14ac:dyDescent="0.25">
      <c r="A131" s="2" t="s">
        <v>195</v>
      </c>
      <c r="C131" s="2"/>
      <c r="D131" s="9">
        <f>+'SCH-B - COS'!Q309</f>
        <v>2584629.2920518918</v>
      </c>
      <c r="E131" s="2"/>
      <c r="F131" s="126">
        <f>+'SCH-B - COS'!Q310</f>
        <v>3.6799999999999999E-2</v>
      </c>
      <c r="G131" s="2"/>
      <c r="H131" s="2"/>
      <c r="I131" s="2"/>
      <c r="J131" s="2"/>
      <c r="K131" s="2"/>
      <c r="L131" s="2"/>
      <c r="M131" s="2"/>
      <c r="N131" s="2"/>
      <c r="O131" s="2"/>
    </row>
    <row r="132" spans="1:21" x14ac:dyDescent="0.25">
      <c r="A132" s="2" t="s">
        <v>103</v>
      </c>
      <c r="C132" s="2"/>
      <c r="D132" s="9">
        <f>+'SCH-B - COS'!S309</f>
        <v>2465224.3437884292</v>
      </c>
      <c r="E132" s="2"/>
      <c r="F132" s="126">
        <f>+'SCH-B - COS'!S310</f>
        <v>3.5099999999999999E-2</v>
      </c>
      <c r="G132" s="2"/>
      <c r="H132" s="2"/>
      <c r="I132" s="2"/>
      <c r="J132" s="2"/>
      <c r="K132" s="2"/>
      <c r="L132" s="2"/>
      <c r="M132" s="2"/>
      <c r="N132" s="2"/>
      <c r="O132" s="2"/>
    </row>
    <row r="133" spans="1:21" x14ac:dyDescent="0.25">
      <c r="A133" s="2" t="s">
        <v>232</v>
      </c>
      <c r="C133" s="2"/>
      <c r="D133" s="9">
        <f>+'SCH-B - COS'!W309</f>
        <v>7431491.2629877413</v>
      </c>
      <c r="E133" s="2"/>
      <c r="F133" s="126">
        <f>+'SCH-B - COS'!W310</f>
        <v>0.10580000000000001</v>
      </c>
      <c r="G133" s="2"/>
      <c r="H133" s="2"/>
      <c r="I133" s="2"/>
      <c r="J133" s="2"/>
      <c r="K133" s="2"/>
      <c r="L133" s="2"/>
      <c r="M133" s="2"/>
      <c r="N133" s="2"/>
      <c r="O133" s="2"/>
    </row>
    <row r="134" spans="1:21" ht="12.75" customHeight="1" x14ac:dyDescent="0.25">
      <c r="A134" s="2"/>
      <c r="C134" s="2"/>
      <c r="D134" s="5"/>
      <c r="E134" s="2"/>
      <c r="F134" s="6"/>
      <c r="G134" s="2"/>
      <c r="H134" s="2"/>
      <c r="I134" s="2"/>
      <c r="J134" s="2"/>
      <c r="K134" s="2"/>
      <c r="L134" s="2"/>
      <c r="M134" s="2"/>
      <c r="N134" s="2"/>
      <c r="O134" s="2"/>
    </row>
    <row r="135" spans="1:21" ht="13.35" customHeight="1" thickBot="1" x14ac:dyDescent="0.3">
      <c r="A135" s="2" t="s">
        <v>199</v>
      </c>
      <c r="C135" s="2"/>
      <c r="D135" s="219">
        <f>SUM(D128:D134)</f>
        <v>70211033.459598318</v>
      </c>
      <c r="E135" s="2"/>
      <c r="F135" s="126">
        <f>SUM(F128:F134)</f>
        <v>1</v>
      </c>
      <c r="G135" s="2"/>
      <c r="H135" s="2"/>
      <c r="I135" s="2"/>
      <c r="J135" s="2"/>
      <c r="K135" s="2"/>
      <c r="L135" s="2"/>
      <c r="M135" s="2"/>
      <c r="N135" s="2"/>
      <c r="O135" s="2"/>
      <c r="U135" s="15"/>
    </row>
    <row r="136" spans="1:21" ht="13.35" customHeight="1" thickTop="1" x14ac:dyDescent="0.25">
      <c r="A136" s="2"/>
      <c r="B136" s="2"/>
      <c r="C136" s="2"/>
      <c r="D136" s="161"/>
      <c r="E136" s="13"/>
      <c r="F136" s="8"/>
      <c r="G136" s="2"/>
      <c r="H136" s="2"/>
      <c r="I136" s="2"/>
      <c r="J136" s="2"/>
      <c r="K136" s="2"/>
      <c r="L136" s="2"/>
      <c r="M136" s="2"/>
      <c r="N136" s="2"/>
      <c r="O136" s="2"/>
    </row>
    <row r="137" spans="1:21" ht="13.35" customHeight="1" x14ac:dyDescent="0.25">
      <c r="A137" s="2"/>
      <c r="B137" s="2"/>
      <c r="C137" s="2"/>
      <c r="D137" s="2"/>
      <c r="E137" s="2"/>
      <c r="F137" s="2"/>
      <c r="G137" s="2"/>
      <c r="H137" s="2"/>
      <c r="I137" s="2"/>
      <c r="J137" s="2"/>
      <c r="K137" s="2"/>
      <c r="L137" s="2"/>
      <c r="M137" s="2"/>
      <c r="N137" s="2"/>
      <c r="O137" s="2"/>
    </row>
    <row r="138" spans="1:21" ht="13.35" customHeight="1" x14ac:dyDescent="0.25">
      <c r="A138" s="36" t="s">
        <v>51</v>
      </c>
      <c r="B138" s="1"/>
      <c r="C138" s="36"/>
      <c r="D138" s="1"/>
      <c r="E138" s="1"/>
      <c r="F138" s="1"/>
      <c r="G138" s="2"/>
      <c r="H138" s="2"/>
      <c r="I138" s="2"/>
      <c r="J138" s="2"/>
      <c r="K138" s="2"/>
      <c r="L138" s="2"/>
      <c r="M138" s="2"/>
      <c r="N138" s="2"/>
      <c r="O138" s="2"/>
    </row>
    <row r="139" spans="1:21" ht="13.35" customHeight="1" x14ac:dyDescent="0.25">
      <c r="A139" s="36"/>
      <c r="B139" s="1"/>
      <c r="C139" s="36"/>
      <c r="D139" s="1"/>
      <c r="E139" s="1"/>
      <c r="F139" s="1"/>
      <c r="G139" s="2"/>
      <c r="H139" s="2"/>
      <c r="I139" s="2"/>
      <c r="J139" s="2"/>
      <c r="K139" s="2"/>
      <c r="L139" s="2"/>
      <c r="M139" s="2"/>
      <c r="N139" s="2"/>
      <c r="O139" s="2"/>
    </row>
    <row r="140" spans="1:21" ht="13.35" customHeight="1" x14ac:dyDescent="0.25">
      <c r="A140" s="1"/>
      <c r="B140" s="1"/>
      <c r="C140" s="1"/>
      <c r="D140" s="1"/>
      <c r="E140" s="1"/>
      <c r="F140" s="1"/>
      <c r="G140" s="2"/>
      <c r="H140" s="2"/>
      <c r="I140" s="2"/>
      <c r="J140" s="2"/>
      <c r="K140" s="2"/>
      <c r="L140" s="2"/>
      <c r="M140" s="2"/>
      <c r="N140" s="2"/>
      <c r="O140" s="2"/>
    </row>
    <row r="141" spans="1:21" ht="13.35" customHeight="1" x14ac:dyDescent="0.25">
      <c r="A141" s="1" t="s">
        <v>215</v>
      </c>
      <c r="B141" s="1"/>
      <c r="C141" s="1"/>
      <c r="D141" s="1"/>
      <c r="E141" s="1"/>
      <c r="F141" s="1"/>
      <c r="G141" s="2"/>
      <c r="H141" s="2"/>
      <c r="I141" s="2"/>
      <c r="J141" s="2"/>
      <c r="K141" s="2"/>
      <c r="L141" s="2"/>
      <c r="M141" s="2"/>
      <c r="N141" s="2"/>
      <c r="O141" s="2"/>
    </row>
    <row r="142" spans="1:21" x14ac:dyDescent="0.25">
      <c r="A142" s="2"/>
      <c r="B142" s="2"/>
      <c r="C142" s="2"/>
      <c r="D142" s="2"/>
      <c r="E142" s="2"/>
      <c r="F142" s="2"/>
      <c r="G142" s="2"/>
      <c r="H142" s="2"/>
      <c r="I142" s="2"/>
      <c r="J142" s="2"/>
      <c r="K142" s="2"/>
      <c r="L142" s="2"/>
      <c r="M142" s="2"/>
      <c r="N142" s="2"/>
      <c r="O142" s="2"/>
    </row>
    <row r="143" spans="1:21" ht="15" customHeight="1" x14ac:dyDescent="0.25">
      <c r="A143" s="102" t="s">
        <v>451</v>
      </c>
      <c r="B143" s="102"/>
      <c r="C143" s="102"/>
      <c r="D143" s="102"/>
      <c r="E143" s="102"/>
      <c r="F143" s="102"/>
      <c r="G143" s="102"/>
      <c r="H143" s="2"/>
      <c r="I143" s="2"/>
      <c r="J143" s="2"/>
      <c r="K143" s="2"/>
      <c r="L143" s="2"/>
      <c r="M143" s="2"/>
      <c r="N143" s="2"/>
      <c r="O143" s="2"/>
    </row>
    <row r="144" spans="1:21" x14ac:dyDescent="0.25">
      <c r="A144" s="102"/>
      <c r="B144" s="102"/>
      <c r="C144" s="102"/>
      <c r="D144" s="102"/>
      <c r="E144" s="102"/>
      <c r="F144" s="102"/>
      <c r="G144" s="102"/>
      <c r="H144" s="2"/>
      <c r="I144" s="2"/>
      <c r="J144" s="2"/>
      <c r="K144" s="2"/>
      <c r="L144" s="2"/>
      <c r="M144" s="2"/>
      <c r="N144" s="2"/>
      <c r="O144" s="2"/>
    </row>
    <row r="145" spans="1:15" ht="27.75" customHeight="1" x14ac:dyDescent="0.25">
      <c r="A145" s="756" t="s">
        <v>462</v>
      </c>
      <c r="B145" s="756"/>
      <c r="C145" s="756"/>
      <c r="D145" s="756"/>
      <c r="E145" s="756"/>
      <c r="F145" s="756"/>
      <c r="G145" s="356"/>
      <c r="H145" s="2"/>
      <c r="I145" s="2"/>
      <c r="J145" s="2"/>
      <c r="K145" s="2"/>
      <c r="L145" s="2"/>
      <c r="M145" s="2"/>
      <c r="N145" s="2"/>
      <c r="O145" s="2"/>
    </row>
    <row r="146" spans="1:15" x14ac:dyDescent="0.25">
      <c r="A146" s="102"/>
      <c r="B146" s="102"/>
      <c r="C146" s="102"/>
      <c r="D146" s="102"/>
      <c r="E146" s="102"/>
      <c r="F146" s="102"/>
      <c r="G146" s="102"/>
    </row>
    <row r="147" spans="1:15" x14ac:dyDescent="0.25">
      <c r="A147" s="100" t="s">
        <v>184</v>
      </c>
      <c r="B147" s="99"/>
      <c r="C147" s="102"/>
      <c r="D147" s="103" t="s">
        <v>303</v>
      </c>
      <c r="E147" s="103"/>
      <c r="F147" s="103" t="s">
        <v>186</v>
      </c>
      <c r="G147" s="102"/>
    </row>
    <row r="148" spans="1:15" x14ac:dyDescent="0.25">
      <c r="A148" s="100" t="s">
        <v>187</v>
      </c>
      <c r="B148" s="99"/>
      <c r="C148" s="102"/>
      <c r="D148" s="103" t="s">
        <v>304</v>
      </c>
      <c r="E148" s="103"/>
      <c r="F148" s="103" t="s">
        <v>188</v>
      </c>
      <c r="G148" s="102"/>
    </row>
    <row r="149" spans="1:15" x14ac:dyDescent="0.25">
      <c r="A149" s="104" t="s">
        <v>189</v>
      </c>
      <c r="B149" s="105"/>
      <c r="C149" s="102"/>
      <c r="D149" s="106" t="s">
        <v>208</v>
      </c>
      <c r="E149" s="103" t="s">
        <v>305</v>
      </c>
      <c r="F149" s="106" t="s">
        <v>191</v>
      </c>
      <c r="G149" s="102"/>
    </row>
    <row r="150" spans="1:15" x14ac:dyDescent="0.25">
      <c r="A150" s="102"/>
      <c r="B150" s="101"/>
      <c r="C150" s="102"/>
      <c r="D150" s="102"/>
      <c r="E150" s="102"/>
      <c r="F150" s="108"/>
      <c r="G150" s="102"/>
    </row>
    <row r="151" spans="1:15" x14ac:dyDescent="0.25">
      <c r="A151" s="2" t="s">
        <v>192</v>
      </c>
      <c r="B151" s="101"/>
      <c r="C151" s="102"/>
      <c r="D151" s="107">
        <f>'SCH-C - Meters'!$G$32</f>
        <v>80382</v>
      </c>
      <c r="E151" s="102"/>
      <c r="F151" s="360">
        <f>+ROUND(D151/$D$156,4)</f>
        <v>0.80179999999999996</v>
      </c>
      <c r="G151" s="102"/>
    </row>
    <row r="152" spans="1:15" x14ac:dyDescent="0.25">
      <c r="A152" s="2" t="s">
        <v>325</v>
      </c>
      <c r="B152" s="101"/>
      <c r="C152" s="102"/>
      <c r="D152" s="107">
        <f>'SCH-C - Meters'!$K$32</f>
        <v>16683</v>
      </c>
      <c r="E152" s="102"/>
      <c r="F152" s="360">
        <f>+ROUND(D152/$D$156,4)</f>
        <v>0.16639999999999999</v>
      </c>
      <c r="G152" s="102"/>
    </row>
    <row r="153" spans="1:15" x14ac:dyDescent="0.25">
      <c r="A153" s="2" t="s">
        <v>194</v>
      </c>
      <c r="B153" s="101"/>
      <c r="C153" s="102"/>
      <c r="D153" s="107">
        <f>'SCH-C - Meters'!$O$32</f>
        <v>956</v>
      </c>
      <c r="E153" s="102"/>
      <c r="F153" s="360">
        <f>+ROUND(D153/$D$156,4)</f>
        <v>9.4999999999999998E-3</v>
      </c>
      <c r="G153" s="102"/>
    </row>
    <row r="154" spans="1:15" x14ac:dyDescent="0.25">
      <c r="A154" s="2" t="s">
        <v>195</v>
      </c>
      <c r="B154" s="101"/>
      <c r="C154" s="102"/>
      <c r="D154" s="107">
        <f>'SCH-C - Meters'!$S$32</f>
        <v>2233</v>
      </c>
      <c r="E154" s="102"/>
      <c r="F154" s="361">
        <f>+ROUND(D154/$D$156,4)</f>
        <v>2.23E-2</v>
      </c>
      <c r="G154" s="102"/>
    </row>
    <row r="155" spans="1:15" x14ac:dyDescent="0.25">
      <c r="A155" s="102"/>
      <c r="B155" s="101"/>
      <c r="C155" s="102"/>
      <c r="D155" s="109"/>
      <c r="E155" s="102"/>
      <c r="F155" s="178"/>
      <c r="G155" s="102"/>
    </row>
    <row r="156" spans="1:15" ht="15.6" thickBot="1" x14ac:dyDescent="0.3">
      <c r="A156" s="102" t="s">
        <v>199</v>
      </c>
      <c r="B156" s="101"/>
      <c r="C156" s="102"/>
      <c r="D156" s="367">
        <f>SUM(D151:D155)</f>
        <v>100254</v>
      </c>
      <c r="E156" s="102"/>
      <c r="F156" s="179">
        <f>SUM(F151:F155)</f>
        <v>0.99999999999999989</v>
      </c>
      <c r="G156" s="102"/>
    </row>
    <row r="157" spans="1:15" ht="15.6" thickTop="1" x14ac:dyDescent="0.25"/>
  </sheetData>
  <mergeCells count="7">
    <mergeCell ref="A145:F145"/>
    <mergeCell ref="A122:F122"/>
    <mergeCell ref="A10:F10"/>
    <mergeCell ref="A58:F58"/>
    <mergeCell ref="A78:F78"/>
    <mergeCell ref="A102:F102"/>
    <mergeCell ref="A31:F31"/>
  </mergeCells>
  <phoneticPr fontId="13" type="noConversion"/>
  <printOptions horizontalCentered="1"/>
  <pageMargins left="1" right="1" top="1" bottom="0.5" header="0.5" footer="0.5"/>
  <pageSetup scale="94" fitToHeight="0" orientation="portrait" r:id="rId1"/>
  <headerFooter alignWithMargins="0"/>
  <rowBreaks count="3" manualBreakCount="3">
    <brk id="49" max="16383" man="1"/>
    <brk id="93" max="16383" man="1"/>
    <brk id="13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R36"/>
  <sheetViews>
    <sheetView zoomScaleNormal="100" workbookViewId="0">
      <selection activeCell="L35" sqref="L35"/>
    </sheetView>
  </sheetViews>
  <sheetFormatPr defaultColWidth="8.90625" defaultRowHeight="15" x14ac:dyDescent="0.25"/>
  <cols>
    <col min="1" max="1" width="3" style="37" customWidth="1"/>
    <col min="2" max="2" width="11.453125" style="37" customWidth="1"/>
    <col min="3" max="3" width="2.453125" style="37" customWidth="1"/>
    <col min="4" max="4" width="15.36328125" style="37" customWidth="1"/>
    <col min="5" max="5" width="3" style="37" customWidth="1"/>
    <col min="6" max="6" width="11.453125" style="37" customWidth="1"/>
    <col min="7" max="7" width="13.90625" style="37" customWidth="1"/>
    <col min="8" max="8" width="15" style="37" customWidth="1"/>
    <col min="9" max="9" width="1.453125" style="37" customWidth="1"/>
    <col min="10" max="11" width="9" style="37" bestFit="1" customWidth="1"/>
    <col min="12" max="12" width="10.453125" style="37" bestFit="1" customWidth="1"/>
    <col min="13" max="13" width="8.90625" style="37"/>
    <col min="14" max="14" width="12.36328125" style="37" bestFit="1" customWidth="1"/>
    <col min="15" max="16384" width="8.90625" style="37"/>
  </cols>
  <sheetData>
    <row r="1" spans="2:18" x14ac:dyDescent="0.25">
      <c r="B1" s="737" t="s">
        <v>51</v>
      </c>
      <c r="C1" s="737"/>
      <c r="D1" s="737"/>
      <c r="E1" s="737"/>
      <c r="F1" s="737"/>
      <c r="G1" s="737"/>
      <c r="H1" s="737"/>
      <c r="I1" s="289"/>
      <c r="J1" s="289"/>
      <c r="K1" s="289"/>
      <c r="L1" s="289"/>
      <c r="M1" s="289"/>
      <c r="N1" s="289"/>
      <c r="O1" s="289"/>
      <c r="P1" s="289"/>
      <c r="Q1" s="289"/>
      <c r="R1" s="289"/>
    </row>
    <row r="2" spans="2:18" x14ac:dyDescent="0.25">
      <c r="B2" s="737"/>
      <c r="C2" s="737"/>
      <c r="D2" s="737"/>
      <c r="E2" s="737"/>
      <c r="F2" s="737"/>
      <c r="G2" s="737"/>
      <c r="H2" s="737"/>
      <c r="I2" s="289"/>
      <c r="J2" s="289"/>
      <c r="K2" s="289"/>
      <c r="L2" s="289"/>
      <c r="M2" s="289"/>
      <c r="N2" s="289"/>
      <c r="O2" s="289"/>
      <c r="P2" s="289"/>
      <c r="Q2" s="289"/>
      <c r="R2" s="289"/>
    </row>
    <row r="3" spans="2:18" x14ac:dyDescent="0.25">
      <c r="B3" s="289"/>
      <c r="C3" s="289"/>
      <c r="D3" s="289"/>
      <c r="E3" s="289"/>
      <c r="F3" s="289"/>
      <c r="G3" s="289"/>
      <c r="H3" s="289"/>
      <c r="I3" s="289"/>
      <c r="J3" s="726"/>
      <c r="K3" s="726"/>
      <c r="L3" s="726"/>
      <c r="M3" s="726"/>
      <c r="N3" s="289"/>
      <c r="O3" s="289"/>
      <c r="P3" s="289"/>
      <c r="Q3" s="289"/>
      <c r="R3" s="289"/>
    </row>
    <row r="4" spans="2:18" x14ac:dyDescent="0.25">
      <c r="B4" s="737" t="s">
        <v>445</v>
      </c>
      <c r="C4" s="737"/>
      <c r="D4" s="737"/>
      <c r="E4" s="737"/>
      <c r="F4" s="737"/>
      <c r="G4" s="737"/>
      <c r="H4" s="737"/>
      <c r="I4" s="289"/>
      <c r="J4" s="726"/>
      <c r="K4" s="726"/>
      <c r="L4" s="726"/>
      <c r="M4" s="726"/>
      <c r="N4" s="289"/>
      <c r="O4" s="289"/>
      <c r="P4" s="289"/>
      <c r="Q4" s="289"/>
      <c r="R4" s="289"/>
    </row>
    <row r="5" spans="2:18" x14ac:dyDescent="0.25">
      <c r="B5" s="737" t="s">
        <v>492</v>
      </c>
      <c r="C5" s="737"/>
      <c r="D5" s="737"/>
      <c r="E5" s="737"/>
      <c r="F5" s="737"/>
      <c r="G5" s="737"/>
      <c r="H5" s="737"/>
      <c r="I5" s="289"/>
      <c r="J5" s="726"/>
      <c r="K5" s="726"/>
      <c r="L5" s="726"/>
      <c r="M5" s="726"/>
      <c r="N5" s="289"/>
      <c r="O5" s="289"/>
      <c r="P5" s="289"/>
      <c r="Q5" s="289"/>
      <c r="R5" s="289"/>
    </row>
    <row r="6" spans="2:18" x14ac:dyDescent="0.25">
      <c r="B6" s="285"/>
      <c r="C6" s="285"/>
      <c r="D6" s="285"/>
      <c r="E6" s="285"/>
      <c r="F6" s="285"/>
      <c r="G6" s="285"/>
      <c r="H6" s="285"/>
      <c r="I6" s="285"/>
      <c r="J6" s="727"/>
      <c r="K6" s="727"/>
      <c r="L6" s="727"/>
      <c r="M6" s="727"/>
      <c r="N6" s="285"/>
      <c r="O6" s="285"/>
      <c r="P6" s="285"/>
      <c r="Q6" s="285"/>
      <c r="R6" s="285"/>
    </row>
    <row r="7" spans="2:18" x14ac:dyDescent="0.25">
      <c r="B7" s="285"/>
      <c r="C7" s="285"/>
      <c r="D7" s="285" t="s">
        <v>183</v>
      </c>
      <c r="E7" s="285"/>
      <c r="F7" s="735" t="s">
        <v>446</v>
      </c>
      <c r="G7" s="735"/>
      <c r="H7" s="735"/>
      <c r="I7" s="285"/>
      <c r="J7" s="726"/>
      <c r="K7" s="726"/>
      <c r="L7" s="726"/>
      <c r="M7" s="727"/>
      <c r="N7" s="285"/>
      <c r="O7" s="285"/>
      <c r="P7" s="285"/>
      <c r="Q7" s="285"/>
      <c r="R7" s="285"/>
    </row>
    <row r="8" spans="2:18" x14ac:dyDescent="0.25">
      <c r="B8" s="285"/>
      <c r="C8" s="285"/>
      <c r="D8" s="285" t="s">
        <v>447</v>
      </c>
      <c r="E8" s="285"/>
      <c r="F8" s="285"/>
      <c r="G8" s="285" t="s">
        <v>448</v>
      </c>
      <c r="H8" s="285" t="s">
        <v>449</v>
      </c>
      <c r="I8" s="285"/>
      <c r="J8" s="727"/>
      <c r="K8" s="727"/>
      <c r="L8" s="727"/>
      <c r="M8" s="727"/>
      <c r="N8" s="285"/>
      <c r="O8" s="285"/>
      <c r="P8" s="285"/>
      <c r="Q8" s="285"/>
      <c r="R8" s="285"/>
    </row>
    <row r="9" spans="2:18" x14ac:dyDescent="0.25">
      <c r="B9" s="286" t="s">
        <v>450</v>
      </c>
      <c r="C9" s="283"/>
      <c r="D9" s="286" t="s">
        <v>452</v>
      </c>
      <c r="E9" s="283"/>
      <c r="F9" s="286" t="s">
        <v>453</v>
      </c>
      <c r="G9" s="286" t="s">
        <v>255</v>
      </c>
      <c r="H9" s="286" t="s">
        <v>454</v>
      </c>
      <c r="I9" s="283"/>
      <c r="J9" s="728"/>
      <c r="K9" s="728"/>
      <c r="L9" s="728"/>
      <c r="M9" s="716"/>
    </row>
    <row r="10" spans="2:18" x14ac:dyDescent="0.25">
      <c r="B10" s="287" t="s">
        <v>189</v>
      </c>
      <c r="C10" s="283"/>
      <c r="D10" s="288" t="s">
        <v>208</v>
      </c>
      <c r="E10" s="283"/>
      <c r="F10" s="287" t="s">
        <v>191</v>
      </c>
      <c r="G10" s="287" t="s">
        <v>210</v>
      </c>
      <c r="H10" s="287" t="s">
        <v>222</v>
      </c>
      <c r="I10" s="283"/>
      <c r="J10" s="729"/>
      <c r="K10" s="729"/>
      <c r="L10" s="729"/>
      <c r="M10" s="716"/>
    </row>
    <row r="11" spans="2:18" x14ac:dyDescent="0.25">
      <c r="B11" s="287"/>
      <c r="C11" s="283"/>
      <c r="D11" s="288"/>
      <c r="E11" s="283"/>
      <c r="F11" s="287"/>
      <c r="G11" s="287"/>
      <c r="H11" s="287"/>
      <c r="I11" s="283"/>
      <c r="J11" s="716"/>
      <c r="K11" s="716"/>
      <c r="L11" s="716"/>
      <c r="M11" s="716"/>
    </row>
    <row r="12" spans="2:18" x14ac:dyDescent="0.25">
      <c r="B12" s="283">
        <v>1998</v>
      </c>
      <c r="C12" s="283"/>
      <c r="D12" s="549">
        <v>32.1</v>
      </c>
      <c r="E12" s="550"/>
      <c r="F12" s="551">
        <v>46.6</v>
      </c>
      <c r="G12" s="358">
        <f t="shared" ref="G12:G21" si="0">+F12/D12</f>
        <v>1.4517133956386292</v>
      </c>
      <c r="H12" s="435">
        <v>36051</v>
      </c>
      <c r="I12" s="283"/>
      <c r="J12" s="716"/>
      <c r="K12" s="716"/>
      <c r="L12" s="716"/>
      <c r="M12" s="716"/>
    </row>
    <row r="13" spans="2:18" x14ac:dyDescent="0.25">
      <c r="B13" s="283">
        <v>1999</v>
      </c>
      <c r="C13" s="283"/>
      <c r="D13" s="549">
        <v>34.700000000000003</v>
      </c>
      <c r="E13" s="550"/>
      <c r="F13" s="551">
        <v>51.2</v>
      </c>
      <c r="G13" s="358">
        <f t="shared" si="0"/>
        <v>1.4755043227665705</v>
      </c>
      <c r="H13" s="435">
        <v>36367</v>
      </c>
      <c r="I13" s="283"/>
      <c r="J13" s="716"/>
      <c r="K13" s="716"/>
      <c r="L13" s="716"/>
      <c r="M13" s="716"/>
    </row>
    <row r="14" spans="2:18" x14ac:dyDescent="0.25">
      <c r="B14" s="283">
        <v>2000</v>
      </c>
      <c r="D14" s="552">
        <v>33</v>
      </c>
      <c r="E14" s="444"/>
      <c r="F14" s="552">
        <v>48.5</v>
      </c>
      <c r="G14" s="358">
        <f t="shared" si="0"/>
        <v>1.4696969696969697</v>
      </c>
      <c r="H14" s="436">
        <v>36690</v>
      </c>
      <c r="J14" s="716"/>
      <c r="K14" s="716"/>
      <c r="L14" s="716"/>
      <c r="M14" s="716"/>
    </row>
    <row r="15" spans="2:18" x14ac:dyDescent="0.25">
      <c r="B15" s="283">
        <f t="shared" ref="B15:B35" si="1">+B14+1</f>
        <v>2001</v>
      </c>
      <c r="D15" s="552">
        <v>33.299999999999997</v>
      </c>
      <c r="E15" s="444"/>
      <c r="F15" s="552">
        <v>47.1</v>
      </c>
      <c r="G15" s="358">
        <f t="shared" si="0"/>
        <v>1.4144144144144146</v>
      </c>
      <c r="H15" s="436">
        <v>37070</v>
      </c>
      <c r="J15" s="716"/>
      <c r="K15" s="716"/>
      <c r="L15" s="716"/>
      <c r="M15" s="716"/>
    </row>
    <row r="16" spans="2:18" x14ac:dyDescent="0.25">
      <c r="B16" s="283">
        <f t="shared" si="1"/>
        <v>2002</v>
      </c>
      <c r="D16" s="552">
        <v>36.4</v>
      </c>
      <c r="E16" s="444"/>
      <c r="F16" s="552">
        <v>57.3</v>
      </c>
      <c r="G16" s="358">
        <f t="shared" si="0"/>
        <v>1.5741758241758241</v>
      </c>
      <c r="H16" s="436">
        <v>37512</v>
      </c>
      <c r="J16" s="716"/>
      <c r="K16" s="716"/>
      <c r="L16" s="716"/>
      <c r="M16" s="716"/>
    </row>
    <row r="17" spans="2:13" x14ac:dyDescent="0.25">
      <c r="B17" s="283">
        <f t="shared" si="1"/>
        <v>2003</v>
      </c>
      <c r="D17" s="552">
        <v>26.8</v>
      </c>
      <c r="E17" s="444"/>
      <c r="F17" s="552">
        <v>38.4</v>
      </c>
      <c r="G17" s="358">
        <f t="shared" si="0"/>
        <v>1.4328358208955223</v>
      </c>
      <c r="H17" s="436">
        <v>37470</v>
      </c>
      <c r="J17" s="730"/>
      <c r="K17" s="730"/>
      <c r="L17" s="731"/>
      <c r="M17" s="716"/>
    </row>
    <row r="18" spans="2:13" x14ac:dyDescent="0.25">
      <c r="B18" s="283">
        <f t="shared" si="1"/>
        <v>2004</v>
      </c>
      <c r="D18" s="552">
        <v>27.9</v>
      </c>
      <c r="E18" s="444"/>
      <c r="F18" s="552">
        <v>36.9</v>
      </c>
      <c r="G18" s="358">
        <f t="shared" si="0"/>
        <v>1.3225806451612903</v>
      </c>
      <c r="H18" s="436">
        <v>38174</v>
      </c>
      <c r="J18" s="732"/>
      <c r="K18" s="731"/>
      <c r="L18" s="731"/>
      <c r="M18" s="716"/>
    </row>
    <row r="19" spans="2:13" x14ac:dyDescent="0.25">
      <c r="B19" s="283">
        <f t="shared" si="1"/>
        <v>2005</v>
      </c>
      <c r="D19" s="552">
        <v>29.18</v>
      </c>
      <c r="E19" s="444"/>
      <c r="F19" s="552">
        <v>44.475999999999999</v>
      </c>
      <c r="G19" s="358">
        <f t="shared" si="0"/>
        <v>1.5241946538725155</v>
      </c>
      <c r="H19" s="436">
        <v>38568</v>
      </c>
      <c r="J19" s="732"/>
      <c r="K19" s="731"/>
      <c r="L19" s="731"/>
      <c r="M19" s="716"/>
    </row>
    <row r="20" spans="2:13" x14ac:dyDescent="0.25">
      <c r="B20" s="283">
        <f t="shared" si="1"/>
        <v>2006</v>
      </c>
      <c r="D20" s="552">
        <v>27.7</v>
      </c>
      <c r="E20" s="444"/>
      <c r="F20" s="552">
        <v>40.299999999999997</v>
      </c>
      <c r="G20" s="358">
        <f t="shared" si="0"/>
        <v>1.4548736462093863</v>
      </c>
      <c r="H20" s="436">
        <v>38952</v>
      </c>
      <c r="J20" s="732"/>
      <c r="K20" s="731"/>
      <c r="L20" s="716"/>
      <c r="M20" s="716"/>
    </row>
    <row r="21" spans="2:13" x14ac:dyDescent="0.25">
      <c r="B21" s="283">
        <f t="shared" si="1"/>
        <v>2007</v>
      </c>
      <c r="D21" s="552">
        <v>31.07</v>
      </c>
      <c r="E21" s="444"/>
      <c r="F21" s="552">
        <v>48.755000000000003</v>
      </c>
      <c r="G21" s="358">
        <f t="shared" si="0"/>
        <v>1.5691985838429354</v>
      </c>
      <c r="H21" s="436">
        <v>39328</v>
      </c>
      <c r="J21" s="732"/>
      <c r="K21" s="731"/>
      <c r="L21" s="716"/>
      <c r="M21" s="716"/>
    </row>
    <row r="22" spans="2:13" x14ac:dyDescent="0.25">
      <c r="B22" s="283">
        <f t="shared" si="1"/>
        <v>2008</v>
      </c>
      <c r="D22" s="552">
        <v>29</v>
      </c>
      <c r="E22" s="444"/>
      <c r="F22" s="552">
        <v>42</v>
      </c>
      <c r="G22" s="358">
        <f>+F22/D22</f>
        <v>1.4482758620689655</v>
      </c>
      <c r="H22" s="436">
        <v>39664</v>
      </c>
      <c r="J22" s="732"/>
      <c r="K22" s="731"/>
      <c r="L22" s="716"/>
      <c r="M22" s="716"/>
    </row>
    <row r="23" spans="2:13" x14ac:dyDescent="0.25">
      <c r="B23" s="283">
        <f t="shared" si="1"/>
        <v>2009</v>
      </c>
      <c r="D23" s="552">
        <v>27.216000000000001</v>
      </c>
      <c r="E23" s="444"/>
      <c r="F23" s="552">
        <v>36.188000000000002</v>
      </c>
      <c r="G23" s="358">
        <f>+F23/D23</f>
        <v>1.3296590241034685</v>
      </c>
      <c r="H23" s="436">
        <v>40058</v>
      </c>
      <c r="J23" s="732"/>
      <c r="K23" s="731"/>
      <c r="L23" s="716"/>
      <c r="M23" s="716"/>
    </row>
    <row r="24" spans="2:13" x14ac:dyDescent="0.25">
      <c r="B24" s="463">
        <f t="shared" si="1"/>
        <v>2010</v>
      </c>
      <c r="D24" s="444">
        <v>28.7</v>
      </c>
      <c r="E24" s="444"/>
      <c r="F24" s="552">
        <v>42.238</v>
      </c>
      <c r="G24" s="358">
        <f t="shared" ref="G24:G30" si="2">+F24/D24</f>
        <v>1.4717073170731707</v>
      </c>
      <c r="H24" s="436">
        <v>40420</v>
      </c>
      <c r="J24" s="732"/>
      <c r="K24" s="731"/>
      <c r="L24" s="716"/>
      <c r="M24" s="716"/>
    </row>
    <row r="25" spans="2:13" x14ac:dyDescent="0.25">
      <c r="B25" s="463">
        <f t="shared" si="1"/>
        <v>2011</v>
      </c>
      <c r="D25" s="444">
        <v>27.4</v>
      </c>
      <c r="E25" s="444"/>
      <c r="F25" s="552">
        <v>41.137</v>
      </c>
      <c r="G25" s="358">
        <f t="shared" si="2"/>
        <v>1.5013503649635038</v>
      </c>
      <c r="H25" s="436">
        <v>40752</v>
      </c>
      <c r="J25" s="716"/>
      <c r="K25" s="731"/>
      <c r="L25" s="716"/>
      <c r="M25" s="716"/>
    </row>
    <row r="26" spans="2:13" x14ac:dyDescent="0.25">
      <c r="B26" s="492">
        <f t="shared" si="1"/>
        <v>2012</v>
      </c>
      <c r="D26" s="444">
        <v>29.9</v>
      </c>
      <c r="E26" s="444"/>
      <c r="F26" s="444">
        <v>46.2</v>
      </c>
      <c r="G26" s="358">
        <f t="shared" si="2"/>
        <v>1.5451505016722409</v>
      </c>
      <c r="H26" s="436">
        <v>41088</v>
      </c>
      <c r="J26" s="716"/>
      <c r="K26" s="716"/>
      <c r="L26" s="716"/>
      <c r="M26" s="716"/>
    </row>
    <row r="27" spans="2:13" x14ac:dyDescent="0.25">
      <c r="B27" s="492">
        <f t="shared" si="1"/>
        <v>2013</v>
      </c>
      <c r="D27" s="444">
        <v>25.7</v>
      </c>
      <c r="E27" s="444"/>
      <c r="F27" s="444">
        <v>34.299999999999997</v>
      </c>
      <c r="G27" s="358">
        <f t="shared" si="2"/>
        <v>1.3346303501945525</v>
      </c>
      <c r="H27" s="436">
        <v>41516</v>
      </c>
      <c r="J27" s="716"/>
      <c r="K27" s="716"/>
      <c r="L27" s="716"/>
      <c r="M27" s="716"/>
    </row>
    <row r="28" spans="2:13" x14ac:dyDescent="0.25">
      <c r="B28" s="492">
        <f t="shared" si="1"/>
        <v>2014</v>
      </c>
      <c r="D28" s="444">
        <v>26.4</v>
      </c>
      <c r="E28" s="444"/>
      <c r="F28" s="444">
        <v>34.799999999999997</v>
      </c>
      <c r="G28" s="358">
        <f t="shared" si="2"/>
        <v>1.3181818181818181</v>
      </c>
      <c r="H28" s="436">
        <v>41803</v>
      </c>
      <c r="J28" s="716"/>
      <c r="K28" s="716"/>
      <c r="L28" s="716"/>
      <c r="M28" s="716"/>
    </row>
    <row r="29" spans="2:13" x14ac:dyDescent="0.25">
      <c r="B29" s="548">
        <f t="shared" si="1"/>
        <v>2015</v>
      </c>
      <c r="D29" s="444">
        <v>24.395197260273974</v>
      </c>
      <c r="E29" s="444"/>
      <c r="F29" s="444">
        <v>33.893000000000001</v>
      </c>
      <c r="G29" s="358">
        <f t="shared" si="2"/>
        <v>1.3893308440343131</v>
      </c>
      <c r="H29" s="436">
        <v>42167</v>
      </c>
      <c r="J29" s="716"/>
      <c r="K29" s="716"/>
      <c r="L29" s="716"/>
      <c r="M29" s="716"/>
    </row>
    <row r="30" spans="2:13" x14ac:dyDescent="0.25">
      <c r="B30" s="548">
        <f t="shared" si="1"/>
        <v>2016</v>
      </c>
      <c r="D30" s="444">
        <v>26.72519178082192</v>
      </c>
      <c r="E30" s="444"/>
      <c r="F30" s="444">
        <v>37.96</v>
      </c>
      <c r="G30" s="358">
        <f t="shared" si="2"/>
        <v>1.4203826977675877</v>
      </c>
      <c r="H30" s="436">
        <v>42576</v>
      </c>
    </row>
    <row r="31" spans="2:13" x14ac:dyDescent="0.25">
      <c r="B31" s="610">
        <f t="shared" si="1"/>
        <v>2017</v>
      </c>
      <c r="D31" s="444">
        <f>9216626.1/365/1000</f>
        <v>25.251030410958901</v>
      </c>
      <c r="E31" s="444"/>
      <c r="F31" s="444">
        <f>34247/1000</f>
        <v>34.247</v>
      </c>
      <c r="G31" s="358">
        <f t="shared" ref="G31:G35" si="3">+F31/D31</f>
        <v>1.3562614848832808</v>
      </c>
      <c r="H31" s="436">
        <v>42898</v>
      </c>
    </row>
    <row r="32" spans="2:13" x14ac:dyDescent="0.25">
      <c r="B32" s="635">
        <f t="shared" si="1"/>
        <v>2018</v>
      </c>
      <c r="D32" s="444">
        <f>9812354300/365/1000000</f>
        <v>26.883162465753426</v>
      </c>
      <c r="F32" s="444">
        <v>39.369</v>
      </c>
      <c r="G32" s="358">
        <f t="shared" si="3"/>
        <v>1.4644482415397495</v>
      </c>
      <c r="H32" s="436">
        <v>43299</v>
      </c>
    </row>
    <row r="33" spans="2:8" x14ac:dyDescent="0.25">
      <c r="B33" s="635">
        <f t="shared" si="1"/>
        <v>2019</v>
      </c>
      <c r="D33" s="444">
        <v>27.07</v>
      </c>
      <c r="F33" s="444">
        <v>36.360999999999997</v>
      </c>
      <c r="G33" s="358">
        <f t="shared" si="3"/>
        <v>1.3432212781677133</v>
      </c>
      <c r="H33" s="436">
        <v>43659</v>
      </c>
    </row>
    <row r="34" spans="2:8" x14ac:dyDescent="0.25">
      <c r="B34" s="635">
        <f t="shared" si="1"/>
        <v>2020</v>
      </c>
      <c r="D34" s="444">
        <v>26.446000000000002</v>
      </c>
      <c r="F34" s="444">
        <v>35.784999999999997</v>
      </c>
      <c r="G34" s="358">
        <f t="shared" si="3"/>
        <v>1.3531346895560763</v>
      </c>
      <c r="H34" s="436">
        <v>44029</v>
      </c>
    </row>
    <row r="35" spans="2:8" x14ac:dyDescent="0.25">
      <c r="B35" s="678">
        <f t="shared" si="1"/>
        <v>2021</v>
      </c>
      <c r="D35" s="444">
        <v>26.613</v>
      </c>
      <c r="F35" s="444">
        <v>35.052</v>
      </c>
      <c r="G35" s="358">
        <f t="shared" si="3"/>
        <v>1.3171006650884907</v>
      </c>
      <c r="H35" s="436">
        <v>44413</v>
      </c>
    </row>
    <row r="36" spans="2:8" x14ac:dyDescent="0.25">
      <c r="F36" s="444"/>
    </row>
  </sheetData>
  <mergeCells count="5">
    <mergeCell ref="F7:H7"/>
    <mergeCell ref="B1:H1"/>
    <mergeCell ref="B2:H2"/>
    <mergeCell ref="B4:H4"/>
    <mergeCell ref="B5:H5"/>
  </mergeCells>
  <phoneticPr fontId="13" type="noConversion"/>
  <printOptions horizontalCentered="1"/>
  <pageMargins left="0.75" right="0.75" top="1" bottom="1" header="0.5" footer="0.5"/>
  <pageSetup scale="92" orientation="portrait" r:id="rId1"/>
  <headerFooter alignWithMargins="0"/>
  <colBreaks count="1" manualBreakCount="1">
    <brk id="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34"/>
  <sheetViews>
    <sheetView zoomScaleNormal="100" workbookViewId="0">
      <selection activeCell="G30" sqref="G30"/>
    </sheetView>
  </sheetViews>
  <sheetFormatPr defaultRowHeight="13.2" x14ac:dyDescent="0.25"/>
  <cols>
    <col min="1" max="1" width="3.81640625" customWidth="1"/>
    <col min="2" max="2" width="28" customWidth="1"/>
    <col min="3" max="3" width="10.453125" bestFit="1" customWidth="1"/>
    <col min="5" max="5" width="1.90625" style="154" customWidth="1"/>
  </cols>
  <sheetData>
    <row r="1" spans="1:6" ht="15" x14ac:dyDescent="0.25">
      <c r="A1" s="36" t="s">
        <v>51</v>
      </c>
      <c r="B1" s="344"/>
      <c r="C1" s="344"/>
      <c r="D1" s="344"/>
      <c r="E1" s="452"/>
      <c r="F1" s="344"/>
    </row>
    <row r="2" spans="1:6" ht="15" x14ac:dyDescent="0.25">
      <c r="A2" s="187"/>
      <c r="B2" s="344"/>
      <c r="C2" s="344"/>
      <c r="D2" s="344"/>
      <c r="E2" s="452"/>
      <c r="F2" s="344"/>
    </row>
    <row r="3" spans="1:6" x14ac:dyDescent="0.25">
      <c r="A3" s="1"/>
      <c r="B3" s="344"/>
      <c r="C3" s="344"/>
      <c r="D3" s="344"/>
      <c r="E3" s="452"/>
      <c r="F3" s="344"/>
    </row>
    <row r="4" spans="1:6" x14ac:dyDescent="0.25">
      <c r="A4" s="1" t="s">
        <v>458</v>
      </c>
      <c r="B4" s="344"/>
      <c r="C4" s="344"/>
      <c r="D4" s="344"/>
      <c r="E4" s="452"/>
      <c r="F4" s="344"/>
    </row>
    <row r="5" spans="1:6" x14ac:dyDescent="0.25">
      <c r="A5" s="1"/>
      <c r="B5" s="344"/>
      <c r="C5" s="344"/>
      <c r="D5" s="344"/>
      <c r="E5" s="452"/>
      <c r="F5" s="344"/>
    </row>
    <row r="6" spans="1:6" x14ac:dyDescent="0.25">
      <c r="A6" s="344"/>
      <c r="B6" s="344"/>
      <c r="C6" s="344"/>
      <c r="D6" s="439" t="s">
        <v>105</v>
      </c>
      <c r="E6" s="381"/>
      <c r="F6" s="439" t="s">
        <v>106</v>
      </c>
    </row>
    <row r="8" spans="1:6" x14ac:dyDescent="0.25">
      <c r="A8" s="269">
        <v>-1</v>
      </c>
      <c r="B8" t="s">
        <v>2</v>
      </c>
      <c r="C8" s="446">
        <f>+'SCH-B - COS'!AN209</f>
        <v>11023514.148027079</v>
      </c>
    </row>
    <row r="9" spans="1:6" x14ac:dyDescent="0.25">
      <c r="A9" s="269"/>
      <c r="C9" s="224"/>
      <c r="D9" s="371"/>
      <c r="E9" s="441"/>
    </row>
    <row r="10" spans="1:6" x14ac:dyDescent="0.25">
      <c r="A10" s="269">
        <f>+A8-1</f>
        <v>-2</v>
      </c>
      <c r="B10" t="s">
        <v>459</v>
      </c>
      <c r="C10" s="224">
        <f>+'SCH-C - Meters'!AA32*12</f>
        <v>1204296</v>
      </c>
      <c r="D10" s="371"/>
      <c r="E10" s="441"/>
    </row>
    <row r="11" spans="1:6" x14ac:dyDescent="0.25">
      <c r="A11" s="269"/>
      <c r="C11" s="224"/>
      <c r="D11" s="371"/>
      <c r="E11" s="441"/>
    </row>
    <row r="12" spans="1:6" x14ac:dyDescent="0.25">
      <c r="A12" s="269">
        <f>+A10-1</f>
        <v>-3</v>
      </c>
      <c r="B12" t="s">
        <v>3</v>
      </c>
      <c r="D12" s="371">
        <f>ROUND(+C8/C10,2)</f>
        <v>9.15</v>
      </c>
      <c r="E12" s="441"/>
      <c r="F12" s="442">
        <f>+D12*3</f>
        <v>27.450000000000003</v>
      </c>
    </row>
    <row r="13" spans="1:6" x14ac:dyDescent="0.25">
      <c r="A13" s="269"/>
      <c r="C13" s="224"/>
      <c r="D13" s="371"/>
      <c r="E13" s="441"/>
    </row>
    <row r="14" spans="1:6" x14ac:dyDescent="0.25">
      <c r="A14" s="269">
        <f>+A12-1</f>
        <v>-4</v>
      </c>
      <c r="B14" t="s">
        <v>4</v>
      </c>
      <c r="C14" s="446">
        <f>+'SCH-B - COS'!AP209</f>
        <v>3508988.8450032258</v>
      </c>
      <c r="D14" s="371"/>
      <c r="E14" s="441"/>
    </row>
    <row r="15" spans="1:6" x14ac:dyDescent="0.25">
      <c r="A15" s="269"/>
      <c r="C15" s="224"/>
      <c r="D15" s="371"/>
      <c r="E15" s="441"/>
    </row>
    <row r="16" spans="1:6" x14ac:dyDescent="0.25">
      <c r="A16" s="269">
        <f>+A14-1</f>
        <v>-5</v>
      </c>
      <c r="B16" t="s">
        <v>460</v>
      </c>
      <c r="C16" s="224">
        <f>+('SCH-C - Meters'!AA66)*12</f>
        <v>1121220</v>
      </c>
      <c r="D16" s="371"/>
      <c r="E16" s="441"/>
    </row>
    <row r="17" spans="1:7" x14ac:dyDescent="0.25">
      <c r="A17" s="269"/>
      <c r="C17" s="224"/>
      <c r="D17" s="371"/>
      <c r="E17" s="441"/>
    </row>
    <row r="18" spans="1:7" x14ac:dyDescent="0.25">
      <c r="A18" s="269">
        <f>+A16-1</f>
        <v>-6</v>
      </c>
      <c r="B18" t="s">
        <v>5</v>
      </c>
      <c r="D18" s="371">
        <f>ROUND(+C14/C16,2)</f>
        <v>3.13</v>
      </c>
      <c r="E18" s="441"/>
      <c r="F18" s="440">
        <f>+D18*3</f>
        <v>9.39</v>
      </c>
    </row>
    <row r="19" spans="1:7" x14ac:dyDescent="0.25">
      <c r="A19" s="269"/>
      <c r="C19" s="224"/>
      <c r="D19" s="371"/>
      <c r="E19" s="441"/>
    </row>
    <row r="20" spans="1:7" x14ac:dyDescent="0.25">
      <c r="A20" s="269">
        <f>+A18-1</f>
        <v>-7</v>
      </c>
      <c r="B20" t="s">
        <v>6</v>
      </c>
      <c r="C20" s="446">
        <f>+'SCH-B - COS'!AR209</f>
        <v>3255197.2333790041</v>
      </c>
      <c r="D20" s="371"/>
      <c r="E20" s="441"/>
    </row>
    <row r="21" spans="1:7" x14ac:dyDescent="0.25">
      <c r="A21" s="269"/>
      <c r="D21" s="371"/>
      <c r="E21" s="441"/>
    </row>
    <row r="22" spans="1:7" x14ac:dyDescent="0.25">
      <c r="A22" s="269">
        <f>+A20-1</f>
        <v>-8</v>
      </c>
      <c r="B22" t="s">
        <v>104</v>
      </c>
      <c r="C22" s="449">
        <f>+'SCH-C - F12-13'!D22</f>
        <v>376389</v>
      </c>
      <c r="D22" s="371"/>
      <c r="E22" s="441"/>
    </row>
    <row r="23" spans="1:7" x14ac:dyDescent="0.25">
      <c r="A23" s="269"/>
      <c r="D23" s="371"/>
      <c r="E23" s="441"/>
    </row>
    <row r="24" spans="1:7" x14ac:dyDescent="0.25">
      <c r="A24" s="269">
        <f>+A22-1</f>
        <v>-9</v>
      </c>
      <c r="B24" t="s">
        <v>7</v>
      </c>
      <c r="D24" s="372">
        <f>ROUND(+C20/C22,2)</f>
        <v>8.65</v>
      </c>
      <c r="E24" s="441"/>
      <c r="F24" s="443">
        <f>+D24</f>
        <v>8.65</v>
      </c>
    </row>
    <row r="25" spans="1:7" x14ac:dyDescent="0.25">
      <c r="A25" s="269"/>
      <c r="D25" s="371"/>
      <c r="E25" s="441"/>
    </row>
    <row r="26" spans="1:7" x14ac:dyDescent="0.25">
      <c r="A26" s="269">
        <f>+A24-1</f>
        <v>-10</v>
      </c>
      <c r="B26" t="s">
        <v>461</v>
      </c>
      <c r="D26" s="371">
        <f>+D12+D18+D24</f>
        <v>20.93</v>
      </c>
      <c r="E26"/>
      <c r="F26" s="371">
        <f>+F12+F18+F24</f>
        <v>45.49</v>
      </c>
      <c r="G26" s="555"/>
    </row>
    <row r="27" spans="1:7" x14ac:dyDescent="0.25">
      <c r="D27" s="371"/>
      <c r="E27" s="441"/>
    </row>
    <row r="28" spans="1:7" x14ac:dyDescent="0.25">
      <c r="G28" s="555"/>
    </row>
    <row r="34" ht="12" customHeight="1" x14ac:dyDescent="0.25"/>
  </sheetData>
  <phoneticPr fontId="13" type="noConversion"/>
  <printOptions horizontalCentered="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V21"/>
  <sheetViews>
    <sheetView zoomScaleNormal="100" workbookViewId="0">
      <selection activeCell="K16" sqref="K16"/>
    </sheetView>
  </sheetViews>
  <sheetFormatPr defaultColWidth="8.81640625" defaultRowHeight="13.2" x14ac:dyDescent="0.25"/>
  <cols>
    <col min="1" max="2" width="3.81640625" style="128" customWidth="1"/>
    <col min="3" max="3" width="7.36328125" style="128" customWidth="1"/>
    <col min="4" max="6" width="2.08984375" style="128" customWidth="1"/>
    <col min="7" max="7" width="11.453125" style="128" customWidth="1"/>
    <col min="8" max="8" width="2.81640625" style="128" customWidth="1"/>
    <col min="9" max="9" width="8.81640625" style="128" customWidth="1"/>
    <col min="10" max="10" width="2.81640625" style="128" customWidth="1"/>
    <col min="11" max="11" width="7.81640625" style="128" customWidth="1"/>
    <col min="12" max="12" width="2.81640625" style="128" customWidth="1"/>
    <col min="13" max="13" width="9.81640625" style="128" customWidth="1"/>
    <col min="14" max="14" width="2.81640625" style="128" customWidth="1"/>
    <col min="15" max="16" width="9.81640625" style="128" customWidth="1"/>
    <col min="17" max="16384" width="8.81640625" style="128"/>
  </cols>
  <sheetData>
    <row r="1" spans="1:256" ht="15" x14ac:dyDescent="0.25">
      <c r="A1" s="189"/>
      <c r="B1" s="189"/>
      <c r="C1" s="222" t="s">
        <v>51</v>
      </c>
      <c r="D1" s="188"/>
      <c r="E1" s="188"/>
      <c r="F1" s="188"/>
      <c r="G1" s="188"/>
      <c r="H1" s="188"/>
      <c r="I1" s="188"/>
      <c r="J1" s="188"/>
      <c r="K1" s="188"/>
      <c r="L1" s="188"/>
      <c r="M1" s="188"/>
      <c r="N1" s="188"/>
      <c r="O1" s="188"/>
      <c r="P1" s="190"/>
    </row>
    <row r="2" spans="1:256" ht="15" x14ac:dyDescent="0.25">
      <c r="B2" s="328"/>
      <c r="C2" s="222"/>
      <c r="D2" s="188"/>
      <c r="E2" s="188"/>
      <c r="F2" s="188"/>
      <c r="G2" s="188"/>
      <c r="H2" s="188"/>
      <c r="I2" s="188"/>
      <c r="J2" s="188"/>
      <c r="K2" s="188"/>
      <c r="L2" s="188"/>
      <c r="M2" s="188"/>
      <c r="N2" s="188"/>
      <c r="O2" s="188"/>
      <c r="P2" s="190"/>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328"/>
      <c r="CQ2" s="328"/>
      <c r="CR2" s="328"/>
      <c r="CS2" s="328"/>
      <c r="CT2" s="328"/>
      <c r="CU2" s="328"/>
      <c r="CV2" s="328"/>
      <c r="CW2" s="328"/>
      <c r="CX2" s="328"/>
      <c r="CY2" s="328"/>
      <c r="CZ2" s="328"/>
      <c r="DA2" s="328"/>
      <c r="DB2" s="328"/>
      <c r="DC2" s="328"/>
      <c r="DD2" s="328"/>
      <c r="DE2" s="328"/>
      <c r="DF2" s="328"/>
      <c r="DG2" s="328"/>
      <c r="DH2" s="328"/>
      <c r="DI2" s="328"/>
      <c r="DJ2" s="328"/>
      <c r="DK2" s="328"/>
      <c r="DL2" s="328"/>
      <c r="DM2" s="328"/>
      <c r="DN2" s="328"/>
      <c r="DO2" s="328"/>
      <c r="DP2" s="328"/>
      <c r="DQ2" s="328"/>
      <c r="DR2" s="328"/>
      <c r="DS2" s="328"/>
      <c r="DT2" s="328"/>
      <c r="DU2" s="328"/>
      <c r="DV2" s="328"/>
      <c r="DW2" s="328"/>
      <c r="DX2" s="328"/>
      <c r="DY2" s="328"/>
      <c r="DZ2" s="328"/>
      <c r="EA2" s="328"/>
      <c r="EB2" s="328"/>
      <c r="EC2" s="328"/>
      <c r="ED2" s="328"/>
      <c r="EE2" s="328"/>
      <c r="EF2" s="328"/>
      <c r="EG2" s="328"/>
      <c r="EH2" s="328"/>
      <c r="EI2" s="328"/>
      <c r="EJ2" s="328"/>
      <c r="EK2" s="328"/>
      <c r="EL2" s="328"/>
      <c r="EM2" s="328"/>
      <c r="EN2" s="328"/>
      <c r="EO2" s="328"/>
      <c r="EP2" s="328"/>
      <c r="EQ2" s="328"/>
      <c r="ER2" s="328"/>
      <c r="ES2" s="328"/>
      <c r="ET2" s="328"/>
      <c r="EU2" s="328"/>
      <c r="EV2" s="328"/>
      <c r="EW2" s="328"/>
      <c r="EX2" s="328"/>
      <c r="EY2" s="328"/>
      <c r="EZ2" s="328"/>
      <c r="FA2" s="328"/>
      <c r="FB2" s="328"/>
      <c r="FC2" s="328"/>
      <c r="FD2" s="328"/>
      <c r="FE2" s="328"/>
      <c r="FF2" s="328"/>
      <c r="FG2" s="328"/>
      <c r="FH2" s="328"/>
      <c r="FI2" s="328"/>
      <c r="FJ2" s="328"/>
      <c r="FK2" s="328"/>
      <c r="FL2" s="328"/>
      <c r="FM2" s="328"/>
      <c r="FN2" s="328"/>
      <c r="FO2" s="328"/>
      <c r="FP2" s="328"/>
      <c r="FQ2" s="328"/>
      <c r="FR2" s="328"/>
      <c r="FS2" s="328"/>
      <c r="FT2" s="328"/>
      <c r="FU2" s="328"/>
      <c r="FV2" s="328"/>
      <c r="FW2" s="328"/>
      <c r="FX2" s="328"/>
      <c r="FY2" s="328"/>
      <c r="FZ2" s="328"/>
      <c r="GA2" s="328"/>
      <c r="GB2" s="328"/>
      <c r="GC2" s="328"/>
      <c r="GD2" s="328"/>
      <c r="GE2" s="328"/>
      <c r="GF2" s="328"/>
      <c r="GG2" s="328"/>
      <c r="GH2" s="328"/>
      <c r="GI2" s="328"/>
      <c r="GJ2" s="328"/>
      <c r="GK2" s="328"/>
      <c r="GL2" s="328"/>
      <c r="GM2" s="328"/>
      <c r="GN2" s="328"/>
      <c r="GO2" s="328"/>
      <c r="GP2" s="328"/>
      <c r="GQ2" s="328"/>
      <c r="GR2" s="328"/>
      <c r="GS2" s="328"/>
      <c r="GT2" s="328"/>
      <c r="GU2" s="328"/>
      <c r="GV2" s="328"/>
      <c r="GW2" s="328"/>
      <c r="GX2" s="328"/>
      <c r="GY2" s="328"/>
      <c r="GZ2" s="328"/>
      <c r="HA2" s="328"/>
      <c r="HB2" s="328"/>
      <c r="HC2" s="328"/>
      <c r="HD2" s="328"/>
      <c r="HE2" s="328"/>
      <c r="HF2" s="328"/>
      <c r="HG2" s="328"/>
      <c r="HH2" s="328"/>
      <c r="HI2" s="328"/>
      <c r="HJ2" s="328"/>
      <c r="HK2" s="328"/>
      <c r="HL2" s="328"/>
      <c r="HM2" s="328"/>
      <c r="HN2" s="328"/>
      <c r="HO2" s="328"/>
      <c r="HP2" s="328"/>
      <c r="HQ2" s="328"/>
      <c r="HR2" s="328"/>
      <c r="HS2" s="328"/>
      <c r="HT2" s="328"/>
      <c r="HU2" s="328"/>
      <c r="HV2" s="328"/>
      <c r="HW2" s="328"/>
      <c r="HX2" s="328"/>
      <c r="HY2" s="328"/>
      <c r="HZ2" s="328"/>
      <c r="IA2" s="328"/>
      <c r="IB2" s="328"/>
      <c r="IC2" s="328"/>
      <c r="ID2" s="328"/>
      <c r="IE2" s="328"/>
      <c r="IF2" s="328"/>
      <c r="IG2" s="328"/>
      <c r="IH2" s="328"/>
      <c r="II2" s="328"/>
      <c r="IJ2" s="328"/>
      <c r="IK2" s="328"/>
      <c r="IL2" s="328"/>
      <c r="IM2" s="328"/>
      <c r="IN2" s="328"/>
      <c r="IO2" s="328"/>
      <c r="IP2" s="328"/>
      <c r="IQ2" s="328"/>
      <c r="IR2" s="328"/>
      <c r="IS2" s="328"/>
      <c r="IT2" s="328"/>
      <c r="IU2" s="328"/>
      <c r="IV2" s="328"/>
    </row>
    <row r="3" spans="1:256" x14ac:dyDescent="0.25">
      <c r="A3" s="189"/>
      <c r="B3" s="189"/>
      <c r="C3" s="188" t="s">
        <v>179</v>
      </c>
      <c r="D3" s="188"/>
      <c r="E3" s="188"/>
      <c r="F3" s="188"/>
      <c r="G3" s="188"/>
      <c r="H3" s="188"/>
      <c r="I3" s="188"/>
      <c r="J3" s="188"/>
      <c r="K3" s="188"/>
      <c r="L3" s="188"/>
      <c r="M3" s="188"/>
      <c r="N3" s="188"/>
      <c r="O3" s="188"/>
      <c r="P3" s="190"/>
    </row>
    <row r="4" spans="1:256" x14ac:dyDescent="0.25">
      <c r="A4" s="189"/>
      <c r="B4" s="189"/>
      <c r="C4" s="188" t="s">
        <v>407</v>
      </c>
      <c r="D4" s="188"/>
      <c r="E4" s="188"/>
      <c r="F4" s="188"/>
      <c r="G4" s="188"/>
      <c r="H4" s="188"/>
      <c r="I4" s="188"/>
      <c r="J4" s="188"/>
      <c r="K4" s="188"/>
      <c r="L4" s="188"/>
      <c r="M4" s="188"/>
      <c r="N4" s="188"/>
      <c r="O4" s="188"/>
      <c r="P4" s="190"/>
    </row>
    <row r="5" spans="1:256" x14ac:dyDescent="0.25">
      <c r="A5" s="189"/>
      <c r="B5" s="189"/>
      <c r="C5" s="188" t="s">
        <v>173</v>
      </c>
      <c r="D5" s="188"/>
      <c r="E5" s="188"/>
      <c r="F5" s="188"/>
      <c r="G5" s="188"/>
      <c r="H5" s="188"/>
      <c r="I5" s="188"/>
      <c r="J5" s="188"/>
      <c r="K5" s="188"/>
      <c r="L5" s="188"/>
      <c r="M5" s="188"/>
      <c r="N5" s="188"/>
      <c r="O5" s="188"/>
      <c r="P5" s="190"/>
    </row>
    <row r="6" spans="1:256" x14ac:dyDescent="0.25">
      <c r="A6" s="189"/>
      <c r="B6" s="189"/>
      <c r="C6" s="190"/>
      <c r="D6" s="190"/>
      <c r="E6" s="190"/>
      <c r="F6" s="190"/>
      <c r="G6" s="190"/>
      <c r="H6" s="190"/>
      <c r="I6" s="190"/>
      <c r="J6" s="190"/>
      <c r="K6" s="190"/>
      <c r="L6" s="190"/>
      <c r="M6" s="190"/>
      <c r="N6" s="190"/>
      <c r="O6" s="190"/>
      <c r="P6" s="190"/>
    </row>
    <row r="7" spans="1:256" x14ac:dyDescent="0.25">
      <c r="A7" s="189"/>
      <c r="B7" s="189"/>
      <c r="C7" s="190"/>
      <c r="D7" s="190"/>
      <c r="E7" s="190"/>
      <c r="F7" s="190"/>
      <c r="G7" s="190"/>
      <c r="H7" s="190"/>
      <c r="I7" s="191" t="s">
        <v>408</v>
      </c>
      <c r="J7" s="190"/>
      <c r="K7" s="190"/>
      <c r="L7" s="190"/>
      <c r="M7" s="190"/>
      <c r="N7" s="190"/>
      <c r="O7" s="190"/>
      <c r="P7" s="190"/>
    </row>
    <row r="8" spans="1:256" x14ac:dyDescent="0.25">
      <c r="A8" s="189"/>
      <c r="B8" s="189"/>
      <c r="C8" s="190"/>
      <c r="D8" s="190"/>
      <c r="E8" s="190"/>
      <c r="F8" s="190"/>
      <c r="G8" s="190"/>
      <c r="H8" s="190"/>
      <c r="I8" s="191" t="s">
        <v>409</v>
      </c>
      <c r="J8" s="190"/>
      <c r="K8" s="190"/>
      <c r="L8" s="190"/>
      <c r="M8" s="191" t="s">
        <v>410</v>
      </c>
      <c r="N8" s="190"/>
      <c r="O8" s="191" t="s">
        <v>186</v>
      </c>
      <c r="P8" s="190"/>
    </row>
    <row r="9" spans="1:256" x14ac:dyDescent="0.25">
      <c r="A9" s="189"/>
      <c r="B9" s="189"/>
      <c r="C9" s="188" t="s">
        <v>411</v>
      </c>
      <c r="D9" s="188"/>
      <c r="E9" s="188"/>
      <c r="F9" s="188"/>
      <c r="G9" s="188"/>
      <c r="H9" s="190"/>
      <c r="I9" s="191" t="s">
        <v>412</v>
      </c>
      <c r="J9" s="190"/>
      <c r="K9" s="191" t="s">
        <v>413</v>
      </c>
      <c r="L9" s="190"/>
      <c r="M9" s="191" t="s">
        <v>443</v>
      </c>
      <c r="N9" s="190"/>
      <c r="O9" s="191" t="s">
        <v>188</v>
      </c>
      <c r="P9" s="190"/>
    </row>
    <row r="10" spans="1:256" x14ac:dyDescent="0.25">
      <c r="A10" s="189"/>
      <c r="B10" s="189"/>
      <c r="C10" s="192" t="s">
        <v>189</v>
      </c>
      <c r="D10" s="192"/>
      <c r="E10" s="192"/>
      <c r="F10" s="192"/>
      <c r="G10" s="192"/>
      <c r="H10" s="190"/>
      <c r="I10" s="193" t="s">
        <v>208</v>
      </c>
      <c r="J10" s="191"/>
      <c r="K10" s="193" t="s">
        <v>191</v>
      </c>
      <c r="L10" s="190"/>
      <c r="M10" s="193" t="s">
        <v>221</v>
      </c>
      <c r="N10" s="190"/>
      <c r="O10" s="193" t="s">
        <v>222</v>
      </c>
      <c r="P10" s="190"/>
    </row>
    <row r="11" spans="1:256" ht="16.2" customHeight="1" x14ac:dyDescent="0.25">
      <c r="A11" s="189"/>
      <c r="B11" s="189"/>
      <c r="C11" s="190"/>
      <c r="D11" s="190"/>
      <c r="E11" s="190"/>
      <c r="F11" s="190"/>
      <c r="G11" s="190"/>
      <c r="H11" s="190"/>
      <c r="I11" s="190"/>
      <c r="J11" s="190"/>
      <c r="K11" s="190"/>
      <c r="L11" s="190"/>
      <c r="M11" s="190"/>
      <c r="N11" s="190"/>
      <c r="O11" s="190"/>
      <c r="P11" s="190"/>
    </row>
    <row r="12" spans="1:256" x14ac:dyDescent="0.25">
      <c r="A12" s="189"/>
      <c r="B12" s="189"/>
      <c r="C12" s="190"/>
      <c r="D12" s="190"/>
      <c r="E12" s="190"/>
      <c r="F12" s="190"/>
      <c r="G12" s="190"/>
      <c r="H12" s="190"/>
      <c r="I12" s="173"/>
      <c r="J12" s="190"/>
      <c r="K12" s="195"/>
      <c r="L12" s="190"/>
      <c r="M12" s="195"/>
      <c r="N12" s="190"/>
      <c r="O12" s="190"/>
      <c r="P12" s="190"/>
      <c r="Q12" s="347"/>
    </row>
    <row r="13" spans="1:256" x14ac:dyDescent="0.25">
      <c r="A13" s="189"/>
      <c r="B13" s="189"/>
      <c r="C13" s="194" t="s">
        <v>416</v>
      </c>
      <c r="D13" s="190"/>
      <c r="E13" s="190"/>
      <c r="F13" s="190"/>
      <c r="G13" s="190"/>
      <c r="H13" s="190"/>
      <c r="I13" s="173"/>
      <c r="J13" s="190"/>
      <c r="K13" s="195"/>
      <c r="L13" s="190"/>
      <c r="M13" s="195"/>
      <c r="N13" s="190"/>
      <c r="O13" s="190"/>
      <c r="P13" s="190"/>
    </row>
    <row r="14" spans="1:256" x14ac:dyDescent="0.25">
      <c r="A14" s="189"/>
      <c r="B14" s="189"/>
      <c r="C14" s="194"/>
      <c r="D14" s="190"/>
      <c r="E14" s="190"/>
      <c r="F14" s="190"/>
      <c r="G14" s="190"/>
      <c r="H14" s="190"/>
      <c r="I14" s="173"/>
      <c r="J14" s="190"/>
      <c r="K14" s="195"/>
      <c r="L14" s="190"/>
      <c r="M14" s="195"/>
      <c r="N14" s="190"/>
      <c r="O14" s="190"/>
      <c r="P14" s="190"/>
    </row>
    <row r="15" spans="1:256" x14ac:dyDescent="0.25">
      <c r="A15" s="189"/>
      <c r="B15" s="189"/>
      <c r="C15" s="198" t="s">
        <v>414</v>
      </c>
      <c r="D15" s="191"/>
      <c r="F15" s="191"/>
      <c r="G15" s="198" t="s">
        <v>415</v>
      </c>
      <c r="H15" s="190"/>
      <c r="I15" s="173"/>
      <c r="J15" s="190"/>
      <c r="K15" s="195"/>
      <c r="L15" s="190"/>
      <c r="M15" s="195"/>
      <c r="N15" s="190"/>
      <c r="O15" s="190"/>
      <c r="P15" s="190"/>
    </row>
    <row r="16" spans="1:256" x14ac:dyDescent="0.25">
      <c r="A16" s="189">
        <f>5.25^2</f>
        <v>27.5625</v>
      </c>
      <c r="B16" s="190">
        <f>2.25^2+4.5^2</f>
        <v>25.3125</v>
      </c>
      <c r="C16" s="212" t="s">
        <v>457</v>
      </c>
      <c r="D16" s="199"/>
      <c r="F16" s="200"/>
      <c r="G16" s="342" t="s">
        <v>330</v>
      </c>
      <c r="H16" s="190"/>
      <c r="I16" s="213">
        <f>+MIN(A16:B16)</f>
        <v>25.3125</v>
      </c>
      <c r="J16" s="190"/>
      <c r="K16" s="329">
        <f>7730+3632+151</f>
        <v>11513</v>
      </c>
      <c r="L16" s="190"/>
      <c r="M16" s="195">
        <f>ROUND(+I16*K16,0)</f>
        <v>291423</v>
      </c>
      <c r="N16" s="190"/>
      <c r="O16" s="190"/>
      <c r="P16" s="190"/>
    </row>
    <row r="17" spans="1:16" x14ac:dyDescent="0.25">
      <c r="A17" s="189"/>
      <c r="B17" s="189"/>
      <c r="D17" s="190"/>
      <c r="E17" s="190"/>
      <c r="F17" s="190"/>
      <c r="G17" s="190"/>
      <c r="H17" s="190"/>
      <c r="I17" s="173"/>
      <c r="J17" s="190"/>
      <c r="K17" s="196"/>
      <c r="L17" s="190"/>
      <c r="M17" s="196"/>
      <c r="N17" s="190"/>
      <c r="O17" s="190"/>
      <c r="P17" s="190"/>
    </row>
    <row r="18" spans="1:16" x14ac:dyDescent="0.25">
      <c r="A18" s="189"/>
      <c r="B18" s="189"/>
      <c r="C18" s="532" t="s">
        <v>475</v>
      </c>
      <c r="D18" s="190"/>
      <c r="E18" s="190"/>
      <c r="F18" s="190"/>
      <c r="G18" s="190"/>
      <c r="H18" s="190"/>
      <c r="I18" s="190"/>
      <c r="J18" s="190"/>
      <c r="K18" s="195">
        <f>SUM(K16:K17)</f>
        <v>11513</v>
      </c>
      <c r="L18" s="190"/>
      <c r="M18" s="195">
        <f>SUM(M16:M17)</f>
        <v>291423</v>
      </c>
      <c r="N18" s="190"/>
      <c r="O18" s="197">
        <f>ROUND(+M18/M$20,4)</f>
        <v>1</v>
      </c>
      <c r="P18" s="190"/>
    </row>
    <row r="19" spans="1:16" x14ac:dyDescent="0.25">
      <c r="A19" s="189"/>
      <c r="B19" s="189"/>
      <c r="C19" s="190"/>
      <c r="D19" s="190"/>
      <c r="E19" s="190"/>
      <c r="F19" s="190"/>
      <c r="G19" s="190"/>
      <c r="H19" s="190"/>
      <c r="I19" s="190"/>
      <c r="J19" s="190"/>
      <c r="K19" s="196"/>
      <c r="L19" s="190"/>
      <c r="M19" s="196"/>
      <c r="N19" s="190"/>
      <c r="O19" s="196"/>
      <c r="P19" s="190"/>
    </row>
    <row r="20" spans="1:16" ht="13.8" thickBot="1" x14ac:dyDescent="0.3">
      <c r="A20" s="189"/>
      <c r="B20" s="189"/>
      <c r="C20" s="190" t="s">
        <v>417</v>
      </c>
      <c r="D20" s="190"/>
      <c r="E20" s="190"/>
      <c r="F20" s="190"/>
      <c r="G20" s="190"/>
      <c r="H20" s="190"/>
      <c r="I20" s="190"/>
      <c r="J20" s="190"/>
      <c r="K20" s="220">
        <f>K18</f>
        <v>11513</v>
      </c>
      <c r="L20" s="190"/>
      <c r="M20" s="220">
        <f>M18</f>
        <v>291423</v>
      </c>
      <c r="N20" s="197"/>
      <c r="O20" s="221">
        <f>O18</f>
        <v>1</v>
      </c>
      <c r="P20" s="190"/>
    </row>
    <row r="21" spans="1:16" ht="13.8" thickTop="1" x14ac:dyDescent="0.25"/>
  </sheetData>
  <phoneticPr fontId="13" type="noConversion"/>
  <pageMargins left="1" right="0.75" top="1" bottom="1" header="0.5" footer="0.5"/>
  <pageSetup scale="9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X823"/>
  <sheetViews>
    <sheetView zoomScaleNormal="100" workbookViewId="0">
      <selection activeCell="AV293" sqref="AV1:AV293"/>
    </sheetView>
  </sheetViews>
  <sheetFormatPr defaultRowHeight="13.2" x14ac:dyDescent="0.25"/>
  <cols>
    <col min="1" max="1" width="10.81640625" style="557" bestFit="1" customWidth="1"/>
    <col min="2" max="2" width="4.90625" style="470" customWidth="1"/>
    <col min="3" max="3" width="8" style="427" customWidth="1"/>
    <col min="4" max="4" width="2.36328125" style="351" customWidth="1"/>
    <col min="5" max="5" width="34.81640625" style="133" customWidth="1"/>
    <col min="6" max="6" width="1.453125" style="133" customWidth="1"/>
    <col min="7" max="7" width="4.6328125" style="144" customWidth="1"/>
    <col min="8" max="8" width="1.453125" style="128" customWidth="1"/>
    <col min="9" max="9" width="12.453125" style="460" bestFit="1" customWidth="1"/>
    <col min="10" max="10" width="2.6328125" style="234" customWidth="1"/>
    <col min="11" max="11" width="11.81640625" style="147" customWidth="1"/>
    <col min="12" max="12" width="1.453125" style="147" customWidth="1"/>
    <col min="13" max="13" width="10.90625" style="147" bestFit="1" customWidth="1"/>
    <col min="14" max="14" width="1.453125" style="147" customWidth="1"/>
    <col min="15" max="15" width="10.90625" style="147" customWidth="1"/>
    <col min="16" max="16" width="1.453125" style="147" customWidth="1"/>
    <col min="17" max="17" width="10.36328125" style="147" customWidth="1"/>
    <col min="18" max="18" width="1.453125" style="147" customWidth="1"/>
    <col min="19" max="19" width="10" style="147" customWidth="1"/>
    <col min="20" max="20" width="1.453125" style="147" hidden="1" customWidth="1"/>
    <col min="21" max="21" width="9.6328125" style="147" hidden="1" customWidth="1"/>
    <col min="22" max="22" width="1.453125" style="147" customWidth="1"/>
    <col min="23" max="23" width="11.54296875" style="147" bestFit="1" customWidth="1"/>
    <col min="24" max="24" width="2.453125" customWidth="1"/>
    <col min="25" max="25" width="9.36328125" style="224" customWidth="1"/>
    <col min="26" max="26" width="12.36328125" customWidth="1"/>
    <col min="27" max="27" width="1.81640625" customWidth="1"/>
    <col min="28" max="28" width="33.08984375" style="128" customWidth="1"/>
    <col min="29" max="29" width="1.36328125" customWidth="1"/>
    <col min="30" max="30" width="4" customWidth="1"/>
    <col min="31" max="31" width="1.6328125" customWidth="1"/>
    <col min="32" max="32" width="12.1796875" bestFit="1" customWidth="1"/>
    <col min="33" max="33" width="2.453125" customWidth="1"/>
    <col min="34" max="34" width="11.90625" bestFit="1" customWidth="1"/>
    <col min="35" max="35" width="1" customWidth="1"/>
    <col min="36" max="36" width="11.6328125" bestFit="1" customWidth="1"/>
    <col min="37" max="37" width="1.1796875" customWidth="1"/>
    <col min="38" max="38" width="11.54296875" bestFit="1" customWidth="1"/>
    <col min="39" max="39" width="1.1796875" customWidth="1"/>
    <col min="40" max="40" width="10.08984375" customWidth="1"/>
    <col min="41" max="41" width="0.90625" customWidth="1"/>
    <col min="42" max="42" width="11.08984375" customWidth="1"/>
    <col min="43" max="43" width="0.90625" customWidth="1"/>
    <col min="44" max="44" width="10.81640625" customWidth="1"/>
    <col min="45" max="45" width="0.81640625" customWidth="1"/>
    <col min="46" max="46" width="11.1796875" bestFit="1" customWidth="1"/>
    <col min="47" max="47" width="3.1796875" customWidth="1"/>
    <col min="48" max="48" width="10.1796875" style="224" customWidth="1"/>
  </cols>
  <sheetData>
    <row r="1" spans="1:48" s="134" customFormat="1" ht="15" x14ac:dyDescent="0.25">
      <c r="B1" s="470"/>
      <c r="C1" s="424"/>
      <c r="D1" s="349"/>
      <c r="E1" s="741" t="s">
        <v>51</v>
      </c>
      <c r="F1" s="741"/>
      <c r="G1" s="741"/>
      <c r="H1" s="741"/>
      <c r="I1" s="741"/>
      <c r="J1" s="741"/>
      <c r="K1" s="741"/>
      <c r="L1" s="741"/>
      <c r="M1" s="741"/>
      <c r="N1" s="741"/>
      <c r="O1" s="741"/>
      <c r="P1" s="741"/>
      <c r="Q1" s="741"/>
      <c r="R1" s="741"/>
      <c r="S1" s="741"/>
      <c r="T1" s="741"/>
      <c r="U1" s="741"/>
      <c r="V1" s="741"/>
      <c r="W1" s="741"/>
      <c r="Y1" s="349"/>
      <c r="AB1" s="741" t="s">
        <v>51</v>
      </c>
      <c r="AC1" s="741"/>
      <c r="AD1" s="741"/>
      <c r="AE1" s="741"/>
      <c r="AF1" s="741"/>
      <c r="AG1" s="741"/>
      <c r="AH1" s="741"/>
      <c r="AI1" s="741"/>
      <c r="AJ1" s="741"/>
      <c r="AK1" s="741"/>
      <c r="AL1" s="741"/>
      <c r="AM1" s="741"/>
      <c r="AN1" s="741"/>
      <c r="AO1" s="741"/>
      <c r="AP1" s="741"/>
      <c r="AQ1" s="741"/>
      <c r="AR1" s="741"/>
      <c r="AS1" s="741"/>
      <c r="AT1" s="741"/>
      <c r="AV1" s="349"/>
    </row>
    <row r="2" spans="1:48" s="134" customFormat="1" ht="13.65" customHeight="1" x14ac:dyDescent="0.25">
      <c r="B2" s="470"/>
      <c r="C2" s="424"/>
      <c r="D2" s="349"/>
      <c r="E2" s="743"/>
      <c r="F2" s="743"/>
      <c r="G2" s="743"/>
      <c r="H2" s="743"/>
      <c r="I2" s="743"/>
      <c r="J2" s="743"/>
      <c r="K2" s="743"/>
      <c r="L2" s="743"/>
      <c r="M2" s="743"/>
      <c r="N2" s="743"/>
      <c r="O2" s="743"/>
      <c r="P2" s="743"/>
      <c r="Q2" s="743"/>
      <c r="R2" s="743"/>
      <c r="S2" s="743"/>
      <c r="T2" s="743"/>
      <c r="U2" s="743"/>
      <c r="V2" s="743"/>
      <c r="W2" s="743"/>
      <c r="Y2" s="349"/>
      <c r="AB2" s="743"/>
      <c r="AC2" s="743"/>
      <c r="AD2" s="743"/>
      <c r="AE2" s="743"/>
      <c r="AF2" s="743"/>
      <c r="AG2" s="743"/>
      <c r="AH2" s="743"/>
      <c r="AI2" s="743"/>
      <c r="AJ2" s="743"/>
      <c r="AK2" s="743"/>
      <c r="AL2" s="743"/>
      <c r="AM2" s="743"/>
      <c r="AN2" s="743"/>
      <c r="AO2" s="743"/>
      <c r="AP2" s="743"/>
      <c r="AQ2" s="743"/>
      <c r="AR2" s="743"/>
      <c r="AS2" s="743"/>
      <c r="AT2" s="743"/>
      <c r="AV2" s="349"/>
    </row>
    <row r="3" spans="1:48" s="134" customFormat="1" ht="16.2" customHeight="1" x14ac:dyDescent="0.25">
      <c r="B3" s="470"/>
      <c r="C3" s="424"/>
      <c r="D3" s="349"/>
      <c r="E3" s="742" t="s">
        <v>484</v>
      </c>
      <c r="F3" s="742"/>
      <c r="G3" s="742"/>
      <c r="H3" s="742"/>
      <c r="I3" s="742"/>
      <c r="J3" s="742"/>
      <c r="K3" s="742"/>
      <c r="L3" s="742"/>
      <c r="M3" s="742"/>
      <c r="N3" s="742"/>
      <c r="O3" s="742"/>
      <c r="P3" s="742"/>
      <c r="Q3" s="742"/>
      <c r="R3" s="742"/>
      <c r="S3" s="742"/>
      <c r="T3" s="742"/>
      <c r="U3" s="742"/>
      <c r="V3" s="742"/>
      <c r="W3" s="742"/>
      <c r="Y3" s="349"/>
      <c r="AB3" s="741" t="s">
        <v>485</v>
      </c>
      <c r="AC3" s="741"/>
      <c r="AD3" s="741"/>
      <c r="AE3" s="741"/>
      <c r="AF3" s="741"/>
      <c r="AG3" s="741"/>
      <c r="AH3" s="741"/>
      <c r="AI3" s="741"/>
      <c r="AJ3" s="741"/>
      <c r="AK3" s="741"/>
      <c r="AL3" s="741"/>
      <c r="AM3" s="741"/>
      <c r="AN3" s="741"/>
      <c r="AO3" s="741"/>
      <c r="AP3" s="741"/>
      <c r="AQ3" s="741"/>
      <c r="AR3" s="741"/>
      <c r="AS3" s="741"/>
      <c r="AT3" s="741"/>
      <c r="AV3" s="349"/>
    </row>
    <row r="4" spans="1:48" s="134" customFormat="1" ht="12" customHeight="1" x14ac:dyDescent="0.3">
      <c r="B4" s="470"/>
      <c r="C4" s="424"/>
      <c r="D4" s="349"/>
      <c r="E4" s="181"/>
      <c r="F4" s="181"/>
      <c r="G4" s="181"/>
      <c r="H4" s="181"/>
      <c r="I4" s="493"/>
      <c r="J4" s="590"/>
      <c r="K4" s="181"/>
      <c r="L4" s="181"/>
      <c r="M4" s="181"/>
      <c r="N4" s="181"/>
      <c r="O4" s="181"/>
      <c r="P4" s="181"/>
      <c r="Q4" s="181"/>
      <c r="R4" s="181"/>
      <c r="S4" s="181"/>
      <c r="T4" s="181"/>
      <c r="U4" s="181"/>
      <c r="V4" s="181"/>
      <c r="W4" s="181"/>
      <c r="Y4" s="349"/>
      <c r="AV4" s="349"/>
    </row>
    <row r="5" spans="1:48" s="130" customFormat="1" ht="7.95" customHeight="1" x14ac:dyDescent="0.25">
      <c r="A5" s="556"/>
      <c r="B5" s="470"/>
      <c r="C5" s="425"/>
      <c r="D5" s="350"/>
      <c r="E5" s="135"/>
      <c r="F5" s="135"/>
      <c r="G5" s="143"/>
      <c r="H5" s="135"/>
      <c r="I5" s="494"/>
      <c r="J5" s="591"/>
      <c r="K5" s="148"/>
      <c r="L5" s="149"/>
      <c r="M5"/>
      <c r="N5"/>
      <c r="O5"/>
      <c r="P5"/>
      <c r="Q5"/>
      <c r="R5"/>
      <c r="S5"/>
      <c r="T5"/>
      <c r="U5"/>
      <c r="V5"/>
      <c r="W5"/>
      <c r="Y5" s="350"/>
      <c r="AV5" s="350"/>
    </row>
    <row r="6" spans="1:48" s="130" customFormat="1" ht="15" customHeight="1" x14ac:dyDescent="0.25">
      <c r="A6" s="556"/>
      <c r="B6" s="470"/>
      <c r="C6" s="425"/>
      <c r="D6" s="350"/>
      <c r="E6" s="135"/>
      <c r="F6" s="135"/>
      <c r="G6" s="143" t="s">
        <v>188</v>
      </c>
      <c r="H6" s="135"/>
      <c r="I6" s="603" t="s">
        <v>126</v>
      </c>
      <c r="J6" s="599"/>
      <c r="K6" s="148"/>
      <c r="L6" s="149"/>
      <c r="M6"/>
      <c r="N6"/>
      <c r="O6"/>
      <c r="P6"/>
      <c r="Q6" s="137" t="s">
        <v>376</v>
      </c>
      <c r="R6" s="137"/>
      <c r="S6" s="137" t="s">
        <v>102</v>
      </c>
      <c r="T6" s="137"/>
      <c r="V6" s="381"/>
      <c r="W6" s="381" t="s">
        <v>439</v>
      </c>
      <c r="Y6" s="350"/>
      <c r="AF6" s="603" t="s">
        <v>126</v>
      </c>
      <c r="AR6" s="130" t="s">
        <v>437</v>
      </c>
      <c r="AT6" s="130" t="s">
        <v>439</v>
      </c>
      <c r="AV6" s="350"/>
    </row>
    <row r="7" spans="1:48" s="137" customFormat="1" ht="12" customHeight="1" x14ac:dyDescent="0.25">
      <c r="B7" s="470"/>
      <c r="C7" s="426" t="s">
        <v>117</v>
      </c>
      <c r="D7" s="350"/>
      <c r="E7" s="138" t="s">
        <v>127</v>
      </c>
      <c r="F7" s="136"/>
      <c r="G7" s="146" t="s">
        <v>125</v>
      </c>
      <c r="H7" s="135"/>
      <c r="I7" s="604" t="s">
        <v>316</v>
      </c>
      <c r="J7" s="600"/>
      <c r="K7" s="151" t="s">
        <v>192</v>
      </c>
      <c r="L7" s="149"/>
      <c r="M7" s="150" t="s">
        <v>193</v>
      </c>
      <c r="N7" s="149"/>
      <c r="O7" s="150" t="s">
        <v>194</v>
      </c>
      <c r="P7" s="149"/>
      <c r="Q7" s="150" t="s">
        <v>132</v>
      </c>
      <c r="R7" s="149"/>
      <c r="S7" s="150" t="s">
        <v>361</v>
      </c>
      <c r="T7" s="149"/>
      <c r="U7" s="150" t="s">
        <v>128</v>
      </c>
      <c r="V7" s="447"/>
      <c r="W7" s="150" t="s">
        <v>372</v>
      </c>
      <c r="Y7" s="470"/>
      <c r="AB7" s="138" t="s">
        <v>127</v>
      </c>
      <c r="AC7" s="130"/>
      <c r="AD7" s="130"/>
      <c r="AE7" s="130"/>
      <c r="AF7" s="604" t="s">
        <v>316</v>
      </c>
      <c r="AG7" s="130"/>
      <c r="AH7" s="679" t="s">
        <v>434</v>
      </c>
      <c r="AI7" s="130"/>
      <c r="AJ7" s="679" t="s">
        <v>435</v>
      </c>
      <c r="AK7" s="130"/>
      <c r="AL7" s="679" t="s">
        <v>436</v>
      </c>
      <c r="AM7" s="130"/>
      <c r="AN7" s="679" t="s">
        <v>397</v>
      </c>
      <c r="AO7" s="130"/>
      <c r="AP7" s="679" t="s">
        <v>320</v>
      </c>
      <c r="AQ7" s="130"/>
      <c r="AR7" s="679" t="s">
        <v>438</v>
      </c>
      <c r="AS7" s="130"/>
      <c r="AT7" s="679" t="s">
        <v>372</v>
      </c>
      <c r="AV7" s="470"/>
    </row>
    <row r="8" spans="1:48" s="145" customFormat="1" ht="14.25" customHeight="1" x14ac:dyDescent="0.25">
      <c r="B8" s="470"/>
      <c r="C8" s="427"/>
      <c r="D8" s="350"/>
      <c r="E8" s="141">
        <v>-1</v>
      </c>
      <c r="F8" s="142"/>
      <c r="G8" s="141">
        <v>-2</v>
      </c>
      <c r="H8" s="143"/>
      <c r="I8" s="603">
        <v>-3</v>
      </c>
      <c r="J8" s="601"/>
      <c r="K8" s="148">
        <v>-4</v>
      </c>
      <c r="L8" s="149"/>
      <c r="M8" s="149">
        <v>-5</v>
      </c>
      <c r="N8" s="149"/>
      <c r="O8" s="149">
        <v>-6</v>
      </c>
      <c r="P8" s="149"/>
      <c r="Q8" s="149">
        <v>-7</v>
      </c>
      <c r="R8" s="149"/>
      <c r="S8" s="149">
        <v>-8</v>
      </c>
      <c r="T8" s="149"/>
      <c r="U8" s="149">
        <v>-9</v>
      </c>
      <c r="V8" s="149"/>
      <c r="W8" s="149">
        <f>+S8-1</f>
        <v>-9</v>
      </c>
      <c r="Y8" s="470"/>
      <c r="AB8" s="144"/>
      <c r="AV8" s="470"/>
    </row>
    <row r="9" spans="1:48" s="137" customFormat="1" x14ac:dyDescent="0.25">
      <c r="B9" s="470"/>
      <c r="C9" s="427"/>
      <c r="D9" s="350"/>
      <c r="E9" s="136"/>
      <c r="F9" s="136"/>
      <c r="G9" s="141"/>
      <c r="H9" s="135"/>
      <c r="I9" s="603"/>
      <c r="J9" s="600"/>
      <c r="K9" s="148"/>
      <c r="L9" s="149"/>
      <c r="M9" s="149"/>
      <c r="N9" s="149"/>
      <c r="O9" s="149"/>
      <c r="P9" s="149"/>
      <c r="Q9" s="149"/>
      <c r="R9" s="149"/>
      <c r="S9" s="149"/>
      <c r="T9" s="149"/>
      <c r="U9" s="149"/>
      <c r="V9" s="149"/>
      <c r="W9" s="149"/>
      <c r="Y9" s="470"/>
      <c r="AA9" s="350"/>
      <c r="AB9" s="136"/>
      <c r="AC9" s="136"/>
      <c r="AD9" s="141"/>
      <c r="AV9" s="470"/>
    </row>
    <row r="10" spans="1:48" x14ac:dyDescent="0.25">
      <c r="E10" s="226" t="s">
        <v>124</v>
      </c>
      <c r="F10" s="131"/>
      <c r="G10" s="143"/>
      <c r="H10" s="132"/>
      <c r="I10" s="294"/>
      <c r="J10" s="602"/>
      <c r="K10" s="139"/>
      <c r="Z10" s="137"/>
      <c r="AA10" s="351"/>
      <c r="AB10" s="226" t="s">
        <v>124</v>
      </c>
      <c r="AC10" s="131"/>
      <c r="AD10" s="143"/>
    </row>
    <row r="11" spans="1:48" x14ac:dyDescent="0.25">
      <c r="E11" s="383" t="s">
        <v>423</v>
      </c>
      <c r="F11" s="131"/>
      <c r="G11" s="143"/>
      <c r="H11" s="132"/>
      <c r="I11" s="294"/>
      <c r="J11" s="602"/>
      <c r="K11" s="139"/>
      <c r="Z11" s="137"/>
      <c r="AA11" s="351"/>
      <c r="AB11" s="383" t="s">
        <v>423</v>
      </c>
      <c r="AC11" s="131"/>
      <c r="AD11" s="143"/>
    </row>
    <row r="12" spans="1:48" x14ac:dyDescent="0.25">
      <c r="E12" s="384" t="s">
        <v>11</v>
      </c>
      <c r="F12" s="131"/>
      <c r="G12" s="143"/>
      <c r="H12" s="132"/>
      <c r="I12" s="294"/>
      <c r="J12" s="602"/>
      <c r="K12" s="139"/>
      <c r="Z12" s="137"/>
      <c r="AA12" s="351"/>
      <c r="AB12" s="384" t="s">
        <v>11</v>
      </c>
      <c r="AC12" s="131"/>
      <c r="AD12" s="143"/>
    </row>
    <row r="13" spans="1:48" x14ac:dyDescent="0.25">
      <c r="E13" s="385" t="s">
        <v>110</v>
      </c>
      <c r="F13" s="131"/>
      <c r="G13" s="143"/>
      <c r="H13" s="132"/>
      <c r="I13" s="294"/>
      <c r="J13" s="592"/>
      <c r="K13" s="139"/>
      <c r="Z13" s="137"/>
      <c r="AA13" s="351"/>
      <c r="AB13" s="385" t="s">
        <v>110</v>
      </c>
      <c r="AC13" s="131"/>
      <c r="AD13" s="143"/>
    </row>
    <row r="14" spans="1:48" x14ac:dyDescent="0.25">
      <c r="B14" s="558"/>
      <c r="C14" s="427">
        <v>615.1</v>
      </c>
      <c r="E14" s="389" t="s">
        <v>12</v>
      </c>
      <c r="F14" s="131"/>
      <c r="G14" s="143">
        <v>1</v>
      </c>
      <c r="H14" s="132"/>
      <c r="I14" s="643">
        <v>808022.81</v>
      </c>
      <c r="J14" s="639"/>
      <c r="K14" s="641">
        <f>(VLOOKUP($G14,Factors,K$316))*$I14</f>
        <v>401587.33657000004</v>
      </c>
      <c r="L14" s="644"/>
      <c r="M14" s="641">
        <f>(VLOOKUP($G14,Factors,M$316))*$I14</f>
        <v>220751.83169200001</v>
      </c>
      <c r="N14" s="644"/>
      <c r="O14" s="641">
        <f>(VLOOKUP($G14,Factors,O$316))*$I14</f>
        <v>85165.604174000007</v>
      </c>
      <c r="P14" s="644"/>
      <c r="Q14" s="641">
        <f>(VLOOKUP($G14,Factors,Q$316))*$I14</f>
        <v>41209.163310000004</v>
      </c>
      <c r="R14" s="644"/>
      <c r="S14" s="641">
        <f>(VLOOKUP($G14,Factors,S$316))*$I14</f>
        <v>54137.52827000001</v>
      </c>
      <c r="T14" s="644"/>
      <c r="U14" s="641">
        <f>(VLOOKUP($G14,Factors,U$316))*$I14</f>
        <v>0</v>
      </c>
      <c r="V14" s="644"/>
      <c r="W14" s="641">
        <f>(VLOOKUP($G14,Factors,W$316))*$I14</f>
        <v>5171.3459840000005</v>
      </c>
      <c r="Z14" s="137">
        <v>615.1</v>
      </c>
      <c r="AA14" s="351"/>
      <c r="AB14" s="383" t="s">
        <v>12</v>
      </c>
      <c r="AC14" s="131"/>
      <c r="AD14" s="392">
        <f>+G14</f>
        <v>1</v>
      </c>
      <c r="AE14" s="131"/>
      <c r="AF14" s="664">
        <f>+I14</f>
        <v>808022.81</v>
      </c>
      <c r="AG14" s="531"/>
      <c r="AH14" s="658">
        <f>(VLOOKUP($AD14,func,AH$316))*$AF14</f>
        <v>802851.46401600004</v>
      </c>
      <c r="AI14" s="658"/>
      <c r="AJ14" s="658">
        <f>(VLOOKUP($AD14,func,AJ$316))*$AF14</f>
        <v>0</v>
      </c>
      <c r="AK14" s="658"/>
      <c r="AL14" s="658">
        <f>(VLOOKUP($AD14,func,AL$316))*$AF14</f>
        <v>0</v>
      </c>
      <c r="AM14" s="658"/>
      <c r="AN14" s="658">
        <f>(VLOOKUP($AD14,func,AN$316))*$AF14</f>
        <v>0</v>
      </c>
      <c r="AO14" s="658"/>
      <c r="AP14" s="658">
        <f>(VLOOKUP($AD14,func,AP$316))*$AF14</f>
        <v>0</v>
      </c>
      <c r="AQ14" s="658"/>
      <c r="AR14" s="658">
        <f>(VLOOKUP($AD14,func,AR$316))*$AF14</f>
        <v>0</v>
      </c>
      <c r="AS14" s="658"/>
      <c r="AT14" s="658">
        <f>(VLOOKUP($AD14,func,AT$316))*$AF14</f>
        <v>5171.3459840000005</v>
      </c>
    </row>
    <row r="15" spans="1:48" s="459" customFormat="1" x14ac:dyDescent="0.25">
      <c r="A15" s="557"/>
      <c r="B15" s="470"/>
      <c r="C15" s="427">
        <v>620.1</v>
      </c>
      <c r="D15" s="351"/>
      <c r="E15" s="389" t="s">
        <v>463</v>
      </c>
      <c r="F15" s="131"/>
      <c r="G15" s="143">
        <v>2</v>
      </c>
      <c r="H15" s="132"/>
      <c r="I15" s="473">
        <v>0</v>
      </c>
      <c r="J15" s="379"/>
      <c r="K15" s="223">
        <f>(VLOOKUP($G15,Factors,K$316))*$I15</f>
        <v>0</v>
      </c>
      <c r="L15" s="351"/>
      <c r="M15" s="223">
        <f>(VLOOKUP($G15,Factors,M$316))*$I15</f>
        <v>0</v>
      </c>
      <c r="N15" s="351"/>
      <c r="O15" s="223">
        <f>(VLOOKUP($G15,Factors,O$316))*$I15</f>
        <v>0</v>
      </c>
      <c r="P15" s="351"/>
      <c r="Q15" s="223">
        <f>(VLOOKUP($G15,Factors,Q$316))*$I15</f>
        <v>0</v>
      </c>
      <c r="R15" s="351"/>
      <c r="S15" s="223">
        <f>(VLOOKUP($G15,Factors,S$316))*$I15</f>
        <v>0</v>
      </c>
      <c r="T15" s="351"/>
      <c r="U15" s="223">
        <f>(VLOOKUP($G15,Factors,U$316))*$I15</f>
        <v>0</v>
      </c>
      <c r="V15" s="351"/>
      <c r="W15" s="223">
        <f>(VLOOKUP($G15,Factors,W$316))*$I15</f>
        <v>0</v>
      </c>
      <c r="Y15" s="224"/>
      <c r="Z15" s="427">
        <v>620.1</v>
      </c>
      <c r="AA15" s="351"/>
      <c r="AB15" s="383" t="s">
        <v>463</v>
      </c>
      <c r="AC15" s="131"/>
      <c r="AD15" s="392">
        <f>+G15</f>
        <v>2</v>
      </c>
      <c r="AE15" s="131"/>
      <c r="AF15" s="392">
        <f>+I15</f>
        <v>0</v>
      </c>
      <c r="AG15" s="224"/>
      <c r="AH15" s="282">
        <f>(VLOOKUP($AD15,func,AH$316))*$AF15</f>
        <v>0</v>
      </c>
      <c r="AI15" s="282"/>
      <c r="AJ15" s="282">
        <f>(VLOOKUP($AD15,func,AJ$316))*$AF15</f>
        <v>0</v>
      </c>
      <c r="AK15" s="282"/>
      <c r="AL15" s="282">
        <f>(VLOOKUP($AD15,func,AL$316))*$AF15</f>
        <v>0</v>
      </c>
      <c r="AM15" s="282"/>
      <c r="AN15" s="282">
        <f>(VLOOKUP($AD15,func,AN$316))*$AF15</f>
        <v>0</v>
      </c>
      <c r="AO15" s="282"/>
      <c r="AP15" s="282">
        <f>(VLOOKUP($AD15,func,AP$316))*$AF15</f>
        <v>0</v>
      </c>
      <c r="AQ15" s="282"/>
      <c r="AR15" s="282">
        <f>(VLOOKUP($AD15,func,AR$316))*$AF15</f>
        <v>0</v>
      </c>
      <c r="AS15" s="153"/>
      <c r="AT15" s="153">
        <f>(VLOOKUP($AD15,func,AT$316))*$AF15</f>
        <v>0</v>
      </c>
      <c r="AV15" s="224"/>
    </row>
    <row r="16" spans="1:48" x14ac:dyDescent="0.25">
      <c r="C16" s="427">
        <v>635.1</v>
      </c>
      <c r="E16" s="389" t="s">
        <v>28</v>
      </c>
      <c r="F16" s="131"/>
      <c r="G16" s="143">
        <v>2</v>
      </c>
      <c r="H16" s="132"/>
      <c r="I16" s="614">
        <v>2958.44</v>
      </c>
      <c r="J16" s="379"/>
      <c r="K16" s="397">
        <f>(VLOOKUP($G16,Factors,K$316))*$I16</f>
        <v>1540.1638639999999</v>
      </c>
      <c r="L16" s="351"/>
      <c r="M16" s="642">
        <f>(VLOOKUP($G16,Factors,M$316))*$I16</f>
        <v>783.09906799999999</v>
      </c>
      <c r="N16" s="351"/>
      <c r="O16" s="642">
        <f>(VLOOKUP($G16,Factors,O$316))*$I16</f>
        <v>294.06893600000001</v>
      </c>
      <c r="P16" s="351"/>
      <c r="Q16" s="642">
        <f>(VLOOKUP($G16,Factors,Q$316))*$I16</f>
        <v>142.30096399999999</v>
      </c>
      <c r="R16" s="351"/>
      <c r="S16" s="642">
        <f>(VLOOKUP($G16,Factors,S$316))*$I16</f>
        <v>186.97340800000003</v>
      </c>
      <c r="T16" s="351"/>
      <c r="U16" s="642">
        <f>(VLOOKUP($G16,Factors,U$316))*$I16</f>
        <v>0</v>
      </c>
      <c r="V16" s="351"/>
      <c r="W16" s="642">
        <f>(VLOOKUP($G16,Factors,W$316))*$I16</f>
        <v>11.83376</v>
      </c>
      <c r="Z16" s="137">
        <v>635.1</v>
      </c>
      <c r="AA16" s="351"/>
      <c r="AB16" s="383" t="s">
        <v>28</v>
      </c>
      <c r="AC16" s="131"/>
      <c r="AD16" s="392">
        <f>+G16</f>
        <v>2</v>
      </c>
      <c r="AE16" s="131"/>
      <c r="AF16" s="393">
        <f>+I16</f>
        <v>2958.44</v>
      </c>
      <c r="AG16" s="224"/>
      <c r="AH16" s="397">
        <f>(VLOOKUP($AD16,func,AH$316))*$AF16</f>
        <v>1837.1912400000001</v>
      </c>
      <c r="AI16" s="282"/>
      <c r="AJ16" s="397">
        <f>(VLOOKUP($AD16,func,AJ$316))*$AF16</f>
        <v>1109.415</v>
      </c>
      <c r="AK16" s="282"/>
      <c r="AL16" s="397">
        <f>(VLOOKUP($AD16,func,AL$316))*$AF16</f>
        <v>0</v>
      </c>
      <c r="AM16" s="282"/>
      <c r="AN16" s="397">
        <f>(VLOOKUP($AD16,func,AN$316))*$AF16</f>
        <v>0</v>
      </c>
      <c r="AO16" s="282"/>
      <c r="AP16" s="397">
        <f>(VLOOKUP($AD16,func,AP$316))*$AF16</f>
        <v>0</v>
      </c>
      <c r="AQ16" s="282"/>
      <c r="AR16" s="397">
        <f>(VLOOKUP($AD16,func,AR$316))*$AF16</f>
        <v>0</v>
      </c>
      <c r="AS16" s="153"/>
      <c r="AT16" s="140">
        <f>(VLOOKUP($AD16,func,AT$316))*$AF16</f>
        <v>11.83376</v>
      </c>
    </row>
    <row r="17" spans="1:48" x14ac:dyDescent="0.25">
      <c r="E17" s="384" t="s">
        <v>52</v>
      </c>
      <c r="F17" s="131"/>
      <c r="G17" s="143"/>
      <c r="H17" s="132"/>
      <c r="I17" s="294">
        <f>SUM(I14:I16)</f>
        <v>810981.25</v>
      </c>
      <c r="J17" s="592"/>
      <c r="K17" s="139">
        <f>SUM(K14:K16)</f>
        <v>403127.50043400005</v>
      </c>
      <c r="L17" s="132"/>
      <c r="M17" s="139">
        <f>SUM(M14:M16)</f>
        <v>221534.93076000002</v>
      </c>
      <c r="N17" s="132"/>
      <c r="O17" s="139">
        <f>SUM(O14:O16)</f>
        <v>85459.673110000003</v>
      </c>
      <c r="P17" s="132"/>
      <c r="Q17" s="139">
        <f>SUM(Q14:Q16)</f>
        <v>41351.464274000005</v>
      </c>
      <c r="R17" s="132"/>
      <c r="S17" s="139">
        <f>SUM(S14:S16)</f>
        <v>54324.501678000008</v>
      </c>
      <c r="T17" s="132"/>
      <c r="U17" s="139">
        <f>SUM(U14:U16)</f>
        <v>0</v>
      </c>
      <c r="V17" s="132"/>
      <c r="W17" s="139">
        <f>SUM(W14:W16)</f>
        <v>5183.1797440000009</v>
      </c>
      <c r="Z17" s="137"/>
      <c r="AA17" s="351"/>
      <c r="AB17" s="384" t="s">
        <v>52</v>
      </c>
      <c r="AC17" s="131"/>
      <c r="AD17" s="143"/>
      <c r="AF17" s="223">
        <f>SUM(AF14:AF16)</f>
        <v>810981.25</v>
      </c>
      <c r="AG17" s="224"/>
      <c r="AH17" s="223">
        <f>SUM(AH14:AH16)</f>
        <v>804688.655256</v>
      </c>
      <c r="AI17" s="224"/>
      <c r="AJ17" s="223">
        <f>SUM(AJ14:AJ16)</f>
        <v>1109.415</v>
      </c>
      <c r="AK17" s="224"/>
      <c r="AL17" s="223">
        <f>SUM(AL14:AL16)</f>
        <v>0</v>
      </c>
      <c r="AM17" s="224"/>
      <c r="AN17" s="223">
        <f>SUM(AN14:AN16)</f>
        <v>0</v>
      </c>
      <c r="AO17" s="224"/>
      <c r="AP17" s="223">
        <f>SUM(AP14:AP16)</f>
        <v>0</v>
      </c>
      <c r="AQ17" s="224"/>
      <c r="AR17" s="223">
        <f>SUM(AR14:AR16)</f>
        <v>0</v>
      </c>
      <c r="AT17" s="139">
        <f>SUM(AT14:AT16)</f>
        <v>5183.1797440000009</v>
      </c>
    </row>
    <row r="18" spans="1:48" x14ac:dyDescent="0.25">
      <c r="E18" s="383"/>
      <c r="F18" s="131"/>
      <c r="G18" s="143"/>
      <c r="H18" s="132"/>
      <c r="I18" s="294"/>
      <c r="J18" s="592"/>
      <c r="K18" s="139"/>
      <c r="Z18" s="137"/>
      <c r="AA18" s="351"/>
      <c r="AB18" s="383"/>
      <c r="AC18" s="131"/>
      <c r="AD18" s="143"/>
      <c r="AF18" s="224"/>
      <c r="AG18" s="224"/>
      <c r="AH18" s="224"/>
      <c r="AI18" s="224"/>
      <c r="AJ18" s="224"/>
      <c r="AK18" s="224"/>
      <c r="AL18" s="224"/>
      <c r="AM18" s="224"/>
      <c r="AN18" s="224"/>
      <c r="AO18" s="224"/>
      <c r="AP18" s="224"/>
      <c r="AQ18" s="224"/>
      <c r="AR18" s="224"/>
    </row>
    <row r="19" spans="1:48" x14ac:dyDescent="0.25">
      <c r="E19" s="386" t="s">
        <v>375</v>
      </c>
      <c r="F19" s="131"/>
      <c r="G19" s="143"/>
      <c r="H19" s="132"/>
      <c r="I19" s="294"/>
      <c r="J19" s="592"/>
      <c r="K19" s="139"/>
      <c r="Z19" s="137"/>
      <c r="AA19" s="351"/>
      <c r="AB19" s="386" t="s">
        <v>375</v>
      </c>
      <c r="AC19" s="131"/>
      <c r="AD19" s="143"/>
      <c r="AF19" s="224"/>
      <c r="AG19" s="224"/>
      <c r="AH19" s="224"/>
      <c r="AI19" s="224"/>
      <c r="AJ19" s="224"/>
      <c r="AK19" s="224"/>
      <c r="AL19" s="224"/>
      <c r="AM19" s="224"/>
      <c r="AN19" s="224"/>
      <c r="AO19" s="224"/>
      <c r="AP19" s="224"/>
      <c r="AQ19" s="224"/>
      <c r="AR19" s="224"/>
    </row>
    <row r="20" spans="1:48" x14ac:dyDescent="0.25">
      <c r="C20" s="427">
        <v>620.20000000000005</v>
      </c>
      <c r="E20" s="389" t="s">
        <v>16</v>
      </c>
      <c r="F20" s="131"/>
      <c r="G20" s="143">
        <v>2</v>
      </c>
      <c r="H20" s="132"/>
      <c r="I20" s="473">
        <v>0</v>
      </c>
      <c r="J20" s="379"/>
      <c r="K20" s="223">
        <f>(VLOOKUP($G20,Factors,K$316))*$I20</f>
        <v>0</v>
      </c>
      <c r="L20" s="351"/>
      <c r="M20" s="223">
        <f>(VLOOKUP($G20,Factors,M$316))*$I20</f>
        <v>0</v>
      </c>
      <c r="N20" s="351"/>
      <c r="O20" s="223">
        <f>(VLOOKUP($G20,Factors,O$316))*$I20</f>
        <v>0</v>
      </c>
      <c r="P20" s="351"/>
      <c r="Q20" s="223">
        <f>(VLOOKUP($G20,Factors,Q$316))*$I20</f>
        <v>0</v>
      </c>
      <c r="R20" s="351"/>
      <c r="S20" s="223">
        <f>(VLOOKUP($G20,Factors,S$316))*$I20</f>
        <v>0</v>
      </c>
      <c r="T20" s="351"/>
      <c r="U20" s="223">
        <f>(VLOOKUP($G20,Factors,U$316))*$I20</f>
        <v>0</v>
      </c>
      <c r="V20" s="351"/>
      <c r="W20" s="223">
        <f>(VLOOKUP($G20,Factors,W$316))*$I20</f>
        <v>0</v>
      </c>
      <c r="Z20" s="137">
        <v>620.20000000000005</v>
      </c>
      <c r="AA20" s="351"/>
      <c r="AB20" s="383" t="s">
        <v>16</v>
      </c>
      <c r="AC20" s="131"/>
      <c r="AD20" s="392">
        <f>+G20</f>
        <v>2</v>
      </c>
      <c r="AE20" s="131"/>
      <c r="AF20" s="392">
        <f>+I20</f>
        <v>0</v>
      </c>
      <c r="AG20" s="224"/>
      <c r="AH20" s="282">
        <f>(VLOOKUP($AD20,func,AH$316))*$AF20</f>
        <v>0</v>
      </c>
      <c r="AI20" s="282"/>
      <c r="AJ20" s="282">
        <f>(VLOOKUP($AD20,func,AJ$316))*$AF20</f>
        <v>0</v>
      </c>
      <c r="AK20" s="282"/>
      <c r="AL20" s="282">
        <f>(VLOOKUP($AD20,func,AL$316))*$AF20</f>
        <v>0</v>
      </c>
      <c r="AM20" s="282"/>
      <c r="AN20" s="282">
        <f>(VLOOKUP($AD20,func,AN$316))*$AF20</f>
        <v>0</v>
      </c>
      <c r="AO20" s="282"/>
      <c r="AP20" s="282">
        <f>(VLOOKUP($AD20,func,AP$316))*$AF20</f>
        <v>0</v>
      </c>
      <c r="AQ20" s="282"/>
      <c r="AR20" s="282">
        <f>(VLOOKUP($AD20,func,AR$316))*$AF20</f>
        <v>0</v>
      </c>
      <c r="AS20" s="153"/>
      <c r="AT20" s="153">
        <f>(VLOOKUP($AD20,func,AT$316))*$AF20</f>
        <v>0</v>
      </c>
    </row>
    <row r="21" spans="1:48" x14ac:dyDescent="0.25">
      <c r="C21" s="427">
        <v>635.20000000000005</v>
      </c>
      <c r="E21" s="389" t="s">
        <v>28</v>
      </c>
      <c r="F21" s="131"/>
      <c r="G21" s="143">
        <v>2</v>
      </c>
      <c r="H21" s="132"/>
      <c r="I21" s="614">
        <v>0</v>
      </c>
      <c r="J21" s="379"/>
      <c r="K21" s="397">
        <f>(VLOOKUP($G21,Factors,K$316))*$I21</f>
        <v>0</v>
      </c>
      <c r="L21" s="351"/>
      <c r="M21" s="397">
        <f>(VLOOKUP($G21,Factors,M$316))*$I21</f>
        <v>0</v>
      </c>
      <c r="N21" s="351"/>
      <c r="O21" s="397">
        <f>(VLOOKUP($G21,Factors,O$316))*$I21</f>
        <v>0</v>
      </c>
      <c r="P21" s="351"/>
      <c r="Q21" s="397">
        <f>(VLOOKUP($G21,Factors,Q$316))*$I21</f>
        <v>0</v>
      </c>
      <c r="R21" s="351"/>
      <c r="S21" s="397">
        <f>(VLOOKUP($G21,Factors,S$316))*$I21</f>
        <v>0</v>
      </c>
      <c r="T21" s="351"/>
      <c r="U21" s="397">
        <f>(VLOOKUP($G21,Factors,U$316))*$I21</f>
        <v>0</v>
      </c>
      <c r="V21" s="351"/>
      <c r="W21" s="397">
        <f>(VLOOKUP($G21,Factors,W$316))*$I21</f>
        <v>0</v>
      </c>
      <c r="Z21" s="137">
        <v>635.20000000000005</v>
      </c>
      <c r="AA21" s="351"/>
      <c r="AB21" s="383" t="s">
        <v>28</v>
      </c>
      <c r="AC21" s="131"/>
      <c r="AD21" s="392">
        <f>+G21</f>
        <v>2</v>
      </c>
      <c r="AE21" s="131"/>
      <c r="AF21" s="393">
        <f>+I21</f>
        <v>0</v>
      </c>
      <c r="AG21" s="224"/>
      <c r="AH21" s="397">
        <f>(VLOOKUP($AD21,func,AH$316))*$AF21</f>
        <v>0</v>
      </c>
      <c r="AI21" s="282"/>
      <c r="AJ21" s="397">
        <f>(VLOOKUP($AD21,func,AJ$316))*$AF21</f>
        <v>0</v>
      </c>
      <c r="AK21" s="282"/>
      <c r="AL21" s="397">
        <f>(VLOOKUP($AD21,func,AL$316))*$AF21</f>
        <v>0</v>
      </c>
      <c r="AM21" s="282"/>
      <c r="AN21" s="397">
        <f>(VLOOKUP($AD21,func,AN$316))*$AF21</f>
        <v>0</v>
      </c>
      <c r="AO21" s="282"/>
      <c r="AP21" s="397">
        <f>(VLOOKUP($AD21,func,AP$316))*$AF21</f>
        <v>0</v>
      </c>
      <c r="AQ21" s="282"/>
      <c r="AR21" s="397">
        <f>(VLOOKUP($AD21,func,AR$316))*$AF21</f>
        <v>0</v>
      </c>
      <c r="AS21" s="153"/>
      <c r="AT21" s="140">
        <f>(VLOOKUP($AD21,func,AT$316))*$AF21</f>
        <v>0</v>
      </c>
    </row>
    <row r="22" spans="1:48" x14ac:dyDescent="0.25">
      <c r="E22" s="384" t="s">
        <v>53</v>
      </c>
      <c r="F22" s="131"/>
      <c r="G22" s="143"/>
      <c r="H22" s="132"/>
      <c r="I22" s="473">
        <f>SUM(I20:I21)</f>
        <v>0</v>
      </c>
      <c r="J22" s="379"/>
      <c r="K22" s="223">
        <f>SUM(K20:K21)</f>
        <v>0</v>
      </c>
      <c r="L22" s="223"/>
      <c r="M22" s="223">
        <f>SUM(M20:M21)</f>
        <v>0</v>
      </c>
      <c r="N22" s="223"/>
      <c r="O22" s="223">
        <f>SUM(O20:O21)</f>
        <v>0</v>
      </c>
      <c r="P22" s="223"/>
      <c r="Q22" s="223">
        <f>SUM(Q20:Q21)</f>
        <v>0</v>
      </c>
      <c r="R22" s="223"/>
      <c r="S22" s="223">
        <f>SUM(S20:S21)</f>
        <v>0</v>
      </c>
      <c r="T22" s="223"/>
      <c r="U22" s="223">
        <f>SUM(U20:U21)</f>
        <v>0</v>
      </c>
      <c r="V22" s="223"/>
      <c r="W22" s="223">
        <f>SUM(W20:W21)</f>
        <v>0</v>
      </c>
      <c r="Z22" s="137"/>
      <c r="AA22" s="351"/>
      <c r="AB22" s="384" t="s">
        <v>53</v>
      </c>
      <c r="AC22" s="131"/>
      <c r="AD22" s="143"/>
      <c r="AF22" s="223">
        <f>SUM(AF20:AF21)</f>
        <v>0</v>
      </c>
      <c r="AG22" s="224"/>
      <c r="AH22" s="223">
        <f>SUM(AH20:AH21)</f>
        <v>0</v>
      </c>
      <c r="AI22" s="224"/>
      <c r="AJ22" s="223">
        <f>SUM(AJ20:AJ21)</f>
        <v>0</v>
      </c>
      <c r="AK22" s="224"/>
      <c r="AL22" s="223">
        <f>SUM(AL20:AL21)</f>
        <v>0</v>
      </c>
      <c r="AM22" s="224"/>
      <c r="AN22" s="223">
        <f>SUM(AN20:AN21)</f>
        <v>0</v>
      </c>
      <c r="AO22" s="224"/>
      <c r="AP22" s="223">
        <f>SUM(AP20:AP21)</f>
        <v>0</v>
      </c>
      <c r="AQ22" s="224"/>
      <c r="AR22" s="223">
        <f>SUM(AR20:AR21)</f>
        <v>0</v>
      </c>
      <c r="AT22" s="139">
        <f>SUM(AT20:AT21)</f>
        <v>0</v>
      </c>
    </row>
    <row r="23" spans="1:48" x14ac:dyDescent="0.25">
      <c r="E23" s="384"/>
      <c r="F23" s="131"/>
      <c r="G23" s="143"/>
      <c r="H23" s="132"/>
      <c r="I23" s="294"/>
      <c r="J23" s="592"/>
      <c r="K23" s="139"/>
      <c r="L23" s="132"/>
      <c r="M23" s="139"/>
      <c r="N23" s="132"/>
      <c r="O23" s="139"/>
      <c r="P23" s="132"/>
      <c r="Q23" s="139"/>
      <c r="R23" s="132"/>
      <c r="S23" s="139"/>
      <c r="T23" s="132"/>
      <c r="U23" s="139"/>
      <c r="V23" s="132"/>
      <c r="W23" s="139"/>
      <c r="Z23" s="137"/>
      <c r="AA23" s="351"/>
      <c r="AB23" s="384"/>
      <c r="AC23" s="131"/>
      <c r="AD23" s="143"/>
      <c r="AF23" s="223"/>
      <c r="AG23" s="224"/>
      <c r="AH23" s="224"/>
      <c r="AI23" s="224"/>
      <c r="AJ23" s="224"/>
      <c r="AK23" s="224"/>
      <c r="AL23" s="224"/>
      <c r="AM23" s="224"/>
      <c r="AN23" s="224"/>
      <c r="AO23" s="224"/>
      <c r="AP23" s="224"/>
      <c r="AQ23" s="224"/>
      <c r="AR23" s="224"/>
    </row>
    <row r="24" spans="1:48" x14ac:dyDescent="0.25">
      <c r="E24" s="384" t="s">
        <v>54</v>
      </c>
      <c r="F24" s="131"/>
      <c r="G24" s="143"/>
      <c r="H24" s="132"/>
      <c r="I24" s="473">
        <f>+I22+I17</f>
        <v>810981.25</v>
      </c>
      <c r="J24" s="379"/>
      <c r="K24" s="223">
        <f>+K22+K17</f>
        <v>403127.50043400005</v>
      </c>
      <c r="L24" s="223"/>
      <c r="M24" s="223">
        <f>+M22+M17</f>
        <v>221534.93076000002</v>
      </c>
      <c r="N24" s="223"/>
      <c r="O24" s="223">
        <f>+O22+O17</f>
        <v>85459.673110000003</v>
      </c>
      <c r="P24" s="223"/>
      <c r="Q24" s="223">
        <f>+Q22+Q17</f>
        <v>41351.464274000005</v>
      </c>
      <c r="R24" s="223"/>
      <c r="S24" s="223">
        <f>+S22+S17</f>
        <v>54324.501678000008</v>
      </c>
      <c r="T24" s="223"/>
      <c r="U24" s="223">
        <f>+U22+U17</f>
        <v>0</v>
      </c>
      <c r="V24" s="223"/>
      <c r="W24" s="223">
        <f>+W22+W17</f>
        <v>5183.1797440000009</v>
      </c>
      <c r="Z24" s="137"/>
      <c r="AA24" s="351"/>
      <c r="AB24" s="384" t="s">
        <v>54</v>
      </c>
      <c r="AC24" s="131"/>
      <c r="AD24" s="143"/>
      <c r="AF24" s="223">
        <f>+AF22+AF17</f>
        <v>810981.25</v>
      </c>
      <c r="AG24" s="224"/>
      <c r="AH24" s="223">
        <f>+AH22+AH17</f>
        <v>804688.655256</v>
      </c>
      <c r="AI24" s="224"/>
      <c r="AJ24" s="223">
        <f>+AJ22+AJ17</f>
        <v>1109.415</v>
      </c>
      <c r="AK24" s="224"/>
      <c r="AL24" s="223">
        <f>+AL22+AL17</f>
        <v>0</v>
      </c>
      <c r="AM24" s="224"/>
      <c r="AN24" s="223">
        <f>+AN22+AN17</f>
        <v>0</v>
      </c>
      <c r="AO24" s="224"/>
      <c r="AP24" s="223">
        <f>+AP22+AP17</f>
        <v>0</v>
      </c>
      <c r="AQ24" s="224"/>
      <c r="AR24" s="223">
        <f>+AR22+AR17</f>
        <v>0</v>
      </c>
      <c r="AT24" s="139">
        <f>+AT22+AT17</f>
        <v>5183.1797440000009</v>
      </c>
    </row>
    <row r="25" spans="1:48" x14ac:dyDescent="0.25">
      <c r="E25" s="383"/>
      <c r="F25" s="131"/>
      <c r="G25" s="143"/>
      <c r="H25" s="132"/>
      <c r="I25" s="473"/>
      <c r="J25" s="379"/>
      <c r="K25" s="223"/>
      <c r="L25" s="351"/>
      <c r="M25" s="351"/>
      <c r="N25" s="351"/>
      <c r="O25" s="351"/>
      <c r="P25" s="351"/>
      <c r="Q25" s="351"/>
      <c r="R25" s="351"/>
      <c r="S25" s="351"/>
      <c r="T25" s="351"/>
      <c r="U25" s="351"/>
      <c r="V25" s="351"/>
      <c r="W25" s="351"/>
      <c r="Z25" s="137"/>
      <c r="AA25" s="351"/>
      <c r="AB25" s="383"/>
      <c r="AC25" s="131"/>
      <c r="AD25" s="143"/>
      <c r="AF25" s="224"/>
      <c r="AG25" s="224"/>
      <c r="AH25" s="224"/>
      <c r="AI25" s="224"/>
      <c r="AJ25" s="224"/>
      <c r="AK25" s="224"/>
      <c r="AL25" s="224"/>
      <c r="AM25" s="224"/>
      <c r="AN25" s="224"/>
      <c r="AO25" s="224"/>
      <c r="AP25" s="224"/>
      <c r="AQ25" s="224"/>
      <c r="AR25" s="224"/>
    </row>
    <row r="26" spans="1:48" x14ac:dyDescent="0.25">
      <c r="E26" s="385" t="s">
        <v>109</v>
      </c>
      <c r="F26" s="131"/>
      <c r="G26" s="143"/>
      <c r="H26" s="132"/>
      <c r="I26" s="473"/>
      <c r="J26" s="379"/>
      <c r="K26" s="223"/>
      <c r="L26" s="351"/>
      <c r="M26" s="351"/>
      <c r="N26" s="351"/>
      <c r="O26" s="351"/>
      <c r="P26" s="351"/>
      <c r="Q26" s="351"/>
      <c r="R26" s="351"/>
      <c r="S26" s="351"/>
      <c r="T26" s="351"/>
      <c r="U26" s="351"/>
      <c r="V26" s="351"/>
      <c r="W26" s="351"/>
      <c r="Z26" s="137"/>
      <c r="AA26" s="351"/>
      <c r="AB26" s="385" t="s">
        <v>109</v>
      </c>
      <c r="AC26" s="131"/>
      <c r="AD26" s="143"/>
      <c r="AF26" s="224"/>
      <c r="AG26" s="224"/>
      <c r="AH26" s="224"/>
      <c r="AI26" s="224"/>
      <c r="AJ26" s="224"/>
      <c r="AK26" s="224"/>
      <c r="AL26" s="224"/>
      <c r="AM26" s="224"/>
      <c r="AN26" s="224"/>
      <c r="AO26" s="224"/>
      <c r="AP26" s="224"/>
      <c r="AQ26" s="224"/>
      <c r="AR26" s="224"/>
    </row>
    <row r="27" spans="1:48" x14ac:dyDescent="0.25">
      <c r="E27" s="385" t="s">
        <v>110</v>
      </c>
      <c r="F27" s="131"/>
      <c r="G27" s="143"/>
      <c r="H27" s="132"/>
      <c r="I27" s="473"/>
      <c r="J27" s="379"/>
      <c r="K27" s="223"/>
      <c r="L27" s="351"/>
      <c r="M27" s="351"/>
      <c r="N27" s="351"/>
      <c r="O27" s="351"/>
      <c r="P27" s="351"/>
      <c r="Q27" s="351"/>
      <c r="R27" s="351"/>
      <c r="S27" s="351"/>
      <c r="T27" s="351"/>
      <c r="U27" s="351"/>
      <c r="V27" s="351"/>
      <c r="W27" s="351"/>
      <c r="Z27" s="137"/>
      <c r="AA27" s="351"/>
      <c r="AB27" s="385" t="s">
        <v>110</v>
      </c>
      <c r="AC27" s="131"/>
      <c r="AD27" s="143"/>
      <c r="AF27" s="224"/>
      <c r="AG27" s="224"/>
      <c r="AH27" s="224"/>
      <c r="AI27" s="224"/>
      <c r="AJ27" s="224"/>
      <c r="AK27" s="224"/>
      <c r="AL27" s="224"/>
      <c r="AM27" s="224"/>
      <c r="AN27" s="224"/>
      <c r="AO27" s="224"/>
      <c r="AP27" s="224"/>
      <c r="AQ27" s="224"/>
      <c r="AR27" s="224"/>
    </row>
    <row r="28" spans="1:48" x14ac:dyDescent="0.25">
      <c r="B28" s="558"/>
      <c r="C28" s="427">
        <v>601.29999999999995</v>
      </c>
      <c r="E28" s="389" t="s">
        <v>112</v>
      </c>
      <c r="F28" s="131"/>
      <c r="G28" s="143">
        <v>2</v>
      </c>
      <c r="H28" s="132"/>
      <c r="I28" s="473">
        <v>1463165.3552237726</v>
      </c>
      <c r="J28" s="379"/>
      <c r="K28" s="223">
        <f t="shared" ref="K28:K39" si="0">(VLOOKUP($G28,Factors,K$316))*$I28</f>
        <v>761723.88392949593</v>
      </c>
      <c r="L28" s="351"/>
      <c r="M28" s="223">
        <f t="shared" ref="M28:M39" si="1">(VLOOKUP($G28,Factors,M$316))*$I28</f>
        <v>387299.8695277326</v>
      </c>
      <c r="N28" s="351"/>
      <c r="O28" s="223">
        <f t="shared" ref="O28:O39" si="2">(VLOOKUP($G28,Factors,O$316))*$I28</f>
        <v>145438.63630924301</v>
      </c>
      <c r="P28" s="351"/>
      <c r="Q28" s="223">
        <f t="shared" ref="Q28:Q39" si="3">(VLOOKUP($G28,Factors,Q$316))*$I28</f>
        <v>70378.253586263454</v>
      </c>
      <c r="R28" s="351"/>
      <c r="S28" s="223">
        <f t="shared" ref="S28:S39" si="4">(VLOOKUP($G28,Factors,S$316))*$I28</f>
        <v>92472.050450142429</v>
      </c>
      <c r="T28" s="351"/>
      <c r="U28" s="223">
        <f t="shared" ref="U28:U39" si="5">(VLOOKUP($G28,Factors,U$316))*$I28</f>
        <v>0</v>
      </c>
      <c r="V28" s="351"/>
      <c r="W28" s="223">
        <f t="shared" ref="W28:W39" si="6">(VLOOKUP($G28,Factors,W$316))*$I28</f>
        <v>5852.6614208950905</v>
      </c>
      <c r="Z28" s="137">
        <v>601.29999999999995</v>
      </c>
      <c r="AA28" s="351"/>
      <c r="AB28" s="383" t="s">
        <v>112</v>
      </c>
      <c r="AC28" s="131"/>
      <c r="AD28" s="392">
        <f t="shared" ref="AD28:AD39" si="7">+G28</f>
        <v>2</v>
      </c>
      <c r="AE28" s="131"/>
      <c r="AF28" s="392">
        <f t="shared" ref="AF28:AF39" si="8">+I28</f>
        <v>1463165.3552237726</v>
      </c>
      <c r="AG28" s="224"/>
      <c r="AH28" s="282">
        <f t="shared" ref="AH28:AH39" si="9">(VLOOKUP($AD28,func,AH$316))*$AF28</f>
        <v>908625.68559396279</v>
      </c>
      <c r="AI28" s="282"/>
      <c r="AJ28" s="282">
        <f t="shared" ref="AJ28:AJ39" si="10">(VLOOKUP($AD28,func,AJ$316))*$AF28</f>
        <v>548687.00820891466</v>
      </c>
      <c r="AK28" s="282"/>
      <c r="AL28" s="282">
        <f t="shared" ref="AL28:AL39" si="11">(VLOOKUP($AD28,func,AL$316))*$AF28</f>
        <v>0</v>
      </c>
      <c r="AM28" s="282"/>
      <c r="AN28" s="282">
        <f t="shared" ref="AN28:AN39" si="12">(VLOOKUP($AD28,func,AN$316))*$AF28</f>
        <v>0</v>
      </c>
      <c r="AO28" s="282"/>
      <c r="AP28" s="282">
        <f t="shared" ref="AP28:AP39" si="13">(VLOOKUP($AD28,func,AP$316))*$AF28</f>
        <v>0</v>
      </c>
      <c r="AQ28" s="282"/>
      <c r="AR28" s="282">
        <f t="shared" ref="AR28:AR39" si="14">(VLOOKUP($AD28,func,AR$316))*$AF28</f>
        <v>0</v>
      </c>
      <c r="AS28" s="153"/>
      <c r="AT28" s="153">
        <f t="shared" ref="AT28:AT39" si="15">(VLOOKUP($AD28,func,AT$316))*$AF28</f>
        <v>5852.6614208950905</v>
      </c>
    </row>
    <row r="29" spans="1:48" s="154" customFormat="1" x14ac:dyDescent="0.25">
      <c r="B29" s="559"/>
      <c r="C29" s="428">
        <v>601.29999999999995</v>
      </c>
      <c r="E29" s="389" t="s">
        <v>111</v>
      </c>
      <c r="F29" s="208"/>
      <c r="G29" s="141">
        <v>2</v>
      </c>
      <c r="H29" s="209"/>
      <c r="I29" s="473">
        <v>760219.52849165129</v>
      </c>
      <c r="J29" s="379"/>
      <c r="K29" s="223">
        <f t="shared" si="0"/>
        <v>395770.28653275361</v>
      </c>
      <c r="L29" s="351"/>
      <c r="M29" s="223">
        <f t="shared" si="1"/>
        <v>201230.10919174008</v>
      </c>
      <c r="N29" s="351"/>
      <c r="O29" s="223">
        <f t="shared" si="2"/>
        <v>75565.821132070138</v>
      </c>
      <c r="P29" s="351"/>
      <c r="Q29" s="223">
        <f t="shared" si="3"/>
        <v>36566.559320448425</v>
      </c>
      <c r="R29" s="351"/>
      <c r="S29" s="223">
        <f t="shared" si="4"/>
        <v>48045.87420067237</v>
      </c>
      <c r="T29" s="351"/>
      <c r="U29" s="223">
        <f t="shared" si="5"/>
        <v>0</v>
      </c>
      <c r="V29" s="351"/>
      <c r="W29" s="223">
        <f t="shared" si="6"/>
        <v>3040.8781139666053</v>
      </c>
      <c r="X29"/>
      <c r="Y29" s="224"/>
      <c r="Z29" s="381">
        <v>601.29999999999995</v>
      </c>
      <c r="AB29" s="383" t="s">
        <v>111</v>
      </c>
      <c r="AC29" s="208"/>
      <c r="AD29" s="392">
        <f t="shared" si="7"/>
        <v>2</v>
      </c>
      <c r="AE29" s="131"/>
      <c r="AF29" s="392">
        <f t="shared" si="8"/>
        <v>760219.52849165129</v>
      </c>
      <c r="AG29" s="613"/>
      <c r="AH29" s="282">
        <f t="shared" si="9"/>
        <v>472096.32719331543</v>
      </c>
      <c r="AI29" s="282"/>
      <c r="AJ29" s="282">
        <f t="shared" si="10"/>
        <v>285082.32318436925</v>
      </c>
      <c r="AK29" s="282"/>
      <c r="AL29" s="282">
        <f t="shared" si="11"/>
        <v>0</v>
      </c>
      <c r="AM29" s="282"/>
      <c r="AN29" s="282">
        <f t="shared" si="12"/>
        <v>0</v>
      </c>
      <c r="AO29" s="282"/>
      <c r="AP29" s="282">
        <f t="shared" si="13"/>
        <v>0</v>
      </c>
      <c r="AQ29" s="282"/>
      <c r="AR29" s="282">
        <f t="shared" si="14"/>
        <v>0</v>
      </c>
      <c r="AS29" s="153"/>
      <c r="AT29" s="153">
        <f t="shared" si="15"/>
        <v>3040.8781139666053</v>
      </c>
      <c r="AV29" s="224"/>
    </row>
    <row r="30" spans="1:48" s="154" customFormat="1" x14ac:dyDescent="0.25">
      <c r="B30" s="559"/>
      <c r="C30" s="428">
        <v>615.29999999999995</v>
      </c>
      <c r="E30" s="389" t="s">
        <v>12</v>
      </c>
      <c r="F30" s="208"/>
      <c r="G30" s="141">
        <v>1</v>
      </c>
      <c r="H30" s="209"/>
      <c r="I30" s="473">
        <v>505551.02</v>
      </c>
      <c r="J30" s="379"/>
      <c r="K30" s="223">
        <f t="shared" si="0"/>
        <v>251258.85694</v>
      </c>
      <c r="L30" s="351"/>
      <c r="M30" s="223">
        <f t="shared" si="1"/>
        <v>138116.53866399999</v>
      </c>
      <c r="N30" s="351"/>
      <c r="O30" s="223">
        <f t="shared" si="2"/>
        <v>53285.077508000002</v>
      </c>
      <c r="P30" s="351"/>
      <c r="Q30" s="223">
        <f t="shared" si="3"/>
        <v>25783.102019999998</v>
      </c>
      <c r="R30" s="351"/>
      <c r="S30" s="223">
        <f t="shared" si="4"/>
        <v>33871.918340000004</v>
      </c>
      <c r="T30" s="351"/>
      <c r="U30" s="223">
        <f t="shared" si="5"/>
        <v>0</v>
      </c>
      <c r="V30" s="351"/>
      <c r="W30" s="223">
        <f t="shared" si="6"/>
        <v>3235.5265280000003</v>
      </c>
      <c r="X30"/>
      <c r="Y30" s="224"/>
      <c r="Z30" s="381">
        <v>615.29999999999995</v>
      </c>
      <c r="AB30" s="383" t="s">
        <v>12</v>
      </c>
      <c r="AC30" s="208"/>
      <c r="AD30" s="392">
        <f t="shared" si="7"/>
        <v>1</v>
      </c>
      <c r="AE30" s="131"/>
      <c r="AF30" s="392">
        <f t="shared" si="8"/>
        <v>505551.02</v>
      </c>
      <c r="AG30" s="613"/>
      <c r="AH30" s="282">
        <f t="shared" si="9"/>
        <v>502315.49347200006</v>
      </c>
      <c r="AI30" s="282"/>
      <c r="AJ30" s="282">
        <f t="shared" si="10"/>
        <v>0</v>
      </c>
      <c r="AK30" s="282"/>
      <c r="AL30" s="282">
        <f t="shared" si="11"/>
        <v>0</v>
      </c>
      <c r="AM30" s="282"/>
      <c r="AN30" s="282">
        <f t="shared" si="12"/>
        <v>0</v>
      </c>
      <c r="AO30" s="282"/>
      <c r="AP30" s="282">
        <f t="shared" si="13"/>
        <v>0</v>
      </c>
      <c r="AQ30" s="282"/>
      <c r="AR30" s="282">
        <f t="shared" si="14"/>
        <v>0</v>
      </c>
      <c r="AS30" s="153"/>
      <c r="AT30" s="153">
        <f t="shared" si="15"/>
        <v>3235.5265280000003</v>
      </c>
      <c r="AV30" s="224"/>
    </row>
    <row r="31" spans="1:48" s="154" customFormat="1" x14ac:dyDescent="0.25">
      <c r="B31" s="559"/>
      <c r="C31" s="428">
        <v>616.29999999999995</v>
      </c>
      <c r="E31" s="389" t="s">
        <v>14</v>
      </c>
      <c r="F31" s="208"/>
      <c r="G31" s="141">
        <v>1</v>
      </c>
      <c r="H31" s="209"/>
      <c r="I31" s="473">
        <v>76326.86</v>
      </c>
      <c r="J31" s="379"/>
      <c r="K31" s="223">
        <f t="shared" si="0"/>
        <v>37934.449419999997</v>
      </c>
      <c r="L31" s="351"/>
      <c r="M31" s="223">
        <f t="shared" si="1"/>
        <v>20852.498152</v>
      </c>
      <c r="N31" s="351"/>
      <c r="O31" s="223">
        <f t="shared" si="2"/>
        <v>8044.851044</v>
      </c>
      <c r="P31" s="351"/>
      <c r="Q31" s="223">
        <f t="shared" si="3"/>
        <v>3892.66986</v>
      </c>
      <c r="R31" s="351"/>
      <c r="S31" s="223">
        <f t="shared" si="4"/>
        <v>5113.8996200000001</v>
      </c>
      <c r="T31" s="351"/>
      <c r="U31" s="223">
        <f t="shared" si="5"/>
        <v>0</v>
      </c>
      <c r="V31" s="351"/>
      <c r="W31" s="223">
        <f t="shared" si="6"/>
        <v>488.49190400000003</v>
      </c>
      <c r="X31"/>
      <c r="Y31" s="224"/>
      <c r="Z31" s="381">
        <v>616.29999999999995</v>
      </c>
      <c r="AB31" s="383" t="s">
        <v>14</v>
      </c>
      <c r="AC31" s="208"/>
      <c r="AD31" s="392">
        <f t="shared" si="7"/>
        <v>1</v>
      </c>
      <c r="AE31" s="131"/>
      <c r="AF31" s="392">
        <f t="shared" si="8"/>
        <v>76326.86</v>
      </c>
      <c r="AG31" s="613"/>
      <c r="AH31" s="282">
        <f t="shared" si="9"/>
        <v>75838.368096000006</v>
      </c>
      <c r="AI31" s="282"/>
      <c r="AJ31" s="282">
        <f t="shared" si="10"/>
        <v>0</v>
      </c>
      <c r="AK31" s="282"/>
      <c r="AL31" s="282">
        <f t="shared" si="11"/>
        <v>0</v>
      </c>
      <c r="AM31" s="282"/>
      <c r="AN31" s="282">
        <f t="shared" si="12"/>
        <v>0</v>
      </c>
      <c r="AO31" s="282"/>
      <c r="AP31" s="282">
        <f t="shared" si="13"/>
        <v>0</v>
      </c>
      <c r="AQ31" s="282"/>
      <c r="AR31" s="282">
        <f t="shared" si="14"/>
        <v>0</v>
      </c>
      <c r="AS31" s="153"/>
      <c r="AT31" s="153">
        <f t="shared" si="15"/>
        <v>488.49190400000003</v>
      </c>
      <c r="AV31" s="224"/>
    </row>
    <row r="32" spans="1:48" s="154" customFormat="1" x14ac:dyDescent="0.25">
      <c r="A32" s="564"/>
      <c r="B32" s="559"/>
      <c r="C32" s="428">
        <v>618.29999999999995</v>
      </c>
      <c r="E32" s="389" t="s">
        <v>15</v>
      </c>
      <c r="F32" s="208"/>
      <c r="G32" s="141">
        <v>1</v>
      </c>
      <c r="H32" s="209"/>
      <c r="I32" s="473">
        <v>3751916.7535983287</v>
      </c>
      <c r="J32" s="379"/>
      <c r="K32" s="223">
        <f t="shared" si="0"/>
        <v>1864702.6265383693</v>
      </c>
      <c r="L32" s="351"/>
      <c r="M32" s="223">
        <f t="shared" si="1"/>
        <v>1025023.6570830634</v>
      </c>
      <c r="N32" s="351"/>
      <c r="O32" s="223">
        <f t="shared" si="2"/>
        <v>395452.02582926385</v>
      </c>
      <c r="P32" s="351"/>
      <c r="Q32" s="223">
        <f t="shared" si="3"/>
        <v>191347.75443351475</v>
      </c>
      <c r="R32" s="351"/>
      <c r="S32" s="223">
        <f t="shared" si="4"/>
        <v>251378.42249108804</v>
      </c>
      <c r="T32" s="351"/>
      <c r="U32" s="223">
        <f t="shared" si="5"/>
        <v>0</v>
      </c>
      <c r="V32" s="351"/>
      <c r="W32" s="223">
        <f t="shared" si="6"/>
        <v>24012.267223029306</v>
      </c>
      <c r="X32"/>
      <c r="Y32" s="224"/>
      <c r="Z32" s="381">
        <v>618.29999999999995</v>
      </c>
      <c r="AB32" s="383" t="s">
        <v>15</v>
      </c>
      <c r="AC32" s="208"/>
      <c r="AD32" s="392">
        <f t="shared" si="7"/>
        <v>1</v>
      </c>
      <c r="AE32" s="131"/>
      <c r="AF32" s="392">
        <f t="shared" si="8"/>
        <v>3751916.7535983287</v>
      </c>
      <c r="AG32" s="282"/>
      <c r="AH32" s="282">
        <f t="shared" si="9"/>
        <v>3727904.4863752997</v>
      </c>
      <c r="AI32" s="282"/>
      <c r="AJ32" s="282">
        <f t="shared" si="10"/>
        <v>0</v>
      </c>
      <c r="AK32" s="282"/>
      <c r="AL32" s="282">
        <f t="shared" si="11"/>
        <v>0</v>
      </c>
      <c r="AM32" s="282"/>
      <c r="AN32" s="282">
        <f t="shared" si="12"/>
        <v>0</v>
      </c>
      <c r="AO32" s="282"/>
      <c r="AP32" s="282">
        <f t="shared" si="13"/>
        <v>0</v>
      </c>
      <c r="AQ32" s="282"/>
      <c r="AR32" s="282">
        <f t="shared" si="14"/>
        <v>0</v>
      </c>
      <c r="AS32" s="153"/>
      <c r="AT32" s="153">
        <f t="shared" si="15"/>
        <v>24012.267223029306</v>
      </c>
      <c r="AV32" s="224"/>
    </row>
    <row r="33" spans="2:48" s="154" customFormat="1" x14ac:dyDescent="0.25">
      <c r="B33" s="559"/>
      <c r="C33" s="428">
        <v>620.29999999999995</v>
      </c>
      <c r="E33" s="389" t="s">
        <v>16</v>
      </c>
      <c r="F33" s="208"/>
      <c r="G33" s="141">
        <v>2</v>
      </c>
      <c r="H33" s="209"/>
      <c r="I33" s="473">
        <v>186506.98</v>
      </c>
      <c r="J33" s="379"/>
      <c r="K33" s="223">
        <f t="shared" si="0"/>
        <v>97095.533788000001</v>
      </c>
      <c r="L33" s="351"/>
      <c r="M33" s="223">
        <f t="shared" si="1"/>
        <v>49368.397605999999</v>
      </c>
      <c r="N33" s="351"/>
      <c r="O33" s="223">
        <f t="shared" si="2"/>
        <v>18538.793812</v>
      </c>
      <c r="P33" s="351"/>
      <c r="Q33" s="223">
        <f t="shared" si="3"/>
        <v>8970.9857379999994</v>
      </c>
      <c r="R33" s="351"/>
      <c r="S33" s="223">
        <f t="shared" si="4"/>
        <v>11787.241136000002</v>
      </c>
      <c r="T33" s="351"/>
      <c r="U33" s="223">
        <f t="shared" si="5"/>
        <v>0</v>
      </c>
      <c r="V33" s="351"/>
      <c r="W33" s="223">
        <f t="shared" si="6"/>
        <v>746.02792000000011</v>
      </c>
      <c r="X33"/>
      <c r="Y33" s="224"/>
      <c r="Z33" s="381">
        <v>620.29999999999995</v>
      </c>
      <c r="AB33" s="383" t="s">
        <v>16</v>
      </c>
      <c r="AC33" s="208"/>
      <c r="AD33" s="392">
        <f t="shared" si="7"/>
        <v>2</v>
      </c>
      <c r="AE33" s="131"/>
      <c r="AF33" s="392">
        <f t="shared" si="8"/>
        <v>186506.98</v>
      </c>
      <c r="AG33" s="613"/>
      <c r="AH33" s="282">
        <f t="shared" si="9"/>
        <v>115820.83458000001</v>
      </c>
      <c r="AI33" s="282"/>
      <c r="AJ33" s="282">
        <f t="shared" si="10"/>
        <v>69940.117500000008</v>
      </c>
      <c r="AK33" s="282"/>
      <c r="AL33" s="282">
        <f t="shared" si="11"/>
        <v>0</v>
      </c>
      <c r="AM33" s="282"/>
      <c r="AN33" s="282">
        <f t="shared" si="12"/>
        <v>0</v>
      </c>
      <c r="AO33" s="282"/>
      <c r="AP33" s="282">
        <f t="shared" si="13"/>
        <v>0</v>
      </c>
      <c r="AQ33" s="282"/>
      <c r="AR33" s="282">
        <f t="shared" si="14"/>
        <v>0</v>
      </c>
      <c r="AS33" s="153"/>
      <c r="AT33" s="153">
        <f t="shared" si="15"/>
        <v>746.02792000000011</v>
      </c>
      <c r="AV33" s="224"/>
    </row>
    <row r="34" spans="2:48" s="154" customFormat="1" x14ac:dyDescent="0.25">
      <c r="B34" s="559"/>
      <c r="C34" s="428">
        <v>631.29999999999995</v>
      </c>
      <c r="E34" s="389" t="s">
        <v>22</v>
      </c>
      <c r="F34" s="208"/>
      <c r="G34" s="141">
        <v>2</v>
      </c>
      <c r="H34" s="209"/>
      <c r="I34" s="473">
        <v>0</v>
      </c>
      <c r="J34" s="379"/>
      <c r="K34" s="223">
        <f t="shared" si="0"/>
        <v>0</v>
      </c>
      <c r="L34" s="351"/>
      <c r="M34" s="223">
        <f t="shared" si="1"/>
        <v>0</v>
      </c>
      <c r="N34" s="351"/>
      <c r="O34" s="223">
        <f t="shared" si="2"/>
        <v>0</v>
      </c>
      <c r="P34" s="351"/>
      <c r="Q34" s="223">
        <f t="shared" si="3"/>
        <v>0</v>
      </c>
      <c r="R34" s="351"/>
      <c r="S34" s="223">
        <f t="shared" si="4"/>
        <v>0</v>
      </c>
      <c r="T34" s="351"/>
      <c r="U34" s="223">
        <f t="shared" si="5"/>
        <v>0</v>
      </c>
      <c r="V34" s="351"/>
      <c r="W34" s="223">
        <f t="shared" si="6"/>
        <v>0</v>
      </c>
      <c r="X34"/>
      <c r="Y34" s="224"/>
      <c r="Z34" s="381">
        <v>631.29999999999995</v>
      </c>
      <c r="AB34" s="383" t="s">
        <v>22</v>
      </c>
      <c r="AC34" s="208"/>
      <c r="AD34" s="392">
        <f t="shared" si="7"/>
        <v>2</v>
      </c>
      <c r="AE34" s="131"/>
      <c r="AF34" s="392">
        <f t="shared" si="8"/>
        <v>0</v>
      </c>
      <c r="AG34" s="613"/>
      <c r="AH34" s="282">
        <f t="shared" si="9"/>
        <v>0</v>
      </c>
      <c r="AI34" s="282"/>
      <c r="AJ34" s="282">
        <f t="shared" si="10"/>
        <v>0</v>
      </c>
      <c r="AK34" s="282"/>
      <c r="AL34" s="282">
        <f t="shared" si="11"/>
        <v>0</v>
      </c>
      <c r="AM34" s="282"/>
      <c r="AN34" s="282">
        <f t="shared" si="12"/>
        <v>0</v>
      </c>
      <c r="AO34" s="282"/>
      <c r="AP34" s="282">
        <f t="shared" si="13"/>
        <v>0</v>
      </c>
      <c r="AQ34" s="282"/>
      <c r="AR34" s="282">
        <f t="shared" si="14"/>
        <v>0</v>
      </c>
      <c r="AS34" s="153"/>
      <c r="AT34" s="153">
        <f t="shared" si="15"/>
        <v>0</v>
      </c>
      <c r="AV34" s="224"/>
    </row>
    <row r="35" spans="2:48" s="154" customFormat="1" x14ac:dyDescent="0.25">
      <c r="B35" s="394"/>
      <c r="C35" s="428">
        <v>633.29999999999995</v>
      </c>
      <c r="E35" s="389" t="s">
        <v>24</v>
      </c>
      <c r="F35" s="208"/>
      <c r="G35" s="141">
        <v>2</v>
      </c>
      <c r="H35" s="209"/>
      <c r="I35" s="473">
        <v>0</v>
      </c>
      <c r="J35" s="379"/>
      <c r="K35" s="223">
        <f t="shared" si="0"/>
        <v>0</v>
      </c>
      <c r="L35" s="351"/>
      <c r="M35" s="223">
        <f t="shared" si="1"/>
        <v>0</v>
      </c>
      <c r="N35" s="351"/>
      <c r="O35" s="223">
        <f t="shared" si="2"/>
        <v>0</v>
      </c>
      <c r="P35" s="351"/>
      <c r="Q35" s="223">
        <f t="shared" si="3"/>
        <v>0</v>
      </c>
      <c r="R35" s="351"/>
      <c r="S35" s="223">
        <f t="shared" si="4"/>
        <v>0</v>
      </c>
      <c r="T35" s="351"/>
      <c r="U35" s="223">
        <f t="shared" si="5"/>
        <v>0</v>
      </c>
      <c r="V35" s="351"/>
      <c r="W35" s="223">
        <f t="shared" si="6"/>
        <v>0</v>
      </c>
      <c r="X35"/>
      <c r="Y35" s="224"/>
      <c r="Z35" s="381">
        <v>633.29999999999995</v>
      </c>
      <c r="AB35" s="383" t="s">
        <v>24</v>
      </c>
      <c r="AC35" s="208"/>
      <c r="AD35" s="392">
        <f t="shared" si="7"/>
        <v>2</v>
      </c>
      <c r="AE35" s="131"/>
      <c r="AF35" s="392">
        <f t="shared" si="8"/>
        <v>0</v>
      </c>
      <c r="AG35" s="613"/>
      <c r="AH35" s="282">
        <f t="shared" si="9"/>
        <v>0</v>
      </c>
      <c r="AI35" s="282"/>
      <c r="AJ35" s="282">
        <f t="shared" si="10"/>
        <v>0</v>
      </c>
      <c r="AK35" s="282"/>
      <c r="AL35" s="282">
        <f t="shared" si="11"/>
        <v>0</v>
      </c>
      <c r="AM35" s="282"/>
      <c r="AN35" s="282">
        <f t="shared" si="12"/>
        <v>0</v>
      </c>
      <c r="AO35" s="282"/>
      <c r="AP35" s="282">
        <f t="shared" si="13"/>
        <v>0</v>
      </c>
      <c r="AQ35" s="282"/>
      <c r="AR35" s="282">
        <f t="shared" si="14"/>
        <v>0</v>
      </c>
      <c r="AS35" s="153"/>
      <c r="AT35" s="153">
        <f t="shared" si="15"/>
        <v>0</v>
      </c>
      <c r="AV35" s="224"/>
    </row>
    <row r="36" spans="2:48" s="154" customFormat="1" x14ac:dyDescent="0.25">
      <c r="B36" s="559"/>
      <c r="C36" s="428">
        <v>635.29999999999995</v>
      </c>
      <c r="E36" s="389" t="s">
        <v>494</v>
      </c>
      <c r="F36" s="208"/>
      <c r="G36" s="141">
        <v>1</v>
      </c>
      <c r="H36" s="209"/>
      <c r="I36" s="473">
        <v>111400</v>
      </c>
      <c r="J36" s="379"/>
      <c r="K36" s="223">
        <f t="shared" si="0"/>
        <v>55365.8</v>
      </c>
      <c r="L36" s="351"/>
      <c r="M36" s="223">
        <f t="shared" si="1"/>
        <v>30434.48</v>
      </c>
      <c r="N36" s="351"/>
      <c r="O36" s="223">
        <f t="shared" si="2"/>
        <v>11741.56</v>
      </c>
      <c r="P36" s="351"/>
      <c r="Q36" s="223">
        <f t="shared" si="3"/>
        <v>5681.4</v>
      </c>
      <c r="R36" s="351"/>
      <c r="S36" s="223">
        <f t="shared" si="4"/>
        <v>7463.8</v>
      </c>
      <c r="T36" s="351"/>
      <c r="U36" s="223">
        <f t="shared" si="5"/>
        <v>0</v>
      </c>
      <c r="V36" s="351"/>
      <c r="W36" s="223">
        <f t="shared" si="6"/>
        <v>712.96</v>
      </c>
      <c r="X36"/>
      <c r="Y36" s="224"/>
      <c r="Z36" s="381">
        <v>635.29999999999995</v>
      </c>
      <c r="AB36" s="383" t="s">
        <v>29</v>
      </c>
      <c r="AC36" s="208"/>
      <c r="AD36" s="392">
        <f t="shared" si="7"/>
        <v>1</v>
      </c>
      <c r="AE36" s="131"/>
      <c r="AF36" s="392">
        <f t="shared" si="8"/>
        <v>111400</v>
      </c>
      <c r="AG36" s="613"/>
      <c r="AH36" s="282">
        <f t="shared" si="9"/>
        <v>110687.04000000001</v>
      </c>
      <c r="AI36" s="282"/>
      <c r="AJ36" s="282">
        <f t="shared" si="10"/>
        <v>0</v>
      </c>
      <c r="AK36" s="282"/>
      <c r="AL36" s="282">
        <f t="shared" si="11"/>
        <v>0</v>
      </c>
      <c r="AM36" s="282"/>
      <c r="AN36" s="282">
        <f t="shared" si="12"/>
        <v>0</v>
      </c>
      <c r="AO36" s="282"/>
      <c r="AP36" s="282">
        <f t="shared" si="13"/>
        <v>0</v>
      </c>
      <c r="AQ36" s="282"/>
      <c r="AR36" s="282">
        <f t="shared" si="14"/>
        <v>0</v>
      </c>
      <c r="AS36" s="153"/>
      <c r="AT36" s="153">
        <f t="shared" si="15"/>
        <v>712.96</v>
      </c>
      <c r="AV36" s="224"/>
    </row>
    <row r="37" spans="2:48" s="154" customFormat="1" x14ac:dyDescent="0.25">
      <c r="B37" s="559"/>
      <c r="C37" s="428">
        <v>635.29999999999995</v>
      </c>
      <c r="E37" s="389" t="s">
        <v>30</v>
      </c>
      <c r="F37" s="208"/>
      <c r="G37" s="141">
        <v>2</v>
      </c>
      <c r="H37" s="209"/>
      <c r="I37" s="473">
        <v>98407.19</v>
      </c>
      <c r="J37" s="379"/>
      <c r="K37" s="223">
        <f t="shared" si="0"/>
        <v>51230.783113999998</v>
      </c>
      <c r="L37" s="351"/>
      <c r="M37" s="223">
        <f t="shared" si="1"/>
        <v>26048.383193000001</v>
      </c>
      <c r="N37" s="351"/>
      <c r="O37" s="223">
        <f t="shared" si="2"/>
        <v>9781.6746860000003</v>
      </c>
      <c r="P37" s="351"/>
      <c r="Q37" s="223">
        <f t="shared" si="3"/>
        <v>4733.3858389999996</v>
      </c>
      <c r="R37" s="351"/>
      <c r="S37" s="223">
        <f t="shared" si="4"/>
        <v>6219.3344080000006</v>
      </c>
      <c r="T37" s="351"/>
      <c r="U37" s="223">
        <f t="shared" si="5"/>
        <v>0</v>
      </c>
      <c r="V37" s="351"/>
      <c r="W37" s="223">
        <f t="shared" si="6"/>
        <v>393.62876</v>
      </c>
      <c r="X37"/>
      <c r="Y37" s="224"/>
      <c r="Z37" s="381">
        <v>635.29999999999995</v>
      </c>
      <c r="AB37" s="383" t="s">
        <v>30</v>
      </c>
      <c r="AC37" s="208"/>
      <c r="AD37" s="392">
        <f t="shared" si="7"/>
        <v>2</v>
      </c>
      <c r="AE37" s="131"/>
      <c r="AF37" s="392">
        <f t="shared" si="8"/>
        <v>98407.19</v>
      </c>
      <c r="AG37" s="613"/>
      <c r="AH37" s="282">
        <f t="shared" si="9"/>
        <v>61110.864990000002</v>
      </c>
      <c r="AI37" s="282"/>
      <c r="AJ37" s="282">
        <f t="shared" si="10"/>
        <v>36902.696250000001</v>
      </c>
      <c r="AK37" s="282"/>
      <c r="AL37" s="282">
        <f t="shared" si="11"/>
        <v>0</v>
      </c>
      <c r="AM37" s="282"/>
      <c r="AN37" s="282">
        <f t="shared" si="12"/>
        <v>0</v>
      </c>
      <c r="AO37" s="282"/>
      <c r="AP37" s="282">
        <f t="shared" si="13"/>
        <v>0</v>
      </c>
      <c r="AQ37" s="282"/>
      <c r="AR37" s="282">
        <f t="shared" si="14"/>
        <v>0</v>
      </c>
      <c r="AS37" s="153"/>
      <c r="AT37" s="153">
        <f t="shared" si="15"/>
        <v>393.62876</v>
      </c>
      <c r="AV37" s="224"/>
    </row>
    <row r="38" spans="2:48" s="154" customFormat="1" x14ac:dyDescent="0.25">
      <c r="B38" s="559"/>
      <c r="C38" s="428">
        <v>635.29999999999995</v>
      </c>
      <c r="E38" s="389" t="s">
        <v>31</v>
      </c>
      <c r="F38" s="208"/>
      <c r="G38" s="141">
        <v>2</v>
      </c>
      <c r="H38" s="209"/>
      <c r="I38" s="473">
        <v>332188.41000000003</v>
      </c>
      <c r="J38" s="379"/>
      <c r="K38" s="223">
        <f t="shared" si="0"/>
        <v>172937.286246</v>
      </c>
      <c r="L38" s="351"/>
      <c r="M38" s="223">
        <f t="shared" si="1"/>
        <v>87930.272127000004</v>
      </c>
      <c r="N38" s="351"/>
      <c r="O38" s="223">
        <f t="shared" si="2"/>
        <v>33019.527954000005</v>
      </c>
      <c r="P38" s="351"/>
      <c r="Q38" s="223">
        <f t="shared" si="3"/>
        <v>15978.262521000001</v>
      </c>
      <c r="R38" s="351"/>
      <c r="S38" s="223">
        <f t="shared" si="4"/>
        <v>20994.307512000003</v>
      </c>
      <c r="T38" s="351"/>
      <c r="U38" s="223">
        <f t="shared" si="5"/>
        <v>0</v>
      </c>
      <c r="V38" s="353"/>
      <c r="W38" s="223">
        <f t="shared" si="6"/>
        <v>1328.7536400000001</v>
      </c>
      <c r="X38"/>
      <c r="Y38" s="224"/>
      <c r="Z38" s="381">
        <v>635.29999999999995</v>
      </c>
      <c r="AB38" s="383" t="s">
        <v>31</v>
      </c>
      <c r="AC38" s="208"/>
      <c r="AD38" s="392">
        <f t="shared" si="7"/>
        <v>2</v>
      </c>
      <c r="AE38" s="131"/>
      <c r="AF38" s="392">
        <f t="shared" si="8"/>
        <v>332188.41000000003</v>
      </c>
      <c r="AG38" s="613"/>
      <c r="AH38" s="282">
        <f t="shared" si="9"/>
        <v>206289.00261000003</v>
      </c>
      <c r="AI38" s="282"/>
      <c r="AJ38" s="282">
        <f t="shared" si="10"/>
        <v>124570.65375000001</v>
      </c>
      <c r="AK38" s="282"/>
      <c r="AL38" s="282">
        <f t="shared" si="11"/>
        <v>0</v>
      </c>
      <c r="AM38" s="282"/>
      <c r="AN38" s="282">
        <f t="shared" si="12"/>
        <v>0</v>
      </c>
      <c r="AO38" s="282"/>
      <c r="AP38" s="282">
        <f t="shared" si="13"/>
        <v>0</v>
      </c>
      <c r="AQ38" s="282"/>
      <c r="AR38" s="282">
        <f t="shared" si="14"/>
        <v>0</v>
      </c>
      <c r="AS38" s="153"/>
      <c r="AT38" s="153">
        <f t="shared" si="15"/>
        <v>1328.7536400000001</v>
      </c>
      <c r="AV38" s="224"/>
    </row>
    <row r="39" spans="2:48" s="154" customFormat="1" x14ac:dyDescent="0.25">
      <c r="B39" s="559"/>
      <c r="C39" s="428">
        <v>650.29999999999995</v>
      </c>
      <c r="E39" s="389" t="s">
        <v>43</v>
      </c>
      <c r="F39" s="208"/>
      <c r="G39" s="141">
        <v>2</v>
      </c>
      <c r="H39" s="209"/>
      <c r="I39" s="614">
        <v>54800.13</v>
      </c>
      <c r="J39" s="379"/>
      <c r="K39" s="397">
        <f t="shared" si="0"/>
        <v>28528.947677999997</v>
      </c>
      <c r="L39" s="351"/>
      <c r="M39" s="397">
        <f t="shared" si="1"/>
        <v>14505.594410999998</v>
      </c>
      <c r="N39" s="351"/>
      <c r="O39" s="397">
        <f t="shared" si="2"/>
        <v>5447.1329219999998</v>
      </c>
      <c r="P39" s="351"/>
      <c r="Q39" s="397">
        <f t="shared" si="3"/>
        <v>2635.8862529999997</v>
      </c>
      <c r="R39" s="351"/>
      <c r="S39" s="397">
        <f t="shared" si="4"/>
        <v>3463.3682160000003</v>
      </c>
      <c r="T39" s="351"/>
      <c r="U39" s="397">
        <f t="shared" si="5"/>
        <v>0</v>
      </c>
      <c r="V39" s="353"/>
      <c r="W39" s="397">
        <f t="shared" si="6"/>
        <v>219.20051999999998</v>
      </c>
      <c r="X39"/>
      <c r="Y39" s="224"/>
      <c r="Z39" s="381">
        <v>650.29999999999995</v>
      </c>
      <c r="AB39" s="383" t="s">
        <v>43</v>
      </c>
      <c r="AC39" s="208"/>
      <c r="AD39" s="392">
        <f t="shared" si="7"/>
        <v>2</v>
      </c>
      <c r="AE39" s="131"/>
      <c r="AF39" s="393">
        <f t="shared" si="8"/>
        <v>54800.13</v>
      </c>
      <c r="AG39" s="613"/>
      <c r="AH39" s="397">
        <f t="shared" si="9"/>
        <v>34030.880729999997</v>
      </c>
      <c r="AI39" s="282"/>
      <c r="AJ39" s="397">
        <f t="shared" si="10"/>
        <v>20550.048749999998</v>
      </c>
      <c r="AK39" s="282"/>
      <c r="AL39" s="397">
        <f t="shared" si="11"/>
        <v>0</v>
      </c>
      <c r="AM39" s="282"/>
      <c r="AN39" s="397">
        <f t="shared" si="12"/>
        <v>0</v>
      </c>
      <c r="AO39" s="282"/>
      <c r="AP39" s="397">
        <f t="shared" si="13"/>
        <v>0</v>
      </c>
      <c r="AQ39" s="282"/>
      <c r="AR39" s="397">
        <f t="shared" si="14"/>
        <v>0</v>
      </c>
      <c r="AS39" s="153"/>
      <c r="AT39" s="140">
        <f t="shared" si="15"/>
        <v>219.20051999999998</v>
      </c>
      <c r="AV39" s="224"/>
    </row>
    <row r="40" spans="2:48" s="154" customFormat="1" x14ac:dyDescent="0.25">
      <c r="B40" s="394"/>
      <c r="C40" s="428"/>
      <c r="E40" s="386" t="s">
        <v>52</v>
      </c>
      <c r="F40" s="208"/>
      <c r="G40" s="141"/>
      <c r="H40" s="209"/>
      <c r="I40" s="612">
        <f>SUM(I28:I39)</f>
        <v>7340482.2273137532</v>
      </c>
      <c r="J40" s="379"/>
      <c r="K40" s="282">
        <f>SUM(K28:K39)</f>
        <v>3716548.4541866188</v>
      </c>
      <c r="L40" s="282"/>
      <c r="M40" s="282">
        <f>SUM(M28:M39)</f>
        <v>1980809.7999555359</v>
      </c>
      <c r="N40" s="282"/>
      <c r="O40" s="282">
        <f>SUM(O28:O39)</f>
        <v>756315.10119657707</v>
      </c>
      <c r="P40" s="282"/>
      <c r="Q40" s="282">
        <f>SUM(Q28:Q39)</f>
        <v>365968.25957122666</v>
      </c>
      <c r="R40" s="282"/>
      <c r="S40" s="282">
        <f>SUM(S28:S39)</f>
        <v>480810.21637390286</v>
      </c>
      <c r="T40" s="282"/>
      <c r="U40" s="282">
        <f>SUM(U28:U39)</f>
        <v>0</v>
      </c>
      <c r="V40" s="282"/>
      <c r="W40" s="282">
        <f>SUM(W28:W39)</f>
        <v>40030.396029891002</v>
      </c>
      <c r="Y40" s="224"/>
      <c r="Z40" s="381"/>
      <c r="AB40" s="386" t="s">
        <v>52</v>
      </c>
      <c r="AC40" s="208"/>
      <c r="AD40" s="141"/>
      <c r="AF40" s="282">
        <f>SUM(AF28:AF39)</f>
        <v>7340482.2273137532</v>
      </c>
      <c r="AG40" s="613"/>
      <c r="AH40" s="282">
        <f>SUM(AH28:AH39)</f>
        <v>6214718.9836405776</v>
      </c>
      <c r="AI40" s="613"/>
      <c r="AJ40" s="282">
        <f>SUM(AJ28:AJ39)</f>
        <v>1085732.8476432841</v>
      </c>
      <c r="AK40" s="613"/>
      <c r="AL40" s="282">
        <f>SUM(AL28:AL39)</f>
        <v>0</v>
      </c>
      <c r="AM40" s="613"/>
      <c r="AN40" s="282">
        <f>SUM(AN28:AN39)</f>
        <v>0</v>
      </c>
      <c r="AO40" s="613"/>
      <c r="AP40" s="282">
        <f>SUM(AP28:AP39)</f>
        <v>0</v>
      </c>
      <c r="AQ40" s="613"/>
      <c r="AR40" s="282">
        <f>SUM(AR28:AR39)</f>
        <v>0</v>
      </c>
      <c r="AT40" s="388">
        <f>SUM(AT28:AT39)</f>
        <v>40030.396029891002</v>
      </c>
      <c r="AV40" s="224"/>
    </row>
    <row r="41" spans="2:48" s="154" customFormat="1" x14ac:dyDescent="0.25">
      <c r="B41" s="394"/>
      <c r="C41" s="428"/>
      <c r="E41" s="387"/>
      <c r="F41" s="208"/>
      <c r="G41" s="141"/>
      <c r="H41" s="209"/>
      <c r="I41" s="612"/>
      <c r="J41" s="379"/>
      <c r="K41" s="282"/>
      <c r="L41" s="353"/>
      <c r="M41" s="282"/>
      <c r="N41" s="353"/>
      <c r="O41" s="282"/>
      <c r="P41" s="353"/>
      <c r="Q41" s="282"/>
      <c r="R41" s="353"/>
      <c r="S41" s="282"/>
      <c r="T41" s="353"/>
      <c r="U41" s="282"/>
      <c r="V41" s="353"/>
      <c r="W41" s="282"/>
      <c r="Y41" s="224"/>
      <c r="Z41" s="381"/>
      <c r="AB41" s="387"/>
      <c r="AC41" s="208"/>
      <c r="AD41" s="141"/>
      <c r="AF41" s="613"/>
      <c r="AG41" s="613"/>
      <c r="AH41" s="282"/>
      <c r="AI41" s="282"/>
      <c r="AJ41" s="282"/>
      <c r="AK41" s="282"/>
      <c r="AL41" s="282"/>
      <c r="AM41" s="282"/>
      <c r="AN41" s="282"/>
      <c r="AO41" s="282"/>
      <c r="AP41" s="282"/>
      <c r="AQ41" s="282"/>
      <c r="AR41" s="282"/>
      <c r="AS41" s="153"/>
      <c r="AT41" s="153"/>
      <c r="AV41" s="224"/>
    </row>
    <row r="42" spans="2:48" s="154" customFormat="1" x14ac:dyDescent="0.25">
      <c r="B42" s="692"/>
      <c r="C42" s="428"/>
      <c r="E42" s="379" t="s">
        <v>375</v>
      </c>
      <c r="F42" s="208"/>
      <c r="G42" s="141"/>
      <c r="H42" s="209"/>
      <c r="I42" s="612"/>
      <c r="J42" s="379"/>
      <c r="K42" s="282"/>
      <c r="L42" s="353"/>
      <c r="M42" s="282"/>
      <c r="N42" s="353"/>
      <c r="O42" s="282"/>
      <c r="P42" s="353"/>
      <c r="Q42" s="282"/>
      <c r="R42" s="353"/>
      <c r="S42" s="282"/>
      <c r="T42" s="353"/>
      <c r="U42" s="282"/>
      <c r="V42" s="353"/>
      <c r="W42" s="282"/>
      <c r="Y42" s="224"/>
      <c r="Z42" s="381"/>
      <c r="AB42" s="379" t="s">
        <v>375</v>
      </c>
      <c r="AC42" s="208"/>
      <c r="AD42" s="141"/>
      <c r="AF42" s="613"/>
      <c r="AG42" s="613"/>
      <c r="AH42" s="282"/>
      <c r="AI42" s="282"/>
      <c r="AJ42" s="282"/>
      <c r="AK42" s="282"/>
      <c r="AL42" s="282"/>
      <c r="AM42" s="282"/>
      <c r="AN42" s="282"/>
      <c r="AO42" s="282"/>
      <c r="AP42" s="282"/>
      <c r="AQ42" s="282"/>
      <c r="AR42" s="282"/>
      <c r="AS42" s="153"/>
      <c r="AT42" s="153"/>
      <c r="AV42" s="224"/>
    </row>
    <row r="43" spans="2:48" s="154" customFormat="1" x14ac:dyDescent="0.25">
      <c r="B43" s="587"/>
      <c r="C43" s="428">
        <v>601.4</v>
      </c>
      <c r="E43" s="389" t="s">
        <v>112</v>
      </c>
      <c r="F43" s="208"/>
      <c r="G43" s="141">
        <v>2</v>
      </c>
      <c r="H43" s="209"/>
      <c r="I43" s="473">
        <v>724143.92305571551</v>
      </c>
      <c r="J43" s="379"/>
      <c r="K43" s="223">
        <f>(VLOOKUP($G43,Factors,K$316))*$I43</f>
        <v>376989.32634280546</v>
      </c>
      <c r="L43" s="351"/>
      <c r="M43" s="223">
        <f>(VLOOKUP($G43,Factors,M$316))*$I43</f>
        <v>191680.89643284789</v>
      </c>
      <c r="N43" s="351"/>
      <c r="O43" s="223">
        <f>(VLOOKUP($G43,Factors,O$316))*$I43</f>
        <v>71979.905951738125</v>
      </c>
      <c r="P43" s="351"/>
      <c r="Q43" s="223">
        <f>(VLOOKUP($G43,Factors,Q$316))*$I43</f>
        <v>34831.322698979915</v>
      </c>
      <c r="R43" s="351"/>
      <c r="S43" s="223">
        <f>(VLOOKUP($G43,Factors,S$316))*$I43</f>
        <v>45765.895937121226</v>
      </c>
      <c r="T43" s="351"/>
      <c r="U43" s="223">
        <f>(VLOOKUP($G43,Factors,U$316))*$I43</f>
        <v>0</v>
      </c>
      <c r="V43" s="351"/>
      <c r="W43" s="223">
        <f>(VLOOKUP($G43,Factors,W$316))*$I43</f>
        <v>2896.575692222862</v>
      </c>
      <c r="Y43" s="224"/>
      <c r="Z43" s="381">
        <v>601.4</v>
      </c>
      <c r="AB43" s="383" t="s">
        <v>112</v>
      </c>
      <c r="AC43" s="208"/>
      <c r="AD43" s="392">
        <f>+G43</f>
        <v>2</v>
      </c>
      <c r="AE43" s="131"/>
      <c r="AF43" s="392">
        <f>+I43</f>
        <v>724143.92305571551</v>
      </c>
      <c r="AG43" s="613"/>
      <c r="AH43" s="282">
        <f>(VLOOKUP($AD43,func,AH$316))*$AF43</f>
        <v>449693.37621759932</v>
      </c>
      <c r="AI43" s="282"/>
      <c r="AJ43" s="282">
        <f>(VLOOKUP($AD43,func,AJ$316))*$AF43</f>
        <v>271553.97114589333</v>
      </c>
      <c r="AK43" s="282"/>
      <c r="AL43" s="282">
        <f>(VLOOKUP($AD43,func,AL$316))*$AF43</f>
        <v>0</v>
      </c>
      <c r="AM43" s="282"/>
      <c r="AN43" s="282">
        <f>(VLOOKUP($AD43,func,AN$316))*$AF43</f>
        <v>0</v>
      </c>
      <c r="AO43" s="282"/>
      <c r="AP43" s="282">
        <f>(VLOOKUP($AD43,func,AP$316))*$AF43</f>
        <v>0</v>
      </c>
      <c r="AQ43" s="282"/>
      <c r="AR43" s="282">
        <f>(VLOOKUP($AD43,func,AR$316))*$AF43</f>
        <v>0</v>
      </c>
      <c r="AS43" s="153"/>
      <c r="AT43" s="153">
        <f>(VLOOKUP($AD43,func,AT$316))*$AF43</f>
        <v>2896.575692222862</v>
      </c>
      <c r="AV43" s="224"/>
    </row>
    <row r="44" spans="2:48" s="154" customFormat="1" x14ac:dyDescent="0.25">
      <c r="B44" s="587"/>
      <c r="C44" s="428">
        <v>620.4</v>
      </c>
      <c r="E44" s="389" t="s">
        <v>16</v>
      </c>
      <c r="F44" s="208"/>
      <c r="G44" s="141">
        <v>2</v>
      </c>
      <c r="H44" s="209"/>
      <c r="I44" s="473">
        <v>311663.05000000005</v>
      </c>
      <c r="J44" s="379"/>
      <c r="K44" s="223">
        <f>(VLOOKUP($G44,Factors,K$316))*$I44</f>
        <v>162251.78383</v>
      </c>
      <c r="L44" s="351"/>
      <c r="M44" s="223">
        <f>(VLOOKUP($G44,Factors,M$316))*$I44</f>
        <v>82497.209335000007</v>
      </c>
      <c r="N44" s="351"/>
      <c r="O44" s="223">
        <f>(VLOOKUP($G44,Factors,O$316))*$I44</f>
        <v>30979.307170000004</v>
      </c>
      <c r="P44" s="351"/>
      <c r="Q44" s="223">
        <f>(VLOOKUP($G44,Factors,Q$316))*$I44</f>
        <v>14990.992705000001</v>
      </c>
      <c r="R44" s="351"/>
      <c r="S44" s="223">
        <f>(VLOOKUP($G44,Factors,S$316))*$I44</f>
        <v>19697.104760000006</v>
      </c>
      <c r="T44" s="351"/>
      <c r="U44" s="223">
        <f>(VLOOKUP($G44,Factors,U$316))*$I44</f>
        <v>0</v>
      </c>
      <c r="V44" s="351"/>
      <c r="W44" s="223">
        <f>(VLOOKUP($G44,Factors,W$316))*$I44</f>
        <v>1246.6522000000002</v>
      </c>
      <c r="Y44" s="224"/>
      <c r="Z44" s="381">
        <v>620.4</v>
      </c>
      <c r="AB44" s="383" t="s">
        <v>16</v>
      </c>
      <c r="AC44" s="208"/>
      <c r="AD44" s="392">
        <f>+G44</f>
        <v>2</v>
      </c>
      <c r="AE44" s="131"/>
      <c r="AF44" s="392">
        <f>+I44</f>
        <v>311663.05000000005</v>
      </c>
      <c r="AG44" s="613"/>
      <c r="AH44" s="282">
        <f>(VLOOKUP($AD44,func,AH$316))*$AF44</f>
        <v>193542.75405000002</v>
      </c>
      <c r="AI44" s="282"/>
      <c r="AJ44" s="282">
        <f>(VLOOKUP($AD44,func,AJ$316))*$AF44</f>
        <v>116873.64375000002</v>
      </c>
      <c r="AK44" s="282"/>
      <c r="AL44" s="282">
        <f>(VLOOKUP($AD44,func,AL$316))*$AF44</f>
        <v>0</v>
      </c>
      <c r="AM44" s="282"/>
      <c r="AN44" s="282">
        <f>(VLOOKUP($AD44,func,AN$316))*$AF44</f>
        <v>0</v>
      </c>
      <c r="AO44" s="282"/>
      <c r="AP44" s="282">
        <f>(VLOOKUP($AD44,func,AP$316))*$AF44</f>
        <v>0</v>
      </c>
      <c r="AQ44" s="282"/>
      <c r="AR44" s="282">
        <f>(VLOOKUP($AD44,func,AR$316))*$AF44</f>
        <v>0</v>
      </c>
      <c r="AS44" s="153"/>
      <c r="AT44" s="153">
        <f>(VLOOKUP($AD44,func,AT$316))*$AF44</f>
        <v>1246.6522000000002</v>
      </c>
      <c r="AV44" s="224"/>
    </row>
    <row r="45" spans="2:48" s="154" customFormat="1" x14ac:dyDescent="0.25">
      <c r="B45" s="587"/>
      <c r="C45" s="483">
        <v>635.4</v>
      </c>
      <c r="D45" s="491"/>
      <c r="E45" s="389" t="s">
        <v>31</v>
      </c>
      <c r="F45" s="486"/>
      <c r="G45" s="507">
        <v>2</v>
      </c>
      <c r="H45" s="231"/>
      <c r="I45" s="490">
        <v>104717.21</v>
      </c>
      <c r="J45" s="379"/>
      <c r="K45" s="223">
        <f>(VLOOKUP($G45,Factors,K$316))*$I45</f>
        <v>54515.779525999998</v>
      </c>
      <c r="L45" s="351"/>
      <c r="M45" s="223">
        <f>(VLOOKUP($G45,Factors,M$316))*$I45</f>
        <v>27718.645487000002</v>
      </c>
      <c r="N45" s="351"/>
      <c r="O45" s="223">
        <f>(VLOOKUP($G45,Factors,O$316))*$I45</f>
        <v>10408.890674</v>
      </c>
      <c r="P45" s="351"/>
      <c r="Q45" s="223">
        <f>(VLOOKUP($G45,Factors,Q$316))*$I45</f>
        <v>5036.8978010000001</v>
      </c>
      <c r="R45" s="351"/>
      <c r="S45" s="223">
        <f>(VLOOKUP($G45,Factors,S$316))*$I45</f>
        <v>6618.1276720000014</v>
      </c>
      <c r="T45" s="351"/>
      <c r="U45" s="223">
        <f>(VLOOKUP($G45,Factors,U$316))*$I45</f>
        <v>0</v>
      </c>
      <c r="V45" s="351"/>
      <c r="W45" s="223">
        <f>(VLOOKUP($G45,Factors,W$316))*$I45</f>
        <v>418.86884000000003</v>
      </c>
      <c r="Y45" s="224"/>
      <c r="Z45" s="381">
        <v>635.4</v>
      </c>
      <c r="AB45" s="383" t="s">
        <v>31</v>
      </c>
      <c r="AC45" s="208"/>
      <c r="AD45" s="392">
        <f>+G45</f>
        <v>2</v>
      </c>
      <c r="AE45" s="131"/>
      <c r="AF45" s="392">
        <f>+I45</f>
        <v>104717.21</v>
      </c>
      <c r="AG45" s="613"/>
      <c r="AH45" s="282">
        <f>(VLOOKUP($AD45,func,AH$316))*$AF45</f>
        <v>65029.387410000003</v>
      </c>
      <c r="AI45" s="282"/>
      <c r="AJ45" s="282">
        <f>(VLOOKUP($AD45,func,AJ$316))*$AF45</f>
        <v>39268.953750000001</v>
      </c>
      <c r="AK45" s="282"/>
      <c r="AL45" s="282">
        <f>(VLOOKUP($AD45,func,AL$316))*$AF45</f>
        <v>0</v>
      </c>
      <c r="AM45" s="282"/>
      <c r="AN45" s="282">
        <f>(VLOOKUP($AD45,func,AN$316))*$AF45</f>
        <v>0</v>
      </c>
      <c r="AO45" s="282"/>
      <c r="AP45" s="282">
        <f>(VLOOKUP($AD45,func,AP$316))*$AF45</f>
        <v>0</v>
      </c>
      <c r="AQ45" s="282"/>
      <c r="AR45" s="282">
        <f>(VLOOKUP($AD45,func,AR$316))*$AF45</f>
        <v>0</v>
      </c>
      <c r="AS45" s="153"/>
      <c r="AT45" s="153">
        <f>(VLOOKUP($AD45,func,AT$316))*$AF45</f>
        <v>418.86884000000003</v>
      </c>
      <c r="AV45" s="224"/>
    </row>
    <row r="46" spans="2:48" s="154" customFormat="1" x14ac:dyDescent="0.25">
      <c r="B46" s="692"/>
      <c r="C46" s="428">
        <v>650.4</v>
      </c>
      <c r="E46" s="389" t="s">
        <v>43</v>
      </c>
      <c r="F46" s="375"/>
      <c r="G46" s="376">
        <v>2</v>
      </c>
      <c r="H46" s="377"/>
      <c r="I46" s="645"/>
      <c r="J46" s="379"/>
      <c r="K46" s="397">
        <f>(VLOOKUP($G46,Factors,K$316))*$I46</f>
        <v>0</v>
      </c>
      <c r="L46" s="351"/>
      <c r="M46" s="397">
        <f>(VLOOKUP($G46,Factors,M$316))*$I46</f>
        <v>0</v>
      </c>
      <c r="N46" s="351"/>
      <c r="O46" s="397">
        <f>(VLOOKUP($G46,Factors,O$316))*$I46</f>
        <v>0</v>
      </c>
      <c r="P46" s="351"/>
      <c r="Q46" s="397">
        <f>(VLOOKUP($G46,Factors,Q$316))*$I46</f>
        <v>0</v>
      </c>
      <c r="R46" s="351"/>
      <c r="S46" s="397">
        <f>(VLOOKUP($G46,Factors,S$316))*$I46</f>
        <v>0</v>
      </c>
      <c r="T46" s="351"/>
      <c r="U46" s="397">
        <f>(VLOOKUP($G46,Factors,U$316))*$I46</f>
        <v>0</v>
      </c>
      <c r="V46" s="351"/>
      <c r="W46" s="397">
        <f>(VLOOKUP($G46,Factors,W$316))*$I46</f>
        <v>0</v>
      </c>
      <c r="Y46" s="224"/>
      <c r="Z46" s="381">
        <v>650.4</v>
      </c>
      <c r="AB46" s="383" t="s">
        <v>43</v>
      </c>
      <c r="AC46" s="375"/>
      <c r="AD46" s="392">
        <f>+G46</f>
        <v>2</v>
      </c>
      <c r="AE46" s="131"/>
      <c r="AF46" s="393">
        <f>+I46</f>
        <v>0</v>
      </c>
      <c r="AG46" s="613"/>
      <c r="AH46" s="397">
        <f>(VLOOKUP($AD46,func,AH$316))*$AF46</f>
        <v>0</v>
      </c>
      <c r="AI46" s="282"/>
      <c r="AJ46" s="397">
        <f>(VLOOKUP($AD46,func,AJ$316))*$AF46</f>
        <v>0</v>
      </c>
      <c r="AK46" s="282"/>
      <c r="AL46" s="397">
        <f>(VLOOKUP($AD46,func,AL$316))*$AF46</f>
        <v>0</v>
      </c>
      <c r="AM46" s="282"/>
      <c r="AN46" s="397">
        <f>(VLOOKUP($AD46,func,AN$316))*$AF46</f>
        <v>0</v>
      </c>
      <c r="AO46" s="282"/>
      <c r="AP46" s="397">
        <f>(VLOOKUP($AD46,func,AP$316))*$AF46</f>
        <v>0</v>
      </c>
      <c r="AQ46" s="282"/>
      <c r="AR46" s="397">
        <f>(VLOOKUP($AD46,func,AR$316))*$AF46</f>
        <v>0</v>
      </c>
      <c r="AS46" s="153"/>
      <c r="AT46" s="140">
        <f>(VLOOKUP($AD46,func,AT$316))*$AF46</f>
        <v>0</v>
      </c>
      <c r="AV46" s="224"/>
    </row>
    <row r="47" spans="2:48" s="154" customFormat="1" x14ac:dyDescent="0.25">
      <c r="B47" s="692"/>
      <c r="C47" s="428"/>
      <c r="E47" s="379" t="s">
        <v>53</v>
      </c>
      <c r="F47" s="208"/>
      <c r="G47" s="141"/>
      <c r="H47" s="209"/>
      <c r="I47" s="612">
        <f>SUM(I43:I46)</f>
        <v>1140524.1830557156</v>
      </c>
      <c r="J47" s="379"/>
      <c r="K47" s="282">
        <f>SUM(K43:K46)</f>
        <v>593756.88969880552</v>
      </c>
      <c r="L47" s="282"/>
      <c r="M47" s="282">
        <f>SUM(M43:M46)</f>
        <v>301896.75125484791</v>
      </c>
      <c r="N47" s="282"/>
      <c r="O47" s="282">
        <f>SUM(O43:O46)</f>
        <v>113368.10379573812</v>
      </c>
      <c r="P47" s="282"/>
      <c r="Q47" s="282">
        <f>SUM(Q43:Q46)</f>
        <v>54859.213204979911</v>
      </c>
      <c r="R47" s="282"/>
      <c r="S47" s="282">
        <f>SUM(S43:S46)</f>
        <v>72081.12836912123</v>
      </c>
      <c r="T47" s="282"/>
      <c r="U47" s="282">
        <f>SUM(U43:U46)</f>
        <v>0</v>
      </c>
      <c r="V47" s="282"/>
      <c r="W47" s="282">
        <f>SUM(W43:W46)</f>
        <v>4562.0967322228626</v>
      </c>
      <c r="Y47" s="224"/>
      <c r="Z47" s="381"/>
      <c r="AB47" s="379" t="s">
        <v>53</v>
      </c>
      <c r="AC47" s="208"/>
      <c r="AD47" s="141"/>
      <c r="AF47" s="282">
        <f>SUM(AF43:AF46)</f>
        <v>1140524.1830557156</v>
      </c>
      <c r="AG47" s="613"/>
      <c r="AH47" s="282">
        <f>SUM(AH43:AH46)</f>
        <v>708265.51767759933</v>
      </c>
      <c r="AI47" s="613"/>
      <c r="AJ47" s="282">
        <f>SUM(AJ43:AJ46)</f>
        <v>427696.56864589336</v>
      </c>
      <c r="AK47" s="613"/>
      <c r="AL47" s="282">
        <f>SUM(AL43:AL46)</f>
        <v>0</v>
      </c>
      <c r="AM47" s="613"/>
      <c r="AN47" s="282">
        <f>SUM(AN43:AN46)</f>
        <v>0</v>
      </c>
      <c r="AO47" s="613"/>
      <c r="AP47" s="282">
        <f>SUM(AP43:AP46)</f>
        <v>0</v>
      </c>
      <c r="AQ47" s="613"/>
      <c r="AR47" s="282">
        <f>SUM(AR43:AR46)</f>
        <v>0</v>
      </c>
      <c r="AT47" s="153">
        <f>SUM(AT43:AT46)</f>
        <v>4562.0967322228626</v>
      </c>
      <c r="AV47" s="224"/>
    </row>
    <row r="48" spans="2:48" s="154" customFormat="1" x14ac:dyDescent="0.25">
      <c r="B48" s="692"/>
      <c r="C48" s="428"/>
      <c r="E48" s="282"/>
      <c r="F48" s="208"/>
      <c r="G48" s="141"/>
      <c r="H48" s="209"/>
      <c r="I48" s="612"/>
      <c r="J48" s="379"/>
      <c r="K48" s="282"/>
      <c r="L48" s="282"/>
      <c r="M48" s="282"/>
      <c r="N48" s="282"/>
      <c r="O48" s="282"/>
      <c r="P48" s="282"/>
      <c r="Q48" s="282"/>
      <c r="R48" s="282"/>
      <c r="S48" s="282"/>
      <c r="T48" s="282"/>
      <c r="U48" s="282"/>
      <c r="V48" s="282"/>
      <c r="W48" s="282"/>
      <c r="Y48" s="224"/>
      <c r="Z48" s="381"/>
      <c r="AB48" s="282"/>
      <c r="AC48" s="208"/>
      <c r="AD48" s="141"/>
      <c r="AF48" s="282"/>
      <c r="AG48" s="613"/>
      <c r="AH48" s="282"/>
      <c r="AI48" s="613"/>
      <c r="AJ48" s="282"/>
      <c r="AK48" s="613"/>
      <c r="AL48" s="282"/>
      <c r="AM48" s="613"/>
      <c r="AN48" s="282"/>
      <c r="AO48" s="613"/>
      <c r="AP48" s="282"/>
      <c r="AQ48" s="613"/>
      <c r="AR48" s="282"/>
      <c r="AT48" s="153"/>
      <c r="AV48" s="224"/>
    </row>
    <row r="49" spans="2:48" s="154" customFormat="1" x14ac:dyDescent="0.25">
      <c r="B49" s="587"/>
      <c r="C49" s="428"/>
      <c r="E49" s="379" t="s">
        <v>55</v>
      </c>
      <c r="F49" s="208"/>
      <c r="G49" s="141"/>
      <c r="H49" s="209"/>
      <c r="I49" s="612">
        <f>+I40+I47</f>
        <v>8481006.4103694689</v>
      </c>
      <c r="J49" s="379"/>
      <c r="K49" s="282">
        <f>+K40+K47</f>
        <v>4310305.3438854245</v>
      </c>
      <c r="L49" s="282"/>
      <c r="M49" s="282">
        <f>+M40+M47</f>
        <v>2282706.5512103839</v>
      </c>
      <c r="N49" s="282"/>
      <c r="O49" s="282">
        <f>+O40+O47</f>
        <v>869683.20499231515</v>
      </c>
      <c r="P49" s="282"/>
      <c r="Q49" s="282">
        <f>+Q40+Q47</f>
        <v>420827.47277620656</v>
      </c>
      <c r="R49" s="282"/>
      <c r="S49" s="282">
        <f>+S40+S47</f>
        <v>552891.34474302409</v>
      </c>
      <c r="T49" s="282"/>
      <c r="U49" s="282">
        <f>+U40+U47</f>
        <v>0</v>
      </c>
      <c r="V49" s="282"/>
      <c r="W49" s="282">
        <f>+W40+W47</f>
        <v>44592.492762113863</v>
      </c>
      <c r="Y49" s="224"/>
      <c r="Z49" s="381"/>
      <c r="AB49" s="379" t="s">
        <v>55</v>
      </c>
      <c r="AC49" s="208"/>
      <c r="AD49" s="141"/>
      <c r="AF49" s="282">
        <f>+AF40+AF47</f>
        <v>8481006.4103694689</v>
      </c>
      <c r="AG49" s="613"/>
      <c r="AH49" s="282">
        <f>+AH40+AH47</f>
        <v>6922984.5013181772</v>
      </c>
      <c r="AI49" s="613"/>
      <c r="AJ49" s="282">
        <f>+AJ40+AJ47</f>
        <v>1513429.4162891775</v>
      </c>
      <c r="AK49" s="613"/>
      <c r="AL49" s="282">
        <f>+AL40+AL47</f>
        <v>0</v>
      </c>
      <c r="AM49" s="613"/>
      <c r="AN49" s="282">
        <f>+AN40+AN47</f>
        <v>0</v>
      </c>
      <c r="AO49" s="613"/>
      <c r="AP49" s="282">
        <f>+AP40+AP47</f>
        <v>0</v>
      </c>
      <c r="AQ49" s="613"/>
      <c r="AR49" s="282">
        <f>+AR40+AR47</f>
        <v>0</v>
      </c>
      <c r="AT49" s="153">
        <f>+AT40+AT47</f>
        <v>44592.492762113863</v>
      </c>
      <c r="AV49" s="224"/>
    </row>
    <row r="50" spans="2:48" s="154" customFormat="1" x14ac:dyDescent="0.25">
      <c r="B50" s="692"/>
      <c r="C50" s="428"/>
      <c r="E50" s="282"/>
      <c r="F50" s="208"/>
      <c r="G50" s="141"/>
      <c r="H50" s="209"/>
      <c r="I50" s="378"/>
      <c r="J50" s="592"/>
      <c r="K50" s="153"/>
      <c r="L50" s="210"/>
      <c r="M50" s="153"/>
      <c r="N50" s="210"/>
      <c r="O50" s="153"/>
      <c r="P50" s="210"/>
      <c r="Q50" s="153"/>
      <c r="R50" s="210"/>
      <c r="S50" s="153"/>
      <c r="T50" s="210"/>
      <c r="U50" s="153"/>
      <c r="V50" s="210"/>
      <c r="W50" s="153"/>
      <c r="Y50" s="224"/>
      <c r="Z50" s="381"/>
      <c r="AB50" s="282"/>
      <c r="AC50" s="208"/>
      <c r="AD50" s="141"/>
      <c r="AF50" s="613"/>
      <c r="AG50" s="613"/>
      <c r="AH50" s="282"/>
      <c r="AI50" s="282"/>
      <c r="AJ50" s="282"/>
      <c r="AK50" s="282"/>
      <c r="AL50" s="282"/>
      <c r="AM50" s="282"/>
      <c r="AN50" s="282"/>
      <c r="AO50" s="282"/>
      <c r="AP50" s="282"/>
      <c r="AQ50" s="282"/>
      <c r="AR50" s="282"/>
      <c r="AS50" s="153"/>
      <c r="AT50" s="153"/>
      <c r="AV50" s="224"/>
    </row>
    <row r="51" spans="2:48" s="154" customFormat="1" x14ac:dyDescent="0.25">
      <c r="B51" s="692"/>
      <c r="C51" s="428"/>
      <c r="E51" s="226" t="s">
        <v>113</v>
      </c>
      <c r="F51" s="375"/>
      <c r="G51" s="376"/>
      <c r="H51" s="377"/>
      <c r="I51" s="378"/>
      <c r="J51" s="592"/>
      <c r="K51" s="378"/>
      <c r="L51" s="374"/>
      <c r="M51" s="378"/>
      <c r="N51" s="374"/>
      <c r="O51" s="378"/>
      <c r="P51" s="374"/>
      <c r="Q51" s="378"/>
      <c r="R51" s="374"/>
      <c r="S51" s="378"/>
      <c r="T51" s="374"/>
      <c r="U51" s="378"/>
      <c r="V51" s="374"/>
      <c r="W51" s="378"/>
      <c r="Y51" s="224"/>
      <c r="Z51" s="381"/>
      <c r="AB51" s="226" t="s">
        <v>113</v>
      </c>
      <c r="AC51" s="375"/>
      <c r="AD51" s="376"/>
      <c r="AF51" s="613"/>
      <c r="AG51" s="613"/>
      <c r="AH51" s="612"/>
      <c r="AI51" s="612"/>
      <c r="AJ51" s="612"/>
      <c r="AK51" s="612"/>
      <c r="AL51" s="612"/>
      <c r="AM51" s="612"/>
      <c r="AN51" s="612"/>
      <c r="AO51" s="612"/>
      <c r="AP51" s="612"/>
      <c r="AQ51" s="612"/>
      <c r="AR51" s="612"/>
      <c r="AS51" s="378"/>
      <c r="AT51" s="378"/>
      <c r="AV51" s="224"/>
    </row>
    <row r="52" spans="2:48" s="154" customFormat="1" x14ac:dyDescent="0.25">
      <c r="B52" s="692"/>
      <c r="C52" s="428"/>
      <c r="E52" s="379" t="s">
        <v>110</v>
      </c>
      <c r="F52" s="375"/>
      <c r="G52" s="376"/>
      <c r="H52" s="377"/>
      <c r="I52" s="378"/>
      <c r="J52" s="592"/>
      <c r="K52" s="378"/>
      <c r="L52" s="374"/>
      <c r="M52" s="378"/>
      <c r="N52" s="374"/>
      <c r="O52" s="378"/>
      <c r="P52" s="374"/>
      <c r="Q52" s="378"/>
      <c r="R52" s="374"/>
      <c r="S52" s="378"/>
      <c r="T52" s="374"/>
      <c r="U52" s="378"/>
      <c r="V52" s="374"/>
      <c r="W52" s="378"/>
      <c r="Y52" s="224"/>
      <c r="Z52" s="381"/>
      <c r="AB52" s="379" t="s">
        <v>110</v>
      </c>
      <c r="AC52" s="375"/>
      <c r="AD52" s="376"/>
      <c r="AF52" s="613"/>
      <c r="AG52" s="613"/>
      <c r="AH52" s="612"/>
      <c r="AI52" s="612"/>
      <c r="AJ52" s="612"/>
      <c r="AK52" s="612"/>
      <c r="AL52" s="612"/>
      <c r="AM52" s="612"/>
      <c r="AN52" s="612"/>
      <c r="AO52" s="612"/>
      <c r="AP52" s="612"/>
      <c r="AQ52" s="612"/>
      <c r="AR52" s="612"/>
      <c r="AS52" s="378"/>
      <c r="AT52" s="378"/>
      <c r="AV52" s="224"/>
    </row>
    <row r="53" spans="2:48" s="154" customFormat="1" x14ac:dyDescent="0.25">
      <c r="B53" s="587"/>
      <c r="C53" s="428">
        <v>601.5</v>
      </c>
      <c r="E53" s="389" t="s">
        <v>112</v>
      </c>
      <c r="F53" s="375"/>
      <c r="G53" s="376">
        <v>6</v>
      </c>
      <c r="H53" s="377"/>
      <c r="I53" s="612">
        <v>1201750.4833335921</v>
      </c>
      <c r="J53" s="379"/>
      <c r="K53" s="223">
        <f t="shared" ref="K53:K60" si="16">(VLOOKUP($G53,Factors,K$316))*$I53</f>
        <v>554728.02310678607</v>
      </c>
      <c r="L53" s="351"/>
      <c r="M53" s="223">
        <f t="shared" ref="M53:M60" si="17">(VLOOKUP($G53,Factors,M$316))*$I53</f>
        <v>263303.53089838999</v>
      </c>
      <c r="N53" s="351"/>
      <c r="O53" s="223">
        <f t="shared" ref="O53:O60" si="18">(VLOOKUP($G53,Factors,O$316))*$I53</f>
        <v>87126.91004168542</v>
      </c>
      <c r="P53" s="351"/>
      <c r="Q53" s="223">
        <f t="shared" ref="Q53:Q60" si="19">(VLOOKUP($G53,Factors,Q$316))*$I53</f>
        <v>42061.266916675726</v>
      </c>
      <c r="R53" s="351"/>
      <c r="S53" s="223">
        <f t="shared" ref="S53:S60" si="20">(VLOOKUP($G53,Factors,S$316))*$I53</f>
        <v>16704.331718336929</v>
      </c>
      <c r="T53" s="351"/>
      <c r="U53" s="223">
        <f t="shared" ref="U53:U60" si="21">(VLOOKUP($G53,Factors,U$316))*$I53</f>
        <v>0</v>
      </c>
      <c r="V53" s="351"/>
      <c r="W53" s="223">
        <f t="shared" ref="W53:W60" si="22">(VLOOKUP($G53,Factors,W$316))*$I53</f>
        <v>237826.42065171787</v>
      </c>
      <c r="Y53" s="224"/>
      <c r="Z53" s="381">
        <v>601.5</v>
      </c>
      <c r="AB53" s="131" t="s">
        <v>112</v>
      </c>
      <c r="AC53" s="375"/>
      <c r="AD53" s="392">
        <f t="shared" ref="AD53:AD60" si="23">+G53</f>
        <v>6</v>
      </c>
      <c r="AE53" s="131"/>
      <c r="AF53" s="392">
        <f t="shared" ref="AF53:AF60" si="24">+I53</f>
        <v>1201750.4833335921</v>
      </c>
      <c r="AG53" s="613"/>
      <c r="AH53" s="282">
        <f t="shared" ref="AH53:AH60" si="25">(VLOOKUP($AD53,func,AH$316))*$AF53</f>
        <v>455102.90803843131</v>
      </c>
      <c r="AI53" s="282"/>
      <c r="AJ53" s="282">
        <f t="shared" ref="AJ53:AJ60" si="26">(VLOOKUP($AD53,func,AJ$316))*$AF53</f>
        <v>99264.58992335471</v>
      </c>
      <c r="AK53" s="282"/>
      <c r="AL53" s="282">
        <f t="shared" ref="AL53:AL60" si="27">(VLOOKUP($AD53,func,AL$316))*$AF53</f>
        <v>409556.56472008815</v>
      </c>
      <c r="AM53" s="282"/>
      <c r="AN53" s="282">
        <f t="shared" ref="AN53:AN60" si="28">(VLOOKUP($AD53,func,AN$316))*$AF53</f>
        <v>0</v>
      </c>
      <c r="AO53" s="282"/>
      <c r="AP53" s="282">
        <f t="shared" ref="AP53:AP60" si="29">(VLOOKUP($AD53,func,AP$316))*$AF53</f>
        <v>0</v>
      </c>
      <c r="AQ53" s="282"/>
      <c r="AR53" s="282">
        <f t="shared" ref="AR53:AR60" si="30">(VLOOKUP($AD53,func,AR$316))*$AF53</f>
        <v>0</v>
      </c>
      <c r="AS53" s="153"/>
      <c r="AT53" s="153">
        <f t="shared" ref="AT53:AT60" si="31">(VLOOKUP($AD53,func,AT$316))*$AF53</f>
        <v>237826.42065171787</v>
      </c>
      <c r="AV53" s="224"/>
    </row>
    <row r="54" spans="2:48" s="154" customFormat="1" x14ac:dyDescent="0.25">
      <c r="B54" s="587"/>
      <c r="C54" s="428">
        <v>615.5</v>
      </c>
      <c r="E54" s="389" t="s">
        <v>489</v>
      </c>
      <c r="F54" s="208"/>
      <c r="G54" s="141">
        <v>1</v>
      </c>
      <c r="H54" s="209"/>
      <c r="I54" s="612">
        <v>1249724.01</v>
      </c>
      <c r="J54" s="379"/>
      <c r="K54" s="223">
        <f t="shared" si="16"/>
        <v>621112.83296999999</v>
      </c>
      <c r="L54" s="351"/>
      <c r="M54" s="223">
        <f t="shared" si="17"/>
        <v>341424.59953200002</v>
      </c>
      <c r="N54" s="351"/>
      <c r="O54" s="223">
        <f t="shared" si="18"/>
        <v>131720.91065400001</v>
      </c>
      <c r="P54" s="351"/>
      <c r="Q54" s="223">
        <f t="shared" si="19"/>
        <v>63735.924509999997</v>
      </c>
      <c r="R54" s="351"/>
      <c r="S54" s="223">
        <f t="shared" si="20"/>
        <v>83731.50867000001</v>
      </c>
      <c r="T54" s="351"/>
      <c r="U54" s="223">
        <f t="shared" si="21"/>
        <v>0</v>
      </c>
      <c r="V54" s="351"/>
      <c r="W54" s="223">
        <f t="shared" si="22"/>
        <v>7998.2336640000003</v>
      </c>
      <c r="Y54" s="224"/>
      <c r="Z54" s="381">
        <v>615.5</v>
      </c>
      <c r="AB54" s="131" t="s">
        <v>12</v>
      </c>
      <c r="AC54" s="208"/>
      <c r="AD54" s="392">
        <f t="shared" si="23"/>
        <v>1</v>
      </c>
      <c r="AE54" s="131"/>
      <c r="AF54" s="392">
        <f t="shared" si="24"/>
        <v>1249724.01</v>
      </c>
      <c r="AG54" s="613"/>
      <c r="AH54" s="282">
        <f t="shared" si="25"/>
        <v>1241725.7763360001</v>
      </c>
      <c r="AI54" s="282"/>
      <c r="AJ54" s="282">
        <f t="shared" si="26"/>
        <v>0</v>
      </c>
      <c r="AK54" s="282"/>
      <c r="AL54" s="282">
        <f t="shared" si="27"/>
        <v>0</v>
      </c>
      <c r="AM54" s="282"/>
      <c r="AN54" s="282">
        <f t="shared" si="28"/>
        <v>0</v>
      </c>
      <c r="AO54" s="282"/>
      <c r="AP54" s="282">
        <f t="shared" si="29"/>
        <v>0</v>
      </c>
      <c r="AQ54" s="282"/>
      <c r="AR54" s="282">
        <f t="shared" si="30"/>
        <v>0</v>
      </c>
      <c r="AS54" s="153"/>
      <c r="AT54" s="153">
        <f t="shared" si="31"/>
        <v>7998.2336640000003</v>
      </c>
      <c r="AV54" s="224"/>
    </row>
    <row r="55" spans="2:48" s="154" customFormat="1" x14ac:dyDescent="0.25">
      <c r="B55" s="587"/>
      <c r="C55" s="428">
        <v>616.5</v>
      </c>
      <c r="E55" s="389" t="s">
        <v>14</v>
      </c>
      <c r="F55" s="208"/>
      <c r="G55" s="141">
        <v>6</v>
      </c>
      <c r="H55" s="209"/>
      <c r="I55" s="612">
        <v>4035.4800000000005</v>
      </c>
      <c r="J55" s="379"/>
      <c r="K55" s="223">
        <f t="shared" si="16"/>
        <v>1862.7775680000002</v>
      </c>
      <c r="L55" s="351"/>
      <c r="M55" s="223">
        <f t="shared" si="17"/>
        <v>884.17366800000002</v>
      </c>
      <c r="N55" s="351"/>
      <c r="O55" s="223">
        <f t="shared" si="18"/>
        <v>292.57230000000004</v>
      </c>
      <c r="P55" s="351"/>
      <c r="Q55" s="223">
        <f t="shared" si="19"/>
        <v>141.24180000000004</v>
      </c>
      <c r="R55" s="351"/>
      <c r="S55" s="223">
        <f t="shared" si="20"/>
        <v>56.093172000000003</v>
      </c>
      <c r="T55" s="351"/>
      <c r="U55" s="223">
        <f t="shared" si="21"/>
        <v>0</v>
      </c>
      <c r="V55" s="351"/>
      <c r="W55" s="223">
        <f t="shared" si="22"/>
        <v>798.6214920000001</v>
      </c>
      <c r="Y55" s="224"/>
      <c r="Z55" s="381">
        <v>616.5</v>
      </c>
      <c r="AB55" s="131" t="s">
        <v>14</v>
      </c>
      <c r="AC55" s="208"/>
      <c r="AD55" s="392">
        <f t="shared" si="23"/>
        <v>6</v>
      </c>
      <c r="AE55" s="131"/>
      <c r="AF55" s="392">
        <f t="shared" si="24"/>
        <v>4035.4800000000005</v>
      </c>
      <c r="AG55" s="613"/>
      <c r="AH55" s="282">
        <f t="shared" si="25"/>
        <v>1528.2362760000001</v>
      </c>
      <c r="AI55" s="282"/>
      <c r="AJ55" s="282">
        <f t="shared" si="26"/>
        <v>333.33064800000005</v>
      </c>
      <c r="AK55" s="282"/>
      <c r="AL55" s="282">
        <f t="shared" si="27"/>
        <v>1375.2915840000001</v>
      </c>
      <c r="AM55" s="282"/>
      <c r="AN55" s="282">
        <f t="shared" si="28"/>
        <v>0</v>
      </c>
      <c r="AO55" s="282"/>
      <c r="AP55" s="282">
        <f t="shared" si="29"/>
        <v>0</v>
      </c>
      <c r="AQ55" s="282"/>
      <c r="AR55" s="282">
        <f t="shared" si="30"/>
        <v>0</v>
      </c>
      <c r="AS55" s="153"/>
      <c r="AT55" s="153">
        <f t="shared" si="31"/>
        <v>798.6214920000001</v>
      </c>
      <c r="AV55" s="224"/>
    </row>
    <row r="56" spans="2:48" s="154" customFormat="1" x14ac:dyDescent="0.25">
      <c r="B56" s="587"/>
      <c r="C56" s="428">
        <v>620.5</v>
      </c>
      <c r="E56" s="389" t="s">
        <v>16</v>
      </c>
      <c r="F56" s="208"/>
      <c r="G56" s="141">
        <v>6</v>
      </c>
      <c r="H56" s="209"/>
      <c r="I56" s="612">
        <v>151201.48000000001</v>
      </c>
      <c r="J56" s="379"/>
      <c r="K56" s="223">
        <f t="shared" si="16"/>
        <v>69794.603168000001</v>
      </c>
      <c r="L56" s="351"/>
      <c r="M56" s="223">
        <f t="shared" si="17"/>
        <v>33128.244268000002</v>
      </c>
      <c r="N56" s="351"/>
      <c r="O56" s="223">
        <f t="shared" si="18"/>
        <v>10962.1073</v>
      </c>
      <c r="P56" s="351"/>
      <c r="Q56" s="223">
        <f t="shared" si="19"/>
        <v>5292.0518000000011</v>
      </c>
      <c r="R56" s="351"/>
      <c r="S56" s="223">
        <f t="shared" si="20"/>
        <v>2101.7005720000002</v>
      </c>
      <c r="T56" s="351"/>
      <c r="U56" s="223">
        <f t="shared" si="21"/>
        <v>0</v>
      </c>
      <c r="V56" s="351"/>
      <c r="W56" s="223">
        <f t="shared" si="22"/>
        <v>29922.772892000001</v>
      </c>
      <c r="Y56" s="224"/>
      <c r="Z56" s="381">
        <v>620.5</v>
      </c>
      <c r="AB56" s="131" t="s">
        <v>16</v>
      </c>
      <c r="AC56" s="208"/>
      <c r="AD56" s="392">
        <f t="shared" si="23"/>
        <v>6</v>
      </c>
      <c r="AE56" s="131"/>
      <c r="AF56" s="392">
        <f t="shared" si="24"/>
        <v>151201.48000000001</v>
      </c>
      <c r="AG56" s="282"/>
      <c r="AH56" s="282">
        <f t="shared" si="25"/>
        <v>57260.000476000001</v>
      </c>
      <c r="AI56" s="282"/>
      <c r="AJ56" s="282">
        <f t="shared" si="26"/>
        <v>12489.242248000002</v>
      </c>
      <c r="AK56" s="282"/>
      <c r="AL56" s="282">
        <f t="shared" si="27"/>
        <v>51529.464383999999</v>
      </c>
      <c r="AM56" s="282"/>
      <c r="AN56" s="282">
        <f t="shared" si="28"/>
        <v>0</v>
      </c>
      <c r="AO56" s="282"/>
      <c r="AP56" s="282">
        <f t="shared" si="29"/>
        <v>0</v>
      </c>
      <c r="AQ56" s="282"/>
      <c r="AR56" s="282">
        <f t="shared" si="30"/>
        <v>0</v>
      </c>
      <c r="AS56" s="153"/>
      <c r="AT56" s="153">
        <f t="shared" si="31"/>
        <v>29922.772892000001</v>
      </c>
      <c r="AV56" s="224"/>
    </row>
    <row r="57" spans="2:48" s="154" customFormat="1" x14ac:dyDescent="0.25">
      <c r="B57" s="587"/>
      <c r="C57" s="428">
        <v>631.5</v>
      </c>
      <c r="E57" s="389" t="s">
        <v>22</v>
      </c>
      <c r="F57" s="208"/>
      <c r="G57" s="141">
        <v>6</v>
      </c>
      <c r="H57" s="209"/>
      <c r="I57" s="612">
        <v>73453.600000000006</v>
      </c>
      <c r="J57" s="379"/>
      <c r="K57" s="223">
        <f t="shared" si="16"/>
        <v>33906.181760000007</v>
      </c>
      <c r="L57" s="351"/>
      <c r="M57" s="223">
        <f t="shared" si="17"/>
        <v>16093.68376</v>
      </c>
      <c r="N57" s="351"/>
      <c r="O57" s="223">
        <f t="shared" si="18"/>
        <v>5325.3860000000004</v>
      </c>
      <c r="P57" s="351"/>
      <c r="Q57" s="223">
        <f t="shared" si="19"/>
        <v>2570.8760000000007</v>
      </c>
      <c r="R57" s="351"/>
      <c r="S57" s="223">
        <f t="shared" si="20"/>
        <v>1021.00504</v>
      </c>
      <c r="T57" s="351"/>
      <c r="U57" s="223">
        <f t="shared" si="21"/>
        <v>0</v>
      </c>
      <c r="V57" s="351"/>
      <c r="W57" s="223">
        <f t="shared" si="22"/>
        <v>14536.46744</v>
      </c>
      <c r="Y57" s="224"/>
      <c r="Z57" s="381">
        <v>631.5</v>
      </c>
      <c r="AB57" s="131" t="s">
        <v>22</v>
      </c>
      <c r="AC57" s="208"/>
      <c r="AD57" s="392">
        <f t="shared" si="23"/>
        <v>6</v>
      </c>
      <c r="AE57" s="131"/>
      <c r="AF57" s="392">
        <f t="shared" si="24"/>
        <v>73453.600000000006</v>
      </c>
      <c r="AG57" s="282"/>
      <c r="AH57" s="282">
        <f t="shared" si="25"/>
        <v>27816.87832</v>
      </c>
      <c r="AI57" s="282"/>
      <c r="AJ57" s="282">
        <f t="shared" si="26"/>
        <v>6067.2673600000007</v>
      </c>
      <c r="AK57" s="282"/>
      <c r="AL57" s="282">
        <f t="shared" si="27"/>
        <v>25032.98688</v>
      </c>
      <c r="AM57" s="282"/>
      <c r="AN57" s="282">
        <f t="shared" si="28"/>
        <v>0</v>
      </c>
      <c r="AO57" s="282"/>
      <c r="AP57" s="282">
        <f t="shared" si="29"/>
        <v>0</v>
      </c>
      <c r="AQ57" s="282"/>
      <c r="AR57" s="282">
        <f t="shared" si="30"/>
        <v>0</v>
      </c>
      <c r="AS57" s="153"/>
      <c r="AT57" s="153">
        <f t="shared" si="31"/>
        <v>14536.46744</v>
      </c>
      <c r="AV57" s="224"/>
    </row>
    <row r="58" spans="2:48" s="154" customFormat="1" x14ac:dyDescent="0.25">
      <c r="B58" s="587"/>
      <c r="C58" s="428">
        <v>633.5</v>
      </c>
      <c r="E58" s="389" t="s">
        <v>24</v>
      </c>
      <c r="F58" s="208"/>
      <c r="G58" s="141">
        <v>6</v>
      </c>
      <c r="H58" s="209"/>
      <c r="I58" s="612">
        <v>0</v>
      </c>
      <c r="J58" s="379"/>
      <c r="K58" s="223">
        <f t="shared" si="16"/>
        <v>0</v>
      </c>
      <c r="L58" s="351"/>
      <c r="M58" s="223">
        <f t="shared" si="17"/>
        <v>0</v>
      </c>
      <c r="N58" s="351"/>
      <c r="O58" s="223">
        <f t="shared" si="18"/>
        <v>0</v>
      </c>
      <c r="P58" s="351"/>
      <c r="Q58" s="223">
        <f t="shared" si="19"/>
        <v>0</v>
      </c>
      <c r="R58" s="351"/>
      <c r="S58" s="223">
        <f t="shared" si="20"/>
        <v>0</v>
      </c>
      <c r="T58" s="351"/>
      <c r="U58" s="223">
        <f t="shared" si="21"/>
        <v>0</v>
      </c>
      <c r="V58" s="351"/>
      <c r="W58" s="223">
        <f t="shared" si="22"/>
        <v>0</v>
      </c>
      <c r="Y58" s="224"/>
      <c r="Z58" s="381">
        <v>633.5</v>
      </c>
      <c r="AB58" s="131" t="s">
        <v>24</v>
      </c>
      <c r="AC58" s="208"/>
      <c r="AD58" s="392">
        <f t="shared" si="23"/>
        <v>6</v>
      </c>
      <c r="AE58" s="131"/>
      <c r="AF58" s="392">
        <f t="shared" si="24"/>
        <v>0</v>
      </c>
      <c r="AG58" s="282"/>
      <c r="AH58" s="282">
        <f t="shared" si="25"/>
        <v>0</v>
      </c>
      <c r="AI58" s="282"/>
      <c r="AJ58" s="282">
        <f t="shared" si="26"/>
        <v>0</v>
      </c>
      <c r="AK58" s="282"/>
      <c r="AL58" s="282">
        <f t="shared" si="27"/>
        <v>0</v>
      </c>
      <c r="AM58" s="282"/>
      <c r="AN58" s="282">
        <f t="shared" si="28"/>
        <v>0</v>
      </c>
      <c r="AO58" s="282"/>
      <c r="AP58" s="282">
        <f t="shared" si="29"/>
        <v>0</v>
      </c>
      <c r="AQ58" s="282"/>
      <c r="AR58" s="282">
        <f t="shared" si="30"/>
        <v>0</v>
      </c>
      <c r="AS58" s="153"/>
      <c r="AT58" s="153">
        <f t="shared" si="31"/>
        <v>0</v>
      </c>
      <c r="AV58" s="224"/>
    </row>
    <row r="59" spans="2:48" s="154" customFormat="1" x14ac:dyDescent="0.25">
      <c r="B59" s="587"/>
      <c r="C59" s="428">
        <v>635.5</v>
      </c>
      <c r="E59" s="389" t="s">
        <v>31</v>
      </c>
      <c r="F59" s="208"/>
      <c r="G59" s="141">
        <v>6</v>
      </c>
      <c r="H59" s="209"/>
      <c r="I59" s="612">
        <v>74557.990000000005</v>
      </c>
      <c r="J59" s="379"/>
      <c r="K59" s="223">
        <f t="shared" si="16"/>
        <v>34415.968184000005</v>
      </c>
      <c r="L59" s="351"/>
      <c r="M59" s="223">
        <f t="shared" si="17"/>
        <v>16335.655608999999</v>
      </c>
      <c r="N59" s="351"/>
      <c r="O59" s="223">
        <f t="shared" si="18"/>
        <v>5405.4542750000001</v>
      </c>
      <c r="P59" s="351"/>
      <c r="Q59" s="223">
        <f t="shared" si="19"/>
        <v>2609.5296500000004</v>
      </c>
      <c r="R59" s="351"/>
      <c r="S59" s="223">
        <f t="shared" si="20"/>
        <v>1036.356061</v>
      </c>
      <c r="T59" s="351"/>
      <c r="U59" s="223">
        <f t="shared" si="21"/>
        <v>0</v>
      </c>
      <c r="V59" s="351"/>
      <c r="W59" s="223">
        <f t="shared" si="22"/>
        <v>14755.026221</v>
      </c>
      <c r="Y59" s="224"/>
      <c r="Z59" s="381">
        <v>635.5</v>
      </c>
      <c r="AB59" s="131" t="s">
        <v>31</v>
      </c>
      <c r="AC59" s="208"/>
      <c r="AD59" s="392">
        <f t="shared" si="23"/>
        <v>6</v>
      </c>
      <c r="AE59" s="131"/>
      <c r="AF59" s="392">
        <f t="shared" si="24"/>
        <v>74557.990000000005</v>
      </c>
      <c r="AG59" s="282"/>
      <c r="AH59" s="282">
        <f t="shared" si="25"/>
        <v>28235.110812999999</v>
      </c>
      <c r="AI59" s="282"/>
      <c r="AJ59" s="282">
        <f t="shared" si="26"/>
        <v>6158.489974000001</v>
      </c>
      <c r="AK59" s="282"/>
      <c r="AL59" s="282">
        <f t="shared" si="27"/>
        <v>25409.362992000002</v>
      </c>
      <c r="AM59" s="282"/>
      <c r="AN59" s="282">
        <f t="shared" si="28"/>
        <v>0</v>
      </c>
      <c r="AO59" s="282"/>
      <c r="AP59" s="282">
        <f t="shared" si="29"/>
        <v>0</v>
      </c>
      <c r="AQ59" s="282"/>
      <c r="AR59" s="282">
        <f t="shared" si="30"/>
        <v>0</v>
      </c>
      <c r="AS59" s="153"/>
      <c r="AT59" s="153">
        <f t="shared" si="31"/>
        <v>14755.026221</v>
      </c>
      <c r="AV59" s="224"/>
    </row>
    <row r="60" spans="2:48" s="154" customFormat="1" x14ac:dyDescent="0.25">
      <c r="B60" s="587"/>
      <c r="C60" s="428">
        <v>650.5</v>
      </c>
      <c r="E60" s="389" t="s">
        <v>43</v>
      </c>
      <c r="F60" s="208"/>
      <c r="G60" s="141">
        <v>6</v>
      </c>
      <c r="H60" s="209"/>
      <c r="I60" s="614">
        <v>55340.15</v>
      </c>
      <c r="J60" s="379"/>
      <c r="K60" s="397">
        <f t="shared" si="16"/>
        <v>25545.01324</v>
      </c>
      <c r="L60" s="351"/>
      <c r="M60" s="397">
        <f t="shared" si="17"/>
        <v>12125.026865</v>
      </c>
      <c r="N60" s="351"/>
      <c r="O60" s="397">
        <f t="shared" si="18"/>
        <v>4012.160875</v>
      </c>
      <c r="P60" s="351"/>
      <c r="Q60" s="397">
        <f t="shared" si="19"/>
        <v>1936.9052500000003</v>
      </c>
      <c r="R60" s="351"/>
      <c r="S60" s="397">
        <f t="shared" si="20"/>
        <v>769.22808499999996</v>
      </c>
      <c r="T60" s="351"/>
      <c r="U60" s="397">
        <f t="shared" si="21"/>
        <v>0</v>
      </c>
      <c r="V60" s="351"/>
      <c r="W60" s="397">
        <f t="shared" si="22"/>
        <v>10951.815685</v>
      </c>
      <c r="Y60" s="224"/>
      <c r="Z60" s="381">
        <v>650.5</v>
      </c>
      <c r="AB60" s="131" t="s">
        <v>43</v>
      </c>
      <c r="AC60" s="208"/>
      <c r="AD60" s="392">
        <f t="shared" si="23"/>
        <v>6</v>
      </c>
      <c r="AE60" s="131"/>
      <c r="AF60" s="393">
        <f t="shared" si="24"/>
        <v>55340.15</v>
      </c>
      <c r="AG60" s="282"/>
      <c r="AH60" s="397">
        <f t="shared" si="25"/>
        <v>20957.314804999998</v>
      </c>
      <c r="AI60" s="282"/>
      <c r="AJ60" s="397">
        <f t="shared" si="26"/>
        <v>4571.0963900000006</v>
      </c>
      <c r="AK60" s="282"/>
      <c r="AL60" s="397">
        <f t="shared" si="27"/>
        <v>18859.923119999999</v>
      </c>
      <c r="AM60" s="282"/>
      <c r="AN60" s="397">
        <f t="shared" si="28"/>
        <v>0</v>
      </c>
      <c r="AO60" s="282"/>
      <c r="AP60" s="397">
        <f t="shared" si="29"/>
        <v>0</v>
      </c>
      <c r="AQ60" s="282"/>
      <c r="AR60" s="397">
        <f t="shared" si="30"/>
        <v>0</v>
      </c>
      <c r="AS60" s="153"/>
      <c r="AT60" s="140">
        <f t="shared" si="31"/>
        <v>10951.815685</v>
      </c>
      <c r="AV60" s="224"/>
    </row>
    <row r="61" spans="2:48" s="154" customFormat="1" x14ac:dyDescent="0.25">
      <c r="B61" s="692"/>
      <c r="C61" s="428"/>
      <c r="E61" s="386" t="s">
        <v>56</v>
      </c>
      <c r="F61" s="208"/>
      <c r="G61" s="141"/>
      <c r="H61" s="209"/>
      <c r="I61" s="612">
        <f>SUM(I53:I60)</f>
        <v>2810063.1933335923</v>
      </c>
      <c r="J61" s="379"/>
      <c r="K61" s="282">
        <f>SUM(K53:K60)</f>
        <v>1341365.3999967861</v>
      </c>
      <c r="L61" s="282"/>
      <c r="M61" s="282">
        <f>SUM(M53:M60)</f>
        <v>683294.91460039013</v>
      </c>
      <c r="N61" s="282"/>
      <c r="O61" s="282">
        <f>SUM(O53:O60)</f>
        <v>244845.50144568543</v>
      </c>
      <c r="P61" s="282"/>
      <c r="Q61" s="282">
        <f>SUM(Q53:Q60)</f>
        <v>118347.79592667572</v>
      </c>
      <c r="R61" s="282"/>
      <c r="S61" s="282">
        <f>SUM(S53:S60)</f>
        <v>105420.22331833694</v>
      </c>
      <c r="T61" s="282"/>
      <c r="U61" s="282">
        <f>SUM(U53:U60)</f>
        <v>0</v>
      </c>
      <c r="V61" s="282"/>
      <c r="W61" s="282">
        <f>SUM(W53:W60)</f>
        <v>316789.35804571782</v>
      </c>
      <c r="Y61" s="224"/>
      <c r="Z61" s="381"/>
      <c r="AB61" s="386" t="s">
        <v>56</v>
      </c>
      <c r="AC61" s="208"/>
      <c r="AD61" s="141"/>
      <c r="AF61" s="282">
        <f>SUM(AF53:AF60)</f>
        <v>2810063.1933335923</v>
      </c>
      <c r="AG61" s="613"/>
      <c r="AH61" s="282">
        <f>SUM(AH53:AH60)</f>
        <v>1832626.2250644313</v>
      </c>
      <c r="AI61" s="613"/>
      <c r="AJ61" s="282">
        <f>SUM(AJ53:AJ60)</f>
        <v>128884.01654335471</v>
      </c>
      <c r="AK61" s="613"/>
      <c r="AL61" s="282">
        <f>SUM(AL53:AL60)</f>
        <v>531763.59368008818</v>
      </c>
      <c r="AM61" s="613"/>
      <c r="AN61" s="282">
        <f>SUM(AN53:AN60)</f>
        <v>0</v>
      </c>
      <c r="AO61" s="613"/>
      <c r="AP61" s="282">
        <f>SUM(AP53:AP60)</f>
        <v>0</v>
      </c>
      <c r="AQ61" s="613"/>
      <c r="AR61" s="282">
        <f>SUM(AR53:AR60)</f>
        <v>0</v>
      </c>
      <c r="AT61" s="153">
        <f>SUM(AT53:AT60)</f>
        <v>316789.35804571782</v>
      </c>
      <c r="AV61" s="224"/>
    </row>
    <row r="62" spans="2:48" s="154" customFormat="1" x14ac:dyDescent="0.25">
      <c r="B62" s="394"/>
      <c r="C62" s="428"/>
      <c r="E62" s="387"/>
      <c r="F62" s="208"/>
      <c r="G62" s="141"/>
      <c r="H62" s="209"/>
      <c r="I62" s="612"/>
      <c r="J62" s="379"/>
      <c r="K62" s="282"/>
      <c r="L62" s="353"/>
      <c r="M62" s="353"/>
      <c r="N62" s="353"/>
      <c r="O62" s="353"/>
      <c r="P62" s="353"/>
      <c r="Q62" s="353"/>
      <c r="R62" s="353"/>
      <c r="S62" s="353"/>
      <c r="T62" s="353"/>
      <c r="U62" s="353"/>
      <c r="V62" s="353"/>
      <c r="W62" s="353"/>
      <c r="Y62" s="224"/>
      <c r="Z62" s="381"/>
      <c r="AB62" s="387"/>
      <c r="AC62" s="208"/>
      <c r="AD62" s="141"/>
      <c r="AF62" s="282"/>
      <c r="AG62" s="282"/>
      <c r="AH62" s="282"/>
      <c r="AI62" s="353"/>
      <c r="AJ62" s="353"/>
      <c r="AK62" s="353"/>
      <c r="AL62" s="353"/>
      <c r="AM62" s="353"/>
      <c r="AN62" s="353"/>
      <c r="AO62" s="353"/>
      <c r="AP62" s="353"/>
      <c r="AQ62" s="353"/>
      <c r="AR62" s="353"/>
      <c r="AS62" s="210"/>
      <c r="AT62" s="210"/>
      <c r="AV62" s="224"/>
    </row>
    <row r="63" spans="2:48" s="154" customFormat="1" x14ac:dyDescent="0.25">
      <c r="B63" s="378"/>
      <c r="C63" s="429"/>
      <c r="E63" s="387"/>
      <c r="F63" s="208"/>
      <c r="G63" s="141"/>
      <c r="H63" s="209"/>
      <c r="I63" s="613"/>
      <c r="J63" s="646"/>
      <c r="K63" s="282"/>
      <c r="L63" s="353"/>
      <c r="M63" s="353"/>
      <c r="N63" s="353"/>
      <c r="O63" s="353"/>
      <c r="P63" s="353"/>
      <c r="Q63" s="353"/>
      <c r="R63" s="353"/>
      <c r="S63" s="353"/>
      <c r="T63" s="353"/>
      <c r="U63" s="353"/>
      <c r="V63" s="353"/>
      <c r="W63" s="353"/>
      <c r="Y63" s="224"/>
      <c r="Z63" s="381"/>
      <c r="AB63" s="387"/>
      <c r="AC63" s="208"/>
      <c r="AD63" s="141"/>
      <c r="AF63" s="282"/>
      <c r="AG63" s="282"/>
      <c r="AH63" s="282"/>
      <c r="AI63" s="353"/>
      <c r="AJ63" s="353"/>
      <c r="AK63" s="353"/>
      <c r="AL63" s="353"/>
      <c r="AM63" s="353"/>
      <c r="AN63" s="353"/>
      <c r="AO63" s="353"/>
      <c r="AP63" s="353"/>
      <c r="AQ63" s="353"/>
      <c r="AR63" s="353"/>
      <c r="AS63" s="210"/>
      <c r="AT63" s="210"/>
      <c r="AV63" s="224"/>
    </row>
    <row r="64" spans="2:48" s="154" customFormat="1" x14ac:dyDescent="0.25">
      <c r="B64" s="394"/>
      <c r="C64" s="430"/>
      <c r="E64" s="379" t="s">
        <v>375</v>
      </c>
      <c r="F64" s="208"/>
      <c r="G64" s="141"/>
      <c r="H64" s="209"/>
      <c r="I64" s="612"/>
      <c r="J64" s="379"/>
      <c r="K64" s="282"/>
      <c r="L64" s="282"/>
      <c r="M64" s="282"/>
      <c r="N64" s="282"/>
      <c r="O64" s="282"/>
      <c r="P64" s="282"/>
      <c r="Q64" s="282"/>
      <c r="R64" s="282"/>
      <c r="S64" s="282"/>
      <c r="T64" s="282"/>
      <c r="U64" s="282"/>
      <c r="V64" s="282"/>
      <c r="W64" s="282"/>
      <c r="Y64" s="224"/>
      <c r="Z64" s="381"/>
      <c r="AB64" s="379" t="s">
        <v>375</v>
      </c>
      <c r="AC64" s="208"/>
      <c r="AD64" s="141"/>
      <c r="AF64" s="282"/>
      <c r="AG64" s="282"/>
      <c r="AH64" s="282"/>
      <c r="AI64" s="282"/>
      <c r="AJ64" s="282"/>
      <c r="AK64" s="282"/>
      <c r="AL64" s="282"/>
      <c r="AM64" s="282"/>
      <c r="AN64" s="282"/>
      <c r="AO64" s="282"/>
      <c r="AP64" s="282"/>
      <c r="AQ64" s="282"/>
      <c r="AR64" s="282"/>
      <c r="AS64" s="153"/>
      <c r="AT64" s="153"/>
      <c r="AV64" s="224"/>
    </row>
    <row r="65" spans="2:48" s="154" customFormat="1" x14ac:dyDescent="0.25">
      <c r="B65" s="559"/>
      <c r="C65" s="428">
        <v>601.6</v>
      </c>
      <c r="E65" s="389" t="s">
        <v>112</v>
      </c>
      <c r="F65" s="208"/>
      <c r="G65" s="141">
        <v>11</v>
      </c>
      <c r="H65" s="209"/>
      <c r="I65" s="612">
        <v>750131.57661371329</v>
      </c>
      <c r="J65" s="379"/>
      <c r="K65" s="223">
        <f t="shared" ref="K65:K82" si="32">(VLOOKUP($G65,Factors,K$316))*$I65</f>
        <v>362163.52518910076</v>
      </c>
      <c r="L65" s="351"/>
      <c r="M65" s="223">
        <f t="shared" ref="M65:M82" si="33">(VLOOKUP($G65,Factors,M$316))*$I65</f>
        <v>149351.19690379032</v>
      </c>
      <c r="N65" s="351"/>
      <c r="O65" s="223">
        <f t="shared" ref="O65:O82" si="34">(VLOOKUP($G65,Factors,O$316))*$I65</f>
        <v>46358.131434727482</v>
      </c>
      <c r="P65" s="351"/>
      <c r="Q65" s="223">
        <f t="shared" ref="Q65:Q82" si="35">(VLOOKUP($G65,Factors,Q$316))*$I65</f>
        <v>23329.092032686483</v>
      </c>
      <c r="R65" s="351"/>
      <c r="S65" s="223">
        <f t="shared" ref="S65:S82" si="36">(VLOOKUP($G65,Factors,S$316))*$I65</f>
        <v>11176.960491544329</v>
      </c>
      <c r="T65" s="351"/>
      <c r="U65" s="223">
        <f t="shared" ref="U65:U82" si="37">(VLOOKUP($G65,Factors,U$316))*$I65</f>
        <v>0</v>
      </c>
      <c r="V65" s="351"/>
      <c r="W65" s="223">
        <f t="shared" ref="W65:W82" si="38">(VLOOKUP($G65,Factors,W$316))*$I65</f>
        <v>157752.6705618639</v>
      </c>
      <c r="Y65" s="224"/>
      <c r="Z65" s="381">
        <v>601.6</v>
      </c>
      <c r="AB65" s="383" t="s">
        <v>112</v>
      </c>
      <c r="AC65" s="208"/>
      <c r="AD65" s="392">
        <f t="shared" ref="AD65:AD82" si="39">+G65</f>
        <v>11</v>
      </c>
      <c r="AE65" s="131"/>
      <c r="AF65" s="392">
        <f t="shared" ref="AF65:AF82" si="40">+I65</f>
        <v>750131.57661371329</v>
      </c>
      <c r="AG65" s="613"/>
      <c r="AH65" s="282">
        <f t="shared" ref="AH65:AH82" si="41">(VLOOKUP($AD65,func,AH$316))*$AF65</f>
        <v>239291.97293977454</v>
      </c>
      <c r="AI65" s="282"/>
      <c r="AJ65" s="282">
        <f t="shared" ref="AJ65:AJ82" si="42">(VLOOKUP($AD65,func,AJ$316))*$AF65</f>
        <v>46433.144592388853</v>
      </c>
      <c r="AK65" s="282"/>
      <c r="AL65" s="282">
        <f t="shared" ref="AL65:AL82" si="43">(VLOOKUP($AD65,func,AL$316))*$AF65</f>
        <v>228790.13086718254</v>
      </c>
      <c r="AM65" s="282"/>
      <c r="AN65" s="282">
        <f t="shared" ref="AN65:AN82" si="44">(VLOOKUP($AD65,func,AN$316))*$AF65</f>
        <v>0</v>
      </c>
      <c r="AO65" s="282"/>
      <c r="AP65" s="282">
        <f t="shared" ref="AP65:AP82" si="45">(VLOOKUP($AD65,func,AP$316))*$AF65</f>
        <v>77863.657652503447</v>
      </c>
      <c r="AQ65" s="282"/>
      <c r="AR65" s="282">
        <f t="shared" ref="AR65:AR82" si="46">(VLOOKUP($AD65,func,AR$316))*$AF65</f>
        <v>0</v>
      </c>
      <c r="AS65" s="153"/>
      <c r="AT65" s="153">
        <f t="shared" ref="AT65:AT82" si="47">(VLOOKUP($AD65,func,AT$316))*$AF65</f>
        <v>157752.6705618639</v>
      </c>
      <c r="AV65" s="224"/>
    </row>
    <row r="66" spans="2:48" s="154" customFormat="1" x14ac:dyDescent="0.25">
      <c r="B66" s="559"/>
      <c r="C66" s="428">
        <v>601.6</v>
      </c>
      <c r="E66" s="389" t="s">
        <v>115</v>
      </c>
      <c r="F66" s="208"/>
      <c r="G66" s="141">
        <v>6</v>
      </c>
      <c r="H66" s="209"/>
      <c r="I66" s="612">
        <v>2283396.9505066806</v>
      </c>
      <c r="J66" s="379"/>
      <c r="K66" s="223">
        <f t="shared" si="32"/>
        <v>1054016.0323538838</v>
      </c>
      <c r="L66" s="351"/>
      <c r="M66" s="223">
        <f t="shared" si="33"/>
        <v>500292.27185601369</v>
      </c>
      <c r="N66" s="351"/>
      <c r="O66" s="223">
        <f t="shared" si="34"/>
        <v>165546.27891173435</v>
      </c>
      <c r="P66" s="351"/>
      <c r="Q66" s="223">
        <f t="shared" si="35"/>
        <v>79918.893267733831</v>
      </c>
      <c r="R66" s="351"/>
      <c r="S66" s="223">
        <f t="shared" si="36"/>
        <v>31739.217612042859</v>
      </c>
      <c r="T66" s="351"/>
      <c r="U66" s="223">
        <f t="shared" si="37"/>
        <v>0</v>
      </c>
      <c r="V66" s="351"/>
      <c r="W66" s="223">
        <f t="shared" si="38"/>
        <v>451884.25650527206</v>
      </c>
      <c r="Y66" s="224"/>
      <c r="Z66" s="381">
        <v>601.6</v>
      </c>
      <c r="AB66" s="383" t="s">
        <v>115</v>
      </c>
      <c r="AC66" s="208"/>
      <c r="AD66" s="392">
        <f t="shared" si="39"/>
        <v>6</v>
      </c>
      <c r="AE66" s="131"/>
      <c r="AF66" s="392">
        <f t="shared" si="40"/>
        <v>2283396.9505066806</v>
      </c>
      <c r="AG66" s="613"/>
      <c r="AH66" s="282">
        <f t="shared" si="41"/>
        <v>864722.42515687994</v>
      </c>
      <c r="AI66" s="282"/>
      <c r="AJ66" s="282">
        <f t="shared" si="42"/>
        <v>188608.58811185183</v>
      </c>
      <c r="AK66" s="282"/>
      <c r="AL66" s="282">
        <f t="shared" si="43"/>
        <v>778181.68073267676</v>
      </c>
      <c r="AM66" s="282"/>
      <c r="AN66" s="282">
        <f t="shared" si="44"/>
        <v>0</v>
      </c>
      <c r="AO66" s="282"/>
      <c r="AP66" s="282">
        <f t="shared" si="45"/>
        <v>0</v>
      </c>
      <c r="AQ66" s="282"/>
      <c r="AR66" s="282">
        <f t="shared" si="46"/>
        <v>0</v>
      </c>
      <c r="AS66" s="153"/>
      <c r="AT66" s="153">
        <f t="shared" si="47"/>
        <v>451884.25650527206</v>
      </c>
      <c r="AV66" s="224"/>
    </row>
    <row r="67" spans="2:48" s="154" customFormat="1" x14ac:dyDescent="0.25">
      <c r="B67" s="559"/>
      <c r="C67" s="428">
        <v>601.6</v>
      </c>
      <c r="E67" s="389" t="s">
        <v>114</v>
      </c>
      <c r="F67" s="208"/>
      <c r="G67" s="141">
        <v>9</v>
      </c>
      <c r="H67" s="209"/>
      <c r="I67" s="612">
        <v>27688.616671410102</v>
      </c>
      <c r="J67" s="379"/>
      <c r="K67" s="223">
        <f t="shared" si="32"/>
        <v>23734.682210732739</v>
      </c>
      <c r="L67" s="351"/>
      <c r="M67" s="223">
        <f t="shared" si="33"/>
        <v>3397.3932655820195</v>
      </c>
      <c r="N67" s="351"/>
      <c r="O67" s="223">
        <f t="shared" si="34"/>
        <v>138.44308335705051</v>
      </c>
      <c r="P67" s="351"/>
      <c r="Q67" s="223">
        <f t="shared" si="35"/>
        <v>404.25380340258749</v>
      </c>
      <c r="R67" s="351"/>
      <c r="S67" s="223">
        <f t="shared" si="36"/>
        <v>13.844308335705051</v>
      </c>
      <c r="T67" s="351"/>
      <c r="U67" s="223">
        <f t="shared" si="37"/>
        <v>0</v>
      </c>
      <c r="V67" s="351"/>
      <c r="W67" s="223">
        <f t="shared" si="38"/>
        <v>0</v>
      </c>
      <c r="Y67" s="224"/>
      <c r="Z67" s="381">
        <v>601.6</v>
      </c>
      <c r="AB67" s="383" t="s">
        <v>114</v>
      </c>
      <c r="AC67" s="208"/>
      <c r="AD67" s="392">
        <f t="shared" si="39"/>
        <v>9</v>
      </c>
      <c r="AE67" s="131"/>
      <c r="AF67" s="392">
        <f t="shared" si="40"/>
        <v>27688.616671410102</v>
      </c>
      <c r="AG67" s="613"/>
      <c r="AH67" s="282">
        <f t="shared" si="41"/>
        <v>0</v>
      </c>
      <c r="AI67" s="282"/>
      <c r="AJ67" s="282">
        <f t="shared" si="42"/>
        <v>0</v>
      </c>
      <c r="AK67" s="282"/>
      <c r="AL67" s="282">
        <f t="shared" si="43"/>
        <v>0</v>
      </c>
      <c r="AM67" s="282"/>
      <c r="AN67" s="282">
        <f t="shared" si="44"/>
        <v>0</v>
      </c>
      <c r="AO67" s="282"/>
      <c r="AP67" s="282">
        <f t="shared" si="45"/>
        <v>27688.616671410102</v>
      </c>
      <c r="AQ67" s="282"/>
      <c r="AR67" s="282">
        <f t="shared" si="46"/>
        <v>0</v>
      </c>
      <c r="AS67" s="153"/>
      <c r="AT67" s="153">
        <f t="shared" si="47"/>
        <v>0</v>
      </c>
      <c r="AV67" s="224"/>
    </row>
    <row r="68" spans="2:48" s="154" customFormat="1" x14ac:dyDescent="0.25">
      <c r="B68" s="559"/>
      <c r="C68" s="428">
        <v>601.6</v>
      </c>
      <c r="E68" s="389" t="s">
        <v>116</v>
      </c>
      <c r="F68" s="208"/>
      <c r="G68" s="141">
        <v>7</v>
      </c>
      <c r="H68" s="209"/>
      <c r="I68" s="612">
        <v>28723.217828605859</v>
      </c>
      <c r="J68" s="379"/>
      <c r="K68" s="223">
        <f t="shared" si="32"/>
        <v>0</v>
      </c>
      <c r="L68" s="351"/>
      <c r="M68" s="223">
        <f t="shared" si="33"/>
        <v>0</v>
      </c>
      <c r="N68" s="351"/>
      <c r="O68" s="223">
        <f t="shared" si="34"/>
        <v>0</v>
      </c>
      <c r="P68" s="351"/>
      <c r="Q68" s="223">
        <f t="shared" si="35"/>
        <v>0</v>
      </c>
      <c r="R68" s="351"/>
      <c r="S68" s="223">
        <f t="shared" si="36"/>
        <v>0</v>
      </c>
      <c r="T68" s="351"/>
      <c r="U68" s="223">
        <f t="shared" si="37"/>
        <v>0</v>
      </c>
      <c r="V68" s="351"/>
      <c r="W68" s="223">
        <f t="shared" si="38"/>
        <v>28723.217828605859</v>
      </c>
      <c r="Y68" s="224"/>
      <c r="Z68" s="381">
        <v>601.6</v>
      </c>
      <c r="AB68" s="383" t="s">
        <v>116</v>
      </c>
      <c r="AC68" s="208"/>
      <c r="AD68" s="392">
        <f t="shared" si="39"/>
        <v>7</v>
      </c>
      <c r="AE68" s="131"/>
      <c r="AF68" s="392">
        <f t="shared" si="40"/>
        <v>28723.217828605859</v>
      </c>
      <c r="AG68" s="613"/>
      <c r="AH68" s="282">
        <f t="shared" si="41"/>
        <v>0</v>
      </c>
      <c r="AI68" s="282"/>
      <c r="AJ68" s="282">
        <f t="shared" si="42"/>
        <v>0</v>
      </c>
      <c r="AK68" s="282"/>
      <c r="AL68" s="282">
        <f t="shared" si="43"/>
        <v>0</v>
      </c>
      <c r="AM68" s="282"/>
      <c r="AN68" s="282">
        <f t="shared" si="44"/>
        <v>0</v>
      </c>
      <c r="AO68" s="282"/>
      <c r="AP68" s="282">
        <f t="shared" si="45"/>
        <v>0</v>
      </c>
      <c r="AQ68" s="282"/>
      <c r="AR68" s="282">
        <f t="shared" si="46"/>
        <v>0</v>
      </c>
      <c r="AS68" s="153"/>
      <c r="AT68" s="153">
        <f t="shared" si="47"/>
        <v>28723.217828605859</v>
      </c>
      <c r="AV68" s="224"/>
    </row>
    <row r="69" spans="2:48" s="154" customFormat="1" x14ac:dyDescent="0.25">
      <c r="B69" s="559"/>
      <c r="C69" s="428">
        <v>620.6</v>
      </c>
      <c r="E69" s="389" t="s">
        <v>20</v>
      </c>
      <c r="F69" s="208"/>
      <c r="G69" s="141">
        <v>6</v>
      </c>
      <c r="H69" s="209"/>
      <c r="I69" s="612">
        <v>446716.21</v>
      </c>
      <c r="J69" s="379"/>
      <c r="K69" s="223">
        <f t="shared" si="32"/>
        <v>206204.20253600003</v>
      </c>
      <c r="L69" s="351"/>
      <c r="M69" s="223">
        <f t="shared" si="33"/>
        <v>97875.521611000004</v>
      </c>
      <c r="N69" s="351"/>
      <c r="O69" s="223">
        <f t="shared" si="34"/>
        <v>32386.925224999999</v>
      </c>
      <c r="P69" s="351"/>
      <c r="Q69" s="223">
        <f t="shared" si="35"/>
        <v>15635.067350000003</v>
      </c>
      <c r="R69" s="351"/>
      <c r="S69" s="223">
        <f t="shared" si="36"/>
        <v>6209.3553190000002</v>
      </c>
      <c r="T69" s="351"/>
      <c r="U69" s="223">
        <f t="shared" si="37"/>
        <v>0</v>
      </c>
      <c r="V69" s="351"/>
      <c r="W69" s="223">
        <f t="shared" si="38"/>
        <v>88405.137959</v>
      </c>
      <c r="Y69" s="224"/>
      <c r="Z69" s="381">
        <v>620.6</v>
      </c>
      <c r="AB69" s="383" t="s">
        <v>20</v>
      </c>
      <c r="AC69" s="208"/>
      <c r="AD69" s="392">
        <f t="shared" si="39"/>
        <v>6</v>
      </c>
      <c r="AE69" s="131"/>
      <c r="AF69" s="392">
        <f t="shared" si="40"/>
        <v>446716.21</v>
      </c>
      <c r="AG69" s="613"/>
      <c r="AH69" s="282">
        <f t="shared" si="41"/>
        <v>169171.42872699999</v>
      </c>
      <c r="AI69" s="282"/>
      <c r="AJ69" s="282">
        <f t="shared" si="42"/>
        <v>36898.758946000002</v>
      </c>
      <c r="AK69" s="282"/>
      <c r="AL69" s="282">
        <f t="shared" si="43"/>
        <v>152240.884368</v>
      </c>
      <c r="AM69" s="282"/>
      <c r="AN69" s="282">
        <f t="shared" si="44"/>
        <v>0</v>
      </c>
      <c r="AO69" s="282"/>
      <c r="AP69" s="282">
        <f t="shared" si="45"/>
        <v>0</v>
      </c>
      <c r="AQ69" s="282"/>
      <c r="AR69" s="282">
        <f t="shared" si="46"/>
        <v>0</v>
      </c>
      <c r="AS69" s="153"/>
      <c r="AT69" s="153">
        <f t="shared" si="47"/>
        <v>88405.137959</v>
      </c>
      <c r="AV69" s="224"/>
    </row>
    <row r="70" spans="2:48" s="154" customFormat="1" x14ac:dyDescent="0.25">
      <c r="B70" s="559"/>
      <c r="C70" s="428">
        <v>620.6</v>
      </c>
      <c r="E70" s="389" t="s">
        <v>17</v>
      </c>
      <c r="F70" s="208"/>
      <c r="G70" s="141">
        <v>9</v>
      </c>
      <c r="H70" s="209"/>
      <c r="I70" s="612">
        <v>354531.74</v>
      </c>
      <c r="J70" s="379"/>
      <c r="K70" s="223">
        <f t="shared" si="32"/>
        <v>303904.60752799996</v>
      </c>
      <c r="L70" s="351"/>
      <c r="M70" s="223">
        <f t="shared" si="33"/>
        <v>43501.044498000003</v>
      </c>
      <c r="N70" s="351"/>
      <c r="O70" s="223">
        <f t="shared" si="34"/>
        <v>1772.6587</v>
      </c>
      <c r="P70" s="351"/>
      <c r="Q70" s="223">
        <f t="shared" si="35"/>
        <v>5176.1634039999999</v>
      </c>
      <c r="R70" s="351"/>
      <c r="S70" s="223">
        <f t="shared" si="36"/>
        <v>177.26587000000001</v>
      </c>
      <c r="T70" s="351"/>
      <c r="U70" s="223">
        <f t="shared" si="37"/>
        <v>0</v>
      </c>
      <c r="V70" s="351"/>
      <c r="W70" s="223">
        <f t="shared" si="38"/>
        <v>0</v>
      </c>
      <c r="Y70" s="224"/>
      <c r="Z70" s="381">
        <v>620.6</v>
      </c>
      <c r="AB70" s="383" t="s">
        <v>17</v>
      </c>
      <c r="AC70" s="208"/>
      <c r="AD70" s="392">
        <f t="shared" si="39"/>
        <v>9</v>
      </c>
      <c r="AE70" s="131"/>
      <c r="AF70" s="392">
        <f t="shared" si="40"/>
        <v>354531.74</v>
      </c>
      <c r="AG70" s="613"/>
      <c r="AH70" s="282">
        <f t="shared" si="41"/>
        <v>0</v>
      </c>
      <c r="AI70" s="282"/>
      <c r="AJ70" s="282">
        <f t="shared" si="42"/>
        <v>0</v>
      </c>
      <c r="AK70" s="282"/>
      <c r="AL70" s="282">
        <f t="shared" si="43"/>
        <v>0</v>
      </c>
      <c r="AM70" s="282"/>
      <c r="AN70" s="282">
        <f t="shared" si="44"/>
        <v>0</v>
      </c>
      <c r="AO70" s="282"/>
      <c r="AP70" s="282">
        <f t="shared" si="45"/>
        <v>354531.74</v>
      </c>
      <c r="AQ70" s="282"/>
      <c r="AR70" s="282">
        <f t="shared" si="46"/>
        <v>0</v>
      </c>
      <c r="AS70" s="153"/>
      <c r="AT70" s="153">
        <f t="shared" si="47"/>
        <v>0</v>
      </c>
      <c r="AV70" s="224"/>
    </row>
    <row r="71" spans="2:48" s="154" customFormat="1" x14ac:dyDescent="0.25">
      <c r="B71" s="559"/>
      <c r="C71" s="428">
        <v>620.6</v>
      </c>
      <c r="E71" s="389" t="s">
        <v>18</v>
      </c>
      <c r="F71" s="208"/>
      <c r="G71" s="141">
        <v>8</v>
      </c>
      <c r="H71" s="209"/>
      <c r="I71" s="612">
        <v>0</v>
      </c>
      <c r="J71" s="379"/>
      <c r="K71" s="223">
        <f t="shared" si="32"/>
        <v>0</v>
      </c>
      <c r="L71" s="351"/>
      <c r="M71" s="223">
        <f t="shared" si="33"/>
        <v>0</v>
      </c>
      <c r="N71" s="351"/>
      <c r="O71" s="223">
        <f t="shared" si="34"/>
        <v>0</v>
      </c>
      <c r="P71" s="351"/>
      <c r="Q71" s="223">
        <f t="shared" si="35"/>
        <v>0</v>
      </c>
      <c r="R71" s="351"/>
      <c r="S71" s="223">
        <f t="shared" si="36"/>
        <v>0</v>
      </c>
      <c r="T71" s="351"/>
      <c r="U71" s="223">
        <f t="shared" si="37"/>
        <v>0</v>
      </c>
      <c r="V71" s="351"/>
      <c r="W71" s="223">
        <f t="shared" si="38"/>
        <v>0</v>
      </c>
      <c r="Y71" s="224"/>
      <c r="Z71" s="381">
        <v>620.6</v>
      </c>
      <c r="AB71" s="383" t="s">
        <v>18</v>
      </c>
      <c r="AC71" s="208"/>
      <c r="AD71" s="392">
        <f t="shared" si="39"/>
        <v>8</v>
      </c>
      <c r="AE71" s="131"/>
      <c r="AF71" s="392">
        <f t="shared" si="40"/>
        <v>0</v>
      </c>
      <c r="AG71" s="613"/>
      <c r="AH71" s="282">
        <f t="shared" si="41"/>
        <v>0</v>
      </c>
      <c r="AI71" s="282"/>
      <c r="AJ71" s="282">
        <f t="shared" si="42"/>
        <v>0</v>
      </c>
      <c r="AK71" s="282"/>
      <c r="AL71" s="282">
        <f t="shared" si="43"/>
        <v>0</v>
      </c>
      <c r="AM71" s="282"/>
      <c r="AN71" s="282">
        <f t="shared" si="44"/>
        <v>0</v>
      </c>
      <c r="AO71" s="282"/>
      <c r="AP71" s="282">
        <f t="shared" si="45"/>
        <v>0</v>
      </c>
      <c r="AQ71" s="282"/>
      <c r="AR71" s="282">
        <f t="shared" si="46"/>
        <v>0</v>
      </c>
      <c r="AS71" s="153"/>
      <c r="AT71" s="153">
        <f t="shared" si="47"/>
        <v>0</v>
      </c>
      <c r="AV71" s="224"/>
    </row>
    <row r="72" spans="2:48" s="154" customFormat="1" x14ac:dyDescent="0.25">
      <c r="B72" s="559"/>
      <c r="C72" s="428">
        <v>620.6</v>
      </c>
      <c r="E72" s="389" t="s">
        <v>19</v>
      </c>
      <c r="F72" s="208"/>
      <c r="G72" s="141">
        <v>7</v>
      </c>
      <c r="H72" s="209"/>
      <c r="I72" s="612">
        <v>107241.03</v>
      </c>
      <c r="J72" s="379"/>
      <c r="K72" s="223">
        <f t="shared" si="32"/>
        <v>0</v>
      </c>
      <c r="L72" s="351"/>
      <c r="M72" s="223">
        <f t="shared" si="33"/>
        <v>0</v>
      </c>
      <c r="N72" s="351"/>
      <c r="O72" s="223">
        <f t="shared" si="34"/>
        <v>0</v>
      </c>
      <c r="P72" s="351"/>
      <c r="Q72" s="223">
        <f t="shared" si="35"/>
        <v>0</v>
      </c>
      <c r="R72" s="351"/>
      <c r="S72" s="223">
        <f t="shared" si="36"/>
        <v>0</v>
      </c>
      <c r="T72" s="351"/>
      <c r="U72" s="223">
        <f t="shared" si="37"/>
        <v>0</v>
      </c>
      <c r="V72" s="351"/>
      <c r="W72" s="223">
        <f t="shared" si="38"/>
        <v>107241.03</v>
      </c>
      <c r="Y72" s="224"/>
      <c r="Z72" s="381">
        <v>620.6</v>
      </c>
      <c r="AB72" s="383" t="s">
        <v>19</v>
      </c>
      <c r="AC72" s="208"/>
      <c r="AD72" s="392">
        <f t="shared" si="39"/>
        <v>7</v>
      </c>
      <c r="AE72" s="131"/>
      <c r="AF72" s="392">
        <f t="shared" si="40"/>
        <v>107241.03</v>
      </c>
      <c r="AG72" s="613"/>
      <c r="AH72" s="282">
        <f t="shared" si="41"/>
        <v>0</v>
      </c>
      <c r="AI72" s="282"/>
      <c r="AJ72" s="282">
        <f t="shared" si="42"/>
        <v>0</v>
      </c>
      <c r="AK72" s="282"/>
      <c r="AL72" s="282">
        <f t="shared" si="43"/>
        <v>0</v>
      </c>
      <c r="AM72" s="282"/>
      <c r="AN72" s="282">
        <f t="shared" si="44"/>
        <v>0</v>
      </c>
      <c r="AO72" s="282"/>
      <c r="AP72" s="282">
        <f t="shared" si="45"/>
        <v>0</v>
      </c>
      <c r="AQ72" s="282"/>
      <c r="AR72" s="282">
        <f t="shared" si="46"/>
        <v>0</v>
      </c>
      <c r="AS72" s="153"/>
      <c r="AT72" s="153">
        <f t="shared" si="47"/>
        <v>107241.03</v>
      </c>
      <c r="AV72" s="224"/>
    </row>
    <row r="73" spans="2:48" s="491" customFormat="1" x14ac:dyDescent="0.25">
      <c r="B73" s="587"/>
      <c r="C73" s="483">
        <v>620.6</v>
      </c>
      <c r="E73" s="389" t="s">
        <v>470</v>
      </c>
      <c r="F73" s="486"/>
      <c r="G73" s="507">
        <v>5</v>
      </c>
      <c r="H73" s="231"/>
      <c r="I73" s="485">
        <v>0</v>
      </c>
      <c r="J73" s="379"/>
      <c r="K73" s="338">
        <f t="shared" si="32"/>
        <v>0</v>
      </c>
      <c r="L73" s="476"/>
      <c r="M73" s="338">
        <f t="shared" si="33"/>
        <v>0</v>
      </c>
      <c r="N73" s="476"/>
      <c r="O73" s="338">
        <f t="shared" si="34"/>
        <v>0</v>
      </c>
      <c r="P73" s="476"/>
      <c r="Q73" s="338">
        <f t="shared" si="35"/>
        <v>0</v>
      </c>
      <c r="R73" s="476"/>
      <c r="S73" s="338">
        <f t="shared" si="36"/>
        <v>0</v>
      </c>
      <c r="T73" s="476"/>
      <c r="U73" s="338">
        <f t="shared" si="37"/>
        <v>0</v>
      </c>
      <c r="V73" s="476"/>
      <c r="W73" s="338">
        <f t="shared" si="38"/>
        <v>0</v>
      </c>
      <c r="Y73" s="449"/>
      <c r="Z73" s="448">
        <v>620.6</v>
      </c>
      <c r="AB73" s="506" t="s">
        <v>470</v>
      </c>
      <c r="AC73" s="486"/>
      <c r="AD73" s="395">
        <f t="shared" si="39"/>
        <v>5</v>
      </c>
      <c r="AE73" s="508"/>
      <c r="AF73" s="395">
        <f t="shared" ref="AF73" si="48">+I73</f>
        <v>0</v>
      </c>
      <c r="AG73" s="484"/>
      <c r="AH73" s="680">
        <f t="shared" si="41"/>
        <v>0</v>
      </c>
      <c r="AI73" s="680"/>
      <c r="AJ73" s="680">
        <f t="shared" si="42"/>
        <v>0</v>
      </c>
      <c r="AK73" s="680"/>
      <c r="AL73" s="680">
        <f t="shared" si="43"/>
        <v>0</v>
      </c>
      <c r="AM73" s="680"/>
      <c r="AN73" s="680">
        <f t="shared" si="44"/>
        <v>0</v>
      </c>
      <c r="AO73" s="680"/>
      <c r="AP73" s="680">
        <f t="shared" si="45"/>
        <v>0</v>
      </c>
      <c r="AQ73" s="680"/>
      <c r="AR73" s="680">
        <f t="shared" si="46"/>
        <v>0</v>
      </c>
      <c r="AS73" s="509"/>
      <c r="AT73" s="509">
        <f t="shared" si="47"/>
        <v>0</v>
      </c>
      <c r="AV73" s="449"/>
    </row>
    <row r="74" spans="2:48" s="154" customFormat="1" x14ac:dyDescent="0.25">
      <c r="B74" s="586"/>
      <c r="C74" s="428">
        <v>620.6</v>
      </c>
      <c r="E74" s="389" t="s">
        <v>16</v>
      </c>
      <c r="F74" s="208"/>
      <c r="G74" s="141">
        <v>11</v>
      </c>
      <c r="H74" s="209"/>
      <c r="I74" s="612">
        <v>96395.970000000088</v>
      </c>
      <c r="J74" s="379"/>
      <c r="K74" s="223">
        <f t="shared" si="32"/>
        <v>46539.974316000043</v>
      </c>
      <c r="L74" s="351"/>
      <c r="M74" s="223">
        <f t="shared" si="33"/>
        <v>19192.437627000018</v>
      </c>
      <c r="N74" s="351"/>
      <c r="O74" s="223">
        <f t="shared" si="34"/>
        <v>5957.2709460000051</v>
      </c>
      <c r="P74" s="351"/>
      <c r="Q74" s="223">
        <f t="shared" si="35"/>
        <v>2997.9146670000027</v>
      </c>
      <c r="R74" s="351"/>
      <c r="S74" s="223">
        <f t="shared" si="36"/>
        <v>1436.2999530000013</v>
      </c>
      <c r="T74" s="351"/>
      <c r="U74" s="223">
        <f t="shared" si="37"/>
        <v>0</v>
      </c>
      <c r="V74" s="351"/>
      <c r="W74" s="223">
        <f t="shared" si="38"/>
        <v>20272.072491000017</v>
      </c>
      <c r="Y74" s="224"/>
      <c r="Z74" s="381">
        <v>620.6</v>
      </c>
      <c r="AB74" s="383" t="s">
        <v>16</v>
      </c>
      <c r="AC74" s="208"/>
      <c r="AD74" s="392">
        <f t="shared" si="39"/>
        <v>11</v>
      </c>
      <c r="AE74" s="131"/>
      <c r="AF74" s="392">
        <f t="shared" si="40"/>
        <v>96395.970000000088</v>
      </c>
      <c r="AG74" s="613"/>
      <c r="AH74" s="282">
        <f t="shared" si="41"/>
        <v>30750.314430000028</v>
      </c>
      <c r="AI74" s="282"/>
      <c r="AJ74" s="282">
        <f t="shared" si="42"/>
        <v>5966.9105430000054</v>
      </c>
      <c r="AK74" s="282"/>
      <c r="AL74" s="282">
        <f t="shared" si="43"/>
        <v>29400.770850000026</v>
      </c>
      <c r="AM74" s="282"/>
      <c r="AN74" s="282">
        <f t="shared" si="44"/>
        <v>0</v>
      </c>
      <c r="AO74" s="282"/>
      <c r="AP74" s="282">
        <f t="shared" si="45"/>
        <v>10005.90168600001</v>
      </c>
      <c r="AQ74" s="282"/>
      <c r="AR74" s="282">
        <f t="shared" si="46"/>
        <v>0</v>
      </c>
      <c r="AS74" s="153"/>
      <c r="AT74" s="153">
        <f t="shared" si="47"/>
        <v>20272.072491000017</v>
      </c>
      <c r="AV74" s="224"/>
    </row>
    <row r="75" spans="2:48" s="154" customFormat="1" x14ac:dyDescent="0.25">
      <c r="B75" s="559"/>
      <c r="C75" s="428">
        <v>631.6</v>
      </c>
      <c r="E75" s="389" t="s">
        <v>22</v>
      </c>
      <c r="F75" s="208"/>
      <c r="G75" s="141">
        <v>11</v>
      </c>
      <c r="H75" s="209"/>
      <c r="I75" s="612">
        <v>0</v>
      </c>
      <c r="J75" s="379"/>
      <c r="K75" s="223">
        <f t="shared" si="32"/>
        <v>0</v>
      </c>
      <c r="L75" s="351"/>
      <c r="M75" s="223">
        <f t="shared" si="33"/>
        <v>0</v>
      </c>
      <c r="N75" s="351"/>
      <c r="O75" s="223">
        <f t="shared" si="34"/>
        <v>0</v>
      </c>
      <c r="P75" s="351"/>
      <c r="Q75" s="223">
        <f t="shared" si="35"/>
        <v>0</v>
      </c>
      <c r="R75" s="351"/>
      <c r="S75" s="223">
        <f t="shared" si="36"/>
        <v>0</v>
      </c>
      <c r="T75" s="351"/>
      <c r="U75" s="223">
        <f t="shared" si="37"/>
        <v>0</v>
      </c>
      <c r="V75" s="351"/>
      <c r="W75" s="223">
        <f t="shared" si="38"/>
        <v>0</v>
      </c>
      <c r="Y75" s="224"/>
      <c r="Z75" s="381">
        <v>631.6</v>
      </c>
      <c r="AB75" s="383" t="s">
        <v>22</v>
      </c>
      <c r="AC75" s="208"/>
      <c r="AD75" s="392">
        <f t="shared" si="39"/>
        <v>11</v>
      </c>
      <c r="AE75" s="131"/>
      <c r="AF75" s="392">
        <f t="shared" si="40"/>
        <v>0</v>
      </c>
      <c r="AG75" s="613"/>
      <c r="AH75" s="282">
        <f t="shared" si="41"/>
        <v>0</v>
      </c>
      <c r="AI75" s="282"/>
      <c r="AJ75" s="282">
        <f t="shared" si="42"/>
        <v>0</v>
      </c>
      <c r="AK75" s="282"/>
      <c r="AL75" s="282">
        <f t="shared" si="43"/>
        <v>0</v>
      </c>
      <c r="AM75" s="282"/>
      <c r="AN75" s="282">
        <f t="shared" si="44"/>
        <v>0</v>
      </c>
      <c r="AO75" s="282"/>
      <c r="AP75" s="282">
        <f t="shared" si="45"/>
        <v>0</v>
      </c>
      <c r="AQ75" s="282"/>
      <c r="AR75" s="282">
        <f t="shared" si="46"/>
        <v>0</v>
      </c>
      <c r="AS75" s="153"/>
      <c r="AT75" s="153">
        <f t="shared" si="47"/>
        <v>0</v>
      </c>
      <c r="AV75" s="224"/>
    </row>
    <row r="76" spans="2:48" s="154" customFormat="1" x14ac:dyDescent="0.25">
      <c r="B76" s="559"/>
      <c r="C76" s="428">
        <v>635.6</v>
      </c>
      <c r="E76" s="389" t="s">
        <v>31</v>
      </c>
      <c r="F76" s="208"/>
      <c r="G76" s="141">
        <v>11</v>
      </c>
      <c r="H76" s="209"/>
      <c r="I76" s="612">
        <v>238336.40999999992</v>
      </c>
      <c r="J76" s="379"/>
      <c r="K76" s="223">
        <f t="shared" si="32"/>
        <v>115068.81874799996</v>
      </c>
      <c r="L76" s="351"/>
      <c r="M76" s="223">
        <f t="shared" si="33"/>
        <v>47452.779230999986</v>
      </c>
      <c r="N76" s="351"/>
      <c r="O76" s="223">
        <f t="shared" si="34"/>
        <v>14729.190137999994</v>
      </c>
      <c r="P76" s="351"/>
      <c r="Q76" s="223">
        <f t="shared" si="35"/>
        <v>7412.2623509999976</v>
      </c>
      <c r="R76" s="351"/>
      <c r="S76" s="223">
        <f t="shared" si="36"/>
        <v>3551.2125089999986</v>
      </c>
      <c r="T76" s="351"/>
      <c r="U76" s="223">
        <f t="shared" si="37"/>
        <v>0</v>
      </c>
      <c r="V76" s="351"/>
      <c r="W76" s="223">
        <f t="shared" si="38"/>
        <v>50122.147022999976</v>
      </c>
      <c r="Y76" s="224"/>
      <c r="Z76" s="381">
        <v>635.6</v>
      </c>
      <c r="AB76" s="383" t="s">
        <v>31</v>
      </c>
      <c r="AC76" s="208"/>
      <c r="AD76" s="392">
        <f t="shared" si="39"/>
        <v>11</v>
      </c>
      <c r="AE76" s="131"/>
      <c r="AF76" s="392">
        <f t="shared" si="40"/>
        <v>238336.40999999992</v>
      </c>
      <c r="AG76" s="613"/>
      <c r="AH76" s="282">
        <f t="shared" si="41"/>
        <v>76029.314789999975</v>
      </c>
      <c r="AI76" s="282"/>
      <c r="AJ76" s="282">
        <f t="shared" si="42"/>
        <v>14753.023778999994</v>
      </c>
      <c r="AK76" s="282"/>
      <c r="AL76" s="282">
        <f t="shared" si="43"/>
        <v>72692.605049999969</v>
      </c>
      <c r="AM76" s="282"/>
      <c r="AN76" s="282">
        <f t="shared" si="44"/>
        <v>0</v>
      </c>
      <c r="AO76" s="282"/>
      <c r="AP76" s="282">
        <f t="shared" si="45"/>
        <v>24739.319357999993</v>
      </c>
      <c r="AQ76" s="282"/>
      <c r="AR76" s="282">
        <f t="shared" si="46"/>
        <v>0</v>
      </c>
      <c r="AS76" s="153"/>
      <c r="AT76" s="153">
        <f t="shared" si="47"/>
        <v>50122.147022999976</v>
      </c>
      <c r="AV76" s="224"/>
    </row>
    <row r="77" spans="2:48" s="154" customFormat="1" x14ac:dyDescent="0.25">
      <c r="B77" s="559"/>
      <c r="C77" s="428">
        <v>635.6</v>
      </c>
      <c r="E77" s="389" t="s">
        <v>32</v>
      </c>
      <c r="F77" s="208"/>
      <c r="G77" s="141">
        <v>5</v>
      </c>
      <c r="H77" s="209"/>
      <c r="I77" s="612">
        <v>533017.1</v>
      </c>
      <c r="J77" s="379"/>
      <c r="K77" s="223">
        <f t="shared" si="32"/>
        <v>217790.78705999997</v>
      </c>
      <c r="L77" s="351"/>
      <c r="M77" s="223">
        <f t="shared" si="33"/>
        <v>100740.2319</v>
      </c>
      <c r="N77" s="351"/>
      <c r="O77" s="223">
        <f t="shared" si="34"/>
        <v>31554.61232</v>
      </c>
      <c r="P77" s="351"/>
      <c r="Q77" s="223">
        <f t="shared" si="35"/>
        <v>15297.590769999999</v>
      </c>
      <c r="R77" s="351"/>
      <c r="S77" s="223">
        <f t="shared" si="36"/>
        <v>20041.442959999997</v>
      </c>
      <c r="T77" s="351"/>
      <c r="U77" s="223">
        <f t="shared" si="37"/>
        <v>0</v>
      </c>
      <c r="V77" s="351"/>
      <c r="W77" s="223">
        <f t="shared" si="38"/>
        <v>147592.43499000001</v>
      </c>
      <c r="Y77" s="224"/>
      <c r="Z77" s="381">
        <v>635.6</v>
      </c>
      <c r="AB77" s="383" t="s">
        <v>32</v>
      </c>
      <c r="AC77" s="208"/>
      <c r="AD77" s="392">
        <f t="shared" si="39"/>
        <v>5</v>
      </c>
      <c r="AE77" s="131"/>
      <c r="AF77" s="392">
        <f t="shared" si="40"/>
        <v>533017.1</v>
      </c>
      <c r="AG77" s="613"/>
      <c r="AH77" s="282">
        <f t="shared" si="41"/>
        <v>160011.73341999998</v>
      </c>
      <c r="AI77" s="282"/>
      <c r="AJ77" s="282">
        <f t="shared" si="42"/>
        <v>0</v>
      </c>
      <c r="AK77" s="282"/>
      <c r="AL77" s="282">
        <f t="shared" si="43"/>
        <v>225412.93158999999</v>
      </c>
      <c r="AM77" s="282"/>
      <c r="AN77" s="282">
        <f t="shared" si="44"/>
        <v>0</v>
      </c>
      <c r="AO77" s="282"/>
      <c r="AP77" s="282">
        <f t="shared" si="45"/>
        <v>0</v>
      </c>
      <c r="AQ77" s="282"/>
      <c r="AR77" s="282">
        <f t="shared" si="46"/>
        <v>0</v>
      </c>
      <c r="AS77" s="153"/>
      <c r="AT77" s="153">
        <f t="shared" si="47"/>
        <v>147592.43499000001</v>
      </c>
      <c r="AV77" s="224"/>
    </row>
    <row r="78" spans="2:48" s="154" customFormat="1" x14ac:dyDescent="0.25">
      <c r="B78" s="559"/>
      <c r="C78" s="428">
        <v>635.6</v>
      </c>
      <c r="E78" s="389" t="s">
        <v>36</v>
      </c>
      <c r="F78" s="208"/>
      <c r="G78" s="141">
        <v>5</v>
      </c>
      <c r="H78" s="209"/>
      <c r="I78" s="612">
        <v>5274.6</v>
      </c>
      <c r="J78" s="379"/>
      <c r="K78" s="223">
        <f t="shared" si="32"/>
        <v>2155.20156</v>
      </c>
      <c r="L78" s="351"/>
      <c r="M78" s="223">
        <f t="shared" si="33"/>
        <v>996.89940000000013</v>
      </c>
      <c r="N78" s="351"/>
      <c r="O78" s="223">
        <f t="shared" si="34"/>
        <v>312.25632000000002</v>
      </c>
      <c r="P78" s="351"/>
      <c r="Q78" s="223">
        <f t="shared" si="35"/>
        <v>151.38102000000001</v>
      </c>
      <c r="R78" s="351"/>
      <c r="S78" s="223">
        <f t="shared" si="36"/>
        <v>198.32495999999998</v>
      </c>
      <c r="T78" s="351"/>
      <c r="U78" s="223">
        <f t="shared" si="37"/>
        <v>0</v>
      </c>
      <c r="V78" s="351"/>
      <c r="W78" s="223">
        <f t="shared" si="38"/>
        <v>1460.5367400000002</v>
      </c>
      <c r="Y78" s="224"/>
      <c r="Z78" s="381">
        <v>635.6</v>
      </c>
      <c r="AB78" s="383" t="s">
        <v>36</v>
      </c>
      <c r="AC78" s="208"/>
      <c r="AD78" s="392">
        <f t="shared" si="39"/>
        <v>5</v>
      </c>
      <c r="AE78" s="131"/>
      <c r="AF78" s="392">
        <f t="shared" si="40"/>
        <v>5274.6</v>
      </c>
      <c r="AG78" s="613"/>
      <c r="AH78" s="282">
        <f t="shared" si="41"/>
        <v>1583.4349199999999</v>
      </c>
      <c r="AI78" s="282"/>
      <c r="AJ78" s="282">
        <f t="shared" si="42"/>
        <v>0</v>
      </c>
      <c r="AK78" s="282"/>
      <c r="AL78" s="282">
        <f t="shared" si="43"/>
        <v>2230.6283400000002</v>
      </c>
      <c r="AM78" s="282"/>
      <c r="AN78" s="282">
        <f t="shared" si="44"/>
        <v>0</v>
      </c>
      <c r="AO78" s="282"/>
      <c r="AP78" s="282">
        <f t="shared" si="45"/>
        <v>0</v>
      </c>
      <c r="AQ78" s="282"/>
      <c r="AR78" s="282">
        <f t="shared" si="46"/>
        <v>0</v>
      </c>
      <c r="AS78" s="153"/>
      <c r="AT78" s="153">
        <f t="shared" si="47"/>
        <v>1460.5367400000002</v>
      </c>
      <c r="AV78" s="224"/>
    </row>
    <row r="79" spans="2:48" s="154" customFormat="1" x14ac:dyDescent="0.25">
      <c r="B79" s="559"/>
      <c r="C79" s="428">
        <v>635.6</v>
      </c>
      <c r="E79" s="389" t="s">
        <v>33</v>
      </c>
      <c r="F79" s="208"/>
      <c r="G79" s="141">
        <v>6</v>
      </c>
      <c r="H79" s="209"/>
      <c r="I79" s="612">
        <v>726226.78</v>
      </c>
      <c r="J79" s="379"/>
      <c r="K79" s="223">
        <f t="shared" si="32"/>
        <v>335226.281648</v>
      </c>
      <c r="L79" s="351"/>
      <c r="M79" s="223">
        <f t="shared" si="33"/>
        <v>159116.28749799999</v>
      </c>
      <c r="N79" s="351"/>
      <c r="O79" s="223">
        <f t="shared" si="34"/>
        <v>52651.441549999996</v>
      </c>
      <c r="P79" s="351"/>
      <c r="Q79" s="223">
        <f t="shared" si="35"/>
        <v>25417.937300000005</v>
      </c>
      <c r="R79" s="351"/>
      <c r="S79" s="223">
        <f t="shared" si="36"/>
        <v>10094.552242</v>
      </c>
      <c r="T79" s="351"/>
      <c r="U79" s="223">
        <f t="shared" si="37"/>
        <v>0</v>
      </c>
      <c r="V79" s="351"/>
      <c r="W79" s="223">
        <f t="shared" si="38"/>
        <v>143720.27976199999</v>
      </c>
      <c r="Y79" s="224"/>
      <c r="Z79" s="381">
        <v>635.6</v>
      </c>
      <c r="AB79" s="383" t="s">
        <v>33</v>
      </c>
      <c r="AC79" s="208"/>
      <c r="AD79" s="392">
        <f t="shared" si="39"/>
        <v>6</v>
      </c>
      <c r="AE79" s="131"/>
      <c r="AF79" s="392">
        <f t="shared" si="40"/>
        <v>726226.78</v>
      </c>
      <c r="AG79" s="613"/>
      <c r="AH79" s="282">
        <f t="shared" si="41"/>
        <v>275022.08158599999</v>
      </c>
      <c r="AI79" s="282"/>
      <c r="AJ79" s="282">
        <f t="shared" si="42"/>
        <v>59986.332028000004</v>
      </c>
      <c r="AK79" s="282"/>
      <c r="AL79" s="282">
        <f t="shared" si="43"/>
        <v>247498.08662400002</v>
      </c>
      <c r="AM79" s="282"/>
      <c r="AN79" s="282">
        <f t="shared" si="44"/>
        <v>0</v>
      </c>
      <c r="AO79" s="282"/>
      <c r="AP79" s="282">
        <f t="shared" si="45"/>
        <v>0</v>
      </c>
      <c r="AQ79" s="282"/>
      <c r="AR79" s="282">
        <f t="shared" si="46"/>
        <v>0</v>
      </c>
      <c r="AS79" s="153"/>
      <c r="AT79" s="153">
        <f t="shared" si="47"/>
        <v>143720.27976199999</v>
      </c>
      <c r="AV79" s="224"/>
    </row>
    <row r="80" spans="2:48" s="154" customFormat="1" x14ac:dyDescent="0.25">
      <c r="B80" s="559"/>
      <c r="C80" s="428">
        <v>635.6</v>
      </c>
      <c r="E80" s="389" t="s">
        <v>34</v>
      </c>
      <c r="F80" s="208"/>
      <c r="G80" s="141">
        <v>9</v>
      </c>
      <c r="H80" s="209"/>
      <c r="I80" s="612">
        <v>95985.93</v>
      </c>
      <c r="J80" s="379"/>
      <c r="K80" s="223">
        <f t="shared" si="32"/>
        <v>82279.139195999989</v>
      </c>
      <c r="L80" s="351"/>
      <c r="M80" s="223">
        <f t="shared" si="33"/>
        <v>11777.473610999999</v>
      </c>
      <c r="N80" s="351"/>
      <c r="O80" s="223">
        <f t="shared" si="34"/>
        <v>479.92964999999998</v>
      </c>
      <c r="P80" s="351"/>
      <c r="Q80" s="223">
        <f t="shared" si="35"/>
        <v>1401.3945779999999</v>
      </c>
      <c r="R80" s="351"/>
      <c r="S80" s="223">
        <f t="shared" si="36"/>
        <v>47.992964999999998</v>
      </c>
      <c r="T80" s="351"/>
      <c r="U80" s="223">
        <f t="shared" si="37"/>
        <v>0</v>
      </c>
      <c r="V80" s="351"/>
      <c r="W80" s="223">
        <f t="shared" si="38"/>
        <v>0</v>
      </c>
      <c r="Y80" s="224"/>
      <c r="Z80" s="381">
        <v>635.6</v>
      </c>
      <c r="AB80" s="383" t="s">
        <v>34</v>
      </c>
      <c r="AC80" s="208"/>
      <c r="AD80" s="392">
        <f t="shared" si="39"/>
        <v>9</v>
      </c>
      <c r="AE80" s="131"/>
      <c r="AF80" s="392">
        <f t="shared" si="40"/>
        <v>95985.93</v>
      </c>
      <c r="AG80" s="613"/>
      <c r="AH80" s="282">
        <f t="shared" si="41"/>
        <v>0</v>
      </c>
      <c r="AI80" s="282"/>
      <c r="AJ80" s="282">
        <f t="shared" si="42"/>
        <v>0</v>
      </c>
      <c r="AK80" s="282"/>
      <c r="AL80" s="282">
        <f t="shared" si="43"/>
        <v>0</v>
      </c>
      <c r="AM80" s="282"/>
      <c r="AN80" s="282">
        <f t="shared" si="44"/>
        <v>0</v>
      </c>
      <c r="AO80" s="282"/>
      <c r="AP80" s="282">
        <f t="shared" si="45"/>
        <v>95985.93</v>
      </c>
      <c r="AQ80" s="282"/>
      <c r="AR80" s="282">
        <f t="shared" si="46"/>
        <v>0</v>
      </c>
      <c r="AS80" s="153"/>
      <c r="AT80" s="153">
        <f t="shared" si="47"/>
        <v>0</v>
      </c>
      <c r="AV80" s="224"/>
    </row>
    <row r="81" spans="2:48" s="154" customFormat="1" x14ac:dyDescent="0.25">
      <c r="B81" s="559"/>
      <c r="C81" s="428">
        <v>642.6</v>
      </c>
      <c r="E81" s="389" t="s">
        <v>42</v>
      </c>
      <c r="F81" s="208"/>
      <c r="G81" s="141">
        <v>11</v>
      </c>
      <c r="H81" s="209"/>
      <c r="I81" s="612">
        <v>27215.67</v>
      </c>
      <c r="J81" s="379"/>
      <c r="K81" s="223">
        <f t="shared" si="32"/>
        <v>13139.725476</v>
      </c>
      <c r="L81" s="351"/>
      <c r="M81" s="223">
        <f t="shared" si="33"/>
        <v>5418.639897</v>
      </c>
      <c r="N81" s="351"/>
      <c r="O81" s="223">
        <f t="shared" si="34"/>
        <v>1681.928406</v>
      </c>
      <c r="P81" s="351"/>
      <c r="Q81" s="223">
        <f t="shared" si="35"/>
        <v>846.40733699999987</v>
      </c>
      <c r="R81" s="351"/>
      <c r="S81" s="223">
        <f t="shared" si="36"/>
        <v>405.51348299999995</v>
      </c>
      <c r="T81" s="351"/>
      <c r="U81" s="223">
        <f t="shared" si="37"/>
        <v>0</v>
      </c>
      <c r="V81" s="351"/>
      <c r="W81" s="223">
        <f t="shared" si="38"/>
        <v>5723.4554009999993</v>
      </c>
      <c r="Y81" s="224"/>
      <c r="Z81" s="381">
        <v>642.6</v>
      </c>
      <c r="AB81" s="383" t="s">
        <v>42</v>
      </c>
      <c r="AC81" s="208"/>
      <c r="AD81" s="392">
        <f t="shared" si="39"/>
        <v>11</v>
      </c>
      <c r="AE81" s="131"/>
      <c r="AF81" s="392">
        <f t="shared" si="40"/>
        <v>27215.67</v>
      </c>
      <c r="AG81" s="613"/>
      <c r="AH81" s="282">
        <f t="shared" si="41"/>
        <v>8681.7987300000004</v>
      </c>
      <c r="AI81" s="282"/>
      <c r="AJ81" s="282">
        <f t="shared" si="42"/>
        <v>1684.6499729999998</v>
      </c>
      <c r="AK81" s="282"/>
      <c r="AL81" s="282">
        <f t="shared" si="43"/>
        <v>8300.7793499999989</v>
      </c>
      <c r="AM81" s="282"/>
      <c r="AN81" s="282">
        <f t="shared" si="44"/>
        <v>0</v>
      </c>
      <c r="AO81" s="282"/>
      <c r="AP81" s="282">
        <f t="shared" si="45"/>
        <v>2824.9865460000001</v>
      </c>
      <c r="AQ81" s="282"/>
      <c r="AR81" s="282">
        <f t="shared" si="46"/>
        <v>0</v>
      </c>
      <c r="AS81" s="153"/>
      <c r="AT81" s="153">
        <f t="shared" si="47"/>
        <v>5723.4554009999993</v>
      </c>
      <c r="AV81" s="224"/>
    </row>
    <row r="82" spans="2:48" s="154" customFormat="1" x14ac:dyDescent="0.25">
      <c r="B82" s="559"/>
      <c r="C82" s="428">
        <v>650.6</v>
      </c>
      <c r="E82" s="389" t="s">
        <v>43</v>
      </c>
      <c r="F82" s="208"/>
      <c r="G82" s="141">
        <v>11</v>
      </c>
      <c r="H82" s="209"/>
      <c r="I82" s="614">
        <v>379705.59999999998</v>
      </c>
      <c r="J82" s="379"/>
      <c r="K82" s="397">
        <f t="shared" si="32"/>
        <v>183321.86367999998</v>
      </c>
      <c r="L82" s="351"/>
      <c r="M82" s="397">
        <f t="shared" si="33"/>
        <v>75599.384959999996</v>
      </c>
      <c r="N82" s="351"/>
      <c r="O82" s="397">
        <f t="shared" si="34"/>
        <v>23465.806079999998</v>
      </c>
      <c r="P82" s="351"/>
      <c r="Q82" s="397">
        <f t="shared" si="35"/>
        <v>11808.844159999999</v>
      </c>
      <c r="R82" s="351"/>
      <c r="S82" s="397">
        <f t="shared" si="36"/>
        <v>5657.6134400000001</v>
      </c>
      <c r="T82" s="351"/>
      <c r="U82" s="397">
        <f t="shared" si="37"/>
        <v>0</v>
      </c>
      <c r="V82" s="351"/>
      <c r="W82" s="397">
        <f t="shared" si="38"/>
        <v>79852.087679999997</v>
      </c>
      <c r="Y82" s="224"/>
      <c r="Z82" s="381">
        <v>650.6</v>
      </c>
      <c r="AB82" s="383" t="s">
        <v>43</v>
      </c>
      <c r="AC82" s="208"/>
      <c r="AD82" s="392">
        <f t="shared" si="39"/>
        <v>11</v>
      </c>
      <c r="AE82" s="131"/>
      <c r="AF82" s="393">
        <f t="shared" si="40"/>
        <v>379705.59999999998</v>
      </c>
      <c r="AG82" s="613"/>
      <c r="AH82" s="397">
        <f t="shared" si="41"/>
        <v>121126.0864</v>
      </c>
      <c r="AI82" s="282"/>
      <c r="AJ82" s="397">
        <f t="shared" si="42"/>
        <v>23503.776639999996</v>
      </c>
      <c r="AK82" s="282"/>
      <c r="AL82" s="397">
        <f t="shared" si="43"/>
        <v>115810.20799999998</v>
      </c>
      <c r="AM82" s="282"/>
      <c r="AN82" s="397">
        <f t="shared" si="44"/>
        <v>0</v>
      </c>
      <c r="AO82" s="282"/>
      <c r="AP82" s="397">
        <f t="shared" si="45"/>
        <v>39413.441279999999</v>
      </c>
      <c r="AQ82" s="282"/>
      <c r="AR82" s="397">
        <f t="shared" si="46"/>
        <v>0</v>
      </c>
      <c r="AS82" s="153"/>
      <c r="AT82" s="140">
        <f t="shared" si="47"/>
        <v>79852.087679999997</v>
      </c>
      <c r="AV82" s="224"/>
    </row>
    <row r="83" spans="2:48" s="154" customFormat="1" x14ac:dyDescent="0.25">
      <c r="B83" s="394"/>
      <c r="C83" s="428"/>
      <c r="E83" s="386" t="s">
        <v>53</v>
      </c>
      <c r="F83" s="208"/>
      <c r="G83" s="141"/>
      <c r="H83" s="209"/>
      <c r="I83" s="612">
        <f>SUM(I65:I82)</f>
        <v>6100587.4016204085</v>
      </c>
      <c r="J83" s="379"/>
      <c r="K83" s="282">
        <f>SUM(K65:K82)</f>
        <v>2945544.8415017175</v>
      </c>
      <c r="L83" s="282"/>
      <c r="M83" s="282">
        <f>SUM(M65:M82)</f>
        <v>1214711.5622583863</v>
      </c>
      <c r="N83" s="282"/>
      <c r="O83" s="282">
        <f>SUM(O65:O82)</f>
        <v>377034.87276481889</v>
      </c>
      <c r="P83" s="282"/>
      <c r="Q83" s="282">
        <f>SUM(Q65:Q82)</f>
        <v>189797.20204082297</v>
      </c>
      <c r="R83" s="282"/>
      <c r="S83" s="282">
        <f>SUM(S65:S82)</f>
        <v>90749.596112922896</v>
      </c>
      <c r="T83" s="282"/>
      <c r="U83" s="282">
        <f>SUM(U65:U82)</f>
        <v>0</v>
      </c>
      <c r="V83" s="282"/>
      <c r="W83" s="282">
        <f>SUM(W65:W82)</f>
        <v>1282749.3269417421</v>
      </c>
      <c r="Y83" s="224"/>
      <c r="Z83" s="381"/>
      <c r="AB83" s="386" t="s">
        <v>53</v>
      </c>
      <c r="AC83" s="208"/>
      <c r="AD83" s="141"/>
      <c r="AF83" s="282">
        <f>SUM(AF65:AF82)</f>
        <v>6100587.4016204085</v>
      </c>
      <c r="AG83" s="613"/>
      <c r="AH83" s="282">
        <f>SUM(AH65:AH82)</f>
        <v>1946390.5910996543</v>
      </c>
      <c r="AI83" s="613"/>
      <c r="AJ83" s="282">
        <f>SUM(AJ65:AJ82)</f>
        <v>377835.18461324065</v>
      </c>
      <c r="AK83" s="613"/>
      <c r="AL83" s="282">
        <f>SUM(AL65:AL82)</f>
        <v>1860558.7057718593</v>
      </c>
      <c r="AM83" s="613"/>
      <c r="AN83" s="282">
        <f>SUM(AN65:AN82)</f>
        <v>0</v>
      </c>
      <c r="AO83" s="613"/>
      <c r="AP83" s="282">
        <f>SUM(AP65:AP82)</f>
        <v>633053.59319391358</v>
      </c>
      <c r="AQ83" s="613"/>
      <c r="AR83" s="282">
        <f>SUM(AR65:AR82)</f>
        <v>0</v>
      </c>
      <c r="AT83" s="153">
        <f>SUM(AT65:AT82)</f>
        <v>1282749.3269417421</v>
      </c>
      <c r="AV83" s="224"/>
    </row>
    <row r="84" spans="2:48" s="154" customFormat="1" x14ac:dyDescent="0.25">
      <c r="B84" s="394"/>
      <c r="C84" s="428"/>
      <c r="E84" s="282"/>
      <c r="F84" s="208"/>
      <c r="G84" s="141"/>
      <c r="H84" s="209"/>
      <c r="I84" s="612"/>
      <c r="J84" s="379"/>
      <c r="K84" s="282"/>
      <c r="L84" s="282"/>
      <c r="M84" s="282"/>
      <c r="N84" s="282"/>
      <c r="O84" s="282"/>
      <c r="P84" s="282"/>
      <c r="Q84" s="282"/>
      <c r="R84" s="282"/>
      <c r="S84" s="282"/>
      <c r="T84" s="282"/>
      <c r="U84" s="282"/>
      <c r="V84" s="282"/>
      <c r="W84" s="282"/>
      <c r="Y84" s="224"/>
      <c r="Z84" s="381"/>
      <c r="AB84" s="282"/>
      <c r="AC84" s="208"/>
      <c r="AD84" s="141"/>
      <c r="AF84" s="613"/>
      <c r="AG84" s="613"/>
      <c r="AH84" s="613"/>
      <c r="AI84" s="613"/>
      <c r="AJ84" s="613"/>
      <c r="AK84" s="613"/>
      <c r="AL84" s="613"/>
      <c r="AM84" s="613"/>
      <c r="AN84" s="613"/>
      <c r="AO84" s="613"/>
      <c r="AP84" s="613"/>
      <c r="AQ84" s="613"/>
      <c r="AR84" s="613"/>
      <c r="AT84" s="374"/>
      <c r="AV84" s="224"/>
    </row>
    <row r="85" spans="2:48" s="154" customFormat="1" x14ac:dyDescent="0.25">
      <c r="B85" s="394"/>
      <c r="C85" s="428"/>
      <c r="E85" s="379" t="s">
        <v>57</v>
      </c>
      <c r="F85" s="208"/>
      <c r="G85" s="141"/>
      <c r="H85" s="209"/>
      <c r="I85" s="612">
        <f>+I61+I83</f>
        <v>8910650.5949540008</v>
      </c>
      <c r="J85" s="379"/>
      <c r="K85" s="282">
        <f>+K61+K83</f>
        <v>4286910.2414985038</v>
      </c>
      <c r="L85" s="282"/>
      <c r="M85" s="282">
        <f>+M61+M83</f>
        <v>1898006.4768587765</v>
      </c>
      <c r="N85" s="282"/>
      <c r="O85" s="282">
        <f>+O61+O83</f>
        <v>621880.37421050435</v>
      </c>
      <c r="P85" s="282"/>
      <c r="Q85" s="282">
        <f>+Q61+Q83</f>
        <v>308144.99796749873</v>
      </c>
      <c r="R85" s="282"/>
      <c r="S85" s="282">
        <f>+S61+S83</f>
        <v>196169.81943125982</v>
      </c>
      <c r="T85" s="282"/>
      <c r="U85" s="282">
        <f>+U61+U83</f>
        <v>0</v>
      </c>
      <c r="V85" s="282"/>
      <c r="W85" s="282">
        <f>+W61+W83</f>
        <v>1599538.6849874598</v>
      </c>
      <c r="Y85" s="224"/>
      <c r="Z85" s="381"/>
      <c r="AB85" s="379" t="s">
        <v>57</v>
      </c>
      <c r="AC85" s="208"/>
      <c r="AD85" s="141"/>
      <c r="AF85" s="282">
        <f>+AF61+AF83</f>
        <v>8910650.5949540008</v>
      </c>
      <c r="AG85" s="613"/>
      <c r="AH85" s="282">
        <f>+AH61+AH83</f>
        <v>3779016.8161640856</v>
      </c>
      <c r="AI85" s="613"/>
      <c r="AJ85" s="282">
        <f>+AJ61+AJ83</f>
        <v>506719.20115659537</v>
      </c>
      <c r="AK85" s="613"/>
      <c r="AL85" s="282">
        <f>+AL61+AL83</f>
        <v>2392322.2994519472</v>
      </c>
      <c r="AM85" s="613"/>
      <c r="AN85" s="282">
        <f>+AN61+AN83</f>
        <v>0</v>
      </c>
      <c r="AO85" s="613"/>
      <c r="AP85" s="282">
        <f>+AP61+AP83</f>
        <v>633053.59319391358</v>
      </c>
      <c r="AQ85" s="613"/>
      <c r="AR85" s="282">
        <f>+AR61+AR83</f>
        <v>0</v>
      </c>
      <c r="AT85" s="153">
        <f>+AT61+AT83</f>
        <v>1599538.6849874598</v>
      </c>
      <c r="AV85" s="224"/>
    </row>
    <row r="86" spans="2:48" s="154" customFormat="1" x14ac:dyDescent="0.25">
      <c r="B86" s="394"/>
      <c r="C86" s="429"/>
      <c r="D86" s="353"/>
      <c r="E86" s="282"/>
      <c r="F86" s="208"/>
      <c r="G86" s="141"/>
      <c r="H86" s="209"/>
      <c r="I86" s="612"/>
      <c r="J86" s="379"/>
      <c r="K86" s="282"/>
      <c r="L86" s="282"/>
      <c r="M86" s="282"/>
      <c r="N86" s="282"/>
      <c r="O86" s="282"/>
      <c r="P86" s="282"/>
      <c r="Q86" s="282"/>
      <c r="R86" s="282"/>
      <c r="S86" s="282"/>
      <c r="T86" s="282"/>
      <c r="U86" s="282"/>
      <c r="V86" s="282"/>
      <c r="W86" s="282"/>
      <c r="Y86" s="224"/>
      <c r="Z86" s="381"/>
      <c r="AA86" s="353"/>
      <c r="AB86" s="282"/>
      <c r="AC86" s="208"/>
      <c r="AD86" s="141"/>
      <c r="AF86" s="613"/>
      <c r="AG86" s="613"/>
      <c r="AH86" s="282"/>
      <c r="AI86" s="282"/>
      <c r="AJ86" s="282"/>
      <c r="AK86" s="282"/>
      <c r="AL86" s="282"/>
      <c r="AM86" s="282"/>
      <c r="AN86" s="282"/>
      <c r="AO86" s="282"/>
      <c r="AP86" s="282"/>
      <c r="AQ86" s="282"/>
      <c r="AR86" s="282"/>
      <c r="AS86" s="153"/>
      <c r="AT86" s="153"/>
      <c r="AV86" s="224"/>
    </row>
    <row r="87" spans="2:48" s="290" customFormat="1" x14ac:dyDescent="0.25">
      <c r="B87" s="510"/>
      <c r="C87" s="429"/>
      <c r="D87" s="353"/>
      <c r="E87" s="379" t="s">
        <v>118</v>
      </c>
      <c r="F87" s="208"/>
      <c r="G87" s="141"/>
      <c r="H87" s="209"/>
      <c r="I87" s="612"/>
      <c r="J87" s="379"/>
      <c r="K87" s="282"/>
      <c r="L87" s="353"/>
      <c r="M87" s="282"/>
      <c r="N87" s="353"/>
      <c r="O87" s="282"/>
      <c r="P87" s="353"/>
      <c r="Q87" s="282"/>
      <c r="R87" s="353"/>
      <c r="S87" s="282"/>
      <c r="T87" s="353"/>
      <c r="U87" s="282"/>
      <c r="V87" s="353"/>
      <c r="W87" s="282"/>
      <c r="Y87" s="224"/>
      <c r="Z87" s="382"/>
      <c r="AA87" s="353"/>
      <c r="AB87" s="379" t="s">
        <v>118</v>
      </c>
      <c r="AC87" s="208"/>
      <c r="AD87" s="141"/>
      <c r="AF87" s="353"/>
      <c r="AG87" s="353"/>
      <c r="AH87" s="282"/>
      <c r="AI87" s="282"/>
      <c r="AJ87" s="282"/>
      <c r="AK87" s="282"/>
      <c r="AL87" s="282"/>
      <c r="AM87" s="282"/>
      <c r="AN87" s="282"/>
      <c r="AO87" s="282"/>
      <c r="AP87" s="282"/>
      <c r="AQ87" s="282"/>
      <c r="AR87" s="282"/>
      <c r="AS87" s="153"/>
      <c r="AT87" s="153"/>
      <c r="AV87" s="224"/>
    </row>
    <row r="88" spans="2:48" s="290" customFormat="1" x14ac:dyDescent="0.25">
      <c r="B88" s="562"/>
      <c r="C88" s="431">
        <v>601.70000000000005</v>
      </c>
      <c r="D88" s="353"/>
      <c r="E88" s="380" t="s">
        <v>119</v>
      </c>
      <c r="F88" s="208"/>
      <c r="G88" s="141">
        <v>12</v>
      </c>
      <c r="H88" s="209"/>
      <c r="I88" s="612">
        <v>66389.156313770858</v>
      </c>
      <c r="J88" s="379"/>
      <c r="K88" s="223">
        <f t="shared" ref="K88:K102" si="49">(VLOOKUP($G88,Factors,K$316))*$I88</f>
        <v>61022.920808928757</v>
      </c>
      <c r="L88" s="351"/>
      <c r="M88" s="223">
        <f t="shared" ref="M88:M102" si="50">(VLOOKUP($G88,Factors,M$316))*$I88</f>
        <v>4900.1836275194273</v>
      </c>
      <c r="N88" s="351"/>
      <c r="O88" s="223">
        <f t="shared" ref="O88:O102" si="51">(VLOOKUP($G88,Factors,O$316))*$I88</f>
        <v>80.330879139662727</v>
      </c>
      <c r="P88" s="351"/>
      <c r="Q88" s="223">
        <f t="shared" ref="Q88:Q102" si="52">(VLOOKUP($G88,Factors,Q$316))*$I88</f>
        <v>373.10705848339222</v>
      </c>
      <c r="R88" s="351"/>
      <c r="S88" s="223">
        <f t="shared" ref="S88:S102" si="53">(VLOOKUP($G88,Factors,S$316))*$I88</f>
        <v>12.613939699616465</v>
      </c>
      <c r="T88" s="351"/>
      <c r="U88" s="223">
        <f t="shared" ref="U88:U102" si="54">(VLOOKUP($G88,Factors,U$316))*$I88</f>
        <v>0</v>
      </c>
      <c r="V88" s="351"/>
      <c r="W88" s="223">
        <f t="shared" ref="W88:W102" si="55">(VLOOKUP($G88,Factors,W$316))*$I88</f>
        <v>0</v>
      </c>
      <c r="Y88" s="224"/>
      <c r="Z88" s="382">
        <v>601.70000000000005</v>
      </c>
      <c r="AA88" s="353"/>
      <c r="AB88" s="380" t="s">
        <v>119</v>
      </c>
      <c r="AC88" s="208"/>
      <c r="AD88" s="392">
        <f t="shared" ref="AD88:AD102" si="56">+G88</f>
        <v>12</v>
      </c>
      <c r="AE88" s="131"/>
      <c r="AF88" s="392">
        <f t="shared" ref="AF88:AF102" si="57">+I88</f>
        <v>66389.156313770858</v>
      </c>
      <c r="AG88" s="353"/>
      <c r="AH88" s="282">
        <f t="shared" ref="AH88:AH102" si="58">(VLOOKUP($AD88,func,AH$316))*$AF88</f>
        <v>0</v>
      </c>
      <c r="AI88" s="282"/>
      <c r="AJ88" s="282">
        <f t="shared" ref="AJ88:AJ102" si="59">(VLOOKUP($AD88,func,AJ$316))*$AF88</f>
        <v>0</v>
      </c>
      <c r="AK88" s="282"/>
      <c r="AL88" s="282">
        <f t="shared" ref="AL88:AL102" si="60">(VLOOKUP($AD88,func,AL$316))*$AF88</f>
        <v>0</v>
      </c>
      <c r="AM88" s="282"/>
      <c r="AN88" s="282">
        <f t="shared" ref="AN88:AN102" si="61">(VLOOKUP($AD88,func,AN$316))*$AF88</f>
        <v>0</v>
      </c>
      <c r="AO88" s="282"/>
      <c r="AP88" s="282">
        <f t="shared" ref="AP88:AP102" si="62">(VLOOKUP($AD88,func,AP$316))*$AF88</f>
        <v>0</v>
      </c>
      <c r="AQ88" s="282"/>
      <c r="AR88" s="282">
        <f t="shared" ref="AR88:AR102" si="63">(VLOOKUP($AD88,func,AR$316))*$AF88</f>
        <v>66389.156313770858</v>
      </c>
      <c r="AS88" s="153"/>
      <c r="AT88" s="153">
        <f t="shared" ref="AT88:AT102" si="64">(VLOOKUP($AD88,func,AT$316))*$AF88</f>
        <v>0</v>
      </c>
      <c r="AV88" s="224"/>
    </row>
    <row r="89" spans="2:48" s="154" customFormat="1" x14ac:dyDescent="0.25">
      <c r="B89" s="559"/>
      <c r="C89" s="428">
        <v>601.70000000000005</v>
      </c>
      <c r="D89" s="353"/>
      <c r="E89" s="383" t="s">
        <v>8</v>
      </c>
      <c r="F89" s="208"/>
      <c r="G89" s="141">
        <v>8</v>
      </c>
      <c r="H89" s="209"/>
      <c r="I89" s="612">
        <v>401595.7909896301</v>
      </c>
      <c r="J89" s="379"/>
      <c r="K89" s="223">
        <f t="shared" si="49"/>
        <v>321678.22858269373</v>
      </c>
      <c r="L89" s="351"/>
      <c r="M89" s="223">
        <f t="shared" si="50"/>
        <v>66745.220462476515</v>
      </c>
      <c r="N89" s="351"/>
      <c r="O89" s="223">
        <f t="shared" si="51"/>
        <v>3815.160014401486</v>
      </c>
      <c r="P89" s="351"/>
      <c r="Q89" s="223">
        <f t="shared" si="52"/>
        <v>8955.5861390687514</v>
      </c>
      <c r="R89" s="351"/>
      <c r="S89" s="223">
        <f t="shared" si="53"/>
        <v>401.59579098963013</v>
      </c>
      <c r="T89" s="351"/>
      <c r="U89" s="223">
        <f t="shared" si="54"/>
        <v>0</v>
      </c>
      <c r="V89" s="351"/>
      <c r="W89" s="223">
        <f t="shared" si="55"/>
        <v>0</v>
      </c>
      <c r="Y89" s="224"/>
      <c r="Z89" s="381">
        <v>601.70000000000005</v>
      </c>
      <c r="AA89" s="353"/>
      <c r="AB89" s="383" t="s">
        <v>8</v>
      </c>
      <c r="AC89" s="208"/>
      <c r="AD89" s="392">
        <f>+G89</f>
        <v>8</v>
      </c>
      <c r="AE89" s="131"/>
      <c r="AF89" s="392">
        <f>+I89</f>
        <v>401595.7909896301</v>
      </c>
      <c r="AG89" s="282"/>
      <c r="AH89" s="282">
        <f t="shared" si="58"/>
        <v>0</v>
      </c>
      <c r="AI89" s="282"/>
      <c r="AJ89" s="282">
        <f t="shared" si="59"/>
        <v>0</v>
      </c>
      <c r="AK89" s="282"/>
      <c r="AL89" s="282">
        <f t="shared" si="60"/>
        <v>0</v>
      </c>
      <c r="AM89" s="282"/>
      <c r="AN89" s="282">
        <f t="shared" si="61"/>
        <v>401595.7909896301</v>
      </c>
      <c r="AO89" s="282"/>
      <c r="AP89" s="282">
        <f t="shared" si="62"/>
        <v>0</v>
      </c>
      <c r="AQ89" s="282"/>
      <c r="AR89" s="282">
        <f t="shared" si="63"/>
        <v>0</v>
      </c>
      <c r="AS89" s="153"/>
      <c r="AT89" s="153">
        <f t="shared" si="64"/>
        <v>0</v>
      </c>
      <c r="AV89" s="224"/>
    </row>
    <row r="90" spans="2:48" s="290" customFormat="1" x14ac:dyDescent="0.25">
      <c r="B90" s="562"/>
      <c r="C90" s="431">
        <v>601.70000000000005</v>
      </c>
      <c r="D90" s="353"/>
      <c r="E90" s="380" t="s">
        <v>121</v>
      </c>
      <c r="F90" s="208"/>
      <c r="G90" s="141">
        <v>8</v>
      </c>
      <c r="H90" s="209"/>
      <c r="I90" s="612">
        <v>625476.12879999494</v>
      </c>
      <c r="J90" s="379"/>
      <c r="K90" s="223">
        <f t="shared" si="49"/>
        <v>501006.379168796</v>
      </c>
      <c r="L90" s="351"/>
      <c r="M90" s="223">
        <f t="shared" si="50"/>
        <v>103954.13260655916</v>
      </c>
      <c r="N90" s="351"/>
      <c r="O90" s="223">
        <f t="shared" si="51"/>
        <v>5942.023223599952</v>
      </c>
      <c r="P90" s="351"/>
      <c r="Q90" s="223">
        <f t="shared" si="52"/>
        <v>13948.117672239887</v>
      </c>
      <c r="R90" s="351"/>
      <c r="S90" s="223">
        <f t="shared" si="53"/>
        <v>625.47612879999497</v>
      </c>
      <c r="T90" s="351"/>
      <c r="U90" s="223">
        <f t="shared" si="54"/>
        <v>0</v>
      </c>
      <c r="V90" s="351"/>
      <c r="W90" s="223">
        <f t="shared" si="55"/>
        <v>0</v>
      </c>
      <c r="Y90" s="224"/>
      <c r="Z90" s="382">
        <v>601.70000000000005</v>
      </c>
      <c r="AA90" s="353"/>
      <c r="AB90" s="380" t="s">
        <v>121</v>
      </c>
      <c r="AC90" s="208"/>
      <c r="AD90" s="392">
        <f t="shared" si="56"/>
        <v>8</v>
      </c>
      <c r="AE90" s="131"/>
      <c r="AF90" s="392">
        <f t="shared" si="57"/>
        <v>625476.12879999494</v>
      </c>
      <c r="AG90" s="353"/>
      <c r="AH90" s="282">
        <f t="shared" si="58"/>
        <v>0</v>
      </c>
      <c r="AI90" s="282"/>
      <c r="AJ90" s="282">
        <f t="shared" si="59"/>
        <v>0</v>
      </c>
      <c r="AK90" s="282"/>
      <c r="AL90" s="282">
        <f t="shared" si="60"/>
        <v>0</v>
      </c>
      <c r="AM90" s="282"/>
      <c r="AN90" s="282">
        <f t="shared" si="61"/>
        <v>625476.12879999494</v>
      </c>
      <c r="AO90" s="282"/>
      <c r="AP90" s="282">
        <f t="shared" si="62"/>
        <v>0</v>
      </c>
      <c r="AQ90" s="282"/>
      <c r="AR90" s="282">
        <f t="shared" si="63"/>
        <v>0</v>
      </c>
      <c r="AS90" s="153"/>
      <c r="AT90" s="153">
        <f t="shared" si="64"/>
        <v>0</v>
      </c>
      <c r="AV90" s="224"/>
    </row>
    <row r="91" spans="2:48" s="290" customFormat="1" x14ac:dyDescent="0.25">
      <c r="B91" s="562"/>
      <c r="C91" s="431">
        <v>601.70000000000005</v>
      </c>
      <c r="D91" s="353"/>
      <c r="E91" s="380" t="s">
        <v>120</v>
      </c>
      <c r="F91" s="208"/>
      <c r="G91" s="141">
        <v>12</v>
      </c>
      <c r="H91" s="209"/>
      <c r="I91" s="612">
        <v>656972.07578152989</v>
      </c>
      <c r="J91" s="379"/>
      <c r="K91" s="223">
        <f t="shared" si="49"/>
        <v>603869.0228961088</v>
      </c>
      <c r="L91" s="351"/>
      <c r="M91" s="223">
        <f t="shared" si="50"/>
        <v>48491.10891343472</v>
      </c>
      <c r="N91" s="351"/>
      <c r="O91" s="223">
        <f t="shared" si="51"/>
        <v>794.93621169565108</v>
      </c>
      <c r="P91" s="351"/>
      <c r="Q91" s="223">
        <f t="shared" si="52"/>
        <v>3692.1830658921981</v>
      </c>
      <c r="R91" s="351"/>
      <c r="S91" s="223">
        <f t="shared" si="53"/>
        <v>124.82469439849069</v>
      </c>
      <c r="T91" s="351"/>
      <c r="U91" s="223">
        <f t="shared" si="54"/>
        <v>0</v>
      </c>
      <c r="V91" s="351"/>
      <c r="W91" s="223">
        <f t="shared" si="55"/>
        <v>0</v>
      </c>
      <c r="Y91" s="224"/>
      <c r="Z91" s="382">
        <v>601.70000000000005</v>
      </c>
      <c r="AA91" s="353"/>
      <c r="AB91" s="380" t="s">
        <v>120</v>
      </c>
      <c r="AC91" s="208"/>
      <c r="AD91" s="392">
        <f t="shared" si="56"/>
        <v>12</v>
      </c>
      <c r="AE91" s="131"/>
      <c r="AF91" s="392">
        <f t="shared" si="57"/>
        <v>656972.07578152989</v>
      </c>
      <c r="AG91" s="353"/>
      <c r="AH91" s="282">
        <f t="shared" si="58"/>
        <v>0</v>
      </c>
      <c r="AI91" s="282"/>
      <c r="AJ91" s="282">
        <f t="shared" si="59"/>
        <v>0</v>
      </c>
      <c r="AK91" s="282"/>
      <c r="AL91" s="282">
        <f t="shared" si="60"/>
        <v>0</v>
      </c>
      <c r="AM91" s="282"/>
      <c r="AN91" s="282">
        <f t="shared" si="61"/>
        <v>0</v>
      </c>
      <c r="AO91" s="282"/>
      <c r="AP91" s="282">
        <f t="shared" si="62"/>
        <v>0</v>
      </c>
      <c r="AQ91" s="282"/>
      <c r="AR91" s="282">
        <f t="shared" si="63"/>
        <v>656972.07578152989</v>
      </c>
      <c r="AS91" s="153"/>
      <c r="AT91" s="153">
        <f t="shared" si="64"/>
        <v>0</v>
      </c>
      <c r="AV91" s="224"/>
    </row>
    <row r="92" spans="2:48" s="154" customFormat="1" x14ac:dyDescent="0.25">
      <c r="B92" s="586"/>
      <c r="C92" s="428">
        <v>620.70000000000005</v>
      </c>
      <c r="D92" s="353"/>
      <c r="E92" s="380" t="s">
        <v>16</v>
      </c>
      <c r="F92" s="208"/>
      <c r="G92" s="141">
        <v>12</v>
      </c>
      <c r="H92" s="209"/>
      <c r="I92" s="612">
        <v>96952.62</v>
      </c>
      <c r="J92" s="379"/>
      <c r="K92" s="223">
        <f t="shared" si="49"/>
        <v>89115.939725399992</v>
      </c>
      <c r="L92" s="351"/>
      <c r="M92" s="223">
        <f t="shared" si="50"/>
        <v>7156.0728822000001</v>
      </c>
      <c r="N92" s="351"/>
      <c r="O92" s="223">
        <f t="shared" si="51"/>
        <v>117.31267019999999</v>
      </c>
      <c r="P92" s="351"/>
      <c r="Q92" s="223">
        <f t="shared" si="52"/>
        <v>544.87372440000001</v>
      </c>
      <c r="R92" s="351"/>
      <c r="S92" s="223">
        <f t="shared" si="53"/>
        <v>18.420997799999999</v>
      </c>
      <c r="T92" s="351"/>
      <c r="U92" s="223">
        <f t="shared" si="54"/>
        <v>0</v>
      </c>
      <c r="V92" s="351"/>
      <c r="W92" s="223">
        <f t="shared" si="55"/>
        <v>0</v>
      </c>
      <c r="Y92" s="224"/>
      <c r="Z92" s="381">
        <v>620.70000000000005</v>
      </c>
      <c r="AA92" s="353"/>
      <c r="AB92" s="380" t="s">
        <v>16</v>
      </c>
      <c r="AC92" s="208"/>
      <c r="AD92" s="392">
        <f t="shared" si="56"/>
        <v>12</v>
      </c>
      <c r="AE92" s="131"/>
      <c r="AF92" s="392">
        <f t="shared" si="57"/>
        <v>96952.62</v>
      </c>
      <c r="AG92" s="282"/>
      <c r="AH92" s="282">
        <f t="shared" si="58"/>
        <v>0</v>
      </c>
      <c r="AI92" s="282"/>
      <c r="AJ92" s="282">
        <f t="shared" si="59"/>
        <v>0</v>
      </c>
      <c r="AK92" s="282"/>
      <c r="AL92" s="282">
        <f t="shared" si="60"/>
        <v>0</v>
      </c>
      <c r="AM92" s="282"/>
      <c r="AN92" s="282">
        <f t="shared" si="61"/>
        <v>0</v>
      </c>
      <c r="AO92" s="282"/>
      <c r="AP92" s="282">
        <f t="shared" si="62"/>
        <v>0</v>
      </c>
      <c r="AQ92" s="282"/>
      <c r="AR92" s="282">
        <f t="shared" si="63"/>
        <v>96952.62</v>
      </c>
      <c r="AS92" s="153"/>
      <c r="AT92" s="153">
        <f t="shared" si="64"/>
        <v>0</v>
      </c>
      <c r="AV92" s="224"/>
    </row>
    <row r="93" spans="2:48" s="154" customFormat="1" x14ac:dyDescent="0.25">
      <c r="B93" s="559"/>
      <c r="C93" s="428">
        <v>620.70000000000005</v>
      </c>
      <c r="D93" s="353"/>
      <c r="E93" s="380" t="s">
        <v>21</v>
      </c>
      <c r="F93" s="208"/>
      <c r="G93" s="141">
        <v>12</v>
      </c>
      <c r="H93" s="209"/>
      <c r="I93" s="612">
        <v>156081.29999999999</v>
      </c>
      <c r="J93" s="379"/>
      <c r="K93" s="223">
        <f t="shared" si="49"/>
        <v>143465.24852099997</v>
      </c>
      <c r="L93" s="351"/>
      <c r="M93" s="223">
        <f t="shared" si="50"/>
        <v>11520.360752999999</v>
      </c>
      <c r="N93" s="351"/>
      <c r="O93" s="223">
        <f t="shared" si="51"/>
        <v>188.85837299999997</v>
      </c>
      <c r="P93" s="351"/>
      <c r="Q93" s="223">
        <f t="shared" si="52"/>
        <v>877.17690599999992</v>
      </c>
      <c r="R93" s="351"/>
      <c r="S93" s="223">
        <f t="shared" si="53"/>
        <v>29.655446999999999</v>
      </c>
      <c r="T93" s="351"/>
      <c r="U93" s="223">
        <f t="shared" si="54"/>
        <v>0</v>
      </c>
      <c r="V93" s="351"/>
      <c r="W93" s="223">
        <f t="shared" si="55"/>
        <v>0</v>
      </c>
      <c r="Y93" s="224"/>
      <c r="Z93" s="381">
        <v>620.70000000000005</v>
      </c>
      <c r="AA93" s="353"/>
      <c r="AB93" s="380" t="s">
        <v>21</v>
      </c>
      <c r="AC93" s="208"/>
      <c r="AD93" s="392">
        <f t="shared" si="56"/>
        <v>12</v>
      </c>
      <c r="AE93" s="131"/>
      <c r="AF93" s="392">
        <f t="shared" si="57"/>
        <v>156081.29999999999</v>
      </c>
      <c r="AG93" s="613"/>
      <c r="AH93" s="282">
        <f t="shared" si="58"/>
        <v>0</v>
      </c>
      <c r="AI93" s="282"/>
      <c r="AJ93" s="282">
        <f t="shared" si="59"/>
        <v>0</v>
      </c>
      <c r="AK93" s="282"/>
      <c r="AL93" s="282">
        <f t="shared" si="60"/>
        <v>0</v>
      </c>
      <c r="AM93" s="282"/>
      <c r="AN93" s="282">
        <f t="shared" si="61"/>
        <v>0</v>
      </c>
      <c r="AO93" s="282"/>
      <c r="AP93" s="282">
        <f t="shared" si="62"/>
        <v>0</v>
      </c>
      <c r="AQ93" s="282"/>
      <c r="AR93" s="282">
        <f t="shared" si="63"/>
        <v>156081.29999999999</v>
      </c>
      <c r="AS93" s="153"/>
      <c r="AT93" s="153">
        <f t="shared" si="64"/>
        <v>0</v>
      </c>
      <c r="AV93" s="224"/>
    </row>
    <row r="94" spans="2:48" s="154" customFormat="1" x14ac:dyDescent="0.25">
      <c r="B94" s="394"/>
      <c r="C94" s="428">
        <v>633.70000000000005</v>
      </c>
      <c r="D94" s="353"/>
      <c r="E94" s="380" t="s">
        <v>464</v>
      </c>
      <c r="F94" s="208"/>
      <c r="G94" s="141">
        <v>12</v>
      </c>
      <c r="H94" s="209"/>
      <c r="I94" s="612">
        <v>0</v>
      </c>
      <c r="J94" s="379"/>
      <c r="K94" s="223">
        <f t="shared" si="49"/>
        <v>0</v>
      </c>
      <c r="L94" s="351"/>
      <c r="M94" s="223">
        <f t="shared" si="50"/>
        <v>0</v>
      </c>
      <c r="N94" s="351"/>
      <c r="O94" s="223">
        <f t="shared" si="51"/>
        <v>0</v>
      </c>
      <c r="P94" s="351"/>
      <c r="Q94" s="223">
        <f t="shared" si="52"/>
        <v>0</v>
      </c>
      <c r="R94" s="351"/>
      <c r="S94" s="223">
        <f t="shared" si="53"/>
        <v>0</v>
      </c>
      <c r="T94" s="351"/>
      <c r="U94" s="223">
        <f t="shared" si="54"/>
        <v>0</v>
      </c>
      <c r="V94" s="351"/>
      <c r="W94" s="223">
        <f t="shared" si="55"/>
        <v>0</v>
      </c>
      <c r="Y94" s="224"/>
      <c r="Z94" s="381">
        <v>633.70000000000005</v>
      </c>
      <c r="AA94" s="353"/>
      <c r="AB94" s="380" t="s">
        <v>25</v>
      </c>
      <c r="AC94" s="208"/>
      <c r="AD94" s="392">
        <f t="shared" si="56"/>
        <v>12</v>
      </c>
      <c r="AE94" s="131"/>
      <c r="AF94" s="392">
        <f t="shared" si="57"/>
        <v>0</v>
      </c>
      <c r="AG94" s="282"/>
      <c r="AH94" s="282">
        <f t="shared" si="58"/>
        <v>0</v>
      </c>
      <c r="AI94" s="282"/>
      <c r="AJ94" s="282">
        <f t="shared" si="59"/>
        <v>0</v>
      </c>
      <c r="AK94" s="282"/>
      <c r="AL94" s="282">
        <f t="shared" si="60"/>
        <v>0</v>
      </c>
      <c r="AM94" s="282"/>
      <c r="AN94" s="282">
        <f t="shared" si="61"/>
        <v>0</v>
      </c>
      <c r="AO94" s="282"/>
      <c r="AP94" s="282">
        <f t="shared" si="62"/>
        <v>0</v>
      </c>
      <c r="AQ94" s="282"/>
      <c r="AR94" s="282">
        <f t="shared" si="63"/>
        <v>0</v>
      </c>
      <c r="AS94" s="153"/>
      <c r="AT94" s="153">
        <f t="shared" si="64"/>
        <v>0</v>
      </c>
      <c r="AV94" s="224"/>
    </row>
    <row r="95" spans="2:48" s="154" customFormat="1" x14ac:dyDescent="0.25">
      <c r="B95" s="559"/>
      <c r="C95" s="428">
        <v>633.70000000000005</v>
      </c>
      <c r="D95" s="353"/>
      <c r="E95" s="380" t="s">
        <v>26</v>
      </c>
      <c r="F95" s="208"/>
      <c r="G95" s="141">
        <v>12</v>
      </c>
      <c r="H95" s="209"/>
      <c r="I95" s="612">
        <v>0</v>
      </c>
      <c r="J95" s="379"/>
      <c r="K95" s="223">
        <f t="shared" si="49"/>
        <v>0</v>
      </c>
      <c r="L95" s="351"/>
      <c r="M95" s="223">
        <f t="shared" si="50"/>
        <v>0</v>
      </c>
      <c r="N95" s="351"/>
      <c r="O95" s="223">
        <f t="shared" si="51"/>
        <v>0</v>
      </c>
      <c r="P95" s="351"/>
      <c r="Q95" s="223">
        <f t="shared" si="52"/>
        <v>0</v>
      </c>
      <c r="R95" s="351"/>
      <c r="S95" s="223">
        <f t="shared" si="53"/>
        <v>0</v>
      </c>
      <c r="T95" s="351"/>
      <c r="U95" s="223">
        <f t="shared" si="54"/>
        <v>0</v>
      </c>
      <c r="V95" s="351"/>
      <c r="W95" s="223">
        <f t="shared" si="55"/>
        <v>0</v>
      </c>
      <c r="Y95" s="224"/>
      <c r="Z95" s="381">
        <v>633.70000000000005</v>
      </c>
      <c r="AA95" s="353"/>
      <c r="AB95" s="380" t="s">
        <v>26</v>
      </c>
      <c r="AC95" s="208"/>
      <c r="AD95" s="392">
        <f t="shared" si="56"/>
        <v>12</v>
      </c>
      <c r="AE95" s="131"/>
      <c r="AF95" s="392">
        <f t="shared" si="57"/>
        <v>0</v>
      </c>
      <c r="AG95" s="613"/>
      <c r="AH95" s="282">
        <f t="shared" si="58"/>
        <v>0</v>
      </c>
      <c r="AI95" s="282"/>
      <c r="AJ95" s="282">
        <f t="shared" si="59"/>
        <v>0</v>
      </c>
      <c r="AK95" s="282"/>
      <c r="AL95" s="282">
        <f t="shared" si="60"/>
        <v>0</v>
      </c>
      <c r="AM95" s="282"/>
      <c r="AN95" s="282">
        <f t="shared" si="61"/>
        <v>0</v>
      </c>
      <c r="AO95" s="282"/>
      <c r="AP95" s="282">
        <f t="shared" si="62"/>
        <v>0</v>
      </c>
      <c r="AQ95" s="282"/>
      <c r="AR95" s="282">
        <f t="shared" si="63"/>
        <v>0</v>
      </c>
      <c r="AS95" s="153"/>
      <c r="AT95" s="153">
        <f t="shared" si="64"/>
        <v>0</v>
      </c>
      <c r="AV95" s="224"/>
    </row>
    <row r="96" spans="2:48" s="154" customFormat="1" x14ac:dyDescent="0.25">
      <c r="B96" s="559"/>
      <c r="C96" s="428">
        <v>635.70000000000005</v>
      </c>
      <c r="E96" s="380" t="s">
        <v>35</v>
      </c>
      <c r="F96" s="208"/>
      <c r="G96" s="141">
        <v>12</v>
      </c>
      <c r="H96" s="209"/>
      <c r="I96" s="612">
        <v>1366</v>
      </c>
      <c r="J96" s="379"/>
      <c r="K96" s="223">
        <f t="shared" si="49"/>
        <v>1255.5862199999999</v>
      </c>
      <c r="L96" s="351"/>
      <c r="M96" s="223">
        <f t="shared" si="50"/>
        <v>100.82446</v>
      </c>
      <c r="N96" s="351"/>
      <c r="O96" s="223">
        <f t="shared" si="51"/>
        <v>1.65286</v>
      </c>
      <c r="P96" s="351"/>
      <c r="Q96" s="223">
        <f t="shared" si="52"/>
        <v>7.67692</v>
      </c>
      <c r="R96" s="351"/>
      <c r="S96" s="223">
        <f t="shared" si="53"/>
        <v>0.25953999999999999</v>
      </c>
      <c r="T96" s="351"/>
      <c r="U96" s="223">
        <f t="shared" si="54"/>
        <v>0</v>
      </c>
      <c r="V96" s="351"/>
      <c r="W96" s="223">
        <f t="shared" si="55"/>
        <v>0</v>
      </c>
      <c r="Y96" s="224"/>
      <c r="Z96" s="381">
        <v>635.70000000000005</v>
      </c>
      <c r="AB96" s="380" t="s">
        <v>35</v>
      </c>
      <c r="AC96" s="208"/>
      <c r="AD96" s="392">
        <f t="shared" si="56"/>
        <v>12</v>
      </c>
      <c r="AE96" s="131"/>
      <c r="AF96" s="392">
        <f t="shared" si="57"/>
        <v>1366</v>
      </c>
      <c r="AG96" s="613"/>
      <c r="AH96" s="282">
        <f t="shared" si="58"/>
        <v>0</v>
      </c>
      <c r="AI96" s="282"/>
      <c r="AJ96" s="282">
        <f t="shared" si="59"/>
        <v>0</v>
      </c>
      <c r="AK96" s="282"/>
      <c r="AL96" s="282">
        <f t="shared" si="60"/>
        <v>0</v>
      </c>
      <c r="AM96" s="282"/>
      <c r="AN96" s="282">
        <f t="shared" si="61"/>
        <v>0</v>
      </c>
      <c r="AO96" s="282"/>
      <c r="AP96" s="282">
        <f t="shared" si="62"/>
        <v>0</v>
      </c>
      <c r="AQ96" s="282"/>
      <c r="AR96" s="282">
        <f t="shared" si="63"/>
        <v>1366</v>
      </c>
      <c r="AS96" s="153"/>
      <c r="AT96" s="153">
        <f t="shared" si="64"/>
        <v>0</v>
      </c>
      <c r="AV96" s="224"/>
    </row>
    <row r="97" spans="2:48" s="154" customFormat="1" x14ac:dyDescent="0.25">
      <c r="B97" s="559"/>
      <c r="C97" s="428">
        <v>635.70000000000005</v>
      </c>
      <c r="E97" s="380" t="s">
        <v>37</v>
      </c>
      <c r="F97" s="208"/>
      <c r="G97" s="141">
        <v>12</v>
      </c>
      <c r="H97" s="209"/>
      <c r="I97" s="612">
        <v>33240.559999999998</v>
      </c>
      <c r="J97" s="379"/>
      <c r="K97" s="223">
        <f t="shared" si="49"/>
        <v>30553.725535199996</v>
      </c>
      <c r="L97" s="351"/>
      <c r="M97" s="223">
        <f t="shared" si="50"/>
        <v>2453.4857336</v>
      </c>
      <c r="N97" s="351"/>
      <c r="O97" s="223">
        <f t="shared" si="51"/>
        <v>40.221077599999994</v>
      </c>
      <c r="P97" s="351"/>
      <c r="Q97" s="223">
        <f t="shared" si="52"/>
        <v>186.81194719999999</v>
      </c>
      <c r="R97" s="351"/>
      <c r="S97" s="223">
        <f t="shared" si="53"/>
        <v>6.3157063999999998</v>
      </c>
      <c r="T97" s="351"/>
      <c r="U97" s="223">
        <f t="shared" si="54"/>
        <v>0</v>
      </c>
      <c r="V97" s="351"/>
      <c r="W97" s="223">
        <f t="shared" si="55"/>
        <v>0</v>
      </c>
      <c r="Y97" s="224"/>
      <c r="Z97" s="381">
        <v>635.70000000000005</v>
      </c>
      <c r="AB97" s="380" t="s">
        <v>37</v>
      </c>
      <c r="AC97" s="208"/>
      <c r="AD97" s="392">
        <f t="shared" si="56"/>
        <v>12</v>
      </c>
      <c r="AE97" s="131"/>
      <c r="AF97" s="392">
        <f t="shared" si="57"/>
        <v>33240.559999999998</v>
      </c>
      <c r="AG97" s="613"/>
      <c r="AH97" s="282">
        <f t="shared" si="58"/>
        <v>0</v>
      </c>
      <c r="AI97" s="282"/>
      <c r="AJ97" s="282">
        <f t="shared" si="59"/>
        <v>0</v>
      </c>
      <c r="AK97" s="282"/>
      <c r="AL97" s="282">
        <f t="shared" si="60"/>
        <v>0</v>
      </c>
      <c r="AM97" s="282"/>
      <c r="AN97" s="282">
        <f t="shared" si="61"/>
        <v>0</v>
      </c>
      <c r="AO97" s="282"/>
      <c r="AP97" s="282">
        <f t="shared" si="62"/>
        <v>0</v>
      </c>
      <c r="AQ97" s="282"/>
      <c r="AR97" s="282">
        <f t="shared" si="63"/>
        <v>33240.559999999998</v>
      </c>
      <c r="AS97" s="153"/>
      <c r="AT97" s="153">
        <f t="shared" si="64"/>
        <v>0</v>
      </c>
      <c r="AV97" s="224"/>
    </row>
    <row r="98" spans="2:48" s="154" customFormat="1" x14ac:dyDescent="0.25">
      <c r="B98" s="559"/>
      <c r="C98" s="428">
        <v>635.70000000000005</v>
      </c>
      <c r="E98" s="380" t="s">
        <v>38</v>
      </c>
      <c r="F98" s="208"/>
      <c r="G98" s="141">
        <v>12</v>
      </c>
      <c r="H98" s="209"/>
      <c r="I98" s="612">
        <v>30220.7</v>
      </c>
      <c r="J98" s="379"/>
      <c r="K98" s="223">
        <f t="shared" si="49"/>
        <v>27777.960819</v>
      </c>
      <c r="L98" s="351"/>
      <c r="M98" s="223">
        <f t="shared" si="50"/>
        <v>2230.5898670000001</v>
      </c>
      <c r="N98" s="351"/>
      <c r="O98" s="223">
        <f t="shared" si="51"/>
        <v>36.567046999999995</v>
      </c>
      <c r="P98" s="351"/>
      <c r="Q98" s="223">
        <f t="shared" si="52"/>
        <v>169.84033400000001</v>
      </c>
      <c r="R98" s="351"/>
      <c r="S98" s="223">
        <f t="shared" si="53"/>
        <v>5.7419330000000004</v>
      </c>
      <c r="T98" s="351"/>
      <c r="U98" s="223">
        <f t="shared" si="54"/>
        <v>0</v>
      </c>
      <c r="V98" s="351"/>
      <c r="W98" s="223">
        <f t="shared" si="55"/>
        <v>0</v>
      </c>
      <c r="Y98" s="224"/>
      <c r="Z98" s="381">
        <v>635.70000000000005</v>
      </c>
      <c r="AB98" s="380" t="s">
        <v>38</v>
      </c>
      <c r="AC98" s="208"/>
      <c r="AD98" s="392">
        <f t="shared" si="56"/>
        <v>12</v>
      </c>
      <c r="AE98" s="131"/>
      <c r="AF98" s="392">
        <f t="shared" si="57"/>
        <v>30220.7</v>
      </c>
      <c r="AG98" s="613"/>
      <c r="AH98" s="282">
        <f t="shared" si="58"/>
        <v>0</v>
      </c>
      <c r="AI98" s="282"/>
      <c r="AJ98" s="282">
        <f t="shared" si="59"/>
        <v>0</v>
      </c>
      <c r="AK98" s="282"/>
      <c r="AL98" s="282">
        <f t="shared" si="60"/>
        <v>0</v>
      </c>
      <c r="AM98" s="282"/>
      <c r="AN98" s="282">
        <f t="shared" si="61"/>
        <v>0</v>
      </c>
      <c r="AO98" s="282"/>
      <c r="AP98" s="282">
        <f t="shared" si="62"/>
        <v>0</v>
      </c>
      <c r="AQ98" s="282"/>
      <c r="AR98" s="282">
        <f t="shared" si="63"/>
        <v>30220.7</v>
      </c>
      <c r="AS98" s="153"/>
      <c r="AT98" s="153">
        <f t="shared" si="64"/>
        <v>0</v>
      </c>
      <c r="AV98" s="224"/>
    </row>
    <row r="99" spans="2:48" s="154" customFormat="1" x14ac:dyDescent="0.25">
      <c r="B99" s="559"/>
      <c r="C99" s="428">
        <v>635.70000000000005</v>
      </c>
      <c r="E99" s="380" t="s">
        <v>39</v>
      </c>
      <c r="F99" s="208"/>
      <c r="G99" s="141">
        <v>12</v>
      </c>
      <c r="H99" s="209"/>
      <c r="I99" s="612">
        <v>250707.57</v>
      </c>
      <c r="J99" s="379"/>
      <c r="K99" s="223">
        <f t="shared" si="49"/>
        <v>230442.8771169</v>
      </c>
      <c r="L99" s="351"/>
      <c r="M99" s="223">
        <f t="shared" si="50"/>
        <v>18504.7257417</v>
      </c>
      <c r="N99" s="351"/>
      <c r="O99" s="223">
        <f t="shared" si="51"/>
        <v>303.35615969999998</v>
      </c>
      <c r="P99" s="351"/>
      <c r="Q99" s="223">
        <f t="shared" si="52"/>
        <v>1408.9765434000001</v>
      </c>
      <c r="R99" s="351"/>
      <c r="S99" s="223">
        <f t="shared" si="53"/>
        <v>47.634438300000006</v>
      </c>
      <c r="T99" s="351"/>
      <c r="U99" s="223">
        <f t="shared" si="54"/>
        <v>0</v>
      </c>
      <c r="V99" s="351"/>
      <c r="W99" s="223">
        <f t="shared" si="55"/>
        <v>0</v>
      </c>
      <c r="Y99" s="224"/>
      <c r="Z99" s="381">
        <v>635.70000000000005</v>
      </c>
      <c r="AB99" s="380" t="s">
        <v>39</v>
      </c>
      <c r="AC99" s="208"/>
      <c r="AD99" s="392">
        <f t="shared" si="56"/>
        <v>12</v>
      </c>
      <c r="AE99" s="131"/>
      <c r="AF99" s="392">
        <f t="shared" si="57"/>
        <v>250707.57</v>
      </c>
      <c r="AG99" s="613"/>
      <c r="AH99" s="282">
        <f t="shared" si="58"/>
        <v>0</v>
      </c>
      <c r="AI99" s="282"/>
      <c r="AJ99" s="282">
        <f t="shared" si="59"/>
        <v>0</v>
      </c>
      <c r="AK99" s="282"/>
      <c r="AL99" s="282">
        <f t="shared" si="60"/>
        <v>0</v>
      </c>
      <c r="AM99" s="282"/>
      <c r="AN99" s="282">
        <f t="shared" si="61"/>
        <v>0</v>
      </c>
      <c r="AO99" s="282"/>
      <c r="AP99" s="282">
        <f t="shared" si="62"/>
        <v>0</v>
      </c>
      <c r="AQ99" s="282"/>
      <c r="AR99" s="282">
        <f t="shared" si="63"/>
        <v>250707.57</v>
      </c>
      <c r="AS99" s="153"/>
      <c r="AT99" s="153">
        <f t="shared" si="64"/>
        <v>0</v>
      </c>
      <c r="AV99" s="224"/>
    </row>
    <row r="100" spans="2:48" s="154" customFormat="1" x14ac:dyDescent="0.25">
      <c r="B100" s="559"/>
      <c r="C100" s="428">
        <v>635.70000000000005</v>
      </c>
      <c r="E100" s="380" t="s">
        <v>41</v>
      </c>
      <c r="F100" s="208"/>
      <c r="G100" s="141">
        <v>12</v>
      </c>
      <c r="H100" s="209"/>
      <c r="I100" s="612">
        <v>43989.98</v>
      </c>
      <c r="J100" s="379"/>
      <c r="K100" s="223">
        <f t="shared" si="49"/>
        <v>40434.269916600002</v>
      </c>
      <c r="L100" s="351"/>
      <c r="M100" s="223">
        <f t="shared" si="50"/>
        <v>3246.9004238000002</v>
      </c>
      <c r="N100" s="351"/>
      <c r="O100" s="223">
        <f t="shared" si="51"/>
        <v>53.2278758</v>
      </c>
      <c r="P100" s="351"/>
      <c r="Q100" s="223">
        <f t="shared" si="52"/>
        <v>247.22368760000001</v>
      </c>
      <c r="R100" s="351"/>
      <c r="S100" s="223">
        <f t="shared" si="53"/>
        <v>8.3580962000000003</v>
      </c>
      <c r="T100" s="351"/>
      <c r="U100" s="223">
        <f t="shared" si="54"/>
        <v>0</v>
      </c>
      <c r="V100" s="351"/>
      <c r="W100" s="223">
        <f t="shared" si="55"/>
        <v>0</v>
      </c>
      <c r="Y100" s="224"/>
      <c r="Z100" s="381">
        <v>635.70000000000005</v>
      </c>
      <c r="AB100" s="380" t="s">
        <v>41</v>
      </c>
      <c r="AC100" s="208"/>
      <c r="AD100" s="392">
        <f t="shared" si="56"/>
        <v>12</v>
      </c>
      <c r="AE100" s="131"/>
      <c r="AF100" s="392">
        <f t="shared" si="57"/>
        <v>43989.98</v>
      </c>
      <c r="AG100" s="613"/>
      <c r="AH100" s="282">
        <f t="shared" si="58"/>
        <v>0</v>
      </c>
      <c r="AI100" s="282"/>
      <c r="AJ100" s="282">
        <f t="shared" si="59"/>
        <v>0</v>
      </c>
      <c r="AK100" s="282"/>
      <c r="AL100" s="282">
        <f t="shared" si="60"/>
        <v>0</v>
      </c>
      <c r="AM100" s="282"/>
      <c r="AN100" s="282">
        <f t="shared" si="61"/>
        <v>0</v>
      </c>
      <c r="AO100" s="282"/>
      <c r="AP100" s="282">
        <f t="shared" si="62"/>
        <v>0</v>
      </c>
      <c r="AQ100" s="282"/>
      <c r="AR100" s="282">
        <f t="shared" si="63"/>
        <v>43989.98</v>
      </c>
      <c r="AS100" s="153"/>
      <c r="AT100" s="153">
        <f t="shared" si="64"/>
        <v>0</v>
      </c>
      <c r="AV100" s="224"/>
    </row>
    <row r="101" spans="2:48" s="154" customFormat="1" x14ac:dyDescent="0.25">
      <c r="B101" s="559"/>
      <c r="C101" s="428">
        <v>635.70000000000005</v>
      </c>
      <c r="E101" s="380" t="s">
        <v>31</v>
      </c>
      <c r="F101" s="208"/>
      <c r="G101" s="141">
        <v>12</v>
      </c>
      <c r="H101" s="209"/>
      <c r="I101" s="612">
        <v>39995.040000000001</v>
      </c>
      <c r="J101" s="379"/>
      <c r="K101" s="223">
        <f t="shared" si="49"/>
        <v>36762.240916800001</v>
      </c>
      <c r="L101" s="351"/>
      <c r="M101" s="223">
        <f t="shared" si="50"/>
        <v>2952.0339024</v>
      </c>
      <c r="N101" s="351"/>
      <c r="O101" s="223">
        <f t="shared" si="51"/>
        <v>48.393998400000001</v>
      </c>
      <c r="P101" s="351"/>
      <c r="Q101" s="223">
        <f t="shared" si="52"/>
        <v>224.7721248</v>
      </c>
      <c r="R101" s="351"/>
      <c r="S101" s="223">
        <f t="shared" si="53"/>
        <v>7.599057600000001</v>
      </c>
      <c r="T101" s="351"/>
      <c r="U101" s="223">
        <f t="shared" si="54"/>
        <v>0</v>
      </c>
      <c r="V101" s="351"/>
      <c r="W101" s="223">
        <f t="shared" si="55"/>
        <v>0</v>
      </c>
      <c r="Y101" s="224"/>
      <c r="Z101" s="381">
        <v>635.70000000000005</v>
      </c>
      <c r="AB101" s="380" t="s">
        <v>31</v>
      </c>
      <c r="AC101" s="208"/>
      <c r="AD101" s="392">
        <f t="shared" si="56"/>
        <v>12</v>
      </c>
      <c r="AE101" s="131"/>
      <c r="AF101" s="392">
        <f t="shared" si="57"/>
        <v>39995.040000000001</v>
      </c>
      <c r="AG101" s="613"/>
      <c r="AH101" s="282">
        <f t="shared" si="58"/>
        <v>0</v>
      </c>
      <c r="AI101" s="282"/>
      <c r="AJ101" s="282">
        <f t="shared" si="59"/>
        <v>0</v>
      </c>
      <c r="AK101" s="282"/>
      <c r="AL101" s="282">
        <f t="shared" si="60"/>
        <v>0</v>
      </c>
      <c r="AM101" s="282"/>
      <c r="AN101" s="282">
        <f t="shared" si="61"/>
        <v>0</v>
      </c>
      <c r="AO101" s="282"/>
      <c r="AP101" s="282">
        <f t="shared" si="62"/>
        <v>0</v>
      </c>
      <c r="AQ101" s="282"/>
      <c r="AR101" s="282">
        <f t="shared" si="63"/>
        <v>39995.040000000001</v>
      </c>
      <c r="AS101" s="153"/>
      <c r="AT101" s="153">
        <f t="shared" si="64"/>
        <v>0</v>
      </c>
      <c r="AV101" s="224"/>
    </row>
    <row r="102" spans="2:48" s="154" customFormat="1" x14ac:dyDescent="0.25">
      <c r="B102" s="559"/>
      <c r="C102" s="428">
        <v>650.70000000000005</v>
      </c>
      <c r="E102" s="380" t="s">
        <v>43</v>
      </c>
      <c r="F102" s="208"/>
      <c r="G102" s="141">
        <v>12</v>
      </c>
      <c r="H102" s="209"/>
      <c r="I102" s="614">
        <v>132754.57</v>
      </c>
      <c r="J102" s="379"/>
      <c r="K102" s="397">
        <f t="shared" si="49"/>
        <v>122024.0181069</v>
      </c>
      <c r="L102" s="351"/>
      <c r="M102" s="397">
        <f t="shared" si="50"/>
        <v>9798.6148117000012</v>
      </c>
      <c r="N102" s="351"/>
      <c r="O102" s="397">
        <f t="shared" si="51"/>
        <v>160.63302970000001</v>
      </c>
      <c r="P102" s="351"/>
      <c r="Q102" s="397">
        <f t="shared" si="52"/>
        <v>746.0806834</v>
      </c>
      <c r="R102" s="351"/>
      <c r="S102" s="397">
        <f t="shared" si="53"/>
        <v>25.223368300000004</v>
      </c>
      <c r="T102" s="351"/>
      <c r="U102" s="397">
        <f t="shared" si="54"/>
        <v>0</v>
      </c>
      <c r="V102" s="351"/>
      <c r="W102" s="397">
        <f t="shared" si="55"/>
        <v>0</v>
      </c>
      <c r="Y102" s="224"/>
      <c r="Z102" s="381">
        <v>650.70000000000005</v>
      </c>
      <c r="AB102" s="380" t="s">
        <v>43</v>
      </c>
      <c r="AC102" s="208"/>
      <c r="AD102" s="392">
        <f t="shared" si="56"/>
        <v>12</v>
      </c>
      <c r="AE102" s="131"/>
      <c r="AF102" s="393">
        <f t="shared" si="57"/>
        <v>132754.57</v>
      </c>
      <c r="AG102" s="613"/>
      <c r="AH102" s="397">
        <f t="shared" si="58"/>
        <v>0</v>
      </c>
      <c r="AI102" s="613"/>
      <c r="AJ102" s="397">
        <f t="shared" si="59"/>
        <v>0</v>
      </c>
      <c r="AK102" s="613"/>
      <c r="AL102" s="397">
        <f t="shared" si="60"/>
        <v>0</v>
      </c>
      <c r="AM102" s="613"/>
      <c r="AN102" s="397">
        <f t="shared" si="61"/>
        <v>0</v>
      </c>
      <c r="AO102" s="613"/>
      <c r="AP102" s="397">
        <f t="shared" si="62"/>
        <v>0</v>
      </c>
      <c r="AQ102" s="613"/>
      <c r="AR102" s="397">
        <f t="shared" si="63"/>
        <v>132754.57</v>
      </c>
      <c r="AT102" s="140">
        <f t="shared" si="64"/>
        <v>0</v>
      </c>
      <c r="AV102" s="224"/>
    </row>
    <row r="103" spans="2:48" s="154" customFormat="1" x14ac:dyDescent="0.25">
      <c r="B103" s="559"/>
      <c r="C103" s="428"/>
      <c r="E103" s="387"/>
      <c r="F103" s="208"/>
      <c r="G103" s="141"/>
      <c r="H103" s="209"/>
      <c r="I103" s="612"/>
      <c r="J103" s="379"/>
      <c r="K103" s="282"/>
      <c r="L103" s="353"/>
      <c r="M103" s="353"/>
      <c r="N103" s="353"/>
      <c r="O103" s="353"/>
      <c r="P103" s="353"/>
      <c r="Q103" s="353"/>
      <c r="R103" s="353"/>
      <c r="S103" s="353"/>
      <c r="T103" s="353"/>
      <c r="U103" s="353"/>
      <c r="V103" s="353"/>
      <c r="W103" s="353"/>
      <c r="Y103" s="224"/>
      <c r="Z103" s="381"/>
      <c r="AB103" s="387"/>
      <c r="AC103" s="208"/>
      <c r="AD103" s="141"/>
      <c r="AF103" s="613"/>
      <c r="AG103" s="613"/>
      <c r="AH103" s="613"/>
      <c r="AI103" s="613"/>
      <c r="AJ103" s="613"/>
      <c r="AK103" s="613"/>
      <c r="AL103" s="613"/>
      <c r="AM103" s="613"/>
      <c r="AN103" s="613"/>
      <c r="AO103" s="613"/>
      <c r="AP103" s="613"/>
      <c r="AQ103" s="613"/>
      <c r="AR103" s="613"/>
      <c r="AV103" s="224"/>
    </row>
    <row r="104" spans="2:48" s="154" customFormat="1" x14ac:dyDescent="0.25">
      <c r="B104" s="559"/>
      <c r="C104" s="428"/>
      <c r="E104" s="386" t="s">
        <v>58</v>
      </c>
      <c r="F104" s="208"/>
      <c r="G104" s="141"/>
      <c r="H104" s="209"/>
      <c r="I104" s="612">
        <f>SUM(I88:I103)</f>
        <v>2535741.4918849254</v>
      </c>
      <c r="J104" s="379"/>
      <c r="K104" s="282">
        <f>SUM(K88:K103)</f>
        <v>2209408.4183343272</v>
      </c>
      <c r="L104" s="282"/>
      <c r="M104" s="282">
        <f>SUM(M88:M103)</f>
        <v>282054.25418538984</v>
      </c>
      <c r="N104" s="282"/>
      <c r="O104" s="282">
        <f>SUM(O88:O103)</f>
        <v>11582.673420236753</v>
      </c>
      <c r="P104" s="282"/>
      <c r="Q104" s="282">
        <f>SUM(Q88:Q103)</f>
        <v>31382.426806484233</v>
      </c>
      <c r="R104" s="282"/>
      <c r="S104" s="282">
        <f>SUM(S88:S103)</f>
        <v>1313.7191384877322</v>
      </c>
      <c r="T104" s="282"/>
      <c r="U104" s="282">
        <f>SUM(U88:U103)</f>
        <v>0</v>
      </c>
      <c r="V104" s="282"/>
      <c r="W104" s="282">
        <f>SUM(W88:W103)</f>
        <v>0</v>
      </c>
      <c r="Y104" s="224"/>
      <c r="Z104" s="381"/>
      <c r="AB104" s="386" t="s">
        <v>58</v>
      </c>
      <c r="AC104" s="208"/>
      <c r="AD104" s="141"/>
      <c r="AF104" s="282">
        <f>SUM(AF88:AF103)</f>
        <v>2535741.4918849254</v>
      </c>
      <c r="AG104" s="613"/>
      <c r="AH104" s="282">
        <f>SUM(AH88:AH103)</f>
        <v>0</v>
      </c>
      <c r="AI104" s="613"/>
      <c r="AJ104" s="282">
        <f>SUM(AJ88:AJ103)</f>
        <v>0</v>
      </c>
      <c r="AK104" s="613"/>
      <c r="AL104" s="282">
        <f>SUM(AL88:AL103)</f>
        <v>0</v>
      </c>
      <c r="AM104" s="613"/>
      <c r="AN104" s="282">
        <f>SUM(AN88:AN103)</f>
        <v>1027071.9197896251</v>
      </c>
      <c r="AO104" s="613"/>
      <c r="AP104" s="282">
        <f>SUM(AP88:AP103)</f>
        <v>0</v>
      </c>
      <c r="AQ104" s="613"/>
      <c r="AR104" s="282">
        <f>SUM(AR88:AR103)</f>
        <v>1508669.5720953008</v>
      </c>
      <c r="AT104" s="153">
        <f>SUM(AT88:AT103)</f>
        <v>0</v>
      </c>
      <c r="AV104" s="224"/>
    </row>
    <row r="105" spans="2:48" s="154" customFormat="1" x14ac:dyDescent="0.25">
      <c r="B105" s="562"/>
      <c r="C105" s="428"/>
      <c r="E105" s="387"/>
      <c r="F105" s="208"/>
      <c r="G105" s="141"/>
      <c r="H105" s="209"/>
      <c r="I105" s="612"/>
      <c r="J105" s="379"/>
      <c r="K105" s="282"/>
      <c r="L105" s="353"/>
      <c r="M105" s="353"/>
      <c r="N105" s="353"/>
      <c r="O105" s="353"/>
      <c r="P105" s="353"/>
      <c r="Q105" s="353"/>
      <c r="R105" s="353"/>
      <c r="S105" s="353"/>
      <c r="T105" s="353"/>
      <c r="U105" s="353"/>
      <c r="V105" s="353"/>
      <c r="W105" s="353"/>
      <c r="Y105" s="224"/>
      <c r="Z105" s="381"/>
      <c r="AB105" s="387"/>
      <c r="AC105" s="208"/>
      <c r="AD105" s="141"/>
      <c r="AF105" s="613"/>
      <c r="AG105" s="613"/>
      <c r="AH105" s="613"/>
      <c r="AI105" s="613"/>
      <c r="AJ105" s="613"/>
      <c r="AK105" s="613"/>
      <c r="AL105" s="613"/>
      <c r="AM105" s="613"/>
      <c r="AN105" s="613"/>
      <c r="AO105" s="613"/>
      <c r="AP105" s="613"/>
      <c r="AQ105" s="613"/>
      <c r="AR105" s="613"/>
      <c r="AV105" s="224"/>
    </row>
    <row r="106" spans="2:48" s="154" customFormat="1" x14ac:dyDescent="0.25">
      <c r="B106" s="562"/>
      <c r="C106" s="428"/>
      <c r="D106" s="353"/>
      <c r="E106" s="379" t="s">
        <v>122</v>
      </c>
      <c r="F106" s="208"/>
      <c r="G106" s="141"/>
      <c r="H106" s="209"/>
      <c r="I106" s="612"/>
      <c r="J106" s="379"/>
      <c r="K106" s="282"/>
      <c r="L106" s="353"/>
      <c r="M106" s="282"/>
      <c r="N106" s="353"/>
      <c r="O106" s="282"/>
      <c r="P106" s="353"/>
      <c r="Q106" s="282"/>
      <c r="R106" s="353"/>
      <c r="S106" s="282"/>
      <c r="T106" s="353"/>
      <c r="U106" s="282"/>
      <c r="V106" s="353"/>
      <c r="W106" s="282"/>
      <c r="Y106" s="224"/>
      <c r="Z106" s="381"/>
      <c r="AA106" s="353"/>
      <c r="AB106" s="379" t="s">
        <v>122</v>
      </c>
      <c r="AC106" s="208"/>
      <c r="AD106" s="141"/>
      <c r="AF106" s="613"/>
      <c r="AG106" s="613"/>
      <c r="AH106" s="282"/>
      <c r="AI106" s="282"/>
      <c r="AJ106" s="282"/>
      <c r="AK106" s="282"/>
      <c r="AL106" s="282"/>
      <c r="AM106" s="282"/>
      <c r="AN106" s="282"/>
      <c r="AO106" s="282"/>
      <c r="AP106" s="282"/>
      <c r="AQ106" s="282"/>
      <c r="AR106" s="282"/>
      <c r="AS106" s="153"/>
      <c r="AT106" s="153"/>
      <c r="AV106" s="224"/>
    </row>
    <row r="107" spans="2:48" s="154" customFormat="1" x14ac:dyDescent="0.25">
      <c r="B107" s="562"/>
      <c r="C107" s="428">
        <v>601.79999999999995</v>
      </c>
      <c r="D107" s="353"/>
      <c r="E107" s="389" t="s">
        <v>112</v>
      </c>
      <c r="F107" s="208"/>
      <c r="G107" s="141">
        <v>14</v>
      </c>
      <c r="H107" s="209"/>
      <c r="I107" s="612">
        <v>2808149.5263899327</v>
      </c>
      <c r="J107" s="379"/>
      <c r="K107" s="223">
        <f t="shared" ref="K107:K126" si="65">(VLOOKUP($G107,Factors,K$316))*$I107</f>
        <v>1573967.8095415572</v>
      </c>
      <c r="L107" s="351"/>
      <c r="M107" s="223">
        <f t="shared" ref="M107:M126" si="66">(VLOOKUP($G107,Factors,M$316))*$I107</f>
        <v>573704.94824146328</v>
      </c>
      <c r="N107" s="351"/>
      <c r="O107" s="223">
        <f t="shared" ref="O107:O126" si="67">(VLOOKUP($G107,Factors,O$316))*$I107</f>
        <v>178036.67997312173</v>
      </c>
      <c r="P107" s="351"/>
      <c r="Q107" s="223">
        <f t="shared" ref="Q107:Q126" si="68">(VLOOKUP($G107,Factors,Q$316))*$I107</f>
        <v>92668.934370867792</v>
      </c>
      <c r="R107" s="351"/>
      <c r="S107" s="223">
        <f t="shared" ref="S107:S126" si="69">(VLOOKUP($G107,Factors,S$316))*$I107</f>
        <v>72731.072733499255</v>
      </c>
      <c r="T107" s="351"/>
      <c r="U107" s="223">
        <f t="shared" ref="U107:U126" si="70">(VLOOKUP($G107,Factors,U$316))*$I107</f>
        <v>0</v>
      </c>
      <c r="V107" s="351"/>
      <c r="W107" s="223">
        <f t="shared" ref="W107:W126" si="71">(VLOOKUP($G107,Factors,W$316))*$I107</f>
        <v>317040.08152942342</v>
      </c>
      <c r="Y107" s="224"/>
      <c r="Z107" s="381">
        <v>601.79999999999995</v>
      </c>
      <c r="AA107" s="353"/>
      <c r="AB107" s="383" t="s">
        <v>112</v>
      </c>
      <c r="AC107" s="208"/>
      <c r="AD107" s="392">
        <f t="shared" ref="AD107:AD126" si="72">+G107</f>
        <v>14</v>
      </c>
      <c r="AE107" s="131"/>
      <c r="AF107" s="392">
        <f t="shared" ref="AF107:AF126" si="73">+I107</f>
        <v>2808149.5263899327</v>
      </c>
      <c r="AG107" s="613"/>
      <c r="AH107" s="282">
        <f t="shared" ref="AH107:AH126" si="74">(VLOOKUP($AD107,func,AH$316))*$AF107</f>
        <v>995208.19215259212</v>
      </c>
      <c r="AI107" s="282"/>
      <c r="AJ107" s="282">
        <f t="shared" ref="AJ107:AJ126" si="75">(VLOOKUP($AD107,func,AJ$316))*$AF107</f>
        <v>398757.23274737044</v>
      </c>
      <c r="AK107" s="282"/>
      <c r="AL107" s="282">
        <f t="shared" ref="AL107:AL126" si="76">(VLOOKUP($AD107,func,AL$316))*$AF107</f>
        <v>472049.9353861477</v>
      </c>
      <c r="AM107" s="282"/>
      <c r="AN107" s="282">
        <f t="shared" ref="AN107:AN126" si="77">(VLOOKUP($AD107,func,AN$316))*$AF107</f>
        <v>202467.58085271413</v>
      </c>
      <c r="AO107" s="282"/>
      <c r="AP107" s="282">
        <f t="shared" ref="AP107:AP126" si="78">(VLOOKUP($AD107,func,AP$316))*$AF107</f>
        <v>124962.65392435199</v>
      </c>
      <c r="AQ107" s="282"/>
      <c r="AR107" s="282">
        <f t="shared" ref="AR107:AR126" si="79">(VLOOKUP($AD107,func,AR$316))*$AF107</f>
        <v>297663.84979733283</v>
      </c>
      <c r="AS107" s="153"/>
      <c r="AT107" s="153">
        <f t="shared" ref="AT107:AT126" si="80">(VLOOKUP($AD107,func,AT$316))*$AF107</f>
        <v>317040.08152942342</v>
      </c>
      <c r="AV107" s="224"/>
    </row>
    <row r="108" spans="2:48" s="154" customFormat="1" x14ac:dyDescent="0.25">
      <c r="B108" s="588"/>
      <c r="C108" s="428">
        <v>604</v>
      </c>
      <c r="D108" s="353"/>
      <c r="E108" s="389" t="s">
        <v>123</v>
      </c>
      <c r="F108" s="208"/>
      <c r="G108" s="141">
        <v>16</v>
      </c>
      <c r="H108" s="209"/>
      <c r="I108" s="612">
        <v>6518473.290000001</v>
      </c>
      <c r="J108" s="379"/>
      <c r="K108" s="223">
        <f t="shared" si="65"/>
        <v>3641871.0271230005</v>
      </c>
      <c r="L108" s="351"/>
      <c r="M108" s="223">
        <f t="shared" si="66"/>
        <v>1378005.2535060002</v>
      </c>
      <c r="N108" s="351"/>
      <c r="O108" s="223">
        <f t="shared" si="67"/>
        <v>431522.93179800001</v>
      </c>
      <c r="P108" s="351"/>
      <c r="Q108" s="223">
        <f t="shared" si="68"/>
        <v>224887.32850500004</v>
      </c>
      <c r="R108" s="351"/>
      <c r="S108" s="223">
        <f t="shared" si="69"/>
        <v>176650.62615900001</v>
      </c>
      <c r="T108" s="351"/>
      <c r="U108" s="223">
        <f t="shared" si="70"/>
        <v>0</v>
      </c>
      <c r="V108" s="351"/>
      <c r="W108" s="223">
        <f t="shared" si="71"/>
        <v>665536.12290900003</v>
      </c>
      <c r="Y108" s="224"/>
      <c r="Z108" s="381">
        <v>604</v>
      </c>
      <c r="AA108" s="353"/>
      <c r="AB108" s="383" t="s">
        <v>123</v>
      </c>
      <c r="AC108" s="208"/>
      <c r="AD108" s="392">
        <f t="shared" si="72"/>
        <v>16</v>
      </c>
      <c r="AE108" s="131"/>
      <c r="AF108" s="392">
        <f t="shared" si="73"/>
        <v>6518473.290000001</v>
      </c>
      <c r="AG108" s="613"/>
      <c r="AH108" s="282">
        <f t="shared" si="74"/>
        <v>2423568.3692220002</v>
      </c>
      <c r="AI108" s="282"/>
      <c r="AJ108" s="282">
        <f t="shared" si="75"/>
        <v>1015578.1385820002</v>
      </c>
      <c r="AK108" s="282"/>
      <c r="AL108" s="282">
        <f t="shared" si="76"/>
        <v>1043607.5737290001</v>
      </c>
      <c r="AM108" s="282"/>
      <c r="AN108" s="282">
        <f t="shared" si="77"/>
        <v>679224.91681800014</v>
      </c>
      <c r="AO108" s="282"/>
      <c r="AP108" s="282">
        <f t="shared" si="78"/>
        <v>127110.22915500002</v>
      </c>
      <c r="AQ108" s="282"/>
      <c r="AR108" s="282">
        <f t="shared" si="79"/>
        <v>563847.93958500004</v>
      </c>
      <c r="AS108" s="153"/>
      <c r="AT108" s="153">
        <f t="shared" si="80"/>
        <v>665536.12290900003</v>
      </c>
      <c r="AV108" s="224"/>
    </row>
    <row r="109" spans="2:48" s="290" customFormat="1" x14ac:dyDescent="0.25">
      <c r="B109" s="562"/>
      <c r="C109" s="431">
        <v>615.79999999999995</v>
      </c>
      <c r="D109" s="353"/>
      <c r="E109" s="389" t="s">
        <v>13</v>
      </c>
      <c r="F109" s="208"/>
      <c r="G109" s="141">
        <v>14</v>
      </c>
      <c r="H109" s="209"/>
      <c r="I109" s="485">
        <v>84449.63</v>
      </c>
      <c r="J109" s="379"/>
      <c r="K109" s="223">
        <f t="shared" si="65"/>
        <v>47334.017615000004</v>
      </c>
      <c r="L109" s="351"/>
      <c r="M109" s="223">
        <f t="shared" si="66"/>
        <v>17253.059409000001</v>
      </c>
      <c r="N109" s="351"/>
      <c r="O109" s="223">
        <f t="shared" si="67"/>
        <v>5354.1065420000004</v>
      </c>
      <c r="P109" s="351"/>
      <c r="Q109" s="223">
        <f t="shared" si="68"/>
        <v>2786.8377900000005</v>
      </c>
      <c r="R109" s="351"/>
      <c r="S109" s="223">
        <f t="shared" si="69"/>
        <v>2187.2454170000001</v>
      </c>
      <c r="T109" s="351"/>
      <c r="U109" s="223">
        <f t="shared" si="70"/>
        <v>0</v>
      </c>
      <c r="V109" s="351"/>
      <c r="W109" s="223">
        <f t="shared" si="71"/>
        <v>9534.3632269999998</v>
      </c>
      <c r="Y109" s="224"/>
      <c r="Z109" s="382">
        <v>615.79999999999995</v>
      </c>
      <c r="AA109" s="353"/>
      <c r="AB109" s="383" t="s">
        <v>13</v>
      </c>
      <c r="AC109" s="208"/>
      <c r="AD109" s="392">
        <f t="shared" si="72"/>
        <v>14</v>
      </c>
      <c r="AE109" s="131"/>
      <c r="AF109" s="392">
        <f t="shared" si="73"/>
        <v>84449.63</v>
      </c>
      <c r="AG109" s="353"/>
      <c r="AH109" s="282">
        <f t="shared" si="74"/>
        <v>29928.948872000001</v>
      </c>
      <c r="AI109" s="282"/>
      <c r="AJ109" s="282">
        <f t="shared" si="75"/>
        <v>11991.847459999999</v>
      </c>
      <c r="AK109" s="282"/>
      <c r="AL109" s="282">
        <f t="shared" si="76"/>
        <v>14195.982803000001</v>
      </c>
      <c r="AM109" s="282"/>
      <c r="AN109" s="282">
        <f t="shared" si="77"/>
        <v>6088.8183230000004</v>
      </c>
      <c r="AO109" s="282"/>
      <c r="AP109" s="282">
        <f t="shared" si="78"/>
        <v>3758.0085349999999</v>
      </c>
      <c r="AQ109" s="282"/>
      <c r="AR109" s="282">
        <f t="shared" si="79"/>
        <v>8951.6607800000002</v>
      </c>
      <c r="AS109" s="153"/>
      <c r="AT109" s="153">
        <f t="shared" si="80"/>
        <v>9534.3632269999998</v>
      </c>
      <c r="AV109" s="224"/>
    </row>
    <row r="110" spans="2:48" s="290" customFormat="1" x14ac:dyDescent="0.25">
      <c r="B110" s="489"/>
      <c r="C110" s="431">
        <v>616.79999999999995</v>
      </c>
      <c r="D110" s="353"/>
      <c r="E110" s="389" t="s">
        <v>490</v>
      </c>
      <c r="F110" s="208"/>
      <c r="G110" s="141">
        <v>14</v>
      </c>
      <c r="H110" s="209"/>
      <c r="I110" s="485">
        <v>46315.76</v>
      </c>
      <c r="J110" s="379"/>
      <c r="K110" s="223">
        <f t="shared" si="65"/>
        <v>25959.983480000003</v>
      </c>
      <c r="L110" s="351"/>
      <c r="M110" s="223">
        <f t="shared" si="66"/>
        <v>9462.309768000001</v>
      </c>
      <c r="N110" s="351"/>
      <c r="O110" s="223">
        <f t="shared" si="67"/>
        <v>2936.4191839999999</v>
      </c>
      <c r="P110" s="351"/>
      <c r="Q110" s="223">
        <f t="shared" si="68"/>
        <v>1528.4200800000001</v>
      </c>
      <c r="R110" s="351"/>
      <c r="S110" s="223">
        <f t="shared" si="69"/>
        <v>1199.578184</v>
      </c>
      <c r="T110" s="351"/>
      <c r="U110" s="223">
        <f t="shared" si="70"/>
        <v>0</v>
      </c>
      <c r="V110" s="351"/>
      <c r="W110" s="223">
        <f t="shared" si="71"/>
        <v>5229.0493040000001</v>
      </c>
      <c r="Y110" s="224"/>
      <c r="Z110" s="382"/>
      <c r="AA110" s="353"/>
      <c r="AB110" s="389" t="s">
        <v>490</v>
      </c>
      <c r="AC110" s="208"/>
      <c r="AD110" s="392">
        <f t="shared" ref="AD110" si="81">+G110</f>
        <v>14</v>
      </c>
      <c r="AE110" s="131"/>
      <c r="AF110" s="392">
        <f t="shared" ref="AF110" si="82">+I110</f>
        <v>46315.76</v>
      </c>
      <c r="AG110" s="353"/>
      <c r="AH110" s="282">
        <f t="shared" si="74"/>
        <v>16414.305344</v>
      </c>
      <c r="AI110" s="282"/>
      <c r="AJ110" s="282">
        <f t="shared" si="75"/>
        <v>6576.8379199999999</v>
      </c>
      <c r="AK110" s="282"/>
      <c r="AL110" s="282">
        <f t="shared" si="76"/>
        <v>7785.6792560000004</v>
      </c>
      <c r="AM110" s="282"/>
      <c r="AN110" s="282">
        <f t="shared" si="77"/>
        <v>3339.3662960000001</v>
      </c>
      <c r="AO110" s="282"/>
      <c r="AP110" s="282">
        <f t="shared" si="78"/>
        <v>2061.05132</v>
      </c>
      <c r="AQ110" s="282"/>
      <c r="AR110" s="282">
        <f t="shared" si="79"/>
        <v>4909.4705599999998</v>
      </c>
      <c r="AS110" s="153"/>
      <c r="AT110" s="153">
        <f t="shared" si="80"/>
        <v>5229.0493040000001</v>
      </c>
      <c r="AV110" s="224"/>
    </row>
    <row r="111" spans="2:48" s="154" customFormat="1" x14ac:dyDescent="0.25">
      <c r="B111" s="562"/>
      <c r="C111" s="428">
        <v>620.79999999999995</v>
      </c>
      <c r="D111" s="353"/>
      <c r="E111" s="389" t="s">
        <v>16</v>
      </c>
      <c r="F111" s="208"/>
      <c r="G111" s="141">
        <v>14</v>
      </c>
      <c r="H111" s="209"/>
      <c r="I111" s="612">
        <v>138822.68</v>
      </c>
      <c r="J111" s="379"/>
      <c r="K111" s="223">
        <f t="shared" si="65"/>
        <v>77810.112139999997</v>
      </c>
      <c r="L111" s="351"/>
      <c r="M111" s="223">
        <f t="shared" si="66"/>
        <v>28361.473524000001</v>
      </c>
      <c r="N111" s="351"/>
      <c r="O111" s="223">
        <f t="shared" si="67"/>
        <v>8801.3579119999995</v>
      </c>
      <c r="P111" s="351"/>
      <c r="Q111" s="223">
        <f t="shared" si="68"/>
        <v>4581.1484399999999</v>
      </c>
      <c r="R111" s="351"/>
      <c r="S111" s="223">
        <f t="shared" si="69"/>
        <v>3595.5074119999999</v>
      </c>
      <c r="T111" s="351"/>
      <c r="U111" s="223">
        <f t="shared" si="70"/>
        <v>0</v>
      </c>
      <c r="V111" s="351"/>
      <c r="W111" s="223">
        <f t="shared" si="71"/>
        <v>15673.080571999999</v>
      </c>
      <c r="Y111" s="224"/>
      <c r="Z111" s="381">
        <v>620.79999999999995</v>
      </c>
      <c r="AA111" s="353"/>
      <c r="AB111" s="383" t="s">
        <v>16</v>
      </c>
      <c r="AC111" s="208"/>
      <c r="AD111" s="392">
        <f t="shared" si="72"/>
        <v>14</v>
      </c>
      <c r="AE111" s="131"/>
      <c r="AF111" s="392">
        <f t="shared" si="73"/>
        <v>138822.68</v>
      </c>
      <c r="AG111" s="613"/>
      <c r="AH111" s="282">
        <f t="shared" si="74"/>
        <v>49198.757791999997</v>
      </c>
      <c r="AI111" s="282"/>
      <c r="AJ111" s="282">
        <f t="shared" si="75"/>
        <v>19712.820559999996</v>
      </c>
      <c r="AK111" s="282"/>
      <c r="AL111" s="282">
        <f t="shared" si="76"/>
        <v>23336.092507999998</v>
      </c>
      <c r="AM111" s="282"/>
      <c r="AN111" s="282">
        <f t="shared" si="77"/>
        <v>10009.115227999999</v>
      </c>
      <c r="AO111" s="282"/>
      <c r="AP111" s="282">
        <f t="shared" si="78"/>
        <v>6177.6092599999993</v>
      </c>
      <c r="AQ111" s="282"/>
      <c r="AR111" s="282">
        <f t="shared" si="79"/>
        <v>14715.20408</v>
      </c>
      <c r="AS111" s="153"/>
      <c r="AT111" s="153">
        <f t="shared" si="80"/>
        <v>15673.080571999999</v>
      </c>
      <c r="AV111" s="224"/>
    </row>
    <row r="112" spans="2:48" s="154" customFormat="1" x14ac:dyDescent="0.25">
      <c r="B112" s="562"/>
      <c r="C112" s="428">
        <v>632.79999999999995</v>
      </c>
      <c r="D112" s="353"/>
      <c r="E112" s="389" t="s">
        <v>23</v>
      </c>
      <c r="F112" s="208"/>
      <c r="G112" s="141">
        <v>14</v>
      </c>
      <c r="H112" s="209"/>
      <c r="I112" s="612">
        <v>22160</v>
      </c>
      <c r="J112" s="379"/>
      <c r="K112" s="223">
        <f t="shared" si="65"/>
        <v>12420.68</v>
      </c>
      <c r="L112" s="351"/>
      <c r="M112" s="223">
        <f t="shared" si="66"/>
        <v>4527.2880000000005</v>
      </c>
      <c r="N112" s="351"/>
      <c r="O112" s="223">
        <f t="shared" si="67"/>
        <v>1404.944</v>
      </c>
      <c r="P112" s="351"/>
      <c r="Q112" s="223">
        <f t="shared" si="68"/>
        <v>731.28000000000009</v>
      </c>
      <c r="R112" s="351"/>
      <c r="S112" s="223">
        <f t="shared" si="69"/>
        <v>573.94399999999996</v>
      </c>
      <c r="T112" s="351"/>
      <c r="U112" s="223">
        <f t="shared" si="70"/>
        <v>0</v>
      </c>
      <c r="V112" s="351"/>
      <c r="W112" s="223">
        <f t="shared" si="71"/>
        <v>2501.864</v>
      </c>
      <c r="Y112" s="224"/>
      <c r="Z112" s="381">
        <v>632.79999999999995</v>
      </c>
      <c r="AA112" s="353"/>
      <c r="AB112" s="383" t="s">
        <v>23</v>
      </c>
      <c r="AC112" s="208"/>
      <c r="AD112" s="392">
        <f t="shared" si="72"/>
        <v>14</v>
      </c>
      <c r="AE112" s="131"/>
      <c r="AF112" s="392">
        <f t="shared" si="73"/>
        <v>22160</v>
      </c>
      <c r="AG112" s="613"/>
      <c r="AH112" s="282">
        <f t="shared" si="74"/>
        <v>7853.5039999999999</v>
      </c>
      <c r="AI112" s="282"/>
      <c r="AJ112" s="282">
        <f t="shared" si="75"/>
        <v>3146.72</v>
      </c>
      <c r="AK112" s="282"/>
      <c r="AL112" s="282">
        <f t="shared" si="76"/>
        <v>3725.096</v>
      </c>
      <c r="AM112" s="282"/>
      <c r="AN112" s="282">
        <f t="shared" si="77"/>
        <v>1597.7359999999999</v>
      </c>
      <c r="AO112" s="282"/>
      <c r="AP112" s="282">
        <f t="shared" si="78"/>
        <v>986.12</v>
      </c>
      <c r="AQ112" s="282"/>
      <c r="AR112" s="282">
        <f t="shared" si="79"/>
        <v>2348.96</v>
      </c>
      <c r="AS112" s="153"/>
      <c r="AT112" s="153">
        <f t="shared" si="80"/>
        <v>2501.864</v>
      </c>
      <c r="AV112" s="224"/>
    </row>
    <row r="113" spans="2:48" s="154" customFormat="1" x14ac:dyDescent="0.25">
      <c r="B113" s="562"/>
      <c r="C113" s="428">
        <v>633.79999999999995</v>
      </c>
      <c r="D113" s="353"/>
      <c r="E113" s="389" t="s">
        <v>26</v>
      </c>
      <c r="F113" s="208"/>
      <c r="G113" s="141">
        <v>14</v>
      </c>
      <c r="H113" s="209"/>
      <c r="I113" s="612">
        <v>25361.22</v>
      </c>
      <c r="J113" s="379"/>
      <c r="K113" s="223">
        <f t="shared" si="65"/>
        <v>14214.963810000001</v>
      </c>
      <c r="L113" s="351"/>
      <c r="M113" s="223">
        <f t="shared" si="66"/>
        <v>5181.2972460000001</v>
      </c>
      <c r="N113" s="351"/>
      <c r="O113" s="223">
        <f t="shared" si="67"/>
        <v>1607.9013480000001</v>
      </c>
      <c r="P113" s="351"/>
      <c r="Q113" s="223">
        <f t="shared" si="68"/>
        <v>836.9202600000001</v>
      </c>
      <c r="R113" s="351"/>
      <c r="S113" s="223">
        <f t="shared" si="69"/>
        <v>656.85559799999999</v>
      </c>
      <c r="T113" s="351"/>
      <c r="U113" s="223">
        <f t="shared" si="70"/>
        <v>0</v>
      </c>
      <c r="V113" s="351"/>
      <c r="W113" s="223">
        <f t="shared" si="71"/>
        <v>2863.2817380000001</v>
      </c>
      <c r="Y113" s="224"/>
      <c r="Z113" s="381">
        <v>633.79999999999995</v>
      </c>
      <c r="AA113" s="353"/>
      <c r="AB113" s="383" t="s">
        <v>26</v>
      </c>
      <c r="AC113" s="208"/>
      <c r="AD113" s="392">
        <f t="shared" si="72"/>
        <v>14</v>
      </c>
      <c r="AE113" s="131"/>
      <c r="AF113" s="392">
        <f t="shared" si="73"/>
        <v>25361.22</v>
      </c>
      <c r="AG113" s="613"/>
      <c r="AH113" s="282">
        <f t="shared" si="74"/>
        <v>8988.0163680000005</v>
      </c>
      <c r="AI113" s="282"/>
      <c r="AJ113" s="282">
        <f t="shared" si="75"/>
        <v>3601.29324</v>
      </c>
      <c r="AK113" s="282"/>
      <c r="AL113" s="282">
        <f t="shared" si="76"/>
        <v>4263.221082</v>
      </c>
      <c r="AM113" s="282"/>
      <c r="AN113" s="282">
        <f t="shared" si="77"/>
        <v>1828.543962</v>
      </c>
      <c r="AO113" s="282"/>
      <c r="AP113" s="282">
        <f t="shared" si="78"/>
        <v>1128.57429</v>
      </c>
      <c r="AQ113" s="282"/>
      <c r="AR113" s="282">
        <f t="shared" si="79"/>
        <v>2688.2893199999999</v>
      </c>
      <c r="AS113" s="153"/>
      <c r="AT113" s="153">
        <f t="shared" si="80"/>
        <v>2863.2817380000001</v>
      </c>
      <c r="AV113" s="224"/>
    </row>
    <row r="114" spans="2:48" s="154" customFormat="1" x14ac:dyDescent="0.25">
      <c r="B114" s="562"/>
      <c r="C114" s="428">
        <v>634.79999999999995</v>
      </c>
      <c r="D114" s="353"/>
      <c r="E114" s="389" t="s">
        <v>27</v>
      </c>
      <c r="F114" s="208"/>
      <c r="G114" s="141">
        <v>14</v>
      </c>
      <c r="H114" s="209"/>
      <c r="I114" s="612">
        <v>35473.31</v>
      </c>
      <c r="J114" s="379"/>
      <c r="K114" s="223">
        <f t="shared" si="65"/>
        <v>19882.790255</v>
      </c>
      <c r="L114" s="351"/>
      <c r="M114" s="223">
        <f t="shared" si="66"/>
        <v>7247.1972329999999</v>
      </c>
      <c r="N114" s="351"/>
      <c r="O114" s="223">
        <f t="shared" si="67"/>
        <v>2249.007854</v>
      </c>
      <c r="P114" s="351"/>
      <c r="Q114" s="223">
        <f t="shared" si="68"/>
        <v>1170.61923</v>
      </c>
      <c r="R114" s="351"/>
      <c r="S114" s="223">
        <f t="shared" si="69"/>
        <v>918.7587289999999</v>
      </c>
      <c r="T114" s="351"/>
      <c r="U114" s="223">
        <f t="shared" si="70"/>
        <v>0</v>
      </c>
      <c r="V114" s="351"/>
      <c r="W114" s="223">
        <f t="shared" si="71"/>
        <v>4004.9366989999999</v>
      </c>
      <c r="Y114" s="224"/>
      <c r="Z114" s="381">
        <v>634.79999999999995</v>
      </c>
      <c r="AA114" s="353"/>
      <c r="AB114" s="383" t="s">
        <v>27</v>
      </c>
      <c r="AC114" s="208"/>
      <c r="AD114" s="392">
        <f t="shared" si="72"/>
        <v>14</v>
      </c>
      <c r="AE114" s="131"/>
      <c r="AF114" s="392">
        <f t="shared" si="73"/>
        <v>35473.31</v>
      </c>
      <c r="AG114" s="282"/>
      <c r="AH114" s="282">
        <f t="shared" si="74"/>
        <v>12571.741064</v>
      </c>
      <c r="AI114" s="282"/>
      <c r="AJ114" s="282">
        <f t="shared" si="75"/>
        <v>5037.2100199999995</v>
      </c>
      <c r="AK114" s="282"/>
      <c r="AL114" s="282">
        <f t="shared" si="76"/>
        <v>5963.0634109999992</v>
      </c>
      <c r="AM114" s="282"/>
      <c r="AN114" s="282">
        <f t="shared" si="77"/>
        <v>2557.6256509999998</v>
      </c>
      <c r="AO114" s="282"/>
      <c r="AP114" s="282">
        <f t="shared" si="78"/>
        <v>1578.5622949999997</v>
      </c>
      <c r="AQ114" s="282"/>
      <c r="AR114" s="282">
        <f t="shared" si="79"/>
        <v>3760.1708599999997</v>
      </c>
      <c r="AS114" s="153"/>
      <c r="AT114" s="153">
        <f t="shared" si="80"/>
        <v>4004.9366989999999</v>
      </c>
      <c r="AV114" s="224"/>
    </row>
    <row r="115" spans="2:48" s="154" customFormat="1" x14ac:dyDescent="0.25">
      <c r="B115" s="559"/>
      <c r="C115" s="428">
        <v>635.79999999999995</v>
      </c>
      <c r="E115" s="389" t="s">
        <v>40</v>
      </c>
      <c r="F115" s="208"/>
      <c r="G115" s="141">
        <v>16</v>
      </c>
      <c r="H115" s="209"/>
      <c r="I115" s="612">
        <v>23729.51</v>
      </c>
      <c r="J115" s="379"/>
      <c r="K115" s="223">
        <f t="shared" si="65"/>
        <v>13257.677236999998</v>
      </c>
      <c r="L115" s="351"/>
      <c r="M115" s="223">
        <f t="shared" si="66"/>
        <v>5016.4184139999998</v>
      </c>
      <c r="N115" s="351"/>
      <c r="O115" s="223">
        <f t="shared" si="67"/>
        <v>1570.8935619999997</v>
      </c>
      <c r="P115" s="351"/>
      <c r="Q115" s="223">
        <f t="shared" si="68"/>
        <v>818.66809499999999</v>
      </c>
      <c r="R115" s="351"/>
      <c r="S115" s="223">
        <f t="shared" si="69"/>
        <v>643.06972099999996</v>
      </c>
      <c r="T115" s="351"/>
      <c r="U115" s="223">
        <f t="shared" si="70"/>
        <v>0</v>
      </c>
      <c r="V115" s="351"/>
      <c r="W115" s="223">
        <f t="shared" si="71"/>
        <v>2422.7829709999996</v>
      </c>
      <c r="Y115" s="224"/>
      <c r="Z115" s="381">
        <v>635.79999999999995</v>
      </c>
      <c r="AB115" s="383" t="s">
        <v>40</v>
      </c>
      <c r="AC115" s="208"/>
      <c r="AD115" s="392">
        <f t="shared" si="72"/>
        <v>16</v>
      </c>
      <c r="AE115" s="131"/>
      <c r="AF115" s="392">
        <f t="shared" si="73"/>
        <v>23729.51</v>
      </c>
      <c r="AG115" s="613"/>
      <c r="AH115" s="282">
        <f t="shared" si="74"/>
        <v>8822.631817999998</v>
      </c>
      <c r="AI115" s="282"/>
      <c r="AJ115" s="282">
        <f t="shared" si="75"/>
        <v>3697.0576579999997</v>
      </c>
      <c r="AK115" s="282"/>
      <c r="AL115" s="282">
        <f t="shared" si="76"/>
        <v>3799.0945509999997</v>
      </c>
      <c r="AM115" s="282"/>
      <c r="AN115" s="282">
        <f t="shared" si="77"/>
        <v>2472.6149419999997</v>
      </c>
      <c r="AO115" s="282"/>
      <c r="AP115" s="282">
        <f t="shared" si="78"/>
        <v>462.72544499999998</v>
      </c>
      <c r="AQ115" s="282"/>
      <c r="AR115" s="282">
        <f t="shared" si="79"/>
        <v>2052.6026149999998</v>
      </c>
      <c r="AS115" s="153"/>
      <c r="AT115" s="153">
        <f t="shared" si="80"/>
        <v>2422.7829709999996</v>
      </c>
      <c r="AV115" s="224"/>
    </row>
    <row r="116" spans="2:48" s="154" customFormat="1" ht="12" customHeight="1" x14ac:dyDescent="0.25">
      <c r="B116" s="562"/>
      <c r="C116" s="428">
        <v>635.79999999999995</v>
      </c>
      <c r="D116" s="353"/>
      <c r="E116" s="389" t="s">
        <v>24</v>
      </c>
      <c r="F116" s="208"/>
      <c r="G116" s="141">
        <v>14</v>
      </c>
      <c r="H116" s="209"/>
      <c r="I116" s="612">
        <v>1222240.3100000003</v>
      </c>
      <c r="J116" s="379"/>
      <c r="K116" s="223">
        <f t="shared" si="65"/>
        <v>685065.69375500013</v>
      </c>
      <c r="L116" s="351"/>
      <c r="M116" s="223">
        <f t="shared" si="66"/>
        <v>249703.69533300007</v>
      </c>
      <c r="N116" s="351"/>
      <c r="O116" s="223">
        <f t="shared" si="67"/>
        <v>77490.035654000021</v>
      </c>
      <c r="P116" s="351"/>
      <c r="Q116" s="223">
        <f t="shared" si="68"/>
        <v>40333.930230000013</v>
      </c>
      <c r="R116" s="351"/>
      <c r="S116" s="223">
        <f t="shared" si="69"/>
        <v>31656.024029000007</v>
      </c>
      <c r="T116" s="351"/>
      <c r="U116" s="223">
        <f t="shared" si="70"/>
        <v>0</v>
      </c>
      <c r="V116" s="351"/>
      <c r="W116" s="223">
        <f t="shared" si="71"/>
        <v>137990.93099900003</v>
      </c>
      <c r="Y116" s="224"/>
      <c r="Z116" s="381">
        <v>635.79999999999995</v>
      </c>
      <c r="AA116" s="353"/>
      <c r="AB116" s="383" t="s">
        <v>24</v>
      </c>
      <c r="AC116" s="208"/>
      <c r="AD116" s="392">
        <f t="shared" si="72"/>
        <v>14</v>
      </c>
      <c r="AE116" s="131"/>
      <c r="AF116" s="392">
        <f t="shared" si="73"/>
        <v>1222240.3100000003</v>
      </c>
      <c r="AG116" s="613"/>
      <c r="AH116" s="282">
        <f t="shared" si="74"/>
        <v>433161.96586400009</v>
      </c>
      <c r="AI116" s="282"/>
      <c r="AJ116" s="282">
        <f t="shared" si="75"/>
        <v>173558.12402000002</v>
      </c>
      <c r="AK116" s="282"/>
      <c r="AL116" s="282">
        <f t="shared" si="76"/>
        <v>205458.59611100005</v>
      </c>
      <c r="AM116" s="282"/>
      <c r="AN116" s="282">
        <f t="shared" si="77"/>
        <v>88123.526351000022</v>
      </c>
      <c r="AO116" s="282"/>
      <c r="AP116" s="282">
        <f t="shared" si="78"/>
        <v>54389.693795000014</v>
      </c>
      <c r="AQ116" s="282"/>
      <c r="AR116" s="282">
        <f t="shared" si="79"/>
        <v>129557.47286000002</v>
      </c>
      <c r="AS116" s="153"/>
      <c r="AT116" s="153">
        <f t="shared" si="80"/>
        <v>137990.93099900003</v>
      </c>
      <c r="AV116" s="224"/>
    </row>
    <row r="117" spans="2:48" s="491" customFormat="1" x14ac:dyDescent="0.25">
      <c r="B117" s="585"/>
      <c r="C117" s="483">
        <v>642.79999999999995</v>
      </c>
      <c r="D117" s="505"/>
      <c r="E117" s="389" t="s">
        <v>471</v>
      </c>
      <c r="F117" s="486"/>
      <c r="G117" s="507">
        <v>14</v>
      </c>
      <c r="H117" s="231"/>
      <c r="I117" s="485">
        <v>750</v>
      </c>
      <c r="J117" s="379"/>
      <c r="K117" s="338">
        <f t="shared" si="65"/>
        <v>420.375</v>
      </c>
      <c r="L117" s="476"/>
      <c r="M117" s="338">
        <f t="shared" si="66"/>
        <v>153.22499999999999</v>
      </c>
      <c r="N117" s="476"/>
      <c r="O117" s="338">
        <f t="shared" si="67"/>
        <v>47.55</v>
      </c>
      <c r="P117" s="476"/>
      <c r="Q117" s="338">
        <f t="shared" si="68"/>
        <v>24.75</v>
      </c>
      <c r="R117" s="476"/>
      <c r="S117" s="338">
        <f t="shared" si="69"/>
        <v>19.425000000000001</v>
      </c>
      <c r="T117" s="476"/>
      <c r="U117" s="338">
        <f t="shared" si="70"/>
        <v>0</v>
      </c>
      <c r="V117" s="476"/>
      <c r="W117" s="338">
        <f t="shared" si="71"/>
        <v>84.674999999999997</v>
      </c>
      <c r="Y117" s="449"/>
      <c r="Z117" s="448">
        <v>642.79999999999995</v>
      </c>
      <c r="AA117" s="505"/>
      <c r="AB117" s="506" t="s">
        <v>471</v>
      </c>
      <c r="AC117" s="486"/>
      <c r="AD117" s="395">
        <f t="shared" si="72"/>
        <v>14</v>
      </c>
      <c r="AE117" s="508"/>
      <c r="AF117" s="395">
        <f t="shared" si="73"/>
        <v>750</v>
      </c>
      <c r="AG117" s="484"/>
      <c r="AH117" s="680">
        <f t="shared" si="74"/>
        <v>265.8</v>
      </c>
      <c r="AI117" s="680"/>
      <c r="AJ117" s="680">
        <f t="shared" si="75"/>
        <v>106.49999999999999</v>
      </c>
      <c r="AK117" s="680"/>
      <c r="AL117" s="680">
        <f t="shared" si="76"/>
        <v>126.075</v>
      </c>
      <c r="AM117" s="680"/>
      <c r="AN117" s="680">
        <f t="shared" si="77"/>
        <v>54.074999999999996</v>
      </c>
      <c r="AO117" s="680"/>
      <c r="AP117" s="680">
        <f t="shared" si="78"/>
        <v>33.375</v>
      </c>
      <c r="AQ117" s="680"/>
      <c r="AR117" s="680">
        <f t="shared" si="79"/>
        <v>79.5</v>
      </c>
      <c r="AS117" s="509"/>
      <c r="AT117" s="509">
        <f t="shared" si="80"/>
        <v>84.674999999999997</v>
      </c>
      <c r="AV117" s="449"/>
    </row>
    <row r="118" spans="2:48" s="154" customFormat="1" x14ac:dyDescent="0.25">
      <c r="B118" s="562"/>
      <c r="C118" s="428">
        <v>650.79999999999995</v>
      </c>
      <c r="E118" s="389" t="s">
        <v>43</v>
      </c>
      <c r="F118" s="208"/>
      <c r="G118" s="141">
        <v>14</v>
      </c>
      <c r="H118" s="209"/>
      <c r="I118" s="612">
        <v>5878.69</v>
      </c>
      <c r="J118" s="379"/>
      <c r="K118" s="223">
        <f t="shared" si="65"/>
        <v>3295.0057449999999</v>
      </c>
      <c r="L118" s="351"/>
      <c r="M118" s="223">
        <f t="shared" si="66"/>
        <v>1201.0163669999999</v>
      </c>
      <c r="N118" s="351"/>
      <c r="O118" s="223">
        <f t="shared" si="67"/>
        <v>372.70894599999997</v>
      </c>
      <c r="P118" s="351"/>
      <c r="Q118" s="223">
        <f t="shared" si="68"/>
        <v>193.99677</v>
      </c>
      <c r="R118" s="351"/>
      <c r="S118" s="223">
        <f t="shared" si="69"/>
        <v>152.25807099999997</v>
      </c>
      <c r="T118" s="351"/>
      <c r="U118" s="223">
        <f t="shared" si="70"/>
        <v>0</v>
      </c>
      <c r="V118" s="351"/>
      <c r="W118" s="223">
        <f t="shared" si="71"/>
        <v>663.70410099999992</v>
      </c>
      <c r="Y118" s="224"/>
      <c r="Z118" s="381">
        <v>650.79999999999995</v>
      </c>
      <c r="AB118" s="383" t="s">
        <v>43</v>
      </c>
      <c r="AC118" s="208"/>
      <c r="AD118" s="392">
        <f t="shared" si="72"/>
        <v>14</v>
      </c>
      <c r="AE118" s="131"/>
      <c r="AF118" s="392">
        <f t="shared" si="73"/>
        <v>5878.69</v>
      </c>
      <c r="AG118" s="613"/>
      <c r="AH118" s="282">
        <f t="shared" si="74"/>
        <v>2083.4077359999997</v>
      </c>
      <c r="AI118" s="282"/>
      <c r="AJ118" s="282">
        <f t="shared" si="75"/>
        <v>834.77397999999982</v>
      </c>
      <c r="AK118" s="282"/>
      <c r="AL118" s="282">
        <f t="shared" si="76"/>
        <v>988.20778899999993</v>
      </c>
      <c r="AM118" s="282"/>
      <c r="AN118" s="282">
        <f t="shared" si="77"/>
        <v>423.85354899999993</v>
      </c>
      <c r="AO118" s="282"/>
      <c r="AP118" s="282">
        <f t="shared" si="78"/>
        <v>261.60170499999998</v>
      </c>
      <c r="AQ118" s="282"/>
      <c r="AR118" s="282">
        <f t="shared" si="79"/>
        <v>623.14113999999995</v>
      </c>
      <c r="AS118" s="153"/>
      <c r="AT118" s="153">
        <f t="shared" si="80"/>
        <v>663.70410099999992</v>
      </c>
      <c r="AV118" s="224"/>
    </row>
    <row r="119" spans="2:48" s="154" customFormat="1" x14ac:dyDescent="0.25">
      <c r="B119" s="562"/>
      <c r="C119" s="428">
        <v>656</v>
      </c>
      <c r="D119" s="353"/>
      <c r="E119" s="389" t="s">
        <v>44</v>
      </c>
      <c r="F119" s="208"/>
      <c r="G119" s="141">
        <v>14</v>
      </c>
      <c r="H119" s="209"/>
      <c r="I119" s="612">
        <v>61477.8</v>
      </c>
      <c r="J119" s="379"/>
      <c r="K119" s="223">
        <f t="shared" si="65"/>
        <v>34458.306900000003</v>
      </c>
      <c r="L119" s="351"/>
      <c r="M119" s="223">
        <f t="shared" si="66"/>
        <v>12559.914540000002</v>
      </c>
      <c r="N119" s="351"/>
      <c r="O119" s="223">
        <f t="shared" si="67"/>
        <v>3897.6925200000001</v>
      </c>
      <c r="P119" s="351"/>
      <c r="Q119" s="223">
        <f t="shared" si="68"/>
        <v>2028.7674000000002</v>
      </c>
      <c r="R119" s="351"/>
      <c r="S119" s="223">
        <f t="shared" si="69"/>
        <v>1592.27502</v>
      </c>
      <c r="T119" s="351"/>
      <c r="U119" s="223">
        <f t="shared" si="70"/>
        <v>0</v>
      </c>
      <c r="V119" s="351"/>
      <c r="W119" s="223">
        <f t="shared" si="71"/>
        <v>6940.8436200000006</v>
      </c>
      <c r="Y119" s="224"/>
      <c r="Z119" s="381">
        <v>656</v>
      </c>
      <c r="AA119" s="353"/>
      <c r="AB119" s="383" t="s">
        <v>44</v>
      </c>
      <c r="AC119" s="208"/>
      <c r="AD119" s="392">
        <f t="shared" si="72"/>
        <v>14</v>
      </c>
      <c r="AE119" s="131"/>
      <c r="AF119" s="392">
        <f t="shared" si="73"/>
        <v>61477.8</v>
      </c>
      <c r="AG119" s="613"/>
      <c r="AH119" s="282">
        <f t="shared" si="74"/>
        <v>21787.732319999999</v>
      </c>
      <c r="AI119" s="282"/>
      <c r="AJ119" s="282">
        <f t="shared" si="75"/>
        <v>8729.8475999999991</v>
      </c>
      <c r="AK119" s="282"/>
      <c r="AL119" s="282">
        <f t="shared" si="76"/>
        <v>10334.418180000001</v>
      </c>
      <c r="AM119" s="282"/>
      <c r="AN119" s="282">
        <f t="shared" si="77"/>
        <v>4432.5493800000004</v>
      </c>
      <c r="AO119" s="282"/>
      <c r="AP119" s="282">
        <f t="shared" si="78"/>
        <v>2735.7620999999999</v>
      </c>
      <c r="AQ119" s="282"/>
      <c r="AR119" s="282">
        <f t="shared" si="79"/>
        <v>6516.6468000000004</v>
      </c>
      <c r="AS119" s="153"/>
      <c r="AT119" s="153">
        <f t="shared" si="80"/>
        <v>6940.8436200000006</v>
      </c>
      <c r="AV119" s="224"/>
    </row>
    <row r="120" spans="2:48" s="154" customFormat="1" x14ac:dyDescent="0.25">
      <c r="B120" s="562"/>
      <c r="C120" s="428">
        <v>657</v>
      </c>
      <c r="D120" s="353"/>
      <c r="E120" s="389" t="s">
        <v>45</v>
      </c>
      <c r="F120" s="208"/>
      <c r="G120" s="141">
        <v>14</v>
      </c>
      <c r="H120" s="209"/>
      <c r="I120" s="612">
        <v>489107.75</v>
      </c>
      <c r="J120" s="379"/>
      <c r="K120" s="223">
        <f t="shared" si="65"/>
        <v>274144.89387500001</v>
      </c>
      <c r="L120" s="351"/>
      <c r="M120" s="223">
        <f t="shared" si="66"/>
        <v>99924.713325000004</v>
      </c>
      <c r="N120" s="351"/>
      <c r="O120" s="223">
        <f t="shared" si="67"/>
        <v>31009.431349999999</v>
      </c>
      <c r="P120" s="351"/>
      <c r="Q120" s="223">
        <f t="shared" si="68"/>
        <v>16140.555750000001</v>
      </c>
      <c r="R120" s="351"/>
      <c r="S120" s="223">
        <f t="shared" si="69"/>
        <v>12667.890724999999</v>
      </c>
      <c r="T120" s="351"/>
      <c r="U120" s="223">
        <f t="shared" si="70"/>
        <v>0</v>
      </c>
      <c r="V120" s="351"/>
      <c r="W120" s="223">
        <f t="shared" si="71"/>
        <v>55220.264974999998</v>
      </c>
      <c r="Y120" s="224"/>
      <c r="Z120" s="381">
        <v>657</v>
      </c>
      <c r="AA120" s="353"/>
      <c r="AB120" s="383" t="s">
        <v>45</v>
      </c>
      <c r="AC120" s="208"/>
      <c r="AD120" s="392">
        <f t="shared" si="72"/>
        <v>14</v>
      </c>
      <c r="AE120" s="131"/>
      <c r="AF120" s="392">
        <f t="shared" si="73"/>
        <v>489107.75</v>
      </c>
      <c r="AG120" s="613"/>
      <c r="AH120" s="282">
        <f t="shared" si="74"/>
        <v>173339.78659999999</v>
      </c>
      <c r="AI120" s="282"/>
      <c r="AJ120" s="282">
        <f t="shared" si="75"/>
        <v>69453.300499999998</v>
      </c>
      <c r="AK120" s="282"/>
      <c r="AL120" s="282">
        <f t="shared" si="76"/>
        <v>82219.012774999996</v>
      </c>
      <c r="AM120" s="282"/>
      <c r="AN120" s="282">
        <f t="shared" si="77"/>
        <v>35264.668774999998</v>
      </c>
      <c r="AO120" s="282"/>
      <c r="AP120" s="282">
        <f t="shared" si="78"/>
        <v>21765.294875</v>
      </c>
      <c r="AQ120" s="282"/>
      <c r="AR120" s="282">
        <f t="shared" si="79"/>
        <v>51845.421499999997</v>
      </c>
      <c r="AS120" s="153"/>
      <c r="AT120" s="153">
        <f t="shared" si="80"/>
        <v>55220.264974999998</v>
      </c>
      <c r="AV120" s="224"/>
    </row>
    <row r="121" spans="2:48" s="154" customFormat="1" x14ac:dyDescent="0.25">
      <c r="B121" s="562"/>
      <c r="C121" s="428">
        <v>658</v>
      </c>
      <c r="D121" s="353"/>
      <c r="E121" s="389" t="s">
        <v>46</v>
      </c>
      <c r="F121" s="208"/>
      <c r="G121" s="141">
        <v>16</v>
      </c>
      <c r="H121" s="209"/>
      <c r="I121" s="612">
        <v>72638.62999999999</v>
      </c>
      <c r="J121" s="379"/>
      <c r="K121" s="223">
        <f t="shared" si="65"/>
        <v>40583.20258099999</v>
      </c>
      <c r="L121" s="351"/>
      <c r="M121" s="223">
        <f t="shared" si="66"/>
        <v>15355.806381999999</v>
      </c>
      <c r="N121" s="351"/>
      <c r="O121" s="223">
        <f t="shared" si="67"/>
        <v>4808.6773059999987</v>
      </c>
      <c r="P121" s="351"/>
      <c r="Q121" s="223">
        <f t="shared" si="68"/>
        <v>2506.0327349999998</v>
      </c>
      <c r="R121" s="351"/>
      <c r="S121" s="223">
        <f t="shared" si="69"/>
        <v>1968.5068729999996</v>
      </c>
      <c r="T121" s="351"/>
      <c r="U121" s="223">
        <f t="shared" si="70"/>
        <v>0</v>
      </c>
      <c r="V121" s="351"/>
      <c r="W121" s="223">
        <f t="shared" si="71"/>
        <v>7416.4041229999984</v>
      </c>
      <c r="Y121" s="224"/>
      <c r="Z121" s="381">
        <v>658</v>
      </c>
      <c r="AA121" s="353"/>
      <c r="AB121" s="383" t="s">
        <v>46</v>
      </c>
      <c r="AC121" s="208"/>
      <c r="AD121" s="392">
        <f t="shared" si="72"/>
        <v>16</v>
      </c>
      <c r="AE121" s="131"/>
      <c r="AF121" s="392">
        <f t="shared" si="73"/>
        <v>72638.62999999999</v>
      </c>
      <c r="AG121" s="613"/>
      <c r="AH121" s="282">
        <f t="shared" si="74"/>
        <v>27007.042633999994</v>
      </c>
      <c r="AI121" s="282"/>
      <c r="AJ121" s="282">
        <f t="shared" si="75"/>
        <v>11317.098553999998</v>
      </c>
      <c r="AK121" s="282"/>
      <c r="AL121" s="282">
        <f t="shared" si="76"/>
        <v>11629.444662999998</v>
      </c>
      <c r="AM121" s="282"/>
      <c r="AN121" s="282">
        <f t="shared" si="77"/>
        <v>7568.9452459999993</v>
      </c>
      <c r="AO121" s="282"/>
      <c r="AP121" s="282">
        <f t="shared" si="78"/>
        <v>1416.4532849999998</v>
      </c>
      <c r="AQ121" s="282"/>
      <c r="AR121" s="282">
        <f t="shared" si="79"/>
        <v>6283.2414949999984</v>
      </c>
      <c r="AS121" s="153"/>
      <c r="AT121" s="153">
        <f t="shared" si="80"/>
        <v>7416.4041229999984</v>
      </c>
      <c r="AV121" s="224"/>
    </row>
    <row r="122" spans="2:48" s="154" customFormat="1" x14ac:dyDescent="0.25">
      <c r="B122" s="559"/>
      <c r="C122" s="428">
        <v>659</v>
      </c>
      <c r="D122" s="353"/>
      <c r="E122" s="389" t="s">
        <v>47</v>
      </c>
      <c r="F122" s="208"/>
      <c r="G122" s="141">
        <v>14</v>
      </c>
      <c r="H122" s="209"/>
      <c r="I122" s="612">
        <v>52123.150000000009</v>
      </c>
      <c r="J122" s="379"/>
      <c r="K122" s="223">
        <f t="shared" si="65"/>
        <v>29215.025575000003</v>
      </c>
      <c r="L122" s="351"/>
      <c r="M122" s="223">
        <f t="shared" si="66"/>
        <v>10648.759545000003</v>
      </c>
      <c r="N122" s="351"/>
      <c r="O122" s="223">
        <f t="shared" si="67"/>
        <v>3304.6077100000002</v>
      </c>
      <c r="P122" s="351"/>
      <c r="Q122" s="223">
        <f t="shared" si="68"/>
        <v>1720.0639500000004</v>
      </c>
      <c r="R122" s="351"/>
      <c r="S122" s="223">
        <f t="shared" si="69"/>
        <v>1349.9895850000003</v>
      </c>
      <c r="T122" s="351"/>
      <c r="U122" s="223">
        <f t="shared" si="70"/>
        <v>0</v>
      </c>
      <c r="V122" s="351"/>
      <c r="W122" s="223">
        <f t="shared" si="71"/>
        <v>5884.7036350000008</v>
      </c>
      <c r="Y122" s="224"/>
      <c r="Z122" s="381">
        <v>659</v>
      </c>
      <c r="AA122" s="353"/>
      <c r="AB122" s="383" t="s">
        <v>47</v>
      </c>
      <c r="AC122" s="208"/>
      <c r="AD122" s="392">
        <f t="shared" si="72"/>
        <v>14</v>
      </c>
      <c r="AE122" s="131"/>
      <c r="AF122" s="392">
        <f t="shared" si="73"/>
        <v>52123.150000000009</v>
      </c>
      <c r="AG122" s="282"/>
      <c r="AH122" s="282">
        <f t="shared" si="74"/>
        <v>18472.444360000001</v>
      </c>
      <c r="AI122" s="282"/>
      <c r="AJ122" s="282">
        <f t="shared" si="75"/>
        <v>7401.4873000000007</v>
      </c>
      <c r="AK122" s="282"/>
      <c r="AL122" s="282">
        <f t="shared" si="76"/>
        <v>8761.9015150000014</v>
      </c>
      <c r="AM122" s="282"/>
      <c r="AN122" s="282">
        <f t="shared" si="77"/>
        <v>3758.0791150000005</v>
      </c>
      <c r="AO122" s="282"/>
      <c r="AP122" s="282">
        <f t="shared" si="78"/>
        <v>2319.4801750000001</v>
      </c>
      <c r="AQ122" s="282"/>
      <c r="AR122" s="282">
        <f t="shared" si="79"/>
        <v>5525.0539000000008</v>
      </c>
      <c r="AS122" s="153"/>
      <c r="AT122" s="153">
        <f t="shared" si="80"/>
        <v>5884.7036350000008</v>
      </c>
      <c r="AV122" s="224"/>
    </row>
    <row r="123" spans="2:48" s="154" customFormat="1" x14ac:dyDescent="0.25">
      <c r="B123" s="559"/>
      <c r="C123" s="428">
        <v>660</v>
      </c>
      <c r="D123" s="353"/>
      <c r="E123" s="389" t="s">
        <v>107</v>
      </c>
      <c r="F123" s="208"/>
      <c r="G123" s="141">
        <v>14</v>
      </c>
      <c r="H123" s="209"/>
      <c r="I123" s="612">
        <v>10756.89</v>
      </c>
      <c r="J123" s="379"/>
      <c r="K123" s="223">
        <f t="shared" si="65"/>
        <v>6029.2368449999994</v>
      </c>
      <c r="L123" s="351"/>
      <c r="M123" s="223">
        <f t="shared" si="66"/>
        <v>2197.632627</v>
      </c>
      <c r="N123" s="351"/>
      <c r="O123" s="223">
        <f t="shared" si="67"/>
        <v>681.98682599999995</v>
      </c>
      <c r="P123" s="351"/>
      <c r="Q123" s="223">
        <f t="shared" si="68"/>
        <v>354.97737000000001</v>
      </c>
      <c r="R123" s="351"/>
      <c r="S123" s="223">
        <f t="shared" si="69"/>
        <v>278.60345100000001</v>
      </c>
      <c r="T123" s="351"/>
      <c r="U123" s="223">
        <f t="shared" si="70"/>
        <v>0</v>
      </c>
      <c r="V123" s="351"/>
      <c r="W123" s="223">
        <f t="shared" si="71"/>
        <v>1214.4528809999999</v>
      </c>
      <c r="Y123" s="224"/>
      <c r="Z123" s="381">
        <v>660</v>
      </c>
      <c r="AA123" s="353"/>
      <c r="AB123" s="383" t="s">
        <v>107</v>
      </c>
      <c r="AC123" s="208"/>
      <c r="AD123" s="392">
        <f t="shared" si="72"/>
        <v>14</v>
      </c>
      <c r="AE123" s="131"/>
      <c r="AF123" s="392">
        <f t="shared" si="73"/>
        <v>10756.89</v>
      </c>
      <c r="AG123" s="613"/>
      <c r="AH123" s="282">
        <f t="shared" si="74"/>
        <v>3812.2418159999997</v>
      </c>
      <c r="AI123" s="282"/>
      <c r="AJ123" s="282">
        <f t="shared" si="75"/>
        <v>1527.4783799999998</v>
      </c>
      <c r="AK123" s="282"/>
      <c r="AL123" s="282">
        <f t="shared" si="76"/>
        <v>1808.233209</v>
      </c>
      <c r="AM123" s="282"/>
      <c r="AN123" s="282">
        <f t="shared" si="77"/>
        <v>775.5717689999999</v>
      </c>
      <c r="AO123" s="282"/>
      <c r="AP123" s="282">
        <f t="shared" si="78"/>
        <v>478.68160499999993</v>
      </c>
      <c r="AQ123" s="282"/>
      <c r="AR123" s="282">
        <f t="shared" si="79"/>
        <v>1140.2303399999998</v>
      </c>
      <c r="AS123" s="153"/>
      <c r="AT123" s="153">
        <f t="shared" si="80"/>
        <v>1214.4528809999999</v>
      </c>
      <c r="AV123" s="224"/>
    </row>
    <row r="124" spans="2:48" s="154" customFormat="1" x14ac:dyDescent="0.25">
      <c r="B124" s="559"/>
      <c r="C124" s="428">
        <v>667</v>
      </c>
      <c r="D124" s="353"/>
      <c r="E124" s="389" t="s">
        <v>49</v>
      </c>
      <c r="F124" s="208"/>
      <c r="G124" s="141">
        <v>19</v>
      </c>
      <c r="H124" s="209"/>
      <c r="I124" s="612">
        <v>32331.24</v>
      </c>
      <c r="J124" s="379"/>
      <c r="K124" s="223">
        <f t="shared" si="65"/>
        <v>17200.219680000002</v>
      </c>
      <c r="L124" s="351"/>
      <c r="M124" s="223">
        <f t="shared" si="66"/>
        <v>7051.4434439999995</v>
      </c>
      <c r="N124" s="351"/>
      <c r="O124" s="223">
        <f t="shared" si="67"/>
        <v>2334.3155280000001</v>
      </c>
      <c r="P124" s="351"/>
      <c r="Q124" s="223">
        <f t="shared" si="68"/>
        <v>1189.789632</v>
      </c>
      <c r="R124" s="351"/>
      <c r="S124" s="223">
        <f t="shared" si="69"/>
        <v>1134.8265240000001</v>
      </c>
      <c r="T124" s="351"/>
      <c r="U124" s="223">
        <f t="shared" si="70"/>
        <v>0</v>
      </c>
      <c r="V124" s="351"/>
      <c r="W124" s="223">
        <f t="shared" si="71"/>
        <v>3420.6451920000004</v>
      </c>
      <c r="Y124" s="224"/>
      <c r="Z124" s="381">
        <v>667</v>
      </c>
      <c r="AA124" s="353"/>
      <c r="AB124" s="383" t="s">
        <v>49</v>
      </c>
      <c r="AC124" s="208"/>
      <c r="AD124" s="392">
        <f t="shared" si="72"/>
        <v>19</v>
      </c>
      <c r="AE124" s="131"/>
      <c r="AF124" s="392">
        <f t="shared" si="73"/>
        <v>32331.24</v>
      </c>
      <c r="AG124" s="282"/>
      <c r="AH124" s="282">
        <f t="shared" si="74"/>
        <v>14652.517968</v>
      </c>
      <c r="AI124" s="282"/>
      <c r="AJ124" s="282">
        <f t="shared" si="75"/>
        <v>5208.5627640000002</v>
      </c>
      <c r="AK124" s="282"/>
      <c r="AL124" s="282">
        <f t="shared" si="76"/>
        <v>3992.90814</v>
      </c>
      <c r="AM124" s="282"/>
      <c r="AN124" s="282">
        <f t="shared" si="77"/>
        <v>1865.5125480000002</v>
      </c>
      <c r="AO124" s="282"/>
      <c r="AP124" s="282">
        <f t="shared" si="78"/>
        <v>1661.8257360000002</v>
      </c>
      <c r="AQ124" s="282"/>
      <c r="AR124" s="282">
        <f t="shared" si="79"/>
        <v>1529.2676520000002</v>
      </c>
      <c r="AS124" s="153"/>
      <c r="AT124" s="153">
        <f t="shared" si="80"/>
        <v>3420.6451920000004</v>
      </c>
      <c r="AV124" s="224"/>
    </row>
    <row r="125" spans="2:48" s="154" customFormat="1" x14ac:dyDescent="0.25">
      <c r="B125" s="559"/>
      <c r="C125" s="428">
        <v>670</v>
      </c>
      <c r="D125" s="353"/>
      <c r="E125" s="389" t="s">
        <v>108</v>
      </c>
      <c r="F125" s="208"/>
      <c r="G125" s="141">
        <v>12</v>
      </c>
      <c r="H125" s="209"/>
      <c r="I125" s="612">
        <v>382985.07</v>
      </c>
      <c r="J125" s="379"/>
      <c r="K125" s="223">
        <f t="shared" si="65"/>
        <v>352028.38679189997</v>
      </c>
      <c r="L125" s="351"/>
      <c r="M125" s="223">
        <f t="shared" si="66"/>
        <v>28268.1280167</v>
      </c>
      <c r="N125" s="351"/>
      <c r="O125" s="223">
        <f t="shared" si="67"/>
        <v>463.41193469999996</v>
      </c>
      <c r="P125" s="351"/>
      <c r="Q125" s="223">
        <f t="shared" si="68"/>
        <v>2152.3760934000002</v>
      </c>
      <c r="R125" s="351"/>
      <c r="S125" s="223">
        <f t="shared" si="69"/>
        <v>72.767163300000007</v>
      </c>
      <c r="T125" s="351"/>
      <c r="U125" s="223">
        <f t="shared" si="70"/>
        <v>0</v>
      </c>
      <c r="V125" s="351"/>
      <c r="W125" s="223">
        <f t="shared" si="71"/>
        <v>0</v>
      </c>
      <c r="Y125" s="224"/>
      <c r="Z125" s="381">
        <v>670</v>
      </c>
      <c r="AA125" s="353"/>
      <c r="AB125" s="383" t="s">
        <v>108</v>
      </c>
      <c r="AC125" s="208"/>
      <c r="AD125" s="392">
        <f t="shared" si="72"/>
        <v>12</v>
      </c>
      <c r="AE125" s="131"/>
      <c r="AF125" s="392">
        <f t="shared" si="73"/>
        <v>382985.07</v>
      </c>
      <c r="AG125" s="613"/>
      <c r="AH125" s="282">
        <f t="shared" si="74"/>
        <v>0</v>
      </c>
      <c r="AI125" s="282"/>
      <c r="AJ125" s="282">
        <f t="shared" si="75"/>
        <v>0</v>
      </c>
      <c r="AK125" s="282"/>
      <c r="AL125" s="282">
        <f t="shared" si="76"/>
        <v>0</v>
      </c>
      <c r="AM125" s="282"/>
      <c r="AN125" s="282">
        <f t="shared" si="77"/>
        <v>0</v>
      </c>
      <c r="AO125" s="282"/>
      <c r="AP125" s="282">
        <f t="shared" si="78"/>
        <v>0</v>
      </c>
      <c r="AQ125" s="282"/>
      <c r="AR125" s="282">
        <f t="shared" si="79"/>
        <v>382985.07</v>
      </c>
      <c r="AS125" s="153"/>
      <c r="AT125" s="153">
        <f t="shared" si="80"/>
        <v>0</v>
      </c>
      <c r="AV125" s="224"/>
    </row>
    <row r="126" spans="2:48" s="154" customFormat="1" x14ac:dyDescent="0.25">
      <c r="B126" s="559"/>
      <c r="C126" s="428">
        <v>675</v>
      </c>
      <c r="D126" s="353"/>
      <c r="E126" s="389" t="s">
        <v>48</v>
      </c>
      <c r="F126" s="208"/>
      <c r="G126" s="141">
        <v>14</v>
      </c>
      <c r="H126" s="209"/>
      <c r="I126" s="614">
        <v>38274.89</v>
      </c>
      <c r="J126" s="379"/>
      <c r="K126" s="397">
        <f t="shared" si="65"/>
        <v>21453.075844999999</v>
      </c>
      <c r="L126" s="351"/>
      <c r="M126" s="397">
        <f t="shared" si="66"/>
        <v>7819.5600270000004</v>
      </c>
      <c r="N126" s="351"/>
      <c r="O126" s="397">
        <f t="shared" si="67"/>
        <v>2426.6280259999999</v>
      </c>
      <c r="P126" s="351"/>
      <c r="Q126" s="397">
        <f t="shared" si="68"/>
        <v>1263.0713700000001</v>
      </c>
      <c r="R126" s="351"/>
      <c r="S126" s="397">
        <f t="shared" si="69"/>
        <v>991.31965099999991</v>
      </c>
      <c r="T126" s="351"/>
      <c r="U126" s="397">
        <f t="shared" si="70"/>
        <v>0</v>
      </c>
      <c r="V126" s="351"/>
      <c r="W126" s="397">
        <f t="shared" si="71"/>
        <v>4321.2350809999998</v>
      </c>
      <c r="Y126" s="224"/>
      <c r="Z126" s="381">
        <v>675</v>
      </c>
      <c r="AA126" s="353"/>
      <c r="AB126" s="383" t="s">
        <v>48</v>
      </c>
      <c r="AC126" s="208"/>
      <c r="AD126" s="392">
        <f t="shared" si="72"/>
        <v>14</v>
      </c>
      <c r="AE126" s="131"/>
      <c r="AF126" s="393">
        <f t="shared" si="73"/>
        <v>38274.89</v>
      </c>
      <c r="AG126" s="613"/>
      <c r="AH126" s="397">
        <f t="shared" si="74"/>
        <v>13564.621015999999</v>
      </c>
      <c r="AI126" s="613"/>
      <c r="AJ126" s="397">
        <f t="shared" si="75"/>
        <v>5435.0343799999991</v>
      </c>
      <c r="AK126" s="613"/>
      <c r="AL126" s="397">
        <f t="shared" si="76"/>
        <v>6434.0090090000003</v>
      </c>
      <c r="AM126" s="613"/>
      <c r="AN126" s="397">
        <f t="shared" si="77"/>
        <v>2759.619569</v>
      </c>
      <c r="AO126" s="613"/>
      <c r="AP126" s="397">
        <f t="shared" si="78"/>
        <v>1703.2326049999999</v>
      </c>
      <c r="AQ126" s="613"/>
      <c r="AR126" s="397">
        <f t="shared" si="79"/>
        <v>4057.13834</v>
      </c>
      <c r="AT126" s="140">
        <f t="shared" si="80"/>
        <v>4321.2350809999998</v>
      </c>
      <c r="AV126" s="224"/>
    </row>
    <row r="127" spans="2:48" s="154" customFormat="1" x14ac:dyDescent="0.25">
      <c r="B127" s="559"/>
      <c r="C127" s="428"/>
      <c r="D127" s="353"/>
      <c r="E127" s="282"/>
      <c r="F127" s="208"/>
      <c r="G127" s="141"/>
      <c r="H127" s="209"/>
      <c r="I127" s="612"/>
      <c r="J127" s="379"/>
      <c r="K127" s="282"/>
      <c r="L127" s="353"/>
      <c r="M127" s="282"/>
      <c r="N127" s="353"/>
      <c r="O127" s="282"/>
      <c r="P127" s="353"/>
      <c r="Q127" s="282"/>
      <c r="R127" s="353"/>
      <c r="S127" s="282"/>
      <c r="T127" s="353"/>
      <c r="U127" s="282"/>
      <c r="V127" s="353"/>
      <c r="W127" s="282"/>
      <c r="Y127" s="224"/>
      <c r="Z127" s="381"/>
      <c r="AA127" s="353"/>
      <c r="AB127" s="282"/>
      <c r="AC127" s="208"/>
      <c r="AD127" s="141"/>
      <c r="AF127" s="613"/>
      <c r="AG127" s="613"/>
      <c r="AH127" s="282"/>
      <c r="AI127" s="613"/>
      <c r="AJ127" s="282"/>
      <c r="AK127" s="613"/>
      <c r="AL127" s="282"/>
      <c r="AM127" s="613"/>
      <c r="AN127" s="282"/>
      <c r="AO127" s="613"/>
      <c r="AP127" s="282"/>
      <c r="AQ127" s="613"/>
      <c r="AR127" s="282"/>
      <c r="AT127" s="153"/>
      <c r="AV127" s="224"/>
    </row>
    <row r="128" spans="2:48" s="154" customFormat="1" x14ac:dyDescent="0.25">
      <c r="B128" s="563"/>
      <c r="C128" s="428"/>
      <c r="D128" s="353"/>
      <c r="E128" s="379" t="s">
        <v>59</v>
      </c>
      <c r="F128" s="208"/>
      <c r="G128" s="141"/>
      <c r="H128" s="209"/>
      <c r="I128" s="614">
        <f>SUM(I107:I127)</f>
        <v>12071499.346389938</v>
      </c>
      <c r="J128" s="379"/>
      <c r="K128" s="397">
        <f>SUM(K107:K127)</f>
        <v>6890612.4837944563</v>
      </c>
      <c r="L128" s="282"/>
      <c r="M128" s="397">
        <f>SUM(M107:M127)</f>
        <v>2463643.1399481636</v>
      </c>
      <c r="N128" s="282"/>
      <c r="O128" s="397">
        <f>SUM(O107:O127)</f>
        <v>760321.28797382186</v>
      </c>
      <c r="P128" s="282"/>
      <c r="Q128" s="397">
        <f>SUM(Q107:Q127)</f>
        <v>397918.46807126788</v>
      </c>
      <c r="R128" s="282"/>
      <c r="S128" s="397">
        <f>SUM(S107:S127)</f>
        <v>311040.54404579924</v>
      </c>
      <c r="T128" s="282"/>
      <c r="U128" s="397">
        <f>SUM(U107:U127)</f>
        <v>0</v>
      </c>
      <c r="V128" s="282"/>
      <c r="W128" s="397">
        <f>SUM(W107:W127)</f>
        <v>1247963.4225564233</v>
      </c>
      <c r="Y128" s="224"/>
      <c r="Z128" s="381"/>
      <c r="AA128" s="353"/>
      <c r="AB128" s="379" t="s">
        <v>59</v>
      </c>
      <c r="AC128" s="208"/>
      <c r="AD128" s="141"/>
      <c r="AF128" s="397">
        <f>SUM(AF107:AF127)</f>
        <v>12071499.346389938</v>
      </c>
      <c r="AG128" s="613"/>
      <c r="AH128" s="397">
        <f>SUM(AH107:AH127)</f>
        <v>4260702.0269465931</v>
      </c>
      <c r="AI128" s="613"/>
      <c r="AJ128" s="397">
        <f>SUM(AJ107:AJ127)</f>
        <v>1751671.3656653706</v>
      </c>
      <c r="AK128" s="613"/>
      <c r="AL128" s="397">
        <f>SUM(AL107:AL127)</f>
        <v>1910478.5451171477</v>
      </c>
      <c r="AM128" s="613"/>
      <c r="AN128" s="397">
        <f>SUM(AN107:AN127)</f>
        <v>1054612.7193747144</v>
      </c>
      <c r="AO128" s="613"/>
      <c r="AP128" s="397">
        <f>SUM(AP107:AP127)</f>
        <v>354990.93510535208</v>
      </c>
      <c r="AQ128" s="613"/>
      <c r="AR128" s="397">
        <f>SUM(AR107:AR127)</f>
        <v>1491080.331624333</v>
      </c>
      <c r="AT128" s="140">
        <f>SUM(AT107:AT127)</f>
        <v>1247963.4225564233</v>
      </c>
      <c r="AV128" s="224"/>
    </row>
    <row r="129" spans="1:49" s="154" customFormat="1" x14ac:dyDescent="0.25">
      <c r="B129" s="559"/>
      <c r="C129" s="428"/>
      <c r="D129" s="353"/>
      <c r="E129" s="282"/>
      <c r="F129" s="208"/>
      <c r="G129" s="141"/>
      <c r="H129" s="209"/>
      <c r="I129" s="378"/>
      <c r="J129" s="592"/>
      <c r="K129" s="153"/>
      <c r="L129" s="209"/>
      <c r="M129" s="153"/>
      <c r="N129" s="209"/>
      <c r="O129" s="153"/>
      <c r="P129" s="209"/>
      <c r="Q129" s="153"/>
      <c r="R129" s="209"/>
      <c r="S129" s="153"/>
      <c r="T129" s="209"/>
      <c r="U129" s="153"/>
      <c r="V129" s="209"/>
      <c r="W129" s="153"/>
      <c r="Y129" s="224"/>
      <c r="Z129" s="381"/>
      <c r="AA129" s="353"/>
      <c r="AB129" s="282"/>
      <c r="AC129" s="208"/>
      <c r="AD129" s="141"/>
      <c r="AF129" s="282"/>
      <c r="AG129" s="613"/>
      <c r="AH129" s="282"/>
      <c r="AI129" s="613"/>
      <c r="AJ129" s="282"/>
      <c r="AK129" s="613"/>
      <c r="AL129" s="282"/>
      <c r="AM129" s="613"/>
      <c r="AN129" s="282"/>
      <c r="AO129" s="613"/>
      <c r="AP129" s="282"/>
      <c r="AQ129" s="613"/>
      <c r="AR129" s="282"/>
      <c r="AT129" s="153"/>
      <c r="AV129" s="224"/>
    </row>
    <row r="130" spans="1:49" x14ac:dyDescent="0.25">
      <c r="B130" s="558"/>
      <c r="E130" s="226" t="s">
        <v>159</v>
      </c>
      <c r="F130" s="131"/>
      <c r="G130" s="143"/>
      <c r="H130" s="132"/>
      <c r="I130" s="638">
        <f>+I128+I104+I85+I49+I24</f>
        <v>32809879.093598336</v>
      </c>
      <c r="J130" s="639"/>
      <c r="K130" s="640">
        <f>+K128+K104+K85+K49+K24</f>
        <v>18100363.987946711</v>
      </c>
      <c r="L130" s="641"/>
      <c r="M130" s="640">
        <f>+M128+M104+M85+M49+M24</f>
        <v>7147945.3529627137</v>
      </c>
      <c r="N130" s="641"/>
      <c r="O130" s="640">
        <f>+O128+O104+O85+O49+O24</f>
        <v>2348927.213706878</v>
      </c>
      <c r="P130" s="641"/>
      <c r="Q130" s="640">
        <f>+Q128+Q104+Q85+Q49+Q24</f>
        <v>1199624.8298954573</v>
      </c>
      <c r="R130" s="641"/>
      <c r="S130" s="640">
        <f>+S128+S104+S85+S49+S24</f>
        <v>1115739.9290365709</v>
      </c>
      <c r="T130" s="641"/>
      <c r="U130" s="640">
        <f>+U128+U104+U85+U49+U24</f>
        <v>0</v>
      </c>
      <c r="V130" s="641"/>
      <c r="W130" s="640">
        <f>+W128+W104+W85+W49+W24</f>
        <v>2897277.7800499969</v>
      </c>
      <c r="Z130" s="137"/>
      <c r="AA130" s="351"/>
      <c r="AB130" s="226" t="s">
        <v>159</v>
      </c>
      <c r="AC130" s="131"/>
      <c r="AD130" s="143"/>
      <c r="AF130" s="640">
        <f>+AF128+AF104+AF85+AF49+AF24</f>
        <v>32809879.093598336</v>
      </c>
      <c r="AG130" s="531"/>
      <c r="AH130" s="640">
        <f>+AH128+AH104+AH85+AH49+AH24</f>
        <v>15767391.999684855</v>
      </c>
      <c r="AI130" s="531"/>
      <c r="AJ130" s="640">
        <f>+AJ128+AJ104+AJ85+AJ49+AJ24</f>
        <v>3772929.3981111431</v>
      </c>
      <c r="AK130" s="531"/>
      <c r="AL130" s="640">
        <f>+AL128+AL104+AL85+AL49+AL24</f>
        <v>4302800.8445690945</v>
      </c>
      <c r="AM130" s="531"/>
      <c r="AN130" s="640">
        <f>+AN128+AN104+AN85+AN49+AN24</f>
        <v>2081684.6391643395</v>
      </c>
      <c r="AO130" s="531"/>
      <c r="AP130" s="640">
        <f>+AP128+AP104+AP85+AP49+AP24</f>
        <v>988044.52829926566</v>
      </c>
      <c r="AQ130" s="531"/>
      <c r="AR130" s="640">
        <f>+AR128+AR104+AR85+AR49+AR24</f>
        <v>2999749.9037196338</v>
      </c>
      <c r="AS130" s="531"/>
      <c r="AT130" s="640">
        <f>+AT128+AT104+AT85+AT49+AT24</f>
        <v>2897277.7800499969</v>
      </c>
    </row>
    <row r="131" spans="1:49" x14ac:dyDescent="0.25">
      <c r="E131" s="391"/>
      <c r="F131" s="131"/>
      <c r="G131" s="143"/>
      <c r="H131" s="132"/>
      <c r="I131" s="294"/>
      <c r="J131" s="592"/>
      <c r="K131" s="139"/>
      <c r="Z131" s="137"/>
      <c r="AA131" s="351"/>
      <c r="AB131" s="131"/>
      <c r="AC131" s="131"/>
      <c r="AD131" s="143"/>
      <c r="AF131" s="224"/>
      <c r="AG131" s="224"/>
      <c r="AH131" s="224"/>
      <c r="AI131" s="224"/>
      <c r="AJ131" s="224"/>
      <c r="AK131" s="224"/>
      <c r="AL131" s="224"/>
      <c r="AM131" s="224"/>
      <c r="AN131" s="224"/>
      <c r="AO131" s="224"/>
      <c r="AP131" s="224"/>
      <c r="AQ131" s="224"/>
      <c r="AR131" s="224"/>
    </row>
    <row r="132" spans="1:49" x14ac:dyDescent="0.25">
      <c r="E132" s="233" t="s">
        <v>161</v>
      </c>
      <c r="F132" s="131"/>
      <c r="G132" s="143"/>
      <c r="H132" s="132"/>
      <c r="I132" s="294"/>
      <c r="J132" s="592"/>
      <c r="K132" s="139"/>
      <c r="Z132" s="137"/>
      <c r="AA132" s="351"/>
      <c r="AB132" s="233" t="s">
        <v>161</v>
      </c>
      <c r="AC132" s="131"/>
      <c r="AD132" s="143"/>
      <c r="AF132" s="224"/>
      <c r="AG132" s="224"/>
      <c r="AH132" s="224"/>
      <c r="AI132" s="224"/>
      <c r="AJ132" s="224"/>
      <c r="AK132" s="224"/>
      <c r="AL132" s="224"/>
      <c r="AM132" s="224"/>
      <c r="AN132" s="224"/>
      <c r="AO132" s="224"/>
      <c r="AP132" s="224"/>
      <c r="AQ132" s="224"/>
      <c r="AR132" s="224"/>
    </row>
    <row r="133" spans="1:49" x14ac:dyDescent="0.25">
      <c r="E133" s="209"/>
      <c r="F133" s="131"/>
      <c r="G133" s="143"/>
      <c r="H133" s="132"/>
      <c r="I133" s="294"/>
      <c r="J133" s="592"/>
      <c r="K133" s="139"/>
      <c r="M133" s="139"/>
      <c r="O133" s="139"/>
      <c r="Q133" s="139"/>
      <c r="S133" s="139"/>
      <c r="U133" s="139"/>
      <c r="W133" s="139"/>
      <c r="Z133" s="137"/>
      <c r="AA133" s="351"/>
      <c r="AB133" s="209"/>
      <c r="AC133" s="131"/>
      <c r="AD133" s="143"/>
      <c r="AF133" s="224"/>
      <c r="AG133" s="224"/>
      <c r="AH133" s="223"/>
      <c r="AI133" s="223"/>
      <c r="AJ133" s="223"/>
      <c r="AK133" s="223"/>
      <c r="AL133" s="223"/>
      <c r="AM133" s="223"/>
      <c r="AN133" s="223"/>
      <c r="AO133" s="223"/>
      <c r="AP133" s="223"/>
      <c r="AQ133" s="223"/>
      <c r="AR133" s="223"/>
      <c r="AS133" s="139"/>
      <c r="AT133" s="139"/>
    </row>
    <row r="134" spans="1:49" x14ac:dyDescent="0.25">
      <c r="C134" s="432">
        <v>304.10000000000002</v>
      </c>
      <c r="E134" s="389" t="s">
        <v>60</v>
      </c>
      <c r="G134" s="143">
        <v>2</v>
      </c>
      <c r="H134" s="132"/>
      <c r="I134" s="643">
        <v>458063.03</v>
      </c>
      <c r="J134" s="639"/>
      <c r="K134" s="641">
        <f t="shared" ref="K134:K169" si="83">(VLOOKUP($G134,Factors,K$316))*$I134</f>
        <v>238467.61341799999</v>
      </c>
      <c r="L134" s="644"/>
      <c r="M134" s="641">
        <f t="shared" ref="M134:M169" si="84">(VLOOKUP($G134,Factors,M$316))*$I134</f>
        <v>121249.28404100001</v>
      </c>
      <c r="N134" s="644"/>
      <c r="O134" s="641">
        <f t="shared" ref="O134:O169" si="85">(VLOOKUP($G134,Factors,O$316))*$I134</f>
        <v>45531.465182000007</v>
      </c>
      <c r="P134" s="644"/>
      <c r="Q134" s="641">
        <f t="shared" ref="Q134:Q169" si="86">(VLOOKUP($G134,Factors,Q$316))*$I134</f>
        <v>22032.831742999999</v>
      </c>
      <c r="R134" s="644"/>
      <c r="S134" s="641">
        <f t="shared" ref="S134:S169" si="87">(VLOOKUP($G134,Factors,S$316))*$I134</f>
        <v>28949.583496000003</v>
      </c>
      <c r="T134" s="644"/>
      <c r="U134" s="641">
        <f t="shared" ref="U134:U169" si="88">(VLOOKUP($G134,Factors,U$316))*$I134</f>
        <v>0</v>
      </c>
      <c r="V134" s="644"/>
      <c r="W134" s="641">
        <f t="shared" ref="W134:W169" si="89">(VLOOKUP($G134,Factors,W$316))*$I134</f>
        <v>1832.2521200000001</v>
      </c>
      <c r="X134" s="154"/>
      <c r="Z134" s="390">
        <v>304.10000000000002</v>
      </c>
      <c r="AA134" s="351"/>
      <c r="AB134" s="389" t="s">
        <v>60</v>
      </c>
      <c r="AC134" s="133"/>
      <c r="AD134" s="392">
        <f>+G134</f>
        <v>2</v>
      </c>
      <c r="AE134" s="131"/>
      <c r="AF134" s="664">
        <f>+I134</f>
        <v>458063.03</v>
      </c>
      <c r="AG134" s="531"/>
      <c r="AH134" s="658">
        <f t="shared" ref="AH134:AH169" si="90">(VLOOKUP($AD134,func,AH$316))*$AF134</f>
        <v>284457.14163000003</v>
      </c>
      <c r="AI134" s="658"/>
      <c r="AJ134" s="658">
        <f t="shared" ref="AJ134:AJ169" si="91">(VLOOKUP($AD134,func,AJ$316))*$AF134</f>
        <v>171773.63625000001</v>
      </c>
      <c r="AK134" s="658"/>
      <c r="AL134" s="658">
        <f t="shared" ref="AL134:AL169" si="92">(VLOOKUP($AD134,func,AL$316))*$AF134</f>
        <v>0</v>
      </c>
      <c r="AM134" s="658"/>
      <c r="AN134" s="658">
        <f t="shared" ref="AN134:AN169" si="93">(VLOOKUP($AD134,func,AN$316))*$AF134</f>
        <v>0</v>
      </c>
      <c r="AO134" s="658"/>
      <c r="AP134" s="658">
        <f t="shared" ref="AP134:AP169" si="94">(VLOOKUP($AD134,func,AP$316))*$AF134</f>
        <v>0</v>
      </c>
      <c r="AQ134" s="658"/>
      <c r="AR134" s="658">
        <f t="shared" ref="AR134:AR169" si="95">(VLOOKUP($AD134,func,AR$316))*$AF134</f>
        <v>0</v>
      </c>
      <c r="AS134" s="658"/>
      <c r="AT134" s="658">
        <f t="shared" ref="AT134:AT169" si="96">(VLOOKUP($AD134,func,AT$316))*$AF134</f>
        <v>1832.2521200000001</v>
      </c>
    </row>
    <row r="135" spans="1:49" x14ac:dyDescent="0.25">
      <c r="C135" s="432">
        <v>304.2</v>
      </c>
      <c r="E135" s="389" t="s">
        <v>61</v>
      </c>
      <c r="G135" s="143">
        <v>2</v>
      </c>
      <c r="H135" s="132"/>
      <c r="I135" s="473">
        <v>2241380.7799999998</v>
      </c>
      <c r="J135" s="379"/>
      <c r="K135" s="223">
        <f t="shared" si="83"/>
        <v>1166862.8340679999</v>
      </c>
      <c r="L135" s="351"/>
      <c r="M135" s="223">
        <f t="shared" si="84"/>
        <v>593293.49246599991</v>
      </c>
      <c r="N135" s="351"/>
      <c r="O135" s="223">
        <f t="shared" si="85"/>
        <v>222793.24953199999</v>
      </c>
      <c r="P135" s="351"/>
      <c r="Q135" s="223">
        <f t="shared" si="86"/>
        <v>107810.41551799998</v>
      </c>
      <c r="R135" s="351"/>
      <c r="S135" s="223">
        <f t="shared" si="87"/>
        <v>141655.265296</v>
      </c>
      <c r="T135" s="351"/>
      <c r="U135" s="223">
        <f t="shared" si="88"/>
        <v>0</v>
      </c>
      <c r="V135" s="351"/>
      <c r="W135" s="223">
        <f t="shared" si="89"/>
        <v>8965.5231199999998</v>
      </c>
      <c r="X135" s="154"/>
      <c r="Z135" s="390">
        <v>304.2</v>
      </c>
      <c r="AA135" s="351"/>
      <c r="AB135" s="389" t="s">
        <v>61</v>
      </c>
      <c r="AC135" s="133"/>
      <c r="AD135" s="392">
        <f t="shared" ref="AD135:AD169" si="97">+G135</f>
        <v>2</v>
      </c>
      <c r="AE135" s="131"/>
      <c r="AF135" s="392">
        <f t="shared" ref="AF135:AF169" si="98">+I135</f>
        <v>2241380.7799999998</v>
      </c>
      <c r="AG135" s="224"/>
      <c r="AH135" s="282">
        <f t="shared" si="90"/>
        <v>1391897.4643799998</v>
      </c>
      <c r="AI135" s="282"/>
      <c r="AJ135" s="282">
        <f t="shared" si="91"/>
        <v>840517.79249999998</v>
      </c>
      <c r="AK135" s="282"/>
      <c r="AL135" s="282">
        <f t="shared" si="92"/>
        <v>0</v>
      </c>
      <c r="AM135" s="282"/>
      <c r="AN135" s="282">
        <f t="shared" si="93"/>
        <v>0</v>
      </c>
      <c r="AO135" s="282"/>
      <c r="AP135" s="282">
        <f t="shared" si="94"/>
        <v>0</v>
      </c>
      <c r="AQ135" s="282"/>
      <c r="AR135" s="282">
        <f t="shared" si="95"/>
        <v>0</v>
      </c>
      <c r="AS135" s="153"/>
      <c r="AT135" s="153">
        <f t="shared" si="96"/>
        <v>8965.5231199999998</v>
      </c>
    </row>
    <row r="136" spans="1:49" x14ac:dyDescent="0.25">
      <c r="C136" s="432">
        <v>304.3</v>
      </c>
      <c r="E136" s="389" t="s">
        <v>62</v>
      </c>
      <c r="G136" s="143">
        <v>3</v>
      </c>
      <c r="H136" s="132"/>
      <c r="I136" s="473">
        <v>323582.88</v>
      </c>
      <c r="J136" s="379"/>
      <c r="K136" s="223">
        <f t="shared" si="83"/>
        <v>144156.17303999999</v>
      </c>
      <c r="L136" s="351"/>
      <c r="M136" s="223">
        <f t="shared" si="84"/>
        <v>73259.164032000001</v>
      </c>
      <c r="N136" s="351"/>
      <c r="O136" s="223">
        <f t="shared" si="85"/>
        <v>27472.186512</v>
      </c>
      <c r="P136" s="351"/>
      <c r="Q136" s="223">
        <f t="shared" si="86"/>
        <v>13331.614656</v>
      </c>
      <c r="R136" s="351"/>
      <c r="S136" s="223">
        <f t="shared" si="87"/>
        <v>17473.47552</v>
      </c>
      <c r="T136" s="351"/>
      <c r="U136" s="223">
        <f t="shared" si="88"/>
        <v>0</v>
      </c>
      <c r="V136" s="351"/>
      <c r="W136" s="223">
        <f t="shared" si="89"/>
        <v>47890.266239999997</v>
      </c>
      <c r="X136" s="154"/>
      <c r="Z136" s="390">
        <v>304.3</v>
      </c>
      <c r="AA136" s="351"/>
      <c r="AB136" s="389" t="s">
        <v>62</v>
      </c>
      <c r="AC136" s="133"/>
      <c r="AD136" s="392">
        <f t="shared" si="97"/>
        <v>3</v>
      </c>
      <c r="AE136" s="131"/>
      <c r="AF136" s="392">
        <f t="shared" si="98"/>
        <v>323582.88</v>
      </c>
      <c r="AG136" s="224"/>
      <c r="AH136" s="282">
        <f t="shared" si="90"/>
        <v>171887.225856</v>
      </c>
      <c r="AI136" s="282"/>
      <c r="AJ136" s="282">
        <f t="shared" si="91"/>
        <v>103805.38790399999</v>
      </c>
      <c r="AK136" s="282"/>
      <c r="AL136" s="282">
        <f t="shared" si="92"/>
        <v>0</v>
      </c>
      <c r="AM136" s="282"/>
      <c r="AN136" s="282">
        <f t="shared" si="93"/>
        <v>0</v>
      </c>
      <c r="AO136" s="282"/>
      <c r="AP136" s="282">
        <f t="shared" si="94"/>
        <v>0</v>
      </c>
      <c r="AQ136" s="282"/>
      <c r="AR136" s="282">
        <f t="shared" si="95"/>
        <v>0</v>
      </c>
      <c r="AS136" s="153"/>
      <c r="AT136" s="153">
        <f t="shared" si="96"/>
        <v>47890.266239999997</v>
      </c>
    </row>
    <row r="137" spans="1:49" x14ac:dyDescent="0.25">
      <c r="C137" s="432">
        <v>304.39999999999998</v>
      </c>
      <c r="E137" s="389" t="s">
        <v>63</v>
      </c>
      <c r="G137" s="143">
        <v>14</v>
      </c>
      <c r="H137" s="132"/>
      <c r="I137" s="473">
        <v>206497.87</v>
      </c>
      <c r="J137" s="379"/>
      <c r="K137" s="223">
        <f t="shared" si="83"/>
        <v>115742.05613499999</v>
      </c>
      <c r="L137" s="351"/>
      <c r="M137" s="223">
        <f t="shared" si="84"/>
        <v>42187.514841000004</v>
      </c>
      <c r="N137" s="351"/>
      <c r="O137" s="223">
        <f t="shared" si="85"/>
        <v>13091.964957999999</v>
      </c>
      <c r="P137" s="351"/>
      <c r="Q137" s="223">
        <f t="shared" si="86"/>
        <v>6814.4297100000003</v>
      </c>
      <c r="R137" s="351"/>
      <c r="S137" s="223">
        <f t="shared" si="87"/>
        <v>5348.2948329999999</v>
      </c>
      <c r="T137" s="351"/>
      <c r="U137" s="223">
        <f t="shared" si="88"/>
        <v>0</v>
      </c>
      <c r="V137" s="351"/>
      <c r="W137" s="223">
        <f t="shared" si="89"/>
        <v>23313.609522999999</v>
      </c>
      <c r="X137" s="154"/>
      <c r="Z137" s="390">
        <v>304.39999999999998</v>
      </c>
      <c r="AA137" s="351"/>
      <c r="AB137" s="389" t="s">
        <v>63</v>
      </c>
      <c r="AC137" s="133"/>
      <c r="AD137" s="392">
        <f t="shared" si="97"/>
        <v>14</v>
      </c>
      <c r="AE137" s="131"/>
      <c r="AF137" s="392">
        <f t="shared" si="98"/>
        <v>206497.87</v>
      </c>
      <c r="AG137" s="224"/>
      <c r="AH137" s="282">
        <f t="shared" si="90"/>
        <v>73182.845128000001</v>
      </c>
      <c r="AI137" s="282"/>
      <c r="AJ137" s="282">
        <f t="shared" si="91"/>
        <v>29322.697539999997</v>
      </c>
      <c r="AK137" s="282"/>
      <c r="AL137" s="282">
        <f t="shared" si="92"/>
        <v>34712.291946999998</v>
      </c>
      <c r="AM137" s="282"/>
      <c r="AN137" s="282">
        <f t="shared" si="93"/>
        <v>14888.496427</v>
      </c>
      <c r="AO137" s="282"/>
      <c r="AP137" s="282">
        <f t="shared" si="94"/>
        <v>9189.1552149999989</v>
      </c>
      <c r="AQ137" s="282"/>
      <c r="AR137" s="282">
        <f t="shared" si="95"/>
        <v>21888.774219999999</v>
      </c>
      <c r="AS137" s="153"/>
      <c r="AT137" s="153">
        <f t="shared" si="96"/>
        <v>23313.609522999999</v>
      </c>
    </row>
    <row r="138" spans="1:49" x14ac:dyDescent="0.25">
      <c r="C138" s="432">
        <v>304.5</v>
      </c>
      <c r="E138" s="389" t="s">
        <v>64</v>
      </c>
      <c r="G138" s="143">
        <v>14</v>
      </c>
      <c r="H138" s="132"/>
      <c r="I138" s="473">
        <v>1460.94</v>
      </c>
      <c r="J138" s="379"/>
      <c r="K138" s="223">
        <f t="shared" si="83"/>
        <v>818.85687000000007</v>
      </c>
      <c r="L138" s="351"/>
      <c r="M138" s="223">
        <f t="shared" si="84"/>
        <v>298.47004200000003</v>
      </c>
      <c r="N138" s="351"/>
      <c r="O138" s="223">
        <f t="shared" si="85"/>
        <v>92.623596000000006</v>
      </c>
      <c r="P138" s="351"/>
      <c r="Q138" s="223">
        <f t="shared" si="86"/>
        <v>48.211020000000005</v>
      </c>
      <c r="R138" s="351"/>
      <c r="S138" s="223">
        <f t="shared" si="87"/>
        <v>37.838346000000001</v>
      </c>
      <c r="T138" s="351"/>
      <c r="U138" s="223">
        <f t="shared" si="88"/>
        <v>0</v>
      </c>
      <c r="V138" s="351"/>
      <c r="W138" s="223">
        <f t="shared" si="89"/>
        <v>164.94012600000002</v>
      </c>
      <c r="X138" s="154"/>
      <c r="Z138" s="390">
        <v>304.5</v>
      </c>
      <c r="AA138" s="351"/>
      <c r="AB138" s="389" t="s">
        <v>64</v>
      </c>
      <c r="AC138" s="133"/>
      <c r="AD138" s="392">
        <f t="shared" si="97"/>
        <v>14</v>
      </c>
      <c r="AE138" s="131"/>
      <c r="AF138" s="392">
        <f t="shared" si="98"/>
        <v>1460.94</v>
      </c>
      <c r="AG138" s="224"/>
      <c r="AH138" s="282">
        <f t="shared" si="90"/>
        <v>517.75713600000006</v>
      </c>
      <c r="AI138" s="282"/>
      <c r="AJ138" s="282">
        <f t="shared" si="91"/>
        <v>207.45347999999998</v>
      </c>
      <c r="AK138" s="282"/>
      <c r="AL138" s="282">
        <f t="shared" si="92"/>
        <v>245.584014</v>
      </c>
      <c r="AM138" s="282"/>
      <c r="AN138" s="282">
        <f t="shared" si="93"/>
        <v>105.33377400000001</v>
      </c>
      <c r="AO138" s="282"/>
      <c r="AP138" s="282">
        <f t="shared" si="94"/>
        <v>65.011830000000003</v>
      </c>
      <c r="AQ138" s="282"/>
      <c r="AR138" s="282">
        <f t="shared" si="95"/>
        <v>154.85964000000001</v>
      </c>
      <c r="AS138" s="153"/>
      <c r="AT138" s="153">
        <f t="shared" si="96"/>
        <v>164.94012600000002</v>
      </c>
    </row>
    <row r="139" spans="1:49" x14ac:dyDescent="0.25">
      <c r="C139" s="432">
        <v>304.60000000000002</v>
      </c>
      <c r="E139" s="389" t="s">
        <v>65</v>
      </c>
      <c r="F139" s="295"/>
      <c r="G139" s="293">
        <v>2</v>
      </c>
      <c r="H139" s="230"/>
      <c r="I139" s="473">
        <v>149368.01</v>
      </c>
      <c r="J139" s="379"/>
      <c r="K139" s="223">
        <f t="shared" si="83"/>
        <v>77760.986005999992</v>
      </c>
      <c r="L139" s="351"/>
      <c r="M139" s="223">
        <f t="shared" si="84"/>
        <v>39537.712247000003</v>
      </c>
      <c r="N139" s="351"/>
      <c r="O139" s="223">
        <f t="shared" si="85"/>
        <v>14847.180194</v>
      </c>
      <c r="P139" s="351"/>
      <c r="Q139" s="223">
        <f t="shared" si="86"/>
        <v>7184.6012810000002</v>
      </c>
      <c r="R139" s="351"/>
      <c r="S139" s="223">
        <f t="shared" si="87"/>
        <v>9440.0582320000012</v>
      </c>
      <c r="T139" s="351"/>
      <c r="U139" s="223">
        <f t="shared" si="88"/>
        <v>0</v>
      </c>
      <c r="V139" s="351"/>
      <c r="W139" s="223">
        <f t="shared" si="89"/>
        <v>597.47204000000011</v>
      </c>
      <c r="X139" s="154"/>
      <c r="Z139" s="390">
        <v>304.60000000000002</v>
      </c>
      <c r="AA139" s="351"/>
      <c r="AB139" s="389" t="s">
        <v>65</v>
      </c>
      <c r="AC139" s="295"/>
      <c r="AD139" s="392">
        <f t="shared" si="97"/>
        <v>2</v>
      </c>
      <c r="AE139" s="131"/>
      <c r="AF139" s="392">
        <f t="shared" si="98"/>
        <v>149368.01</v>
      </c>
      <c r="AG139" s="224"/>
      <c r="AH139" s="282">
        <f t="shared" si="90"/>
        <v>92757.534209999998</v>
      </c>
      <c r="AI139" s="282"/>
      <c r="AJ139" s="282">
        <f t="shared" si="91"/>
        <v>56013.003750000003</v>
      </c>
      <c r="AK139" s="282"/>
      <c r="AL139" s="282">
        <f t="shared" si="92"/>
        <v>0</v>
      </c>
      <c r="AM139" s="282"/>
      <c r="AN139" s="282">
        <f t="shared" si="93"/>
        <v>0</v>
      </c>
      <c r="AO139" s="282"/>
      <c r="AP139" s="282">
        <f t="shared" si="94"/>
        <v>0</v>
      </c>
      <c r="AQ139" s="282"/>
      <c r="AR139" s="282">
        <f t="shared" si="95"/>
        <v>0</v>
      </c>
      <c r="AS139" s="153"/>
      <c r="AT139" s="153">
        <f t="shared" si="96"/>
        <v>597.47204000000011</v>
      </c>
    </row>
    <row r="140" spans="1:49" x14ac:dyDescent="0.25">
      <c r="C140" s="432">
        <v>306</v>
      </c>
      <c r="E140" s="389" t="s">
        <v>66</v>
      </c>
      <c r="G140" s="143">
        <v>2</v>
      </c>
      <c r="H140" s="132"/>
      <c r="I140" s="473">
        <v>25211.599999999999</v>
      </c>
      <c r="J140" s="379"/>
      <c r="K140" s="223">
        <f t="shared" si="83"/>
        <v>13125.158959999999</v>
      </c>
      <c r="L140" s="351"/>
      <c r="M140" s="223">
        <f t="shared" si="84"/>
        <v>6673.5105199999998</v>
      </c>
      <c r="N140" s="351"/>
      <c r="O140" s="223">
        <f t="shared" si="85"/>
        <v>2506.0330399999998</v>
      </c>
      <c r="P140" s="351"/>
      <c r="Q140" s="223">
        <f t="shared" si="86"/>
        <v>1212.6779599999998</v>
      </c>
      <c r="R140" s="351"/>
      <c r="S140" s="223">
        <f t="shared" si="87"/>
        <v>1593.37312</v>
      </c>
      <c r="T140" s="351"/>
      <c r="U140" s="223">
        <f t="shared" si="88"/>
        <v>0</v>
      </c>
      <c r="V140" s="351"/>
      <c r="W140" s="223">
        <f t="shared" si="89"/>
        <v>100.8464</v>
      </c>
      <c r="X140" s="154"/>
      <c r="Z140" s="390">
        <v>306</v>
      </c>
      <c r="AA140" s="351"/>
      <c r="AB140" s="389" t="s">
        <v>66</v>
      </c>
      <c r="AC140" s="133"/>
      <c r="AD140" s="392">
        <f t="shared" si="97"/>
        <v>2</v>
      </c>
      <c r="AE140" s="131"/>
      <c r="AF140" s="392">
        <f t="shared" si="98"/>
        <v>25211.599999999999</v>
      </c>
      <c r="AG140" s="224"/>
      <c r="AH140" s="282">
        <f t="shared" si="90"/>
        <v>15656.4036</v>
      </c>
      <c r="AI140" s="282"/>
      <c r="AJ140" s="282">
        <f t="shared" si="91"/>
        <v>9454.3499999999985</v>
      </c>
      <c r="AK140" s="282"/>
      <c r="AL140" s="282">
        <f t="shared" si="92"/>
        <v>0</v>
      </c>
      <c r="AM140" s="282"/>
      <c r="AN140" s="282">
        <f t="shared" si="93"/>
        <v>0</v>
      </c>
      <c r="AO140" s="282"/>
      <c r="AP140" s="282">
        <f t="shared" si="94"/>
        <v>0</v>
      </c>
      <c r="AQ140" s="282"/>
      <c r="AR140" s="282">
        <f t="shared" si="95"/>
        <v>0</v>
      </c>
      <c r="AS140" s="153"/>
      <c r="AT140" s="153">
        <f t="shared" si="96"/>
        <v>100.8464</v>
      </c>
    </row>
    <row r="141" spans="1:49" x14ac:dyDescent="0.25">
      <c r="C141" s="432">
        <v>309</v>
      </c>
      <c r="E141" s="389" t="s">
        <v>155</v>
      </c>
      <c r="G141" s="143">
        <v>2</v>
      </c>
      <c r="H141" s="132"/>
      <c r="I141" s="473">
        <v>58465.58</v>
      </c>
      <c r="J141" s="379"/>
      <c r="K141" s="223">
        <f t="shared" si="83"/>
        <v>30437.180947999997</v>
      </c>
      <c r="L141" s="351"/>
      <c r="M141" s="223">
        <f t="shared" si="84"/>
        <v>15475.839026</v>
      </c>
      <c r="N141" s="351"/>
      <c r="O141" s="223">
        <f t="shared" si="85"/>
        <v>5811.4786520000007</v>
      </c>
      <c r="P141" s="351"/>
      <c r="Q141" s="223">
        <f t="shared" si="86"/>
        <v>2812.1943980000001</v>
      </c>
      <c r="R141" s="351"/>
      <c r="S141" s="223">
        <f t="shared" si="87"/>
        <v>3695.0246560000005</v>
      </c>
      <c r="T141" s="351"/>
      <c r="U141" s="223">
        <f t="shared" si="88"/>
        <v>0</v>
      </c>
      <c r="V141" s="351"/>
      <c r="W141" s="223">
        <f t="shared" si="89"/>
        <v>233.86232000000001</v>
      </c>
      <c r="X141" s="154"/>
      <c r="Z141" s="390">
        <v>309</v>
      </c>
      <c r="AA141" s="351"/>
      <c r="AB141" s="389" t="s">
        <v>155</v>
      </c>
      <c r="AC141" s="133"/>
      <c r="AD141" s="392">
        <f t="shared" si="97"/>
        <v>2</v>
      </c>
      <c r="AE141" s="131"/>
      <c r="AF141" s="392">
        <f t="shared" si="98"/>
        <v>58465.58</v>
      </c>
      <c r="AG141" s="224"/>
      <c r="AH141" s="282">
        <f t="shared" si="90"/>
        <v>36307.125180000003</v>
      </c>
      <c r="AI141" s="282"/>
      <c r="AJ141" s="282">
        <f t="shared" si="91"/>
        <v>21924.592499999999</v>
      </c>
      <c r="AK141" s="282"/>
      <c r="AL141" s="282">
        <f t="shared" si="92"/>
        <v>0</v>
      </c>
      <c r="AM141" s="282"/>
      <c r="AN141" s="282">
        <f t="shared" si="93"/>
        <v>0</v>
      </c>
      <c r="AO141" s="282"/>
      <c r="AP141" s="282">
        <f t="shared" si="94"/>
        <v>0</v>
      </c>
      <c r="AQ141" s="282"/>
      <c r="AR141" s="282">
        <f t="shared" si="95"/>
        <v>0</v>
      </c>
      <c r="AS141" s="153"/>
      <c r="AT141" s="153">
        <f t="shared" si="96"/>
        <v>233.86232000000001</v>
      </c>
    </row>
    <row r="142" spans="1:49" s="514" customFormat="1" x14ac:dyDescent="0.25">
      <c r="A142" s="557"/>
      <c r="B142" s="470"/>
      <c r="C142" s="432">
        <v>310.10000000000002</v>
      </c>
      <c r="D142" s="351"/>
      <c r="E142" s="389" t="s">
        <v>487</v>
      </c>
      <c r="F142" s="533"/>
      <c r="G142" s="143">
        <v>2</v>
      </c>
      <c r="H142" s="132"/>
      <c r="I142" s="473">
        <v>73914.14</v>
      </c>
      <c r="J142" s="379"/>
      <c r="K142" s="223">
        <f t="shared" si="83"/>
        <v>38479.701283999995</v>
      </c>
      <c r="L142" s="351"/>
      <c r="M142" s="223">
        <f t="shared" si="84"/>
        <v>19565.072858</v>
      </c>
      <c r="N142" s="351"/>
      <c r="O142" s="223">
        <f t="shared" si="85"/>
        <v>7347.0655159999997</v>
      </c>
      <c r="P142" s="351"/>
      <c r="Q142" s="223">
        <f t="shared" si="86"/>
        <v>3555.2701339999999</v>
      </c>
      <c r="R142" s="351"/>
      <c r="S142" s="223">
        <f t="shared" si="87"/>
        <v>4671.3736480000007</v>
      </c>
      <c r="T142" s="351"/>
      <c r="U142" s="223">
        <f t="shared" si="88"/>
        <v>0</v>
      </c>
      <c r="V142" s="351"/>
      <c r="W142" s="223">
        <f t="shared" si="89"/>
        <v>295.65656000000001</v>
      </c>
      <c r="X142" s="154"/>
      <c r="Y142" s="224"/>
      <c r="Z142" s="390">
        <v>310</v>
      </c>
      <c r="AA142" s="351"/>
      <c r="AB142" s="389" t="s">
        <v>472</v>
      </c>
      <c r="AC142" s="133"/>
      <c r="AD142" s="392">
        <f t="shared" si="97"/>
        <v>2</v>
      </c>
      <c r="AE142" s="131"/>
      <c r="AF142" s="392">
        <f t="shared" ref="AF142" si="99">+I142</f>
        <v>73914.14</v>
      </c>
      <c r="AG142" s="224"/>
      <c r="AH142" s="282">
        <f t="shared" si="90"/>
        <v>45900.680939999998</v>
      </c>
      <c r="AI142" s="282"/>
      <c r="AJ142" s="282">
        <f t="shared" si="91"/>
        <v>27717.802499999998</v>
      </c>
      <c r="AK142" s="282"/>
      <c r="AL142" s="282">
        <f t="shared" si="92"/>
        <v>0</v>
      </c>
      <c r="AM142" s="282"/>
      <c r="AN142" s="282">
        <f t="shared" si="93"/>
        <v>0</v>
      </c>
      <c r="AO142" s="282"/>
      <c r="AP142" s="282">
        <f t="shared" si="94"/>
        <v>0</v>
      </c>
      <c r="AQ142" s="282"/>
      <c r="AR142" s="282">
        <f t="shared" si="95"/>
        <v>0</v>
      </c>
      <c r="AS142" s="153"/>
      <c r="AT142" s="153">
        <f t="shared" si="96"/>
        <v>295.65656000000001</v>
      </c>
      <c r="AU142" s="517"/>
      <c r="AV142" s="224"/>
    </row>
    <row r="143" spans="1:49" x14ac:dyDescent="0.25">
      <c r="C143" s="432">
        <v>310.2</v>
      </c>
      <c r="E143" s="389" t="s">
        <v>488</v>
      </c>
      <c r="F143" s="533"/>
      <c r="G143" s="143">
        <v>2</v>
      </c>
      <c r="H143" s="132"/>
      <c r="I143" s="473">
        <v>4974.93</v>
      </c>
      <c r="J143" s="379"/>
      <c r="K143" s="223">
        <f t="shared" si="83"/>
        <v>2589.948558</v>
      </c>
      <c r="L143" s="351"/>
      <c r="M143" s="223">
        <f t="shared" si="84"/>
        <v>1316.863971</v>
      </c>
      <c r="N143" s="351"/>
      <c r="O143" s="223">
        <f t="shared" si="85"/>
        <v>494.50804200000005</v>
      </c>
      <c r="P143" s="351"/>
      <c r="Q143" s="223">
        <f t="shared" si="86"/>
        <v>239.29413299999999</v>
      </c>
      <c r="R143" s="351"/>
      <c r="S143" s="223">
        <f t="shared" si="87"/>
        <v>314.41557600000004</v>
      </c>
      <c r="T143" s="351"/>
      <c r="U143" s="223">
        <f t="shared" si="88"/>
        <v>0</v>
      </c>
      <c r="V143" s="351"/>
      <c r="W143" s="223">
        <f t="shared" si="89"/>
        <v>19.899720000000002</v>
      </c>
      <c r="X143" s="154"/>
      <c r="Z143" s="390">
        <v>310.3</v>
      </c>
      <c r="AA143" s="351"/>
      <c r="AB143" s="389" t="s">
        <v>67</v>
      </c>
      <c r="AC143" s="133"/>
      <c r="AD143" s="392">
        <f t="shared" si="97"/>
        <v>2</v>
      </c>
      <c r="AE143" s="131"/>
      <c r="AF143" s="392">
        <f t="shared" si="98"/>
        <v>4974.93</v>
      </c>
      <c r="AG143" s="224"/>
      <c r="AH143" s="282">
        <f t="shared" si="90"/>
        <v>3089.4315300000003</v>
      </c>
      <c r="AI143" s="282"/>
      <c r="AJ143" s="282">
        <f t="shared" si="91"/>
        <v>1865.5987500000001</v>
      </c>
      <c r="AK143" s="282"/>
      <c r="AL143" s="282">
        <f t="shared" si="92"/>
        <v>0</v>
      </c>
      <c r="AM143" s="282"/>
      <c r="AN143" s="282">
        <f t="shared" si="93"/>
        <v>0</v>
      </c>
      <c r="AO143" s="282"/>
      <c r="AP143" s="282">
        <f t="shared" si="94"/>
        <v>0</v>
      </c>
      <c r="AQ143" s="282"/>
      <c r="AR143" s="282">
        <f t="shared" si="95"/>
        <v>0</v>
      </c>
      <c r="AS143" s="153"/>
      <c r="AT143" s="153">
        <f t="shared" si="96"/>
        <v>19.899720000000002</v>
      </c>
    </row>
    <row r="144" spans="1:49" s="634" customFormat="1" x14ac:dyDescent="0.25">
      <c r="B144" s="470"/>
      <c r="C144" s="432">
        <v>310.3</v>
      </c>
      <c r="D144" s="351"/>
      <c r="E144" s="389" t="s">
        <v>67</v>
      </c>
      <c r="F144" s="533"/>
      <c r="G144" s="143">
        <v>3</v>
      </c>
      <c r="H144" s="132"/>
      <c r="I144" s="473">
        <v>82551.990000000005</v>
      </c>
      <c r="J144" s="379"/>
      <c r="K144" s="223">
        <f t="shared" si="83"/>
        <v>36776.911545000003</v>
      </c>
      <c r="L144" s="351"/>
      <c r="M144" s="223">
        <f t="shared" si="84"/>
        <v>18689.770536</v>
      </c>
      <c r="N144" s="351"/>
      <c r="O144" s="223">
        <f t="shared" si="85"/>
        <v>7008.6639510000005</v>
      </c>
      <c r="P144" s="351"/>
      <c r="Q144" s="223">
        <f t="shared" si="86"/>
        <v>3401.1419880000003</v>
      </c>
      <c r="R144" s="351"/>
      <c r="S144" s="223">
        <f t="shared" si="87"/>
        <v>4457.80746</v>
      </c>
      <c r="T144" s="351"/>
      <c r="U144" s="223">
        <f t="shared" si="88"/>
        <v>0</v>
      </c>
      <c r="V144" s="351"/>
      <c r="W144" s="223">
        <f t="shared" si="89"/>
        <v>12217.694520000001</v>
      </c>
      <c r="X144" s="154"/>
      <c r="Y144" s="224"/>
      <c r="Z144" s="390"/>
      <c r="AA144" s="351"/>
      <c r="AB144" s="389" t="s">
        <v>67</v>
      </c>
      <c r="AC144" s="133"/>
      <c r="AD144" s="392">
        <f t="shared" ref="AD144" si="100">+G144</f>
        <v>3</v>
      </c>
      <c r="AE144" s="131"/>
      <c r="AF144" s="392">
        <f t="shared" ref="AF144" si="101">+I144</f>
        <v>82551.990000000005</v>
      </c>
      <c r="AG144" s="224"/>
      <c r="AH144" s="282">
        <f t="shared" si="90"/>
        <v>43851.617088000006</v>
      </c>
      <c r="AI144" s="282"/>
      <c r="AJ144" s="282">
        <f t="shared" si="91"/>
        <v>26482.678391999998</v>
      </c>
      <c r="AK144" s="282"/>
      <c r="AL144" s="282">
        <f t="shared" si="92"/>
        <v>0</v>
      </c>
      <c r="AM144" s="282"/>
      <c r="AN144" s="282">
        <f t="shared" si="93"/>
        <v>0</v>
      </c>
      <c r="AO144" s="282"/>
      <c r="AP144" s="282">
        <f t="shared" si="94"/>
        <v>0</v>
      </c>
      <c r="AQ144" s="282"/>
      <c r="AR144" s="282">
        <f t="shared" si="95"/>
        <v>0</v>
      </c>
      <c r="AS144" s="153"/>
      <c r="AT144" s="153">
        <f t="shared" si="96"/>
        <v>12217.694520000001</v>
      </c>
      <c r="AU144" s="636"/>
      <c r="AV144" s="224"/>
      <c r="AW144" s="636"/>
    </row>
    <row r="145" spans="1:48" x14ac:dyDescent="0.25">
      <c r="C145" s="432">
        <v>311.10000000000002</v>
      </c>
      <c r="E145" s="389" t="s">
        <v>68</v>
      </c>
      <c r="F145" s="533"/>
      <c r="G145" s="143">
        <v>3</v>
      </c>
      <c r="H145" s="132"/>
      <c r="I145" s="473">
        <v>126636.89</v>
      </c>
      <c r="J145" s="379"/>
      <c r="K145" s="223">
        <f t="shared" si="83"/>
        <v>56416.734495000004</v>
      </c>
      <c r="L145" s="351"/>
      <c r="M145" s="223">
        <f t="shared" si="84"/>
        <v>28670.591895999998</v>
      </c>
      <c r="N145" s="351"/>
      <c r="O145" s="223">
        <f t="shared" si="85"/>
        <v>10751.471961000001</v>
      </c>
      <c r="P145" s="351"/>
      <c r="Q145" s="223">
        <f t="shared" si="86"/>
        <v>5217.4398680000004</v>
      </c>
      <c r="R145" s="351"/>
      <c r="S145" s="223">
        <f t="shared" si="87"/>
        <v>6838.3920600000001</v>
      </c>
      <c r="T145" s="351"/>
      <c r="U145" s="223">
        <f t="shared" si="88"/>
        <v>0</v>
      </c>
      <c r="V145" s="351"/>
      <c r="W145" s="223">
        <f t="shared" si="89"/>
        <v>18742.259719999998</v>
      </c>
      <c r="X145" s="154"/>
      <c r="Z145" s="390">
        <v>311.10000000000002</v>
      </c>
      <c r="AA145" s="351"/>
      <c r="AB145" s="389" t="s">
        <v>68</v>
      </c>
      <c r="AC145" s="133"/>
      <c r="AD145" s="392">
        <f t="shared" si="97"/>
        <v>3</v>
      </c>
      <c r="AE145" s="131"/>
      <c r="AF145" s="392">
        <f t="shared" si="98"/>
        <v>126636.89</v>
      </c>
      <c r="AG145" s="224"/>
      <c r="AH145" s="282">
        <f t="shared" si="90"/>
        <v>67269.515968000007</v>
      </c>
      <c r="AI145" s="282"/>
      <c r="AJ145" s="282">
        <f t="shared" si="91"/>
        <v>40625.114311999998</v>
      </c>
      <c r="AK145" s="282"/>
      <c r="AL145" s="282">
        <f t="shared" si="92"/>
        <v>0</v>
      </c>
      <c r="AM145" s="282"/>
      <c r="AN145" s="282">
        <f t="shared" si="93"/>
        <v>0</v>
      </c>
      <c r="AO145" s="282"/>
      <c r="AP145" s="282">
        <f t="shared" si="94"/>
        <v>0</v>
      </c>
      <c r="AQ145" s="282"/>
      <c r="AR145" s="282">
        <f t="shared" si="95"/>
        <v>0</v>
      </c>
      <c r="AS145" s="153"/>
      <c r="AT145" s="153">
        <f t="shared" si="96"/>
        <v>18742.259719999998</v>
      </c>
    </row>
    <row r="146" spans="1:48" x14ac:dyDescent="0.25">
      <c r="C146" s="432">
        <v>311.2</v>
      </c>
      <c r="E146" s="389" t="s">
        <v>68</v>
      </c>
      <c r="F146" s="533"/>
      <c r="G146" s="143">
        <v>3</v>
      </c>
      <c r="H146" s="132"/>
      <c r="I146" s="473">
        <v>27713.360000000001</v>
      </c>
      <c r="J146" s="379"/>
      <c r="K146" s="223">
        <f t="shared" si="83"/>
        <v>12346.301880000001</v>
      </c>
      <c r="L146" s="351"/>
      <c r="M146" s="223">
        <f t="shared" si="84"/>
        <v>6274.3047040000001</v>
      </c>
      <c r="N146" s="351"/>
      <c r="O146" s="223">
        <f t="shared" si="85"/>
        <v>2352.8642640000003</v>
      </c>
      <c r="P146" s="351"/>
      <c r="Q146" s="223">
        <f t="shared" si="86"/>
        <v>1141.790432</v>
      </c>
      <c r="R146" s="351"/>
      <c r="S146" s="223">
        <f t="shared" si="87"/>
        <v>1496.52144</v>
      </c>
      <c r="T146" s="351"/>
      <c r="U146" s="223">
        <f t="shared" si="88"/>
        <v>0</v>
      </c>
      <c r="V146" s="351"/>
      <c r="W146" s="223">
        <f t="shared" si="89"/>
        <v>4101.5772799999995</v>
      </c>
      <c r="X146" s="154"/>
      <c r="Z146" s="390">
        <v>311.2</v>
      </c>
      <c r="AA146" s="351"/>
      <c r="AB146" s="389" t="s">
        <v>68</v>
      </c>
      <c r="AC146" s="133"/>
      <c r="AD146" s="392">
        <f t="shared" si="97"/>
        <v>3</v>
      </c>
      <c r="AE146" s="131"/>
      <c r="AF146" s="392">
        <f t="shared" si="98"/>
        <v>27713.360000000001</v>
      </c>
      <c r="AG146" s="224"/>
      <c r="AH146" s="282">
        <f t="shared" si="90"/>
        <v>14721.336832000001</v>
      </c>
      <c r="AI146" s="282"/>
      <c r="AJ146" s="282">
        <f t="shared" si="91"/>
        <v>8890.4458880000002</v>
      </c>
      <c r="AK146" s="282"/>
      <c r="AL146" s="282">
        <f t="shared" si="92"/>
        <v>0</v>
      </c>
      <c r="AM146" s="282"/>
      <c r="AN146" s="282">
        <f t="shared" si="93"/>
        <v>0</v>
      </c>
      <c r="AO146" s="282"/>
      <c r="AP146" s="282">
        <f t="shared" si="94"/>
        <v>0</v>
      </c>
      <c r="AQ146" s="282"/>
      <c r="AR146" s="282">
        <f t="shared" si="95"/>
        <v>0</v>
      </c>
      <c r="AS146" s="153"/>
      <c r="AT146" s="153">
        <f t="shared" si="96"/>
        <v>4101.5772799999995</v>
      </c>
    </row>
    <row r="147" spans="1:48" x14ac:dyDescent="0.25">
      <c r="C147" s="432">
        <v>311.3</v>
      </c>
      <c r="E147" s="389" t="s">
        <v>68</v>
      </c>
      <c r="F147" s="533"/>
      <c r="G147" s="143">
        <v>3</v>
      </c>
      <c r="H147" s="132"/>
      <c r="I147" s="473">
        <v>105563.13</v>
      </c>
      <c r="J147" s="379"/>
      <c r="K147" s="223">
        <f t="shared" si="83"/>
        <v>47028.374415000006</v>
      </c>
      <c r="L147" s="351"/>
      <c r="M147" s="223">
        <f t="shared" si="84"/>
        <v>23899.492632000001</v>
      </c>
      <c r="N147" s="351"/>
      <c r="O147" s="223">
        <f t="shared" si="85"/>
        <v>8962.3097370000014</v>
      </c>
      <c r="P147" s="351"/>
      <c r="Q147" s="223">
        <f t="shared" si="86"/>
        <v>4349.2009560000006</v>
      </c>
      <c r="R147" s="351"/>
      <c r="S147" s="223">
        <f t="shared" si="87"/>
        <v>5700.4090200000001</v>
      </c>
      <c r="T147" s="351"/>
      <c r="U147" s="223">
        <f t="shared" si="88"/>
        <v>0</v>
      </c>
      <c r="V147" s="351"/>
      <c r="W147" s="223">
        <f t="shared" si="89"/>
        <v>15623.34324</v>
      </c>
      <c r="X147" s="154"/>
      <c r="Z147" s="390">
        <v>311.3</v>
      </c>
      <c r="AA147" s="351"/>
      <c r="AB147" s="389" t="s">
        <v>68</v>
      </c>
      <c r="AC147" s="131"/>
      <c r="AD147" s="392">
        <f t="shared" si="97"/>
        <v>3</v>
      </c>
      <c r="AE147" s="131"/>
      <c r="AF147" s="392">
        <f t="shared" si="98"/>
        <v>105563.13</v>
      </c>
      <c r="AG147" s="224"/>
      <c r="AH147" s="282">
        <f t="shared" si="90"/>
        <v>56075.134656000002</v>
      </c>
      <c r="AI147" s="282"/>
      <c r="AJ147" s="282">
        <f t="shared" si="91"/>
        <v>33864.652104000001</v>
      </c>
      <c r="AK147" s="282"/>
      <c r="AL147" s="282">
        <f t="shared" si="92"/>
        <v>0</v>
      </c>
      <c r="AM147" s="282"/>
      <c r="AN147" s="282">
        <f t="shared" si="93"/>
        <v>0</v>
      </c>
      <c r="AO147" s="282"/>
      <c r="AP147" s="282">
        <f t="shared" si="94"/>
        <v>0</v>
      </c>
      <c r="AQ147" s="282"/>
      <c r="AR147" s="282">
        <f t="shared" si="95"/>
        <v>0</v>
      </c>
      <c r="AS147" s="153"/>
      <c r="AT147" s="153">
        <f t="shared" si="96"/>
        <v>15623.34324</v>
      </c>
    </row>
    <row r="148" spans="1:48" x14ac:dyDescent="0.25">
      <c r="C148" s="432">
        <v>320.10000000000002</v>
      </c>
      <c r="E148" s="389" t="s">
        <v>69</v>
      </c>
      <c r="F148" s="533"/>
      <c r="G148" s="143">
        <v>2</v>
      </c>
      <c r="H148" s="132"/>
      <c r="I148" s="473">
        <v>972889.67</v>
      </c>
      <c r="J148" s="379"/>
      <c r="K148" s="223">
        <f t="shared" si="83"/>
        <v>506486.36220199999</v>
      </c>
      <c r="L148" s="351"/>
      <c r="M148" s="223">
        <f t="shared" si="84"/>
        <v>257523.89564900001</v>
      </c>
      <c r="N148" s="351"/>
      <c r="O148" s="223">
        <f t="shared" si="85"/>
        <v>96705.233198000002</v>
      </c>
      <c r="P148" s="351"/>
      <c r="Q148" s="223">
        <f t="shared" si="86"/>
        <v>46795.993127000002</v>
      </c>
      <c r="R148" s="351"/>
      <c r="S148" s="223">
        <f t="shared" si="87"/>
        <v>61486.627144000006</v>
      </c>
      <c r="T148" s="351"/>
      <c r="U148" s="223">
        <f t="shared" si="88"/>
        <v>0</v>
      </c>
      <c r="V148" s="351"/>
      <c r="W148" s="223">
        <f t="shared" si="89"/>
        <v>3891.5586800000001</v>
      </c>
      <c r="X148" s="154"/>
      <c r="Z148" s="390">
        <v>320.10000000000002</v>
      </c>
      <c r="AA148" s="351"/>
      <c r="AB148" s="389" t="s">
        <v>69</v>
      </c>
      <c r="AC148" s="131"/>
      <c r="AD148" s="392">
        <f t="shared" si="97"/>
        <v>2</v>
      </c>
      <c r="AE148" s="131"/>
      <c r="AF148" s="392">
        <f t="shared" si="98"/>
        <v>972889.67</v>
      </c>
      <c r="AG148" s="224"/>
      <c r="AH148" s="282">
        <f t="shared" si="90"/>
        <v>604164.48507000005</v>
      </c>
      <c r="AI148" s="282"/>
      <c r="AJ148" s="282">
        <f t="shared" si="91"/>
        <v>364833.62625000003</v>
      </c>
      <c r="AK148" s="282"/>
      <c r="AL148" s="282">
        <f t="shared" si="92"/>
        <v>0</v>
      </c>
      <c r="AM148" s="282"/>
      <c r="AN148" s="282">
        <f t="shared" si="93"/>
        <v>0</v>
      </c>
      <c r="AO148" s="282"/>
      <c r="AP148" s="282">
        <f t="shared" si="94"/>
        <v>0</v>
      </c>
      <c r="AQ148" s="282"/>
      <c r="AR148" s="282">
        <f t="shared" si="95"/>
        <v>0</v>
      </c>
      <c r="AS148" s="153"/>
      <c r="AT148" s="153">
        <f t="shared" si="96"/>
        <v>3891.5586800000001</v>
      </c>
    </row>
    <row r="149" spans="1:48" x14ac:dyDescent="0.25">
      <c r="C149" s="432">
        <v>320.2</v>
      </c>
      <c r="E149" s="389" t="s">
        <v>70</v>
      </c>
      <c r="F149" s="533"/>
      <c r="G149" s="143">
        <v>2</v>
      </c>
      <c r="H149" s="132"/>
      <c r="I149" s="473">
        <v>7830.21</v>
      </c>
      <c r="J149" s="379"/>
      <c r="K149" s="223">
        <f t="shared" si="83"/>
        <v>4076.4073259999996</v>
      </c>
      <c r="L149" s="351"/>
      <c r="M149" s="223">
        <f t="shared" si="84"/>
        <v>2072.6565869999999</v>
      </c>
      <c r="N149" s="351"/>
      <c r="O149" s="223">
        <f t="shared" si="85"/>
        <v>778.32287400000007</v>
      </c>
      <c r="P149" s="351"/>
      <c r="Q149" s="223">
        <f t="shared" si="86"/>
        <v>376.63310099999995</v>
      </c>
      <c r="R149" s="351"/>
      <c r="S149" s="223">
        <f t="shared" si="87"/>
        <v>494.86927200000002</v>
      </c>
      <c r="T149" s="351"/>
      <c r="U149" s="223">
        <f t="shared" si="88"/>
        <v>0</v>
      </c>
      <c r="V149" s="351"/>
      <c r="W149" s="223">
        <f t="shared" si="89"/>
        <v>31.32084</v>
      </c>
      <c r="X149" s="154"/>
      <c r="Z149" s="390">
        <v>320.2</v>
      </c>
      <c r="AA149" s="351"/>
      <c r="AB149" s="389" t="s">
        <v>70</v>
      </c>
      <c r="AC149" s="131"/>
      <c r="AD149" s="392">
        <f t="shared" si="97"/>
        <v>2</v>
      </c>
      <c r="AE149" s="131"/>
      <c r="AF149" s="392">
        <f t="shared" si="98"/>
        <v>7830.21</v>
      </c>
      <c r="AG149" s="224"/>
      <c r="AH149" s="282">
        <f t="shared" si="90"/>
        <v>4862.56041</v>
      </c>
      <c r="AI149" s="282"/>
      <c r="AJ149" s="282">
        <f t="shared" si="91"/>
        <v>2936.3287500000001</v>
      </c>
      <c r="AK149" s="282"/>
      <c r="AL149" s="282">
        <f t="shared" si="92"/>
        <v>0</v>
      </c>
      <c r="AM149" s="282"/>
      <c r="AN149" s="282">
        <f t="shared" si="93"/>
        <v>0</v>
      </c>
      <c r="AO149" s="282"/>
      <c r="AP149" s="282">
        <f t="shared" si="94"/>
        <v>0</v>
      </c>
      <c r="AQ149" s="282"/>
      <c r="AR149" s="282">
        <f t="shared" si="95"/>
        <v>0</v>
      </c>
      <c r="AS149" s="153"/>
      <c r="AT149" s="153">
        <f t="shared" si="96"/>
        <v>31.32084</v>
      </c>
    </row>
    <row r="150" spans="1:48" x14ac:dyDescent="0.25">
      <c r="C150" s="432">
        <v>330.1</v>
      </c>
      <c r="E150" s="389" t="s">
        <v>71</v>
      </c>
      <c r="F150" s="533"/>
      <c r="G150" s="143">
        <v>5</v>
      </c>
      <c r="H150" s="132"/>
      <c r="I150" s="473">
        <v>343539.93</v>
      </c>
      <c r="J150" s="379"/>
      <c r="K150" s="223">
        <f t="shared" si="83"/>
        <v>140370.41539799998</v>
      </c>
      <c r="L150" s="351"/>
      <c r="M150" s="223">
        <f t="shared" si="84"/>
        <v>64929.046770000001</v>
      </c>
      <c r="N150" s="351"/>
      <c r="O150" s="223">
        <f t="shared" si="85"/>
        <v>20337.563856000001</v>
      </c>
      <c r="P150" s="351"/>
      <c r="Q150" s="223">
        <f t="shared" si="86"/>
        <v>9859.5959910000001</v>
      </c>
      <c r="R150" s="351"/>
      <c r="S150" s="223">
        <f t="shared" si="87"/>
        <v>12917.101367999998</v>
      </c>
      <c r="T150" s="351"/>
      <c r="U150" s="223">
        <f t="shared" si="88"/>
        <v>0</v>
      </c>
      <c r="V150" s="351"/>
      <c r="W150" s="223">
        <f t="shared" si="89"/>
        <v>95126.206617000003</v>
      </c>
      <c r="X150" s="154"/>
      <c r="Z150" s="390">
        <v>330.1</v>
      </c>
      <c r="AA150" s="351"/>
      <c r="AB150" s="389" t="s">
        <v>71</v>
      </c>
      <c r="AC150" s="131"/>
      <c r="AD150" s="392">
        <f t="shared" si="97"/>
        <v>5</v>
      </c>
      <c r="AE150" s="131"/>
      <c r="AF150" s="392">
        <f t="shared" si="98"/>
        <v>343539.93</v>
      </c>
      <c r="AG150" s="224"/>
      <c r="AH150" s="282">
        <f t="shared" si="90"/>
        <v>103130.68698599999</v>
      </c>
      <c r="AI150" s="282"/>
      <c r="AJ150" s="282">
        <f t="shared" si="91"/>
        <v>0</v>
      </c>
      <c r="AK150" s="282"/>
      <c r="AL150" s="282">
        <f t="shared" si="92"/>
        <v>145283.03639699999</v>
      </c>
      <c r="AM150" s="282"/>
      <c r="AN150" s="282">
        <f t="shared" si="93"/>
        <v>0</v>
      </c>
      <c r="AO150" s="282"/>
      <c r="AP150" s="282">
        <f t="shared" si="94"/>
        <v>0</v>
      </c>
      <c r="AQ150" s="282"/>
      <c r="AR150" s="282">
        <f t="shared" si="95"/>
        <v>0</v>
      </c>
      <c r="AS150" s="153"/>
      <c r="AT150" s="153">
        <f t="shared" si="96"/>
        <v>95126.206617000003</v>
      </c>
    </row>
    <row r="151" spans="1:48" s="464" customFormat="1" x14ac:dyDescent="0.25">
      <c r="A151" s="557"/>
      <c r="B151" s="470"/>
      <c r="C151" s="471">
        <v>331.1</v>
      </c>
      <c r="D151" s="224"/>
      <c r="E151" s="472" t="s">
        <v>168</v>
      </c>
      <c r="F151" s="533"/>
      <c r="G151" s="293">
        <v>3</v>
      </c>
      <c r="H151" s="230"/>
      <c r="I151" s="473">
        <v>1790778.5934839998</v>
      </c>
      <c r="J151" s="379"/>
      <c r="K151" s="473">
        <f t="shared" si="83"/>
        <v>797791.8633971219</v>
      </c>
      <c r="L151" s="224"/>
      <c r="M151" s="473">
        <f t="shared" si="84"/>
        <v>405432.27356477757</v>
      </c>
      <c r="N151" s="224"/>
      <c r="O151" s="473">
        <f t="shared" si="85"/>
        <v>152037.10258679159</v>
      </c>
      <c r="P151" s="224"/>
      <c r="Q151" s="473">
        <f t="shared" si="86"/>
        <v>73780.078051540797</v>
      </c>
      <c r="R151" s="224"/>
      <c r="S151" s="473">
        <f t="shared" si="87"/>
        <v>96702.044048135984</v>
      </c>
      <c r="T151" s="224"/>
      <c r="U151" s="473">
        <f t="shared" si="88"/>
        <v>0</v>
      </c>
      <c r="V151" s="224"/>
      <c r="W151" s="473">
        <f t="shared" si="89"/>
        <v>265035.23183563194</v>
      </c>
      <c r="X151" s="154"/>
      <c r="Y151" s="224"/>
      <c r="Z151" s="474">
        <v>331.1</v>
      </c>
      <c r="AA151" s="224"/>
      <c r="AB151" s="472" t="s">
        <v>332</v>
      </c>
      <c r="AC151" s="131"/>
      <c r="AD151" s="475">
        <f t="shared" si="97"/>
        <v>3</v>
      </c>
      <c r="AE151" s="131"/>
      <c r="AF151" s="475">
        <f t="shared" si="98"/>
        <v>1790778.5934839998</v>
      </c>
      <c r="AG151" s="224"/>
      <c r="AH151" s="612">
        <f t="shared" si="90"/>
        <v>951261.58885870071</v>
      </c>
      <c r="AI151" s="612"/>
      <c r="AJ151" s="612">
        <f t="shared" si="91"/>
        <v>574481.77278966713</v>
      </c>
      <c r="AK151" s="612"/>
      <c r="AL151" s="612">
        <f t="shared" si="92"/>
        <v>0</v>
      </c>
      <c r="AM151" s="612"/>
      <c r="AN151" s="612">
        <f t="shared" si="93"/>
        <v>0</v>
      </c>
      <c r="AO151" s="612"/>
      <c r="AP151" s="612">
        <f t="shared" si="94"/>
        <v>0</v>
      </c>
      <c r="AQ151" s="612"/>
      <c r="AR151" s="612">
        <f t="shared" si="95"/>
        <v>0</v>
      </c>
      <c r="AS151" s="378"/>
      <c r="AT151" s="378">
        <f t="shared" si="96"/>
        <v>265035.23183563194</v>
      </c>
      <c r="AV151" s="224"/>
    </row>
    <row r="152" spans="1:48" s="464" customFormat="1" x14ac:dyDescent="0.25">
      <c r="A152" s="557"/>
      <c r="B152" s="470"/>
      <c r="C152" s="471">
        <v>331.1</v>
      </c>
      <c r="D152" s="224"/>
      <c r="E152" s="472" t="s">
        <v>169</v>
      </c>
      <c r="F152" s="533"/>
      <c r="G152" s="293">
        <v>4</v>
      </c>
      <c r="H152" s="230"/>
      <c r="I152" s="473">
        <v>2128631.766516</v>
      </c>
      <c r="J152" s="379"/>
      <c r="K152" s="473">
        <f t="shared" si="83"/>
        <v>994496.76131627511</v>
      </c>
      <c r="L152" s="224"/>
      <c r="M152" s="473">
        <f t="shared" si="84"/>
        <v>461061.64062736562</v>
      </c>
      <c r="N152" s="224"/>
      <c r="O152" s="473">
        <f t="shared" si="85"/>
        <v>144959.8232997396</v>
      </c>
      <c r="P152" s="224"/>
      <c r="Q152" s="473">
        <f t="shared" si="86"/>
        <v>70031.985118376397</v>
      </c>
      <c r="R152" s="224"/>
      <c r="S152" s="473">
        <f t="shared" si="87"/>
        <v>0</v>
      </c>
      <c r="T152" s="224"/>
      <c r="U152" s="473">
        <f t="shared" si="88"/>
        <v>0</v>
      </c>
      <c r="V152" s="224"/>
      <c r="W152" s="473">
        <f t="shared" si="89"/>
        <v>458081.55615424324</v>
      </c>
      <c r="X152" s="154"/>
      <c r="Y152" s="224"/>
      <c r="Z152" s="474">
        <v>331.1</v>
      </c>
      <c r="AA152" s="224"/>
      <c r="AB152" s="472" t="s">
        <v>333</v>
      </c>
      <c r="AC152" s="131"/>
      <c r="AD152" s="475">
        <f t="shared" si="97"/>
        <v>4</v>
      </c>
      <c r="AE152" s="131"/>
      <c r="AF152" s="475">
        <f t="shared" ref="AF152:AF158" si="102">+I152</f>
        <v>2128631.766516</v>
      </c>
      <c r="AG152" s="224"/>
      <c r="AH152" s="612">
        <f t="shared" si="90"/>
        <v>693295.36635426118</v>
      </c>
      <c r="AI152" s="612"/>
      <c r="AJ152" s="612">
        <f t="shared" si="91"/>
        <v>0</v>
      </c>
      <c r="AK152" s="612"/>
      <c r="AL152" s="612">
        <f t="shared" si="92"/>
        <v>977254.84400749567</v>
      </c>
      <c r="AM152" s="612"/>
      <c r="AN152" s="612">
        <f t="shared" si="93"/>
        <v>0</v>
      </c>
      <c r="AO152" s="612"/>
      <c r="AP152" s="612">
        <f t="shared" si="94"/>
        <v>0</v>
      </c>
      <c r="AQ152" s="612"/>
      <c r="AR152" s="612">
        <f t="shared" si="95"/>
        <v>0</v>
      </c>
      <c r="AS152" s="378"/>
      <c r="AT152" s="378">
        <f t="shared" si="96"/>
        <v>458081.55615424324</v>
      </c>
      <c r="AV152" s="224"/>
    </row>
    <row r="153" spans="1:48" s="464" customFormat="1" x14ac:dyDescent="0.25">
      <c r="A153" s="557"/>
      <c r="B153" s="470"/>
      <c r="C153" s="471">
        <v>331.2</v>
      </c>
      <c r="E153" s="472" t="s">
        <v>168</v>
      </c>
      <c r="F153" s="533"/>
      <c r="G153" s="293">
        <v>3</v>
      </c>
      <c r="H153" s="230"/>
      <c r="I153" s="473">
        <v>48852.821714999998</v>
      </c>
      <c r="J153" s="379"/>
      <c r="K153" s="473">
        <f t="shared" si="83"/>
        <v>21763.932074032498</v>
      </c>
      <c r="L153" s="224"/>
      <c r="M153" s="473">
        <f t="shared" si="84"/>
        <v>11060.278836275998</v>
      </c>
      <c r="N153" s="224"/>
      <c r="O153" s="473">
        <f t="shared" si="85"/>
        <v>4147.6045636034996</v>
      </c>
      <c r="P153" s="224"/>
      <c r="Q153" s="473">
        <f t="shared" si="86"/>
        <v>2012.736254658</v>
      </c>
      <c r="R153" s="224"/>
      <c r="S153" s="473">
        <f t="shared" si="87"/>
        <v>2638.05237261</v>
      </c>
      <c r="T153" s="224"/>
      <c r="U153" s="473">
        <f t="shared" si="88"/>
        <v>0</v>
      </c>
      <c r="V153" s="224"/>
      <c r="W153" s="473">
        <f t="shared" si="89"/>
        <v>7230.2176138199993</v>
      </c>
      <c r="X153" s="154"/>
      <c r="Y153" s="224"/>
      <c r="Z153" s="474">
        <v>331.2</v>
      </c>
      <c r="AB153" s="472" t="s">
        <v>332</v>
      </c>
      <c r="AC153" s="131"/>
      <c r="AD153" s="475">
        <f t="shared" si="97"/>
        <v>3</v>
      </c>
      <c r="AE153" s="131"/>
      <c r="AF153" s="475">
        <f t="shared" si="102"/>
        <v>48852.821714999998</v>
      </c>
      <c r="AG153" s="224"/>
      <c r="AH153" s="612">
        <f t="shared" si="90"/>
        <v>25950.618895008</v>
      </c>
      <c r="AI153" s="612"/>
      <c r="AJ153" s="612">
        <f t="shared" si="91"/>
        <v>15671.985206171998</v>
      </c>
      <c r="AK153" s="612"/>
      <c r="AL153" s="612">
        <f t="shared" si="92"/>
        <v>0</v>
      </c>
      <c r="AM153" s="612"/>
      <c r="AN153" s="612">
        <f t="shared" si="93"/>
        <v>0</v>
      </c>
      <c r="AO153" s="612"/>
      <c r="AP153" s="612">
        <f t="shared" si="94"/>
        <v>0</v>
      </c>
      <c r="AQ153" s="612"/>
      <c r="AR153" s="612">
        <f t="shared" si="95"/>
        <v>0</v>
      </c>
      <c r="AS153" s="378"/>
      <c r="AT153" s="378">
        <f t="shared" si="96"/>
        <v>7230.2176138199993</v>
      </c>
      <c r="AV153" s="224"/>
    </row>
    <row r="154" spans="1:48" s="464" customFormat="1" x14ac:dyDescent="0.25">
      <c r="A154" s="557"/>
      <c r="B154" s="470"/>
      <c r="C154" s="471">
        <v>331.2</v>
      </c>
      <c r="E154" s="472" t="s">
        <v>169</v>
      </c>
      <c r="F154" s="533"/>
      <c r="G154" s="293">
        <v>4</v>
      </c>
      <c r="H154" s="230"/>
      <c r="I154" s="473">
        <v>58069.528285000008</v>
      </c>
      <c r="J154" s="379"/>
      <c r="K154" s="473">
        <f t="shared" si="83"/>
        <v>27130.083614752002</v>
      </c>
      <c r="L154" s="224"/>
      <c r="M154" s="473">
        <f t="shared" si="84"/>
        <v>12577.859826531003</v>
      </c>
      <c r="N154" s="224"/>
      <c r="O154" s="473">
        <f t="shared" si="85"/>
        <v>3954.5348762085</v>
      </c>
      <c r="P154" s="224"/>
      <c r="Q154" s="473">
        <f t="shared" si="86"/>
        <v>1910.4874805765003</v>
      </c>
      <c r="R154" s="224"/>
      <c r="S154" s="473">
        <f t="shared" si="87"/>
        <v>0</v>
      </c>
      <c r="T154" s="224"/>
      <c r="U154" s="473">
        <f t="shared" si="88"/>
        <v>0</v>
      </c>
      <c r="V154" s="224"/>
      <c r="W154" s="473">
        <f t="shared" si="89"/>
        <v>12496.562486932002</v>
      </c>
      <c r="X154" s="154"/>
      <c r="Y154" s="224"/>
      <c r="Z154" s="474">
        <v>331.2</v>
      </c>
      <c r="AB154" s="472" t="s">
        <v>333</v>
      </c>
      <c r="AC154" s="131"/>
      <c r="AD154" s="475">
        <f t="shared" si="97"/>
        <v>4</v>
      </c>
      <c r="AE154" s="131"/>
      <c r="AF154" s="475">
        <f t="shared" si="102"/>
        <v>58069.528285000008</v>
      </c>
      <c r="AG154" s="224"/>
      <c r="AH154" s="612">
        <f t="shared" si="90"/>
        <v>18913.245362424503</v>
      </c>
      <c r="AI154" s="612"/>
      <c r="AJ154" s="612">
        <f t="shared" si="91"/>
        <v>0</v>
      </c>
      <c r="AK154" s="612"/>
      <c r="AL154" s="612">
        <f t="shared" si="92"/>
        <v>26659.720435643503</v>
      </c>
      <c r="AM154" s="612"/>
      <c r="AN154" s="612">
        <f t="shared" si="93"/>
        <v>0</v>
      </c>
      <c r="AO154" s="612"/>
      <c r="AP154" s="612">
        <f t="shared" si="94"/>
        <v>0</v>
      </c>
      <c r="AQ154" s="612"/>
      <c r="AR154" s="612">
        <f t="shared" si="95"/>
        <v>0</v>
      </c>
      <c r="AS154" s="378"/>
      <c r="AT154" s="378">
        <f t="shared" si="96"/>
        <v>12496.562486932002</v>
      </c>
      <c r="AV154" s="224"/>
    </row>
    <row r="155" spans="1:48" s="464" customFormat="1" ht="13.65" customHeight="1" x14ac:dyDescent="0.25">
      <c r="A155" s="557"/>
      <c r="B155" s="470"/>
      <c r="C155" s="471">
        <v>331.3</v>
      </c>
      <c r="D155" s="224"/>
      <c r="E155" s="472" t="s">
        <v>168</v>
      </c>
      <c r="F155" s="533"/>
      <c r="G155" s="293">
        <v>3</v>
      </c>
      <c r="H155" s="230"/>
      <c r="I155" s="473">
        <v>18560.703528000002</v>
      </c>
      <c r="J155" s="379"/>
      <c r="K155" s="473">
        <f t="shared" si="83"/>
        <v>8268.7934217240017</v>
      </c>
      <c r="L155" s="224"/>
      <c r="M155" s="473">
        <f t="shared" si="84"/>
        <v>4202.1432787392005</v>
      </c>
      <c r="N155" s="224"/>
      <c r="O155" s="473">
        <f t="shared" si="85"/>
        <v>1575.8037295272002</v>
      </c>
      <c r="P155" s="224"/>
      <c r="Q155" s="473">
        <f t="shared" si="86"/>
        <v>764.70098535360012</v>
      </c>
      <c r="R155" s="224"/>
      <c r="S155" s="473">
        <f t="shared" si="87"/>
        <v>1002.2779905120001</v>
      </c>
      <c r="T155" s="224"/>
      <c r="U155" s="473">
        <f t="shared" si="88"/>
        <v>0</v>
      </c>
      <c r="V155" s="224"/>
      <c r="W155" s="473">
        <f t="shared" si="89"/>
        <v>2746.9841221440001</v>
      </c>
      <c r="X155" s="154"/>
      <c r="Y155" s="224"/>
      <c r="Z155" s="474">
        <v>331.3</v>
      </c>
      <c r="AA155" s="224"/>
      <c r="AB155" s="472" t="s">
        <v>334</v>
      </c>
      <c r="AC155" s="131"/>
      <c r="AD155" s="475">
        <f t="shared" si="97"/>
        <v>3</v>
      </c>
      <c r="AE155" s="131"/>
      <c r="AF155" s="475">
        <f t="shared" si="102"/>
        <v>18560.703528000002</v>
      </c>
      <c r="AG155" s="224"/>
      <c r="AH155" s="612">
        <f t="shared" si="90"/>
        <v>9859.4457140736013</v>
      </c>
      <c r="AI155" s="612"/>
      <c r="AJ155" s="612">
        <f t="shared" si="91"/>
        <v>5954.2736917824004</v>
      </c>
      <c r="AK155" s="612"/>
      <c r="AL155" s="612">
        <f t="shared" si="92"/>
        <v>0</v>
      </c>
      <c r="AM155" s="612"/>
      <c r="AN155" s="612">
        <f t="shared" si="93"/>
        <v>0</v>
      </c>
      <c r="AO155" s="612"/>
      <c r="AP155" s="612">
        <f t="shared" si="94"/>
        <v>0</v>
      </c>
      <c r="AQ155" s="612"/>
      <c r="AR155" s="612">
        <f t="shared" si="95"/>
        <v>0</v>
      </c>
      <c r="AS155" s="378"/>
      <c r="AT155" s="378">
        <f t="shared" si="96"/>
        <v>2746.9841221440001</v>
      </c>
      <c r="AV155" s="224"/>
    </row>
    <row r="156" spans="1:48" s="464" customFormat="1" ht="13.65" customHeight="1" x14ac:dyDescent="0.25">
      <c r="A156" s="557"/>
      <c r="B156" s="470"/>
      <c r="C156" s="471">
        <v>331.3</v>
      </c>
      <c r="D156" s="224"/>
      <c r="E156" s="472" t="s">
        <v>169</v>
      </c>
      <c r="F156" s="533"/>
      <c r="G156" s="293">
        <v>4</v>
      </c>
      <c r="H156" s="230"/>
      <c r="I156" s="473">
        <v>22062.416472000001</v>
      </c>
      <c r="J156" s="379"/>
      <c r="K156" s="473">
        <f t="shared" si="83"/>
        <v>10307.560975718399</v>
      </c>
      <c r="L156" s="224"/>
      <c r="M156" s="473">
        <f t="shared" si="84"/>
        <v>4778.7194078352004</v>
      </c>
      <c r="N156" s="224"/>
      <c r="O156" s="473">
        <f t="shared" si="85"/>
        <v>1502.4505617431998</v>
      </c>
      <c r="P156" s="224"/>
      <c r="Q156" s="473">
        <f t="shared" si="86"/>
        <v>725.85350192880003</v>
      </c>
      <c r="R156" s="224"/>
      <c r="S156" s="473">
        <f t="shared" si="87"/>
        <v>0</v>
      </c>
      <c r="T156" s="224"/>
      <c r="U156" s="473">
        <f t="shared" si="88"/>
        <v>0</v>
      </c>
      <c r="V156" s="224"/>
      <c r="W156" s="473">
        <f t="shared" si="89"/>
        <v>4747.8320247744005</v>
      </c>
      <c r="X156" s="154"/>
      <c r="Y156" s="224"/>
      <c r="Z156" s="474">
        <v>331.3</v>
      </c>
      <c r="AA156" s="224"/>
      <c r="AB156" s="472" t="s">
        <v>335</v>
      </c>
      <c r="AC156" s="131"/>
      <c r="AD156" s="475">
        <f t="shared" si="97"/>
        <v>4</v>
      </c>
      <c r="AE156" s="131"/>
      <c r="AF156" s="475">
        <f t="shared" si="102"/>
        <v>22062.416472000001</v>
      </c>
      <c r="AG156" s="224"/>
      <c r="AH156" s="612">
        <f t="shared" si="90"/>
        <v>7185.7290449304001</v>
      </c>
      <c r="AI156" s="612"/>
      <c r="AJ156" s="612">
        <f t="shared" si="91"/>
        <v>0</v>
      </c>
      <c r="AK156" s="612"/>
      <c r="AL156" s="612">
        <f t="shared" si="92"/>
        <v>10128.855402295201</v>
      </c>
      <c r="AM156" s="612"/>
      <c r="AN156" s="612">
        <f t="shared" si="93"/>
        <v>0</v>
      </c>
      <c r="AO156" s="612"/>
      <c r="AP156" s="612">
        <f t="shared" si="94"/>
        <v>0</v>
      </c>
      <c r="AQ156" s="612"/>
      <c r="AR156" s="612">
        <f t="shared" si="95"/>
        <v>0</v>
      </c>
      <c r="AS156" s="378"/>
      <c r="AT156" s="378">
        <f t="shared" si="96"/>
        <v>4747.8320247744005</v>
      </c>
      <c r="AV156" s="224"/>
    </row>
    <row r="157" spans="1:48" s="464" customFormat="1" x14ac:dyDescent="0.25">
      <c r="A157" s="557"/>
      <c r="B157" s="470"/>
      <c r="C157" s="471">
        <v>333.1</v>
      </c>
      <c r="D157" s="224"/>
      <c r="E157" s="472" t="s">
        <v>320</v>
      </c>
      <c r="F157" s="533"/>
      <c r="G157" s="293">
        <v>9</v>
      </c>
      <c r="H157" s="230"/>
      <c r="I157" s="473">
        <v>885677.49</v>
      </c>
      <c r="J157" s="379"/>
      <c r="K157" s="473">
        <f t="shared" si="83"/>
        <v>759202.74442799995</v>
      </c>
      <c r="L157" s="224"/>
      <c r="M157" s="473">
        <f t="shared" si="84"/>
        <v>108672.628023</v>
      </c>
      <c r="N157" s="224"/>
      <c r="O157" s="473">
        <f t="shared" si="85"/>
        <v>4428.3874500000002</v>
      </c>
      <c r="P157" s="224"/>
      <c r="Q157" s="473">
        <f t="shared" si="86"/>
        <v>12930.891353999999</v>
      </c>
      <c r="R157" s="224"/>
      <c r="S157" s="473">
        <f t="shared" si="87"/>
        <v>442.83874500000002</v>
      </c>
      <c r="T157" s="224"/>
      <c r="U157" s="473">
        <f t="shared" si="88"/>
        <v>0</v>
      </c>
      <c r="V157" s="224"/>
      <c r="W157" s="473">
        <f t="shared" si="89"/>
        <v>0</v>
      </c>
      <c r="X157" s="154"/>
      <c r="Y157" s="224"/>
      <c r="Z157" s="474">
        <v>333.1</v>
      </c>
      <c r="AA157" s="224"/>
      <c r="AB157" s="472" t="s">
        <v>320</v>
      </c>
      <c r="AC157" s="131"/>
      <c r="AD157" s="475">
        <f t="shared" si="97"/>
        <v>9</v>
      </c>
      <c r="AE157" s="131"/>
      <c r="AF157" s="475">
        <f t="shared" si="102"/>
        <v>885677.49</v>
      </c>
      <c r="AG157" s="224"/>
      <c r="AH157" s="612">
        <f t="shared" si="90"/>
        <v>0</v>
      </c>
      <c r="AI157" s="612"/>
      <c r="AJ157" s="612">
        <f t="shared" si="91"/>
        <v>0</v>
      </c>
      <c r="AK157" s="612"/>
      <c r="AL157" s="612">
        <f t="shared" si="92"/>
        <v>0</v>
      </c>
      <c r="AM157" s="612"/>
      <c r="AN157" s="612">
        <f t="shared" si="93"/>
        <v>0</v>
      </c>
      <c r="AO157" s="612"/>
      <c r="AP157" s="612">
        <f t="shared" si="94"/>
        <v>885677.49</v>
      </c>
      <c r="AQ157" s="612"/>
      <c r="AR157" s="612">
        <f t="shared" si="95"/>
        <v>0</v>
      </c>
      <c r="AS157" s="378"/>
      <c r="AT157" s="378">
        <f t="shared" si="96"/>
        <v>0</v>
      </c>
      <c r="AV157" s="224"/>
    </row>
    <row r="158" spans="1:48" x14ac:dyDescent="0.25">
      <c r="C158" s="432">
        <v>333.2</v>
      </c>
      <c r="E158" s="389" t="s">
        <v>72</v>
      </c>
      <c r="F158" s="533"/>
      <c r="G158" s="143">
        <v>9</v>
      </c>
      <c r="H158" s="132"/>
      <c r="I158" s="473">
        <v>9750</v>
      </c>
      <c r="J158" s="379"/>
      <c r="K158" s="223">
        <f t="shared" si="83"/>
        <v>8357.6999999999989</v>
      </c>
      <c r="L158" s="351"/>
      <c r="M158" s="223">
        <f t="shared" si="84"/>
        <v>1196.325</v>
      </c>
      <c r="N158" s="351"/>
      <c r="O158" s="223">
        <f t="shared" si="85"/>
        <v>48.75</v>
      </c>
      <c r="P158" s="351"/>
      <c r="Q158" s="223">
        <f t="shared" si="86"/>
        <v>142.35</v>
      </c>
      <c r="R158" s="351"/>
      <c r="S158" s="223">
        <f t="shared" si="87"/>
        <v>4.875</v>
      </c>
      <c r="T158" s="351"/>
      <c r="U158" s="223">
        <f t="shared" si="88"/>
        <v>0</v>
      </c>
      <c r="V158" s="351"/>
      <c r="W158" s="223">
        <f t="shared" si="89"/>
        <v>0</v>
      </c>
      <c r="X158" s="154"/>
      <c r="Z158" s="390">
        <v>333.2</v>
      </c>
      <c r="AA158" s="351"/>
      <c r="AB158" s="389" t="s">
        <v>72</v>
      </c>
      <c r="AC158" s="131"/>
      <c r="AD158" s="392">
        <f t="shared" si="97"/>
        <v>9</v>
      </c>
      <c r="AE158" s="131"/>
      <c r="AF158" s="392">
        <f t="shared" si="102"/>
        <v>9750</v>
      </c>
      <c r="AG158" s="351"/>
      <c r="AH158" s="282">
        <f t="shared" si="90"/>
        <v>0</v>
      </c>
      <c r="AI158" s="282"/>
      <c r="AJ158" s="282">
        <f t="shared" si="91"/>
        <v>0</v>
      </c>
      <c r="AK158" s="282"/>
      <c r="AL158" s="282">
        <f t="shared" si="92"/>
        <v>0</v>
      </c>
      <c r="AM158" s="282"/>
      <c r="AN158" s="282">
        <f t="shared" si="93"/>
        <v>0</v>
      </c>
      <c r="AO158" s="282"/>
      <c r="AP158" s="282">
        <f t="shared" si="94"/>
        <v>9750</v>
      </c>
      <c r="AQ158" s="282"/>
      <c r="AR158" s="282">
        <f t="shared" si="95"/>
        <v>0</v>
      </c>
      <c r="AS158" s="153"/>
      <c r="AT158" s="153">
        <f t="shared" si="96"/>
        <v>0</v>
      </c>
      <c r="AU158" s="128"/>
      <c r="AV158" s="351"/>
    </row>
    <row r="159" spans="1:48" x14ac:dyDescent="0.25">
      <c r="C159" s="432">
        <v>334.1</v>
      </c>
      <c r="E159" s="389" t="s">
        <v>397</v>
      </c>
      <c r="F159" s="533"/>
      <c r="G159" s="143">
        <v>8</v>
      </c>
      <c r="H159" s="132"/>
      <c r="I159" s="473">
        <v>824968.79</v>
      </c>
      <c r="J159" s="379"/>
      <c r="K159" s="223">
        <f t="shared" si="83"/>
        <v>660800.00079000008</v>
      </c>
      <c r="L159" s="351"/>
      <c r="M159" s="223">
        <f t="shared" si="84"/>
        <v>137109.812898</v>
      </c>
      <c r="N159" s="351"/>
      <c r="O159" s="223">
        <f t="shared" si="85"/>
        <v>7837.2035050000004</v>
      </c>
      <c r="P159" s="351"/>
      <c r="Q159" s="223">
        <f t="shared" si="86"/>
        <v>18396.804017000002</v>
      </c>
      <c r="R159" s="351"/>
      <c r="S159" s="223">
        <f t="shared" si="87"/>
        <v>824.96879000000001</v>
      </c>
      <c r="T159" s="351"/>
      <c r="U159" s="223">
        <f t="shared" si="88"/>
        <v>0</v>
      </c>
      <c r="V159" s="351"/>
      <c r="W159" s="223">
        <f t="shared" si="89"/>
        <v>0</v>
      </c>
      <c r="X159" s="154"/>
      <c r="Z159" s="390">
        <v>334.1</v>
      </c>
      <c r="AA159" s="351"/>
      <c r="AB159" s="389" t="s">
        <v>397</v>
      </c>
      <c r="AC159" s="131"/>
      <c r="AD159" s="392">
        <f t="shared" si="97"/>
        <v>8</v>
      </c>
      <c r="AE159" s="131"/>
      <c r="AF159" s="392">
        <f t="shared" si="98"/>
        <v>824968.79</v>
      </c>
      <c r="AG159" s="224"/>
      <c r="AH159" s="282">
        <f t="shared" si="90"/>
        <v>0</v>
      </c>
      <c r="AI159" s="282"/>
      <c r="AJ159" s="282">
        <f t="shared" si="91"/>
        <v>0</v>
      </c>
      <c r="AK159" s="282"/>
      <c r="AL159" s="282">
        <f t="shared" si="92"/>
        <v>0</v>
      </c>
      <c r="AM159" s="282"/>
      <c r="AN159" s="282">
        <f t="shared" si="93"/>
        <v>824968.79</v>
      </c>
      <c r="AO159" s="282"/>
      <c r="AP159" s="282">
        <f t="shared" si="94"/>
        <v>0</v>
      </c>
      <c r="AQ159" s="282"/>
      <c r="AR159" s="282">
        <f t="shared" si="95"/>
        <v>0</v>
      </c>
      <c r="AS159" s="153"/>
      <c r="AT159" s="153">
        <f t="shared" si="96"/>
        <v>0</v>
      </c>
    </row>
    <row r="160" spans="1:48" x14ac:dyDescent="0.25">
      <c r="C160" s="432">
        <v>335.1</v>
      </c>
      <c r="E160" s="389" t="s">
        <v>73</v>
      </c>
      <c r="F160" s="533"/>
      <c r="G160" s="143">
        <v>7</v>
      </c>
      <c r="H160" s="132"/>
      <c r="I160" s="473">
        <v>257387.28</v>
      </c>
      <c r="J160" s="379"/>
      <c r="K160" s="223">
        <f t="shared" si="83"/>
        <v>0</v>
      </c>
      <c r="L160" s="351"/>
      <c r="M160" s="223">
        <f t="shared" si="84"/>
        <v>0</v>
      </c>
      <c r="N160" s="351"/>
      <c r="O160" s="223">
        <f t="shared" si="85"/>
        <v>0</v>
      </c>
      <c r="P160" s="351"/>
      <c r="Q160" s="223">
        <f t="shared" si="86"/>
        <v>0</v>
      </c>
      <c r="R160" s="351"/>
      <c r="S160" s="223">
        <f t="shared" si="87"/>
        <v>0</v>
      </c>
      <c r="T160" s="351"/>
      <c r="U160" s="223">
        <f t="shared" si="88"/>
        <v>0</v>
      </c>
      <c r="V160" s="351"/>
      <c r="W160" s="223">
        <f t="shared" si="89"/>
        <v>257387.28</v>
      </c>
      <c r="X160" s="154"/>
      <c r="Z160" s="390">
        <v>335.1</v>
      </c>
      <c r="AA160" s="351"/>
      <c r="AB160" s="389" t="s">
        <v>73</v>
      </c>
      <c r="AC160" s="131"/>
      <c r="AD160" s="392">
        <f t="shared" si="97"/>
        <v>7</v>
      </c>
      <c r="AE160" s="131"/>
      <c r="AF160" s="392">
        <f t="shared" si="98"/>
        <v>257387.28</v>
      </c>
      <c r="AG160" s="224"/>
      <c r="AH160" s="282">
        <f t="shared" si="90"/>
        <v>0</v>
      </c>
      <c r="AI160" s="282"/>
      <c r="AJ160" s="282">
        <f t="shared" si="91"/>
        <v>0</v>
      </c>
      <c r="AK160" s="282"/>
      <c r="AL160" s="282">
        <f t="shared" si="92"/>
        <v>0</v>
      </c>
      <c r="AM160" s="282"/>
      <c r="AN160" s="282">
        <f t="shared" si="93"/>
        <v>0</v>
      </c>
      <c r="AO160" s="282"/>
      <c r="AP160" s="282">
        <f t="shared" si="94"/>
        <v>0</v>
      </c>
      <c r="AQ160" s="282"/>
      <c r="AR160" s="282">
        <f t="shared" si="95"/>
        <v>0</v>
      </c>
      <c r="AS160" s="153"/>
      <c r="AT160" s="153">
        <f t="shared" si="96"/>
        <v>257387.28</v>
      </c>
    </row>
    <row r="161" spans="2:48" x14ac:dyDescent="0.25">
      <c r="C161" s="432">
        <v>335.3</v>
      </c>
      <c r="E161" s="389" t="s">
        <v>74</v>
      </c>
      <c r="F161" s="533"/>
      <c r="G161" s="143">
        <v>7</v>
      </c>
      <c r="H161" s="132"/>
      <c r="I161" s="473">
        <v>4166.67</v>
      </c>
      <c r="J161" s="379"/>
      <c r="K161" s="223">
        <f t="shared" si="83"/>
        <v>0</v>
      </c>
      <c r="L161" s="351"/>
      <c r="M161" s="223">
        <f t="shared" si="84"/>
        <v>0</v>
      </c>
      <c r="N161" s="351"/>
      <c r="O161" s="223">
        <f t="shared" si="85"/>
        <v>0</v>
      </c>
      <c r="P161" s="351"/>
      <c r="Q161" s="223">
        <f t="shared" si="86"/>
        <v>0</v>
      </c>
      <c r="R161" s="351"/>
      <c r="S161" s="223">
        <f t="shared" si="87"/>
        <v>0</v>
      </c>
      <c r="T161" s="351"/>
      <c r="U161" s="223">
        <f t="shared" si="88"/>
        <v>0</v>
      </c>
      <c r="V161" s="351"/>
      <c r="W161" s="223">
        <f t="shared" si="89"/>
        <v>4166.67</v>
      </c>
      <c r="X161" s="154"/>
      <c r="Z161" s="390">
        <v>335.3</v>
      </c>
      <c r="AA161" s="351"/>
      <c r="AB161" s="389" t="s">
        <v>74</v>
      </c>
      <c r="AC161" s="131"/>
      <c r="AD161" s="392">
        <f t="shared" si="97"/>
        <v>7</v>
      </c>
      <c r="AE161" s="131"/>
      <c r="AF161" s="392">
        <f t="shared" si="98"/>
        <v>4166.67</v>
      </c>
      <c r="AG161" s="224"/>
      <c r="AH161" s="282">
        <f t="shared" si="90"/>
        <v>0</v>
      </c>
      <c r="AI161" s="282"/>
      <c r="AJ161" s="282">
        <f t="shared" si="91"/>
        <v>0</v>
      </c>
      <c r="AK161" s="282"/>
      <c r="AL161" s="282">
        <f t="shared" si="92"/>
        <v>0</v>
      </c>
      <c r="AM161" s="282"/>
      <c r="AN161" s="282">
        <f t="shared" si="93"/>
        <v>0</v>
      </c>
      <c r="AO161" s="282"/>
      <c r="AP161" s="282">
        <f t="shared" si="94"/>
        <v>0</v>
      </c>
      <c r="AQ161" s="282"/>
      <c r="AR161" s="282">
        <f t="shared" si="95"/>
        <v>0</v>
      </c>
      <c r="AS161" s="153"/>
      <c r="AT161" s="153">
        <f t="shared" si="96"/>
        <v>4166.67</v>
      </c>
    </row>
    <row r="162" spans="2:48" x14ac:dyDescent="0.25">
      <c r="C162" s="432">
        <v>339.1</v>
      </c>
      <c r="E162" s="389" t="s">
        <v>75</v>
      </c>
      <c r="F162" s="533"/>
      <c r="G162" s="143">
        <v>14</v>
      </c>
      <c r="H162" s="132"/>
      <c r="I162" s="473">
        <v>13139.7</v>
      </c>
      <c r="J162" s="379"/>
      <c r="K162" s="223">
        <f t="shared" si="83"/>
        <v>7364.8018500000007</v>
      </c>
      <c r="L162" s="351"/>
      <c r="M162" s="223">
        <f t="shared" si="84"/>
        <v>2684.4407100000003</v>
      </c>
      <c r="N162" s="351"/>
      <c r="O162" s="223">
        <f t="shared" si="85"/>
        <v>833.05698000000007</v>
      </c>
      <c r="P162" s="351"/>
      <c r="Q162" s="223">
        <f t="shared" si="86"/>
        <v>433.61010000000005</v>
      </c>
      <c r="R162" s="351"/>
      <c r="S162" s="223">
        <f t="shared" si="87"/>
        <v>340.31823000000003</v>
      </c>
      <c r="T162" s="351"/>
      <c r="U162" s="223">
        <f t="shared" si="88"/>
        <v>0</v>
      </c>
      <c r="V162" s="351"/>
      <c r="W162" s="223">
        <f t="shared" si="89"/>
        <v>1483.4721300000001</v>
      </c>
      <c r="X162" s="154"/>
      <c r="Z162" s="390">
        <v>339.1</v>
      </c>
      <c r="AA162" s="351"/>
      <c r="AB162" s="389" t="s">
        <v>75</v>
      </c>
      <c r="AC162" s="131"/>
      <c r="AD162" s="392">
        <f t="shared" si="97"/>
        <v>14</v>
      </c>
      <c r="AE162" s="131"/>
      <c r="AF162" s="392">
        <f t="shared" si="98"/>
        <v>13139.7</v>
      </c>
      <c r="AG162" s="224"/>
      <c r="AH162" s="282">
        <f t="shared" si="90"/>
        <v>4656.7096799999999</v>
      </c>
      <c r="AI162" s="282"/>
      <c r="AJ162" s="282">
        <f t="shared" si="91"/>
        <v>1865.8373999999999</v>
      </c>
      <c r="AK162" s="282"/>
      <c r="AL162" s="282">
        <f t="shared" si="92"/>
        <v>2208.7835700000001</v>
      </c>
      <c r="AM162" s="282"/>
      <c r="AN162" s="282">
        <f t="shared" si="93"/>
        <v>947.37237000000005</v>
      </c>
      <c r="AO162" s="282"/>
      <c r="AP162" s="282">
        <f t="shared" si="94"/>
        <v>584.71664999999996</v>
      </c>
      <c r="AQ162" s="282"/>
      <c r="AR162" s="282">
        <f t="shared" si="95"/>
        <v>1392.8081999999999</v>
      </c>
      <c r="AS162" s="153"/>
      <c r="AT162" s="153">
        <f t="shared" si="96"/>
        <v>1483.4721300000001</v>
      </c>
    </row>
    <row r="163" spans="2:48" x14ac:dyDescent="0.25">
      <c r="C163" s="432">
        <v>340.1</v>
      </c>
      <c r="E163" s="389" t="s">
        <v>76</v>
      </c>
      <c r="F163" s="533"/>
      <c r="G163" s="143">
        <v>14</v>
      </c>
      <c r="H163" s="132"/>
      <c r="I163" s="473">
        <v>135762.03</v>
      </c>
      <c r="J163" s="379"/>
      <c r="K163" s="223">
        <f t="shared" si="83"/>
        <v>76094.617815000005</v>
      </c>
      <c r="L163" s="351"/>
      <c r="M163" s="223">
        <f t="shared" si="84"/>
        <v>27736.182729</v>
      </c>
      <c r="N163" s="351"/>
      <c r="O163" s="223">
        <f t="shared" si="85"/>
        <v>8607.3127019999993</v>
      </c>
      <c r="P163" s="351"/>
      <c r="Q163" s="223">
        <f t="shared" si="86"/>
        <v>4480.1469900000002</v>
      </c>
      <c r="R163" s="351"/>
      <c r="S163" s="223">
        <f t="shared" si="87"/>
        <v>3516.2365769999997</v>
      </c>
      <c r="T163" s="351"/>
      <c r="U163" s="223">
        <f t="shared" si="88"/>
        <v>0</v>
      </c>
      <c r="V163" s="351"/>
      <c r="W163" s="223">
        <f t="shared" si="89"/>
        <v>15327.533186999999</v>
      </c>
      <c r="X163" s="154"/>
      <c r="Z163" s="390">
        <v>340.1</v>
      </c>
      <c r="AA163" s="351"/>
      <c r="AB163" s="389" t="s">
        <v>76</v>
      </c>
      <c r="AC163" s="131"/>
      <c r="AD163" s="392">
        <f t="shared" si="97"/>
        <v>14</v>
      </c>
      <c r="AE163" s="131"/>
      <c r="AF163" s="392">
        <f t="shared" si="98"/>
        <v>135762.03</v>
      </c>
      <c r="AG163" s="224"/>
      <c r="AH163" s="282">
        <f t="shared" si="90"/>
        <v>48114.063431999995</v>
      </c>
      <c r="AI163" s="282"/>
      <c r="AJ163" s="282">
        <f t="shared" si="91"/>
        <v>19278.208259999999</v>
      </c>
      <c r="AK163" s="282"/>
      <c r="AL163" s="282">
        <f t="shared" si="92"/>
        <v>22821.597243</v>
      </c>
      <c r="AM163" s="282"/>
      <c r="AN163" s="282">
        <f t="shared" si="93"/>
        <v>9788.4423630000001</v>
      </c>
      <c r="AO163" s="282"/>
      <c r="AP163" s="282">
        <f t="shared" si="94"/>
        <v>6041.4103349999996</v>
      </c>
      <c r="AQ163" s="282"/>
      <c r="AR163" s="282">
        <f t="shared" si="95"/>
        <v>14390.775179999999</v>
      </c>
      <c r="AS163" s="153"/>
      <c r="AT163" s="153">
        <f t="shared" si="96"/>
        <v>15327.533186999999</v>
      </c>
    </row>
    <row r="164" spans="2:48" x14ac:dyDescent="0.25">
      <c r="C164" s="432">
        <v>341.1</v>
      </c>
      <c r="E164" s="389" t="s">
        <v>77</v>
      </c>
      <c r="F164" s="533"/>
      <c r="G164" s="143">
        <v>14</v>
      </c>
      <c r="H164" s="132"/>
      <c r="I164" s="473">
        <v>410709.46</v>
      </c>
      <c r="J164" s="379"/>
      <c r="K164" s="223">
        <f t="shared" si="83"/>
        <v>230202.65233000001</v>
      </c>
      <c r="L164" s="351"/>
      <c r="M164" s="223">
        <f t="shared" si="84"/>
        <v>83907.942678000007</v>
      </c>
      <c r="N164" s="351"/>
      <c r="O164" s="223">
        <f t="shared" si="85"/>
        <v>26038.979764</v>
      </c>
      <c r="P164" s="351"/>
      <c r="Q164" s="223">
        <f t="shared" si="86"/>
        <v>13553.412180000001</v>
      </c>
      <c r="R164" s="351"/>
      <c r="S164" s="223">
        <f t="shared" si="87"/>
        <v>10637.375014000001</v>
      </c>
      <c r="T164" s="351"/>
      <c r="U164" s="223">
        <f t="shared" si="88"/>
        <v>0</v>
      </c>
      <c r="V164" s="351"/>
      <c r="W164" s="223">
        <f t="shared" si="89"/>
        <v>46369.098034000002</v>
      </c>
      <c r="X164" s="154"/>
      <c r="Z164" s="390">
        <v>341.1</v>
      </c>
      <c r="AA164" s="351"/>
      <c r="AB164" s="389" t="s">
        <v>77</v>
      </c>
      <c r="AC164" s="131"/>
      <c r="AD164" s="392">
        <f t="shared" si="97"/>
        <v>14</v>
      </c>
      <c r="AE164" s="131"/>
      <c r="AF164" s="392">
        <f t="shared" si="98"/>
        <v>410709.46</v>
      </c>
      <c r="AG164" s="224"/>
      <c r="AH164" s="282">
        <f t="shared" si="90"/>
        <v>145555.43262400001</v>
      </c>
      <c r="AI164" s="282"/>
      <c r="AJ164" s="282">
        <f t="shared" si="91"/>
        <v>58320.743320000001</v>
      </c>
      <c r="AK164" s="282"/>
      <c r="AL164" s="282">
        <f t="shared" si="92"/>
        <v>69040.260225999999</v>
      </c>
      <c r="AM164" s="282"/>
      <c r="AN164" s="282">
        <f t="shared" si="93"/>
        <v>29612.152065999999</v>
      </c>
      <c r="AO164" s="282"/>
      <c r="AP164" s="282">
        <f t="shared" si="94"/>
        <v>18276.570970000001</v>
      </c>
      <c r="AQ164" s="282"/>
      <c r="AR164" s="282">
        <f t="shared" si="95"/>
        <v>43535.20276</v>
      </c>
      <c r="AS164" s="153"/>
      <c r="AT164" s="153">
        <f t="shared" si="96"/>
        <v>46369.098034000002</v>
      </c>
    </row>
    <row r="165" spans="2:48" x14ac:dyDescent="0.25">
      <c r="C165" s="432">
        <v>343.1</v>
      </c>
      <c r="E165" s="389" t="s">
        <v>78</v>
      </c>
      <c r="F165" s="533"/>
      <c r="G165" s="143">
        <v>14</v>
      </c>
      <c r="H165" s="132"/>
      <c r="I165" s="473">
        <v>32348.09</v>
      </c>
      <c r="J165" s="379"/>
      <c r="K165" s="223">
        <f t="shared" si="83"/>
        <v>18131.104445000001</v>
      </c>
      <c r="L165" s="351"/>
      <c r="M165" s="223">
        <f t="shared" si="84"/>
        <v>6608.7147869999999</v>
      </c>
      <c r="N165" s="351"/>
      <c r="O165" s="223">
        <f t="shared" si="85"/>
        <v>2050.8689060000002</v>
      </c>
      <c r="P165" s="351"/>
      <c r="Q165" s="223">
        <f t="shared" si="86"/>
        <v>1067.4869700000002</v>
      </c>
      <c r="R165" s="351"/>
      <c r="S165" s="223">
        <f t="shared" si="87"/>
        <v>837.81553099999996</v>
      </c>
      <c r="T165" s="351"/>
      <c r="U165" s="223">
        <f t="shared" si="88"/>
        <v>0</v>
      </c>
      <c r="V165" s="351"/>
      <c r="W165" s="223">
        <f t="shared" si="89"/>
        <v>3652.099361</v>
      </c>
      <c r="X165" s="154"/>
      <c r="Z165" s="390">
        <v>343.1</v>
      </c>
      <c r="AA165" s="351"/>
      <c r="AB165" s="389" t="s">
        <v>78</v>
      </c>
      <c r="AC165" s="131"/>
      <c r="AD165" s="392">
        <f t="shared" si="97"/>
        <v>14</v>
      </c>
      <c r="AE165" s="131"/>
      <c r="AF165" s="392">
        <f t="shared" si="98"/>
        <v>32348.09</v>
      </c>
      <c r="AG165" s="224"/>
      <c r="AH165" s="282">
        <f t="shared" si="90"/>
        <v>11464.163096</v>
      </c>
      <c r="AI165" s="282"/>
      <c r="AJ165" s="282">
        <f t="shared" si="91"/>
        <v>4593.4287799999993</v>
      </c>
      <c r="AK165" s="282"/>
      <c r="AL165" s="282">
        <f t="shared" si="92"/>
        <v>5437.7139289999996</v>
      </c>
      <c r="AM165" s="282"/>
      <c r="AN165" s="282">
        <f t="shared" si="93"/>
        <v>2332.2972890000001</v>
      </c>
      <c r="AO165" s="282"/>
      <c r="AP165" s="282">
        <f t="shared" si="94"/>
        <v>1439.4900049999999</v>
      </c>
      <c r="AQ165" s="282"/>
      <c r="AR165" s="282">
        <f t="shared" si="95"/>
        <v>3428.8975399999999</v>
      </c>
      <c r="AS165" s="153"/>
      <c r="AT165" s="153">
        <f t="shared" si="96"/>
        <v>3652.099361</v>
      </c>
    </row>
    <row r="166" spans="2:48" x14ac:dyDescent="0.25">
      <c r="C166" s="432">
        <v>344.1</v>
      </c>
      <c r="E166" s="389" t="s">
        <v>156</v>
      </c>
      <c r="F166" s="533"/>
      <c r="G166" s="143">
        <v>2</v>
      </c>
      <c r="H166" s="132"/>
      <c r="I166" s="473">
        <v>39228.120000000003</v>
      </c>
      <c r="J166" s="379"/>
      <c r="K166" s="223">
        <f t="shared" si="83"/>
        <v>20422.159272000001</v>
      </c>
      <c r="L166" s="351"/>
      <c r="M166" s="223">
        <f t="shared" si="84"/>
        <v>10383.683364</v>
      </c>
      <c r="N166" s="351"/>
      <c r="O166" s="223">
        <f t="shared" si="85"/>
        <v>3899.2751280000002</v>
      </c>
      <c r="P166" s="351"/>
      <c r="Q166" s="223">
        <f t="shared" si="86"/>
        <v>1886.872572</v>
      </c>
      <c r="R166" s="351"/>
      <c r="S166" s="223">
        <f t="shared" si="87"/>
        <v>2479.2171840000005</v>
      </c>
      <c r="T166" s="351"/>
      <c r="U166" s="223">
        <f t="shared" si="88"/>
        <v>0</v>
      </c>
      <c r="V166" s="351"/>
      <c r="W166" s="223">
        <f t="shared" si="89"/>
        <v>156.91248000000002</v>
      </c>
      <c r="X166" s="154"/>
      <c r="Z166" s="390">
        <v>344.1</v>
      </c>
      <c r="AA166" s="351"/>
      <c r="AB166" s="389" t="s">
        <v>156</v>
      </c>
      <c r="AC166" s="131"/>
      <c r="AD166" s="392">
        <f t="shared" si="97"/>
        <v>2</v>
      </c>
      <c r="AE166" s="131"/>
      <c r="AF166" s="392">
        <f t="shared" si="98"/>
        <v>39228.120000000003</v>
      </c>
      <c r="AG166" s="224"/>
      <c r="AH166" s="282">
        <f t="shared" si="90"/>
        <v>24360.662520000002</v>
      </c>
      <c r="AI166" s="282"/>
      <c r="AJ166" s="282">
        <f t="shared" si="91"/>
        <v>14710.545000000002</v>
      </c>
      <c r="AK166" s="282"/>
      <c r="AL166" s="282">
        <f t="shared" si="92"/>
        <v>0</v>
      </c>
      <c r="AM166" s="282"/>
      <c r="AN166" s="282">
        <f t="shared" si="93"/>
        <v>0</v>
      </c>
      <c r="AO166" s="282"/>
      <c r="AP166" s="282">
        <f t="shared" si="94"/>
        <v>0</v>
      </c>
      <c r="AQ166" s="282"/>
      <c r="AR166" s="282">
        <f t="shared" si="95"/>
        <v>0</v>
      </c>
      <c r="AS166" s="153"/>
      <c r="AT166" s="153">
        <f t="shared" si="96"/>
        <v>156.91248000000002</v>
      </c>
    </row>
    <row r="167" spans="2:48" x14ac:dyDescent="0.25">
      <c r="C167" s="432">
        <v>345.1</v>
      </c>
      <c r="E167" s="389" t="s">
        <v>157</v>
      </c>
      <c r="F167" s="533"/>
      <c r="G167" s="143">
        <v>14</v>
      </c>
      <c r="H167" s="132"/>
      <c r="I167" s="473">
        <v>32840.93</v>
      </c>
      <c r="J167" s="379"/>
      <c r="K167" s="223">
        <f t="shared" si="83"/>
        <v>18407.341264999999</v>
      </c>
      <c r="L167" s="351"/>
      <c r="M167" s="223">
        <f t="shared" si="84"/>
        <v>6709.4019990000006</v>
      </c>
      <c r="N167" s="351"/>
      <c r="O167" s="223">
        <f t="shared" si="85"/>
        <v>2082.1149620000001</v>
      </c>
      <c r="P167" s="351"/>
      <c r="Q167" s="223">
        <f t="shared" si="86"/>
        <v>1083.7506900000001</v>
      </c>
      <c r="R167" s="351"/>
      <c r="S167" s="223">
        <f t="shared" si="87"/>
        <v>850.58008699999993</v>
      </c>
      <c r="T167" s="351"/>
      <c r="U167" s="223">
        <f t="shared" si="88"/>
        <v>0</v>
      </c>
      <c r="V167" s="351"/>
      <c r="W167" s="223">
        <f t="shared" si="89"/>
        <v>3707.7409969999999</v>
      </c>
      <c r="X167" s="154"/>
      <c r="Z167" s="390">
        <v>345.1</v>
      </c>
      <c r="AA167" s="351"/>
      <c r="AB167" s="389" t="s">
        <v>157</v>
      </c>
      <c r="AC167" s="131"/>
      <c r="AD167" s="392">
        <f t="shared" si="97"/>
        <v>14</v>
      </c>
      <c r="AE167" s="131"/>
      <c r="AF167" s="392">
        <f t="shared" si="98"/>
        <v>32840.93</v>
      </c>
      <c r="AG167" s="224"/>
      <c r="AH167" s="282">
        <f t="shared" si="90"/>
        <v>11638.825591999999</v>
      </c>
      <c r="AI167" s="282"/>
      <c r="AJ167" s="282">
        <f t="shared" si="91"/>
        <v>4663.4120599999997</v>
      </c>
      <c r="AK167" s="282"/>
      <c r="AL167" s="282">
        <f t="shared" si="92"/>
        <v>5520.5603330000004</v>
      </c>
      <c r="AM167" s="282"/>
      <c r="AN167" s="282">
        <f t="shared" si="93"/>
        <v>2367.8310529999999</v>
      </c>
      <c r="AO167" s="282"/>
      <c r="AP167" s="282">
        <f t="shared" si="94"/>
        <v>1461.4213849999999</v>
      </c>
      <c r="AQ167" s="282"/>
      <c r="AR167" s="282">
        <f t="shared" si="95"/>
        <v>3481.1385799999998</v>
      </c>
      <c r="AS167" s="153"/>
      <c r="AT167" s="153">
        <f t="shared" si="96"/>
        <v>3707.7409969999999</v>
      </c>
    </row>
    <row r="168" spans="2:48" x14ac:dyDescent="0.25">
      <c r="C168" s="432">
        <v>346.1</v>
      </c>
      <c r="E168" s="389" t="s">
        <v>79</v>
      </c>
      <c r="F168" s="533"/>
      <c r="G168" s="143">
        <v>14</v>
      </c>
      <c r="H168" s="132"/>
      <c r="I168" s="473">
        <v>312354.09999999998</v>
      </c>
      <c r="J168" s="379"/>
      <c r="K168" s="223">
        <f t="shared" si="83"/>
        <v>175074.47305</v>
      </c>
      <c r="L168" s="351"/>
      <c r="M168" s="223">
        <f t="shared" si="84"/>
        <v>63813.942629999998</v>
      </c>
      <c r="N168" s="351"/>
      <c r="O168" s="223">
        <f t="shared" si="85"/>
        <v>19803.249939999998</v>
      </c>
      <c r="P168" s="351"/>
      <c r="Q168" s="223">
        <f t="shared" si="86"/>
        <v>10307.685299999999</v>
      </c>
      <c r="R168" s="351"/>
      <c r="S168" s="223">
        <f t="shared" si="87"/>
        <v>8089.9711899999993</v>
      </c>
      <c r="T168" s="351"/>
      <c r="U168" s="223">
        <f t="shared" si="88"/>
        <v>0</v>
      </c>
      <c r="V168" s="351"/>
      <c r="W168" s="223">
        <f t="shared" si="89"/>
        <v>35264.777889999998</v>
      </c>
      <c r="X168" s="154"/>
      <c r="Z168" s="390">
        <v>346.1</v>
      </c>
      <c r="AA168" s="351"/>
      <c r="AB168" s="389" t="s">
        <v>79</v>
      </c>
      <c r="AC168" s="131"/>
      <c r="AD168" s="392">
        <f t="shared" si="97"/>
        <v>14</v>
      </c>
      <c r="AE168" s="131"/>
      <c r="AF168" s="392">
        <f t="shared" si="98"/>
        <v>312354.09999999998</v>
      </c>
      <c r="AG168" s="224"/>
      <c r="AH168" s="282">
        <f t="shared" si="90"/>
        <v>110698.29303999999</v>
      </c>
      <c r="AI168" s="282"/>
      <c r="AJ168" s="282">
        <f t="shared" si="91"/>
        <v>44354.282199999994</v>
      </c>
      <c r="AK168" s="282"/>
      <c r="AL168" s="282">
        <f t="shared" si="92"/>
        <v>52506.724209999993</v>
      </c>
      <c r="AM168" s="282"/>
      <c r="AN168" s="282">
        <f t="shared" si="93"/>
        <v>22520.730609999999</v>
      </c>
      <c r="AO168" s="282"/>
      <c r="AP168" s="282">
        <f t="shared" si="94"/>
        <v>13899.757449999999</v>
      </c>
      <c r="AQ168" s="282"/>
      <c r="AR168" s="282">
        <f t="shared" si="95"/>
        <v>33109.534599999999</v>
      </c>
      <c r="AS168" s="153"/>
      <c r="AT168" s="153">
        <f t="shared" si="96"/>
        <v>35264.777889999998</v>
      </c>
    </row>
    <row r="169" spans="2:48" x14ac:dyDescent="0.25">
      <c r="C169" s="432">
        <v>347.1</v>
      </c>
      <c r="E169" s="389" t="s">
        <v>80</v>
      </c>
      <c r="F169" s="533"/>
      <c r="G169" s="143">
        <v>14</v>
      </c>
      <c r="H169" s="132"/>
      <c r="I169" s="473">
        <v>865.97</v>
      </c>
      <c r="J169" s="379"/>
      <c r="K169" s="397">
        <f t="shared" si="83"/>
        <v>485.37618500000002</v>
      </c>
      <c r="L169" s="351"/>
      <c r="M169" s="397">
        <f t="shared" si="84"/>
        <v>176.91767100000001</v>
      </c>
      <c r="N169" s="351"/>
      <c r="O169" s="397">
        <f t="shared" si="85"/>
        <v>54.902498000000001</v>
      </c>
      <c r="P169" s="351"/>
      <c r="Q169" s="397">
        <f t="shared" si="86"/>
        <v>28.577010000000001</v>
      </c>
      <c r="R169" s="351"/>
      <c r="S169" s="397">
        <f t="shared" si="87"/>
        <v>22.428623000000002</v>
      </c>
      <c r="T169" s="351"/>
      <c r="U169" s="397">
        <f t="shared" si="88"/>
        <v>0</v>
      </c>
      <c r="V169" s="351"/>
      <c r="W169" s="397">
        <f t="shared" si="89"/>
        <v>97.768012999999996</v>
      </c>
      <c r="X169" s="154"/>
      <c r="Z169" s="390">
        <v>347.1</v>
      </c>
      <c r="AA169" s="351"/>
      <c r="AB169" s="389" t="s">
        <v>80</v>
      </c>
      <c r="AC169" s="131"/>
      <c r="AD169" s="392">
        <f t="shared" si="97"/>
        <v>14</v>
      </c>
      <c r="AE169" s="131"/>
      <c r="AF169" s="393">
        <f t="shared" si="98"/>
        <v>865.97</v>
      </c>
      <c r="AG169" s="224"/>
      <c r="AH169" s="397">
        <f t="shared" si="90"/>
        <v>306.89976799999999</v>
      </c>
      <c r="AI169" s="282"/>
      <c r="AJ169" s="397">
        <f t="shared" si="91"/>
        <v>122.96773999999999</v>
      </c>
      <c r="AK169" s="282"/>
      <c r="AL169" s="397">
        <f t="shared" si="92"/>
        <v>145.569557</v>
      </c>
      <c r="AM169" s="282"/>
      <c r="AN169" s="397">
        <f t="shared" si="93"/>
        <v>62.436436999999998</v>
      </c>
      <c r="AO169" s="282"/>
      <c r="AP169" s="397">
        <f t="shared" si="94"/>
        <v>38.535665000000002</v>
      </c>
      <c r="AQ169" s="282"/>
      <c r="AR169" s="397">
        <f t="shared" si="95"/>
        <v>91.792820000000006</v>
      </c>
      <c r="AS169" s="153"/>
      <c r="AT169" s="140">
        <f t="shared" si="96"/>
        <v>97.768012999999996</v>
      </c>
    </row>
    <row r="170" spans="2:48" x14ac:dyDescent="0.25">
      <c r="E170" s="352"/>
      <c r="F170" s="131"/>
      <c r="G170" s="143"/>
      <c r="H170" s="132"/>
      <c r="I170" s="647"/>
      <c r="J170" s="379"/>
      <c r="K170" s="223"/>
      <c r="L170" s="351"/>
      <c r="M170" s="223"/>
      <c r="N170" s="351"/>
      <c r="O170" s="223"/>
      <c r="P170" s="351"/>
      <c r="Q170" s="223"/>
      <c r="R170" s="351"/>
      <c r="S170" s="223"/>
      <c r="T170" s="351"/>
      <c r="U170" s="223"/>
      <c r="V170" s="351"/>
      <c r="W170" s="223"/>
      <c r="Z170" s="137"/>
      <c r="AA170" s="351"/>
      <c r="AB170" s="352"/>
      <c r="AC170" s="131"/>
      <c r="AD170" s="143"/>
      <c r="AF170" s="224"/>
      <c r="AG170" s="224"/>
      <c r="AH170" s="223"/>
      <c r="AI170" s="223"/>
      <c r="AJ170" s="223"/>
      <c r="AK170" s="223"/>
      <c r="AL170" s="223"/>
      <c r="AM170" s="223"/>
      <c r="AN170" s="223"/>
      <c r="AO170" s="223"/>
      <c r="AP170" s="223"/>
      <c r="AQ170" s="223"/>
      <c r="AR170" s="223"/>
      <c r="AS170" s="139"/>
      <c r="AT170" s="139"/>
    </row>
    <row r="171" spans="2:48" x14ac:dyDescent="0.25">
      <c r="E171" s="232" t="s">
        <v>160</v>
      </c>
      <c r="F171" s="131"/>
      <c r="G171" s="143"/>
      <c r="H171" s="132"/>
      <c r="I171" s="638">
        <f>SUM(I133:I170)</f>
        <v>12235799.399999999</v>
      </c>
      <c r="J171" s="639"/>
      <c r="K171" s="640">
        <f>SUM(K133:K170)</f>
        <v>6466243.9827776244</v>
      </c>
      <c r="L171" s="641"/>
      <c r="M171" s="640">
        <f>SUM(M133:M170)</f>
        <v>2663029.5908485251</v>
      </c>
      <c r="N171" s="644"/>
      <c r="O171" s="640">
        <f>SUM(O133:O170)</f>
        <v>870745.60651761375</v>
      </c>
      <c r="P171" s="644"/>
      <c r="Q171" s="640">
        <f>SUM(Q133:Q170)</f>
        <v>449720.7645914341</v>
      </c>
      <c r="R171" s="644"/>
      <c r="S171" s="640">
        <f>SUM(S133:S170)</f>
        <v>434959.42986925802</v>
      </c>
      <c r="T171" s="644"/>
      <c r="U171" s="640">
        <f>SUM(U133:U170)</f>
        <v>0</v>
      </c>
      <c r="V171" s="644"/>
      <c r="W171" s="640">
        <f>SUM(W133:W170)</f>
        <v>1351100.0253955452</v>
      </c>
      <c r="Z171" s="137"/>
      <c r="AA171" s="351"/>
      <c r="AB171" s="232" t="s">
        <v>160</v>
      </c>
      <c r="AC171" s="131"/>
      <c r="AD171" s="143"/>
      <c r="AF171" s="640">
        <f>SUM(AF133:AF170)</f>
        <v>12235799.399999999</v>
      </c>
      <c r="AG171" s="641"/>
      <c r="AH171" s="640">
        <f>SUM(AH133:AH170)</f>
        <v>5072989.990581397</v>
      </c>
      <c r="AI171" s="644"/>
      <c r="AJ171" s="640">
        <f>SUM(AJ133:AJ170)</f>
        <v>2484252.6173176216</v>
      </c>
      <c r="AK171" s="644"/>
      <c r="AL171" s="640">
        <f>SUM(AL133:AL170)</f>
        <v>1351965.5412714346</v>
      </c>
      <c r="AM171" s="644"/>
      <c r="AN171" s="640">
        <f>SUM(AN133:AN170)</f>
        <v>907593.88238900003</v>
      </c>
      <c r="AO171" s="644"/>
      <c r="AP171" s="640">
        <f>SUM(AP133:AP170)</f>
        <v>946423.55950500001</v>
      </c>
      <c r="AQ171" s="644"/>
      <c r="AR171" s="640">
        <f>SUM(AR133:AR170)</f>
        <v>121473.78354</v>
      </c>
      <c r="AS171" s="644"/>
      <c r="AT171" s="640">
        <f>SUM(AT133:AT170)</f>
        <v>1351100.0253955452</v>
      </c>
    </row>
    <row r="172" spans="2:48" ht="14.25" customHeight="1" x14ac:dyDescent="0.25">
      <c r="E172" s="352"/>
      <c r="F172" s="131"/>
      <c r="G172" s="143"/>
      <c r="H172" s="132"/>
      <c r="I172" s="582"/>
      <c r="J172" s="560"/>
      <c r="K172" s="223"/>
      <c r="L172" s="351"/>
      <c r="M172" s="223"/>
      <c r="N172" s="351"/>
      <c r="O172" s="223"/>
      <c r="P172" s="351"/>
      <c r="Q172" s="223"/>
      <c r="R172" s="351"/>
      <c r="S172" s="223"/>
      <c r="T172" s="351"/>
      <c r="U172" s="223"/>
      <c r="V172" s="351"/>
      <c r="W172" s="223"/>
      <c r="Z172" s="137"/>
      <c r="AA172" s="351"/>
      <c r="AB172" s="352"/>
      <c r="AC172" s="131"/>
      <c r="AD172" s="143"/>
      <c r="AF172" s="224"/>
      <c r="AG172" s="224"/>
      <c r="AH172" s="224"/>
      <c r="AI172" s="224"/>
      <c r="AJ172" s="224"/>
      <c r="AK172" s="224"/>
      <c r="AL172" s="224"/>
      <c r="AM172" s="224"/>
      <c r="AN172" s="224"/>
      <c r="AO172" s="224"/>
      <c r="AP172" s="224"/>
      <c r="AQ172" s="224"/>
      <c r="AR172" s="224"/>
    </row>
    <row r="173" spans="2:48" s="491" customFormat="1" x14ac:dyDescent="0.25">
      <c r="B173" s="482"/>
      <c r="C173" s="483"/>
      <c r="D173" s="484"/>
      <c r="E173" s="485" t="s">
        <v>293</v>
      </c>
      <c r="F173" s="486"/>
      <c r="G173" s="487">
        <v>18</v>
      </c>
      <c r="H173" s="488"/>
      <c r="I173" s="485">
        <v>201120</v>
      </c>
      <c r="J173" s="648"/>
      <c r="K173" s="490">
        <f>(VLOOKUP($G173,Factors,K$316))*$I173</f>
        <v>101766.72</v>
      </c>
      <c r="L173" s="449"/>
      <c r="M173" s="490">
        <f>(VLOOKUP($G173,Factors,M$316))*$I173</f>
        <v>43844.160000000003</v>
      </c>
      <c r="N173" s="449"/>
      <c r="O173" s="490">
        <f>(VLOOKUP($G173,Factors,O$316))*$I173</f>
        <v>14721.984</v>
      </c>
      <c r="P173" s="449"/>
      <c r="Q173" s="490">
        <f>(VLOOKUP($G173,Factors,Q$316))*$I173</f>
        <v>7441.44</v>
      </c>
      <c r="R173" s="449"/>
      <c r="S173" s="490">
        <f>(VLOOKUP($G173,Factors,S$316))*$I173</f>
        <v>7260.4319999999998</v>
      </c>
      <c r="T173" s="449"/>
      <c r="U173" s="490">
        <f>(VLOOKUP($G173,Factors,U$316))*$I173</f>
        <v>0</v>
      </c>
      <c r="V173" s="449"/>
      <c r="W173" s="490">
        <f>(VLOOKUP($G173,Factors,W$316))*$I173</f>
        <v>26085.264000000003</v>
      </c>
      <c r="Y173" s="449"/>
      <c r="Z173" s="448"/>
      <c r="AA173" s="484"/>
      <c r="AB173" s="485" t="s">
        <v>172</v>
      </c>
      <c r="AC173" s="486"/>
      <c r="AD173" s="487">
        <f>+G173</f>
        <v>18</v>
      </c>
      <c r="AF173" s="484">
        <f>+I173</f>
        <v>201120</v>
      </c>
      <c r="AG173" s="484"/>
      <c r="AH173" s="485">
        <f>(VLOOKUP($AD173,func,AH$316))*$AF173</f>
        <v>85998.911999999997</v>
      </c>
      <c r="AI173" s="485"/>
      <c r="AJ173" s="485">
        <f>(VLOOKUP($AD173,func,AJ$316))*$AF173</f>
        <v>41511.167999999998</v>
      </c>
      <c r="AK173" s="485"/>
      <c r="AL173" s="485">
        <f>(VLOOKUP($AD173,func,AL$316))*$AF173</f>
        <v>24275.184000000001</v>
      </c>
      <c r="AM173" s="485"/>
      <c r="AN173" s="485">
        <f>(VLOOKUP($AD173,func,AN$316))*$AF173</f>
        <v>8165.4719999999998</v>
      </c>
      <c r="AO173" s="485"/>
      <c r="AP173" s="485">
        <f>(VLOOKUP($AD173,func,AP$316))*$AF173</f>
        <v>14018.064</v>
      </c>
      <c r="AQ173" s="485"/>
      <c r="AR173" s="485">
        <f>(VLOOKUP($AD173,func,AR$316))*$AF173</f>
        <v>1065.9359999999999</v>
      </c>
      <c r="AS173" s="489"/>
      <c r="AT173" s="489">
        <f>(VLOOKUP($AD173,func,AT$316))*$AF173</f>
        <v>26085.264000000003</v>
      </c>
      <c r="AV173" s="449"/>
    </row>
    <row r="174" spans="2:48" s="491" customFormat="1" x14ac:dyDescent="0.25">
      <c r="B174" s="482"/>
      <c r="C174" s="483"/>
      <c r="D174" s="484"/>
      <c r="E174" s="485" t="s">
        <v>493</v>
      </c>
      <c r="F174" s="486"/>
      <c r="G174" s="487">
        <v>1</v>
      </c>
      <c r="H174" s="488"/>
      <c r="I174" s="485">
        <v>458944.19999999995</v>
      </c>
      <c r="J174" s="648"/>
      <c r="K174" s="490">
        <f>(VLOOKUP($G174,Factors,K$316))*$I174</f>
        <v>228095.26739999998</v>
      </c>
      <c r="L174" s="449"/>
      <c r="M174" s="490">
        <f>(VLOOKUP($G174,Factors,M$316))*$I174</f>
        <v>125383.55543999998</v>
      </c>
      <c r="N174" s="449"/>
      <c r="O174" s="490">
        <f>(VLOOKUP($G174,Factors,O$316))*$I174</f>
        <v>48372.718679999991</v>
      </c>
      <c r="P174" s="449"/>
      <c r="Q174" s="490">
        <f>(VLOOKUP($G174,Factors,Q$316))*$I174</f>
        <v>23406.154199999997</v>
      </c>
      <c r="R174" s="449"/>
      <c r="S174" s="490">
        <f>(VLOOKUP($G174,Factors,S$316))*$I174</f>
        <v>30749.261399999999</v>
      </c>
      <c r="T174" s="449"/>
      <c r="U174" s="490">
        <f>(VLOOKUP($G174,Factors,U$316))*$I174</f>
        <v>0</v>
      </c>
      <c r="V174" s="449"/>
      <c r="W174" s="490">
        <f>(VLOOKUP($G174,Factors,W$316))*$I174</f>
        <v>2937.2428799999998</v>
      </c>
      <c r="Y174" s="449"/>
      <c r="Z174" s="448"/>
      <c r="AA174" s="484"/>
      <c r="AB174" s="485" t="s">
        <v>480</v>
      </c>
      <c r="AC174" s="486"/>
      <c r="AD174" s="487">
        <f>+G174</f>
        <v>1</v>
      </c>
      <c r="AF174" s="484">
        <f>+I174</f>
        <v>458944.19999999995</v>
      </c>
      <c r="AG174" s="484"/>
      <c r="AH174" s="485">
        <f>(VLOOKUP($AD174,func,AH$316))*$AF174</f>
        <v>456006.95711999998</v>
      </c>
      <c r="AI174" s="485"/>
      <c r="AJ174" s="485">
        <f>(VLOOKUP($AD174,func,AJ$316))*$AF174</f>
        <v>0</v>
      </c>
      <c r="AK174" s="485"/>
      <c r="AL174" s="485">
        <f>(VLOOKUP($AD174,func,AL$316))*$AF174</f>
        <v>0</v>
      </c>
      <c r="AM174" s="485"/>
      <c r="AN174" s="485">
        <f>(VLOOKUP($AD174,func,AN$316))*$AF174</f>
        <v>0</v>
      </c>
      <c r="AO174" s="485"/>
      <c r="AP174" s="485">
        <f>(VLOOKUP($AD174,func,AP$316))*$AF174</f>
        <v>0</v>
      </c>
      <c r="AQ174" s="485"/>
      <c r="AR174" s="485">
        <f>(VLOOKUP($AD174,func,AR$316))*$AF174</f>
        <v>0</v>
      </c>
      <c r="AS174" s="489"/>
      <c r="AT174" s="489">
        <f>(VLOOKUP($AD174,func,AT$316))*$AF174</f>
        <v>2937.2428799999998</v>
      </c>
      <c r="AV174" s="449"/>
    </row>
    <row r="175" spans="2:48" s="290" customFormat="1" x14ac:dyDescent="0.25">
      <c r="B175" s="475"/>
      <c r="C175" s="431"/>
      <c r="D175" s="353"/>
      <c r="E175" s="223"/>
      <c r="F175" s="208"/>
      <c r="G175" s="141"/>
      <c r="H175" s="209"/>
      <c r="I175" s="561"/>
      <c r="J175" s="560"/>
      <c r="K175" s="282"/>
      <c r="L175" s="353"/>
      <c r="M175" s="282"/>
      <c r="N175" s="353"/>
      <c r="O175" s="282"/>
      <c r="P175" s="353"/>
      <c r="Q175" s="282"/>
      <c r="R175" s="353"/>
      <c r="S175" s="282"/>
      <c r="T175" s="353"/>
      <c r="U175" s="282"/>
      <c r="V175" s="353"/>
      <c r="W175" s="282"/>
      <c r="Y175" s="224"/>
      <c r="Z175" s="382"/>
      <c r="AA175" s="353"/>
      <c r="AB175" s="223"/>
      <c r="AC175" s="208"/>
      <c r="AD175" s="141"/>
      <c r="AF175" s="353"/>
      <c r="AG175" s="353"/>
      <c r="AH175" s="282"/>
      <c r="AI175" s="282"/>
      <c r="AJ175" s="282"/>
      <c r="AK175" s="282"/>
      <c r="AL175" s="282"/>
      <c r="AM175" s="282"/>
      <c r="AN175" s="282"/>
      <c r="AO175" s="282"/>
      <c r="AP175" s="282"/>
      <c r="AQ175" s="282"/>
      <c r="AR175" s="282"/>
      <c r="AS175" s="153"/>
      <c r="AT175" s="153"/>
      <c r="AV175" s="224"/>
    </row>
    <row r="176" spans="2:48" s="290" customFormat="1" x14ac:dyDescent="0.25">
      <c r="B176" s="511"/>
      <c r="C176" s="431"/>
      <c r="D176" s="353"/>
      <c r="E176" s="338" t="s">
        <v>324</v>
      </c>
      <c r="F176" s="208"/>
      <c r="G176" s="141">
        <v>18</v>
      </c>
      <c r="H176" s="209"/>
      <c r="I176" s="485">
        <v>19692644.596666664</v>
      </c>
      <c r="J176" s="649"/>
      <c r="K176" s="223">
        <f>(VLOOKUP($G176,Factors,K$316))*$I176</f>
        <v>9964478.1659133323</v>
      </c>
      <c r="L176" s="351"/>
      <c r="M176" s="223">
        <f>(VLOOKUP($G176,Factors,M$316))*$I176</f>
        <v>4292996.5220733332</v>
      </c>
      <c r="N176" s="351"/>
      <c r="O176" s="223">
        <f>(VLOOKUP($G176,Factors,O$316))*$I176</f>
        <v>1441501.5844759999</v>
      </c>
      <c r="P176" s="351"/>
      <c r="Q176" s="223">
        <f>(VLOOKUP($G176,Factors,Q$316))*$I176</f>
        <v>728627.85007666657</v>
      </c>
      <c r="R176" s="351"/>
      <c r="S176" s="223">
        <f>(VLOOKUP($G176,Factors,S$316))*$I176</f>
        <v>710904.46993966657</v>
      </c>
      <c r="T176" s="351"/>
      <c r="U176" s="223">
        <f>(VLOOKUP($G176,Factors,U$316))*$I176</f>
        <v>0</v>
      </c>
      <c r="V176" s="351"/>
      <c r="W176" s="223">
        <f>(VLOOKUP($G176,Factors,W$316))*$I176</f>
        <v>2554136.0041876663</v>
      </c>
      <c r="X176" s="154"/>
      <c r="Y176" s="224"/>
      <c r="Z176" s="382"/>
      <c r="AA176" s="353"/>
      <c r="AB176" s="338" t="s">
        <v>324</v>
      </c>
      <c r="AC176" s="208"/>
      <c r="AD176" s="141">
        <f>+G176</f>
        <v>18</v>
      </c>
      <c r="AF176" s="353">
        <f>+I176</f>
        <v>19692644.596666664</v>
      </c>
      <c r="AG176" s="353"/>
      <c r="AH176" s="282">
        <f>(VLOOKUP($AD176,func,AH$316))*$AF176</f>
        <v>8420574.8295346648</v>
      </c>
      <c r="AI176" s="282"/>
      <c r="AJ176" s="282">
        <f>(VLOOKUP($AD176,func,AJ$316))*$AF176</f>
        <v>4064561.8447519992</v>
      </c>
      <c r="AK176" s="282"/>
      <c r="AL176" s="282">
        <f>(VLOOKUP($AD176,func,AL$316))*$AF176</f>
        <v>2376902.2028176663</v>
      </c>
      <c r="AM176" s="282"/>
      <c r="AN176" s="282">
        <f>(VLOOKUP($AD176,func,AN$316))*$AF176</f>
        <v>799521.37062466645</v>
      </c>
      <c r="AO176" s="282"/>
      <c r="AP176" s="282">
        <f>(VLOOKUP($AD176,func,AP$316))*$AF176</f>
        <v>1372577.3283876665</v>
      </c>
      <c r="AQ176" s="282"/>
      <c r="AR176" s="282">
        <f>(VLOOKUP($AD176,func,AR$316))*$AF176</f>
        <v>104371.01636233332</v>
      </c>
      <c r="AS176" s="153"/>
      <c r="AT176" s="153">
        <f>(VLOOKUP($AD176,func,AT$316))*$AF176</f>
        <v>2554136.0041876663</v>
      </c>
      <c r="AV176" s="224"/>
    </row>
    <row r="177" spans="2:48" s="290" customFormat="1" x14ac:dyDescent="0.25">
      <c r="B177" s="511"/>
      <c r="C177" s="431"/>
      <c r="D177" s="353"/>
      <c r="E177" s="338" t="s">
        <v>86</v>
      </c>
      <c r="F177" s="208"/>
      <c r="G177" s="141">
        <v>18</v>
      </c>
      <c r="H177" s="209"/>
      <c r="I177" s="645">
        <v>3938528.9193333331</v>
      </c>
      <c r="J177" s="649"/>
      <c r="K177" s="397">
        <f>(VLOOKUP($G177,Factors,K$316))*$I177</f>
        <v>1992895.6331826665</v>
      </c>
      <c r="L177" s="282"/>
      <c r="M177" s="397">
        <f>(VLOOKUP($G177,Factors,M$316))*$I177</f>
        <v>858599.30441466661</v>
      </c>
      <c r="N177" s="282"/>
      <c r="O177" s="397">
        <f>(VLOOKUP($G177,Factors,O$316))*$I177</f>
        <v>288300.3168952</v>
      </c>
      <c r="P177" s="282"/>
      <c r="Q177" s="397">
        <f>(VLOOKUP($G177,Factors,Q$316))*$I177</f>
        <v>145725.57001533333</v>
      </c>
      <c r="R177" s="282"/>
      <c r="S177" s="397">
        <f>(VLOOKUP($G177,Factors,S$316))*$I177</f>
        <v>142180.89398793332</v>
      </c>
      <c r="T177" s="282"/>
      <c r="U177" s="397">
        <f>(VLOOKUP($G177,Factors,U$316))*$I177</f>
        <v>0</v>
      </c>
      <c r="V177" s="282"/>
      <c r="W177" s="397">
        <f>(VLOOKUP($G177,Factors,W$316))*$I177</f>
        <v>510827.20083753334</v>
      </c>
      <c r="X177" s="154"/>
      <c r="Y177" s="224"/>
      <c r="Z177" s="382"/>
      <c r="AA177" s="353"/>
      <c r="AB177" s="338" t="s">
        <v>86</v>
      </c>
      <c r="AC177" s="208"/>
      <c r="AD177" s="141">
        <f>+G177</f>
        <v>18</v>
      </c>
      <c r="AF177" s="642">
        <f>+I177</f>
        <v>3938528.9193333331</v>
      </c>
      <c r="AG177" s="353"/>
      <c r="AH177" s="397">
        <f>(VLOOKUP($AD177,func,AH$316))*$AF177</f>
        <v>1684114.9659069332</v>
      </c>
      <c r="AI177" s="282"/>
      <c r="AJ177" s="397">
        <f>(VLOOKUP($AD177,func,AJ$316))*$AF177</f>
        <v>812912.36895039992</v>
      </c>
      <c r="AK177" s="282"/>
      <c r="AL177" s="397">
        <f>(VLOOKUP($AD177,func,AL$316))*$AF177</f>
        <v>475380.44056353334</v>
      </c>
      <c r="AM177" s="282"/>
      <c r="AN177" s="397">
        <f>(VLOOKUP($AD177,func,AN$316))*$AF177</f>
        <v>159904.27412493332</v>
      </c>
      <c r="AO177" s="282"/>
      <c r="AP177" s="397">
        <f>(VLOOKUP($AD177,func,AP$316))*$AF177</f>
        <v>274515.4656775333</v>
      </c>
      <c r="AQ177" s="282"/>
      <c r="AR177" s="397">
        <f>(VLOOKUP($AD177,func,AR$316))*$AF177</f>
        <v>20874.203272466664</v>
      </c>
      <c r="AS177" s="153"/>
      <c r="AT177" s="140">
        <f>(VLOOKUP($AD177,func,AT$316))*$AF177</f>
        <v>510827.20083753334</v>
      </c>
      <c r="AV177" s="224"/>
    </row>
    <row r="178" spans="2:48" s="290" customFormat="1" x14ac:dyDescent="0.25">
      <c r="B178" s="511"/>
      <c r="C178" s="431"/>
      <c r="D178" s="353"/>
      <c r="E178" s="338" t="s">
        <v>88</v>
      </c>
      <c r="F178" s="208"/>
      <c r="G178" s="141"/>
      <c r="H178" s="209"/>
      <c r="I178" s="633">
        <f>SUM(I176:I177)</f>
        <v>23631173.515999995</v>
      </c>
      <c r="J178" s="657"/>
      <c r="K178" s="658">
        <f>SUM(K176:K177)</f>
        <v>11957373.799095999</v>
      </c>
      <c r="L178" s="658"/>
      <c r="M178" s="658">
        <f>SUM(M176:M177)</f>
        <v>5151595.8264879994</v>
      </c>
      <c r="N178" s="658"/>
      <c r="O178" s="658">
        <f>SUM(O176:O177)</f>
        <v>1729801.9013711999</v>
      </c>
      <c r="P178" s="658"/>
      <c r="Q178" s="658">
        <f>SUM(Q176:Q177)</f>
        <v>874353.42009199993</v>
      </c>
      <c r="R178" s="658"/>
      <c r="S178" s="658">
        <f>SUM(S176:S177)</f>
        <v>853085.36392759986</v>
      </c>
      <c r="T178" s="658"/>
      <c r="U178" s="658">
        <f>SUM(U176:U177)</f>
        <v>0</v>
      </c>
      <c r="V178" s="658"/>
      <c r="W178" s="658">
        <f>SUM(W176:W177)</f>
        <v>3064963.2050251998</v>
      </c>
      <c r="X178" s="154"/>
      <c r="Y178" s="224"/>
      <c r="Z178" s="382"/>
      <c r="AA178" s="353"/>
      <c r="AB178" s="338" t="s">
        <v>88</v>
      </c>
      <c r="AC178" s="208"/>
      <c r="AD178" s="141"/>
      <c r="AF178" s="686">
        <f>SUM(AF176:AF177)</f>
        <v>23631173.515999995</v>
      </c>
      <c r="AG178" s="686"/>
      <c r="AH178" s="686">
        <f>SUM(AH176:AH177)</f>
        <v>10104689.795441598</v>
      </c>
      <c r="AI178" s="686"/>
      <c r="AJ178" s="686">
        <f>SUM(AJ176:AJ177)</f>
        <v>4877474.2137023993</v>
      </c>
      <c r="AK178" s="686"/>
      <c r="AL178" s="686">
        <f>SUM(AL176:AL177)</f>
        <v>2852282.6433811998</v>
      </c>
      <c r="AM178" s="686"/>
      <c r="AN178" s="686">
        <f>SUM(AN176:AN177)</f>
        <v>959425.64474959974</v>
      </c>
      <c r="AO178" s="686"/>
      <c r="AP178" s="686">
        <f>SUM(AP176:AP177)</f>
        <v>1647092.7940651998</v>
      </c>
      <c r="AQ178" s="686"/>
      <c r="AR178" s="686">
        <f>SUM(AR176:AR177)</f>
        <v>125245.21963479999</v>
      </c>
      <c r="AS178" s="686"/>
      <c r="AT178" s="686">
        <f>SUM(AT176:AT177)</f>
        <v>3064963.2050251998</v>
      </c>
      <c r="AV178" s="224"/>
    </row>
    <row r="179" spans="2:48" s="128" customFormat="1" ht="12.75" customHeight="1" x14ac:dyDescent="0.25">
      <c r="B179" s="470"/>
      <c r="C179" s="425"/>
      <c r="D179" s="351"/>
      <c r="E179" s="352"/>
      <c r="F179" s="131"/>
      <c r="G179" s="143"/>
      <c r="H179" s="132"/>
      <c r="I179" s="582"/>
      <c r="J179" s="560"/>
      <c r="K179" s="223"/>
      <c r="L179" s="351"/>
      <c r="M179" s="223"/>
      <c r="N179" s="351"/>
      <c r="O179" s="223"/>
      <c r="P179" s="351"/>
      <c r="Q179" s="223"/>
      <c r="R179" s="351"/>
      <c r="S179" s="223"/>
      <c r="T179" s="351"/>
      <c r="U179" s="223"/>
      <c r="V179" s="351"/>
      <c r="W179" s="223"/>
      <c r="Y179" s="224"/>
      <c r="Z179" s="130"/>
      <c r="AA179" s="351"/>
      <c r="AB179" s="352"/>
      <c r="AC179" s="131"/>
      <c r="AD179" s="143"/>
      <c r="AF179" s="351"/>
      <c r="AG179" s="351"/>
      <c r="AH179" s="351"/>
      <c r="AI179" s="351"/>
      <c r="AJ179" s="351"/>
      <c r="AK179" s="351"/>
      <c r="AL179" s="351"/>
      <c r="AM179" s="351"/>
      <c r="AN179" s="351"/>
      <c r="AO179" s="351"/>
      <c r="AP179" s="351"/>
      <c r="AQ179" s="351"/>
      <c r="AR179" s="351"/>
      <c r="AV179" s="224"/>
    </row>
    <row r="180" spans="2:48" s="128" customFormat="1" x14ac:dyDescent="0.25">
      <c r="B180" s="470"/>
      <c r="C180" s="433"/>
      <c r="D180" s="351"/>
      <c r="E180" s="225" t="s">
        <v>162</v>
      </c>
      <c r="F180" s="131"/>
      <c r="G180" s="143"/>
      <c r="H180" s="132"/>
      <c r="I180" s="650"/>
      <c r="J180" s="560"/>
      <c r="K180" s="223"/>
      <c r="L180" s="351"/>
      <c r="M180" s="223"/>
      <c r="N180" s="351"/>
      <c r="O180" s="223"/>
      <c r="P180" s="351"/>
      <c r="Q180" s="223"/>
      <c r="R180" s="351"/>
      <c r="S180" s="223"/>
      <c r="T180" s="351"/>
      <c r="U180" s="223"/>
      <c r="V180" s="351"/>
      <c r="W180" s="223"/>
      <c r="Y180" s="224"/>
      <c r="AA180" s="351"/>
      <c r="AB180" s="225" t="s">
        <v>162</v>
      </c>
      <c r="AC180" s="131"/>
      <c r="AD180" s="143"/>
      <c r="AF180" s="351"/>
      <c r="AG180" s="351"/>
      <c r="AH180" s="351"/>
      <c r="AI180" s="351"/>
      <c r="AJ180" s="351"/>
      <c r="AK180" s="351"/>
      <c r="AL180" s="351"/>
      <c r="AM180" s="351"/>
      <c r="AN180" s="351"/>
      <c r="AO180" s="351"/>
      <c r="AP180" s="351"/>
      <c r="AQ180" s="351"/>
      <c r="AR180" s="351"/>
      <c r="AV180" s="224"/>
    </row>
    <row r="181" spans="2:48" s="128" customFormat="1" x14ac:dyDescent="0.25">
      <c r="B181" s="470"/>
      <c r="C181" s="433"/>
      <c r="D181" s="351"/>
      <c r="E181" s="223" t="s">
        <v>163</v>
      </c>
      <c r="F181" s="131"/>
      <c r="G181" s="143">
        <v>19</v>
      </c>
      <c r="H181" s="132"/>
      <c r="I181" s="490">
        <v>117919.59</v>
      </c>
      <c r="J181" s="379"/>
      <c r="K181" s="223">
        <f>(VLOOKUP($G181,Factors,K$316))*$I181</f>
        <v>62733.221880000005</v>
      </c>
      <c r="L181" s="351"/>
      <c r="M181" s="223">
        <f>(VLOOKUP($G181,Factors,M$316))*$I181</f>
        <v>25718.262578999998</v>
      </c>
      <c r="N181" s="351"/>
      <c r="O181" s="223">
        <f>(VLOOKUP($G181,Factors,O$316))*$I181</f>
        <v>8513.794398</v>
      </c>
      <c r="P181" s="351"/>
      <c r="Q181" s="223">
        <f>(VLOOKUP($G181,Factors,Q$316))*$I181</f>
        <v>4339.440912</v>
      </c>
      <c r="R181" s="351"/>
      <c r="S181" s="223">
        <f>(VLOOKUP($G181,Factors,S$316))*$I181</f>
        <v>4138.9776089999996</v>
      </c>
      <c r="T181" s="351"/>
      <c r="U181" s="223">
        <f>(VLOOKUP($G181,Factors,U$316))*$I181</f>
        <v>0</v>
      </c>
      <c r="V181" s="351"/>
      <c r="W181" s="223">
        <f>(VLOOKUP($G181,Factors,W$316))*$I181</f>
        <v>12475.892621999999</v>
      </c>
      <c r="X181" s="154"/>
      <c r="Y181" s="224"/>
      <c r="AA181" s="351"/>
      <c r="AB181" s="223" t="s">
        <v>163</v>
      </c>
      <c r="AC181" s="131"/>
      <c r="AD181" s="143">
        <f>+G181</f>
        <v>19</v>
      </c>
      <c r="AF181" s="351">
        <f>+I181</f>
        <v>117919.59</v>
      </c>
      <c r="AG181" s="351"/>
      <c r="AH181" s="282">
        <f>(VLOOKUP($AD181,func,AH$316))*$AF181</f>
        <v>53441.158187999994</v>
      </c>
      <c r="AI181" s="282"/>
      <c r="AJ181" s="282">
        <f>(VLOOKUP($AD181,func,AJ$316))*$AF181</f>
        <v>18996.845948999999</v>
      </c>
      <c r="AK181" s="282"/>
      <c r="AL181" s="282">
        <f>(VLOOKUP($AD181,func,AL$316))*$AF181</f>
        <v>14563.069364999999</v>
      </c>
      <c r="AM181" s="282"/>
      <c r="AN181" s="282">
        <f>(VLOOKUP($AD181,func,AN$316))*$AF181</f>
        <v>6803.9603429999997</v>
      </c>
      <c r="AO181" s="282"/>
      <c r="AP181" s="282">
        <f>(VLOOKUP($AD181,func,AP$316))*$AF181</f>
        <v>6061.0669260000004</v>
      </c>
      <c r="AQ181" s="282"/>
      <c r="AR181" s="282">
        <f>(VLOOKUP($AD181,func,AR$316))*$AF181</f>
        <v>5577.5966070000004</v>
      </c>
      <c r="AS181" s="153"/>
      <c r="AT181" s="153">
        <f>(VLOOKUP($AD181,func,AT$316))*$AF181</f>
        <v>12475.892621999999</v>
      </c>
      <c r="AV181" s="224"/>
    </row>
    <row r="182" spans="2:48" s="128" customFormat="1" x14ac:dyDescent="0.25">
      <c r="B182" s="470"/>
      <c r="D182" s="351"/>
      <c r="E182" s="223" t="s">
        <v>50</v>
      </c>
      <c r="F182" s="131"/>
      <c r="G182" s="143">
        <v>16</v>
      </c>
      <c r="H182" s="132"/>
      <c r="I182" s="645">
        <v>906448.49</v>
      </c>
      <c r="J182" s="379"/>
      <c r="K182" s="397">
        <f>(VLOOKUP($G182,Factors,K$316))*$I182</f>
        <v>506432.77136299998</v>
      </c>
      <c r="L182" s="351"/>
      <c r="M182" s="397">
        <f>(VLOOKUP($G182,Factors,M$316))*$I182</f>
        <v>191623.21078600001</v>
      </c>
      <c r="N182" s="351"/>
      <c r="O182" s="397">
        <f>(VLOOKUP($G182,Factors,O$316))*$I182</f>
        <v>60006.890037999998</v>
      </c>
      <c r="P182" s="351"/>
      <c r="Q182" s="397">
        <f>(VLOOKUP($G182,Factors,Q$316))*$I182</f>
        <v>31272.472905000002</v>
      </c>
      <c r="R182" s="351"/>
      <c r="S182" s="397">
        <f>(VLOOKUP($G182,Factors,S$316))*$I182</f>
        <v>24564.754078999998</v>
      </c>
      <c r="T182" s="351"/>
      <c r="U182" s="223">
        <f>(VLOOKUP($G182,Factors,U$316))*$I182</f>
        <v>0</v>
      </c>
      <c r="V182" s="351"/>
      <c r="W182" s="397">
        <f>(VLOOKUP($G182,Factors,W$316))*$I182</f>
        <v>92548.390828999996</v>
      </c>
      <c r="X182" s="290"/>
      <c r="Y182" s="351"/>
      <c r="AA182" s="351"/>
      <c r="AB182" s="223" t="s">
        <v>50</v>
      </c>
      <c r="AC182" s="131"/>
      <c r="AD182" s="143">
        <f>+G182</f>
        <v>16</v>
      </c>
      <c r="AF182" s="642">
        <f>+I182</f>
        <v>906448.49</v>
      </c>
      <c r="AG182" s="351"/>
      <c r="AH182" s="397">
        <f>(VLOOKUP($AD182,func,AH$316))*$AF182</f>
        <v>337017.54858199996</v>
      </c>
      <c r="AI182" s="282"/>
      <c r="AJ182" s="397">
        <f>(VLOOKUP($AD182,func,AJ$316))*$AF182</f>
        <v>141224.674742</v>
      </c>
      <c r="AK182" s="282"/>
      <c r="AL182" s="397">
        <f>(VLOOKUP($AD182,func,AL$316))*$AF182</f>
        <v>145122.403249</v>
      </c>
      <c r="AM182" s="282"/>
      <c r="AN182" s="397">
        <f>(VLOOKUP($AD182,func,AN$316))*$AF182</f>
        <v>94451.932658000005</v>
      </c>
      <c r="AO182" s="282"/>
      <c r="AP182" s="397">
        <f>(VLOOKUP($AD182,func,AP$316))*$AF182</f>
        <v>17675.745555000001</v>
      </c>
      <c r="AQ182" s="282"/>
      <c r="AR182" s="397">
        <f>(VLOOKUP($AD182,func,AR$316))*$AF182</f>
        <v>78407.794384999987</v>
      </c>
      <c r="AS182" s="153"/>
      <c r="AT182" s="140">
        <f>(VLOOKUP($AD182,func,AT$316))*$AF182</f>
        <v>92548.390828999996</v>
      </c>
      <c r="AV182" s="351"/>
    </row>
    <row r="183" spans="2:48" s="128" customFormat="1" ht="12.75" customHeight="1" x14ac:dyDescent="0.25">
      <c r="B183" s="512"/>
      <c r="C183" s="425"/>
      <c r="D183" s="351"/>
      <c r="E183" s="131"/>
      <c r="F183" s="131"/>
      <c r="G183" s="143"/>
      <c r="H183" s="132"/>
      <c r="I183" s="473"/>
      <c r="J183" s="379"/>
      <c r="K183" s="223"/>
      <c r="L183" s="351"/>
      <c r="M183" s="351"/>
      <c r="N183" s="351"/>
      <c r="O183" s="351"/>
      <c r="P183" s="351"/>
      <c r="Q183" s="351"/>
      <c r="R183" s="351"/>
      <c r="S183" s="351"/>
      <c r="T183" s="351"/>
      <c r="U183" s="351"/>
      <c r="V183" s="351"/>
      <c r="W183" s="351"/>
      <c r="Y183" s="351"/>
      <c r="Z183" s="130"/>
      <c r="AA183" s="351"/>
      <c r="AB183" s="131"/>
      <c r="AC183" s="131"/>
      <c r="AD183" s="143"/>
      <c r="AF183" s="351"/>
      <c r="AG183" s="351"/>
      <c r="AH183" s="351"/>
      <c r="AI183" s="351"/>
      <c r="AJ183" s="351"/>
      <c r="AK183" s="351"/>
      <c r="AL183" s="351"/>
      <c r="AM183" s="351"/>
      <c r="AN183" s="351"/>
      <c r="AO183" s="351"/>
      <c r="AP183" s="351"/>
      <c r="AQ183" s="351"/>
      <c r="AR183" s="351"/>
      <c r="AV183" s="224"/>
    </row>
    <row r="184" spans="2:48" s="128" customFormat="1" x14ac:dyDescent="0.25">
      <c r="B184" s="470"/>
      <c r="C184" s="425"/>
      <c r="D184" s="351"/>
      <c r="E184" s="233" t="s">
        <v>422</v>
      </c>
      <c r="F184" s="131"/>
      <c r="G184" s="143"/>
      <c r="H184" s="132"/>
      <c r="I184" s="638">
        <f>SUM(I181:I183)</f>
        <v>1024368.08</v>
      </c>
      <c r="J184" s="639"/>
      <c r="K184" s="640">
        <f>SUM(K181:K183)</f>
        <v>569165.993243</v>
      </c>
      <c r="L184" s="644"/>
      <c r="M184" s="640">
        <f>SUM(M181:M183)</f>
        <v>217341.47336500001</v>
      </c>
      <c r="N184" s="644"/>
      <c r="O184" s="640">
        <f>SUM(O181:O183)</f>
        <v>68520.684435999996</v>
      </c>
      <c r="P184" s="644"/>
      <c r="Q184" s="640">
        <f>SUM(Q181:Q183)</f>
        <v>35611.913817000001</v>
      </c>
      <c r="R184" s="644"/>
      <c r="S184" s="640">
        <f>SUM(S181:S183)</f>
        <v>28703.731688</v>
      </c>
      <c r="T184" s="644"/>
      <c r="U184" s="640">
        <f>SUM(U181:U183)</f>
        <v>0</v>
      </c>
      <c r="V184" s="644"/>
      <c r="W184" s="640">
        <f>SUM(W181:W183)</f>
        <v>105024.283451</v>
      </c>
      <c r="Y184" s="351"/>
      <c r="Z184" s="130"/>
      <c r="AA184" s="351"/>
      <c r="AB184" s="233" t="s">
        <v>422</v>
      </c>
      <c r="AC184" s="131"/>
      <c r="AD184" s="143"/>
      <c r="AF184" s="397">
        <f>SUM(AF181:AF183)</f>
        <v>1024368.08</v>
      </c>
      <c r="AG184" s="223"/>
      <c r="AH184" s="397">
        <f>SUM(AH181:AH183)</f>
        <v>390458.70676999993</v>
      </c>
      <c r="AI184" s="351"/>
      <c r="AJ184" s="397">
        <f>SUM(AJ181:AJ183)</f>
        <v>160221.52069100001</v>
      </c>
      <c r="AK184" s="351"/>
      <c r="AL184" s="397">
        <f>SUM(AL181:AL183)</f>
        <v>159685.472614</v>
      </c>
      <c r="AM184" s="351"/>
      <c r="AN184" s="397">
        <f>SUM(AN181:AN183)</f>
        <v>101255.893001</v>
      </c>
      <c r="AO184" s="351"/>
      <c r="AP184" s="397">
        <f>SUM(AP181:AP183)</f>
        <v>23736.812481000001</v>
      </c>
      <c r="AQ184" s="351"/>
      <c r="AR184" s="397">
        <f>SUM(AR181:AR183)</f>
        <v>83985.390991999986</v>
      </c>
      <c r="AS184" s="147"/>
      <c r="AT184" s="140">
        <f>SUM(AT181:AT183)</f>
        <v>105024.283451</v>
      </c>
      <c r="AV184" s="224"/>
    </row>
    <row r="185" spans="2:48" ht="14.4" customHeight="1" x14ac:dyDescent="0.25">
      <c r="E185" s="131"/>
      <c r="F185" s="131"/>
      <c r="G185" s="143"/>
      <c r="H185" s="132"/>
      <c r="I185" s="473"/>
      <c r="J185" s="379"/>
      <c r="K185" s="223"/>
      <c r="L185" s="351"/>
      <c r="M185" s="351"/>
      <c r="N185" s="351"/>
      <c r="O185" s="351"/>
      <c r="P185" s="351"/>
      <c r="Q185" s="351"/>
      <c r="R185" s="351"/>
      <c r="S185" s="351"/>
      <c r="T185" s="351"/>
      <c r="U185" s="351"/>
      <c r="V185" s="351"/>
      <c r="W185" s="351"/>
      <c r="Z185" s="137"/>
      <c r="AA185" s="351"/>
      <c r="AB185" s="131"/>
      <c r="AC185" s="131"/>
      <c r="AD185" s="143"/>
      <c r="AF185" s="224"/>
      <c r="AG185" s="224"/>
      <c r="AH185" s="224"/>
      <c r="AI185" s="224"/>
      <c r="AJ185" s="224"/>
      <c r="AK185" s="224"/>
      <c r="AL185" s="224"/>
      <c r="AM185" s="224"/>
      <c r="AN185" s="224"/>
      <c r="AO185" s="224"/>
      <c r="AP185" s="224"/>
      <c r="AQ185" s="224"/>
      <c r="AR185" s="224"/>
    </row>
    <row r="186" spans="2:48" x14ac:dyDescent="0.25">
      <c r="E186" s="131"/>
      <c r="F186" s="131"/>
      <c r="G186" s="143"/>
      <c r="H186" s="132"/>
      <c r="I186" s="582"/>
      <c r="J186" s="560"/>
      <c r="K186" s="223"/>
      <c r="L186" s="351"/>
      <c r="M186" s="351"/>
      <c r="N186" s="351"/>
      <c r="O186" s="351"/>
      <c r="P186" s="351"/>
      <c r="Q186" s="351"/>
      <c r="R186" s="351"/>
      <c r="S186" s="351"/>
      <c r="T186" s="351"/>
      <c r="U186" s="351"/>
      <c r="V186" s="351"/>
      <c r="W186" s="351"/>
      <c r="Z186" s="137"/>
      <c r="AA186" s="351"/>
      <c r="AB186" s="131"/>
      <c r="AC186" s="131"/>
      <c r="AD186" s="143"/>
      <c r="AF186" s="224"/>
      <c r="AG186" s="224"/>
      <c r="AH186" s="224"/>
      <c r="AI186" s="224"/>
      <c r="AJ186" s="224"/>
      <c r="AK186" s="224"/>
      <c r="AL186" s="224"/>
      <c r="AM186" s="224"/>
      <c r="AN186" s="224"/>
      <c r="AO186" s="224"/>
      <c r="AP186" s="224"/>
      <c r="AQ186" s="224"/>
      <c r="AR186" s="224"/>
    </row>
    <row r="187" spans="2:48" ht="9.15" customHeight="1" x14ac:dyDescent="0.25">
      <c r="E187" s="131"/>
      <c r="F187" s="131"/>
      <c r="G187" s="143"/>
      <c r="H187" s="132"/>
      <c r="I187" s="582"/>
      <c r="J187" s="560"/>
      <c r="K187" s="223"/>
      <c r="L187" s="351"/>
      <c r="M187" s="351"/>
      <c r="N187" s="351"/>
      <c r="O187" s="351"/>
      <c r="P187" s="351"/>
      <c r="Q187" s="351"/>
      <c r="R187" s="351"/>
      <c r="S187" s="351"/>
      <c r="T187" s="351"/>
      <c r="U187" s="351"/>
      <c r="V187" s="351"/>
      <c r="W187" s="351"/>
      <c r="Z187" s="137"/>
      <c r="AA187" s="351"/>
      <c r="AB187" s="131"/>
      <c r="AC187" s="131"/>
      <c r="AD187" s="143"/>
      <c r="AF187" s="224"/>
      <c r="AG187" s="224"/>
      <c r="AH187" s="224"/>
      <c r="AI187" s="224"/>
      <c r="AJ187" s="224"/>
      <c r="AK187" s="224"/>
      <c r="AL187" s="224"/>
      <c r="AM187" s="224"/>
      <c r="AN187" s="224"/>
      <c r="AO187" s="224"/>
      <c r="AP187" s="224"/>
      <c r="AQ187" s="224"/>
      <c r="AR187" s="224"/>
    </row>
    <row r="188" spans="2:48" x14ac:dyDescent="0.25">
      <c r="E188" s="233" t="s">
        <v>421</v>
      </c>
      <c r="F188" s="131"/>
      <c r="G188" s="143"/>
      <c r="H188" s="132"/>
      <c r="I188" s="638">
        <f>+I184+I171+I130+I178+I173+I174</f>
        <v>70361284.289598331</v>
      </c>
      <c r="J188" s="641"/>
      <c r="K188" s="638">
        <f>+K184+K171+K130+K178+K173+K174</f>
        <v>37423009.750463337</v>
      </c>
      <c r="L188" s="641"/>
      <c r="M188" s="638">
        <f>+M184+M171+M130+M178+M173+M174</f>
        <v>15349139.959104238</v>
      </c>
      <c r="N188" s="641"/>
      <c r="O188" s="638">
        <f>+O184+O171+O130+O178+O173+O174</f>
        <v>5081090.1087116916</v>
      </c>
      <c r="P188" s="641"/>
      <c r="Q188" s="638">
        <f>+Q184+Q171+Q130+Q178+Q173+Q174</f>
        <v>2590158.5225958917</v>
      </c>
      <c r="R188" s="641"/>
      <c r="S188" s="638">
        <f>+S184+S171+S130+S178+S173+S174</f>
        <v>2470498.147921429</v>
      </c>
      <c r="T188" s="641"/>
      <c r="U188" s="638">
        <f>+U184+U171+U130+U178+U173+U174</f>
        <v>0</v>
      </c>
      <c r="V188" s="641"/>
      <c r="W188" s="638">
        <f>+W184+W171+W130+W178+W173+W174</f>
        <v>7447387.8008017419</v>
      </c>
      <c r="X188" s="132"/>
      <c r="Z188" s="137"/>
      <c r="AA188" s="351"/>
      <c r="AB188" s="233" t="s">
        <v>421</v>
      </c>
      <c r="AC188" s="131"/>
      <c r="AD188" s="143"/>
      <c r="AF188" s="640">
        <f>+AF184+AF171+AF130+AF178+AF173+AF174</f>
        <v>70361284.289598331</v>
      </c>
      <c r="AG188" s="531"/>
      <c r="AH188" s="640">
        <f>+AH184+AH171+AH130+AH178+AH173+AH174</f>
        <v>31877536.361597851</v>
      </c>
      <c r="AI188" s="531"/>
      <c r="AJ188" s="640">
        <f>+AJ184+AJ171+AJ130+AJ178+AJ173+AJ174</f>
        <v>11336388.917822164</v>
      </c>
      <c r="AK188" s="531"/>
      <c r="AL188" s="640">
        <f>+AL184+AL171+AL130+AL178+AL173+AL174</f>
        <v>8691009.6858357303</v>
      </c>
      <c r="AM188" s="531"/>
      <c r="AN188" s="640">
        <f>+AN184+AN171+AN130+AN178+AN173+AN174</f>
        <v>4058125.5313039394</v>
      </c>
      <c r="AO188" s="531"/>
      <c r="AP188" s="640">
        <f>+AP184+AP171+AP130+AP178+AP173+AP174</f>
        <v>3619315.758350465</v>
      </c>
      <c r="AQ188" s="531"/>
      <c r="AR188" s="640">
        <f>+AR184+AR171+AR130+AR178+AR173+AR174</f>
        <v>3331520.2338864342</v>
      </c>
      <c r="AS188" s="531"/>
      <c r="AT188" s="640">
        <f>+AT184+AT171+AT130+AT178+AT173+AT174</f>
        <v>7447387.8008017419</v>
      </c>
    </row>
    <row r="189" spans="2:48" ht="7.95" customHeight="1" x14ac:dyDescent="0.25">
      <c r="E189" s="131"/>
      <c r="F189" s="131"/>
      <c r="G189" s="143"/>
      <c r="H189" s="132"/>
      <c r="I189" s="582"/>
      <c r="J189" s="560"/>
      <c r="K189" s="223"/>
      <c r="L189" s="224"/>
      <c r="M189" s="351"/>
      <c r="N189" s="224"/>
      <c r="O189" s="351"/>
      <c r="P189" s="224"/>
      <c r="Q189" s="351"/>
      <c r="R189" s="224"/>
      <c r="S189" s="351"/>
      <c r="T189" s="224"/>
      <c r="U189" s="351"/>
      <c r="V189" s="224"/>
      <c r="W189" s="351"/>
      <c r="Z189" s="137"/>
      <c r="AA189" s="351"/>
      <c r="AB189" s="131"/>
      <c r="AC189" s="131"/>
      <c r="AD189" s="143"/>
      <c r="AF189" s="224"/>
      <c r="AG189" s="224"/>
      <c r="AH189" s="224"/>
      <c r="AI189" s="224"/>
      <c r="AJ189" s="224"/>
      <c r="AK189" s="224"/>
      <c r="AL189" s="224"/>
      <c r="AM189" s="224"/>
      <c r="AN189" s="224"/>
      <c r="AO189" s="224"/>
      <c r="AP189" s="224"/>
      <c r="AQ189" s="224"/>
      <c r="AR189" s="224"/>
    </row>
    <row r="190" spans="2:48" ht="12" customHeight="1" x14ac:dyDescent="0.25">
      <c r="E190" s="233" t="s">
        <v>420</v>
      </c>
      <c r="F190" s="292"/>
      <c r="G190" s="293"/>
      <c r="H190" s="230"/>
      <c r="I190" s="473"/>
      <c r="J190" s="560"/>
      <c r="K190" s="473"/>
      <c r="L190" s="224"/>
      <c r="M190" s="473"/>
      <c r="N190" s="224"/>
      <c r="O190" s="473"/>
      <c r="P190" s="224"/>
      <c r="Q190" s="473"/>
      <c r="R190" s="224"/>
      <c r="S190" s="473"/>
      <c r="T190" s="224"/>
      <c r="U190" s="473"/>
      <c r="V190" s="224"/>
      <c r="W190" s="473"/>
      <c r="Z190" s="137"/>
      <c r="AA190" s="351"/>
      <c r="AB190" s="233" t="s">
        <v>420</v>
      </c>
      <c r="AC190" s="292"/>
      <c r="AD190" s="293"/>
      <c r="AF190" s="224"/>
      <c r="AG190" s="224"/>
      <c r="AH190" s="473"/>
      <c r="AI190" s="473"/>
      <c r="AJ190" s="473"/>
      <c r="AK190" s="473"/>
      <c r="AL190" s="473"/>
      <c r="AM190" s="473"/>
      <c r="AN190" s="473"/>
      <c r="AO190" s="473"/>
      <c r="AP190" s="473"/>
      <c r="AQ190" s="473"/>
      <c r="AR190" s="473"/>
      <c r="AS190" s="294"/>
      <c r="AT190" s="294"/>
    </row>
    <row r="191" spans="2:48" s="128" customFormat="1" ht="12" customHeight="1" x14ac:dyDescent="0.25">
      <c r="B191" s="470"/>
      <c r="C191" s="425"/>
      <c r="D191" s="351"/>
      <c r="E191" s="389" t="s">
        <v>92</v>
      </c>
      <c r="F191" s="131"/>
      <c r="G191" s="143">
        <v>19</v>
      </c>
      <c r="H191" s="132"/>
      <c r="I191" s="490">
        <v>442081.75</v>
      </c>
      <c r="J191" s="379"/>
      <c r="K191" s="223">
        <f t="shared" ref="K191:K199" si="103">(VLOOKUP($G191,Factors,K$316))*$I191</f>
        <v>235187.49100000001</v>
      </c>
      <c r="L191" s="351"/>
      <c r="M191" s="223">
        <f t="shared" ref="M191:M199" si="104">(VLOOKUP($G191,Factors,M$316))*$I191</f>
        <v>96418.029674999998</v>
      </c>
      <c r="N191" s="351"/>
      <c r="O191" s="223">
        <f t="shared" ref="O191:O199" si="105">(VLOOKUP($G191,Factors,O$316))*$I191</f>
        <v>31918.302350000002</v>
      </c>
      <c r="P191" s="351"/>
      <c r="Q191" s="223">
        <f t="shared" ref="Q191:Q199" si="106">(VLOOKUP($G191,Factors,Q$316))*$I191</f>
        <v>16268.608399999999</v>
      </c>
      <c r="R191" s="351"/>
      <c r="S191" s="223">
        <f t="shared" ref="S191:S199" si="107">(VLOOKUP($G191,Factors,S$316))*$I191</f>
        <v>15517.069425</v>
      </c>
      <c r="T191" s="351"/>
      <c r="U191" s="223">
        <f t="shared" ref="U191:U199" si="108">(VLOOKUP($G191,Factors,U$316))*$I191</f>
        <v>0</v>
      </c>
      <c r="V191" s="351"/>
      <c r="W191" s="223">
        <f t="shared" ref="W191:W199" si="109">(VLOOKUP($G191,Factors,W$316))*$I191</f>
        <v>46772.249150000003</v>
      </c>
      <c r="X191" s="290"/>
      <c r="Y191" s="351"/>
      <c r="Z191" s="130"/>
      <c r="AA191" s="351"/>
      <c r="AB191" s="131" t="s">
        <v>92</v>
      </c>
      <c r="AC191" s="131"/>
      <c r="AD191" s="143">
        <f>+G191</f>
        <v>19</v>
      </c>
      <c r="AF191" s="351">
        <f t="shared" ref="AF191:AF199" si="110">+I191</f>
        <v>442081.75</v>
      </c>
      <c r="AG191" s="351"/>
      <c r="AH191" s="282">
        <f t="shared" ref="AH191:AH199" si="111">(VLOOKUP($AD191,func,AH$316))*$AF191</f>
        <v>200351.4491</v>
      </c>
      <c r="AI191" s="282"/>
      <c r="AJ191" s="282">
        <f t="shared" ref="AJ191:AJ199" si="112">(VLOOKUP($AD191,func,AJ$316))*$AF191</f>
        <v>71219.369924999992</v>
      </c>
      <c r="AK191" s="282"/>
      <c r="AL191" s="282">
        <f t="shared" ref="AL191:AL199" si="113">(VLOOKUP($AD191,func,AL$316))*$AF191</f>
        <v>54597.096124999996</v>
      </c>
      <c r="AM191" s="282"/>
      <c r="AN191" s="282">
        <f t="shared" ref="AN191:AN199" si="114">(VLOOKUP($AD191,func,AN$316))*$AF191</f>
        <v>25508.116975000001</v>
      </c>
      <c r="AO191" s="282"/>
      <c r="AP191" s="282">
        <f t="shared" ref="AP191:AP199" si="115">(VLOOKUP($AD191,func,AP$316))*$AF191</f>
        <v>22723.001950000002</v>
      </c>
      <c r="AQ191" s="282"/>
      <c r="AR191" s="282">
        <f t="shared" ref="AR191:AR199" si="116">(VLOOKUP($AD191,func,AR$316))*$AF191</f>
        <v>20910.466775000001</v>
      </c>
      <c r="AS191" s="153"/>
      <c r="AT191" s="153">
        <f t="shared" ref="AT191:AT199" si="117">(VLOOKUP($AD191,func,AT$316))*$AF191</f>
        <v>46772.249150000003</v>
      </c>
      <c r="AV191" s="351"/>
    </row>
    <row r="192" spans="2:48" s="128" customFormat="1" ht="12" customHeight="1" x14ac:dyDescent="0.25">
      <c r="B192" s="470"/>
      <c r="C192" s="425"/>
      <c r="D192" s="351"/>
      <c r="E192" s="389" t="s">
        <v>479</v>
      </c>
      <c r="F192" s="131"/>
      <c r="G192" s="143">
        <v>18</v>
      </c>
      <c r="H192" s="132"/>
      <c r="I192" s="490">
        <v>508931.70000000007</v>
      </c>
      <c r="J192" s="379"/>
      <c r="K192" s="223">
        <f t="shared" si="103"/>
        <v>257519.44020000004</v>
      </c>
      <c r="L192" s="351"/>
      <c r="M192" s="223">
        <f t="shared" si="104"/>
        <v>110947.11060000001</v>
      </c>
      <c r="N192" s="351"/>
      <c r="O192" s="223">
        <f t="shared" si="105"/>
        <v>37253.800440000006</v>
      </c>
      <c r="P192" s="351"/>
      <c r="Q192" s="223">
        <f t="shared" si="106"/>
        <v>18830.472900000001</v>
      </c>
      <c r="R192" s="351"/>
      <c r="S192" s="223">
        <f t="shared" si="107"/>
        <v>18372.434370000003</v>
      </c>
      <c r="T192" s="351"/>
      <c r="U192" s="223">
        <f t="shared" si="108"/>
        <v>0</v>
      </c>
      <c r="V192" s="351"/>
      <c r="W192" s="223">
        <f t="shared" si="109"/>
        <v>66008.441490000012</v>
      </c>
      <c r="X192" s="290"/>
      <c r="Y192" s="351"/>
      <c r="Z192" s="627"/>
      <c r="AA192" s="351"/>
      <c r="AB192" s="389" t="s">
        <v>479</v>
      </c>
      <c r="AC192" s="131"/>
      <c r="AD192" s="143">
        <f>+G192</f>
        <v>18</v>
      </c>
      <c r="AF192" s="351">
        <f t="shared" ref="AF192" si="118">+I192</f>
        <v>508931.70000000007</v>
      </c>
      <c r="AG192" s="351"/>
      <c r="AH192" s="282">
        <f t="shared" si="111"/>
        <v>217619.19492000001</v>
      </c>
      <c r="AI192" s="282"/>
      <c r="AJ192" s="282">
        <f t="shared" si="112"/>
        <v>105043.50288000001</v>
      </c>
      <c r="AK192" s="282"/>
      <c r="AL192" s="282">
        <f t="shared" si="113"/>
        <v>61428.05619000001</v>
      </c>
      <c r="AM192" s="282"/>
      <c r="AN192" s="282">
        <f t="shared" si="114"/>
        <v>20662.62702</v>
      </c>
      <c r="AO192" s="282"/>
      <c r="AP192" s="282">
        <f t="shared" si="115"/>
        <v>35472.539490000003</v>
      </c>
      <c r="AQ192" s="282"/>
      <c r="AR192" s="282">
        <f t="shared" si="116"/>
        <v>2697.3380100000004</v>
      </c>
      <c r="AS192" s="153"/>
      <c r="AT192" s="153">
        <f t="shared" si="117"/>
        <v>66008.441490000012</v>
      </c>
      <c r="AV192" s="351"/>
    </row>
    <row r="193" spans="1:49" s="128" customFormat="1" ht="12" customHeight="1" x14ac:dyDescent="0.25">
      <c r="B193" s="470"/>
      <c r="C193" s="425"/>
      <c r="D193" s="351"/>
      <c r="E193" s="389" t="s">
        <v>93</v>
      </c>
      <c r="F193" s="131"/>
      <c r="G193" s="143">
        <v>8</v>
      </c>
      <c r="H193" s="132"/>
      <c r="I193" s="490">
        <v>153935</v>
      </c>
      <c r="J193" s="379"/>
      <c r="K193" s="223">
        <f t="shared" si="103"/>
        <v>123301.93500000001</v>
      </c>
      <c r="L193" s="351"/>
      <c r="M193" s="223">
        <f t="shared" si="104"/>
        <v>25583.996999999999</v>
      </c>
      <c r="N193" s="351"/>
      <c r="O193" s="223">
        <f t="shared" si="105"/>
        <v>1462.3824999999999</v>
      </c>
      <c r="P193" s="351"/>
      <c r="Q193" s="223">
        <f t="shared" si="106"/>
        <v>3432.7505000000001</v>
      </c>
      <c r="R193" s="351"/>
      <c r="S193" s="223">
        <f t="shared" si="107"/>
        <v>153.935</v>
      </c>
      <c r="T193" s="351"/>
      <c r="U193" s="223">
        <f t="shared" si="108"/>
        <v>0</v>
      </c>
      <c r="V193" s="351"/>
      <c r="W193" s="223">
        <f t="shared" si="109"/>
        <v>0</v>
      </c>
      <c r="X193" s="290"/>
      <c r="Y193" s="351"/>
      <c r="Z193" s="130"/>
      <c r="AA193" s="351"/>
      <c r="AB193" s="131" t="s">
        <v>93</v>
      </c>
      <c r="AC193" s="131"/>
      <c r="AD193" s="143">
        <f t="shared" ref="AD193:AD199" si="119">+G193</f>
        <v>8</v>
      </c>
      <c r="AF193" s="351">
        <f t="shared" si="110"/>
        <v>153935</v>
      </c>
      <c r="AG193" s="351"/>
      <c r="AH193" s="282">
        <f t="shared" si="111"/>
        <v>0</v>
      </c>
      <c r="AI193" s="282"/>
      <c r="AJ193" s="282">
        <f t="shared" si="112"/>
        <v>0</v>
      </c>
      <c r="AK193" s="282"/>
      <c r="AL193" s="282">
        <f t="shared" si="113"/>
        <v>0</v>
      </c>
      <c r="AM193" s="282"/>
      <c r="AN193" s="282">
        <f t="shared" si="114"/>
        <v>153935</v>
      </c>
      <c r="AO193" s="282"/>
      <c r="AP193" s="282">
        <f t="shared" si="115"/>
        <v>0</v>
      </c>
      <c r="AQ193" s="282"/>
      <c r="AR193" s="282">
        <f t="shared" si="116"/>
        <v>0</v>
      </c>
      <c r="AS193" s="153"/>
      <c r="AT193" s="153">
        <f t="shared" si="117"/>
        <v>0</v>
      </c>
      <c r="AV193" s="351"/>
    </row>
    <row r="194" spans="1:49" s="128" customFormat="1" ht="12" customHeight="1" x14ac:dyDescent="0.25">
      <c r="B194" s="470"/>
      <c r="C194" s="425"/>
      <c r="D194" s="351"/>
      <c r="E194" s="389" t="s">
        <v>94</v>
      </c>
      <c r="F194" s="131"/>
      <c r="G194" s="143">
        <v>19</v>
      </c>
      <c r="H194" s="132"/>
      <c r="I194" s="490">
        <v>383268.55</v>
      </c>
      <c r="J194" s="648"/>
      <c r="K194" s="223">
        <f t="shared" si="103"/>
        <v>203898.86860000002</v>
      </c>
      <c r="L194" s="351"/>
      <c r="M194" s="223">
        <f t="shared" si="104"/>
        <v>83590.870754999996</v>
      </c>
      <c r="N194" s="351"/>
      <c r="O194" s="223">
        <f t="shared" si="105"/>
        <v>27671.989310000001</v>
      </c>
      <c r="P194" s="351"/>
      <c r="Q194" s="223">
        <f t="shared" si="106"/>
        <v>14104.282639999999</v>
      </c>
      <c r="R194" s="351"/>
      <c r="S194" s="223">
        <f t="shared" si="107"/>
        <v>13452.726105</v>
      </c>
      <c r="T194" s="351"/>
      <c r="U194" s="223">
        <f t="shared" si="108"/>
        <v>0</v>
      </c>
      <c r="V194" s="351"/>
      <c r="W194" s="223">
        <f t="shared" si="109"/>
        <v>40549.812590000001</v>
      </c>
      <c r="X194" s="290"/>
      <c r="Y194" s="351"/>
      <c r="Z194" s="130"/>
      <c r="AA194" s="351"/>
      <c r="AB194" s="131" t="s">
        <v>94</v>
      </c>
      <c r="AC194" s="131"/>
      <c r="AD194" s="143">
        <f t="shared" si="119"/>
        <v>19</v>
      </c>
      <c r="AF194" s="351">
        <f t="shared" si="110"/>
        <v>383268.55</v>
      </c>
      <c r="AG194" s="351"/>
      <c r="AH194" s="282">
        <f t="shared" si="111"/>
        <v>173697.30685999998</v>
      </c>
      <c r="AI194" s="282"/>
      <c r="AJ194" s="282">
        <f t="shared" si="112"/>
        <v>61744.563404999994</v>
      </c>
      <c r="AK194" s="282"/>
      <c r="AL194" s="282">
        <f t="shared" si="113"/>
        <v>47333.665925000001</v>
      </c>
      <c r="AM194" s="282"/>
      <c r="AN194" s="282">
        <f t="shared" si="114"/>
        <v>22114.595334999998</v>
      </c>
      <c r="AO194" s="282"/>
      <c r="AP194" s="282">
        <f t="shared" si="115"/>
        <v>19700.00347</v>
      </c>
      <c r="AQ194" s="282"/>
      <c r="AR194" s="282">
        <f t="shared" si="116"/>
        <v>18128.602415000001</v>
      </c>
      <c r="AS194" s="153"/>
      <c r="AT194" s="153">
        <f t="shared" si="117"/>
        <v>40549.812590000001</v>
      </c>
      <c r="AV194" s="351"/>
    </row>
    <row r="195" spans="1:49" s="128" customFormat="1" ht="12" customHeight="1" x14ac:dyDescent="0.25">
      <c r="B195" s="470"/>
      <c r="C195" s="425"/>
      <c r="D195" s="351"/>
      <c r="E195" s="389" t="s">
        <v>95</v>
      </c>
      <c r="F195" s="131"/>
      <c r="G195" s="143">
        <v>2</v>
      </c>
      <c r="H195" s="132"/>
      <c r="I195" s="490">
        <v>29720.35</v>
      </c>
      <c r="J195" s="648"/>
      <c r="K195" s="223">
        <f t="shared" si="103"/>
        <v>15472.414209999997</v>
      </c>
      <c r="L195" s="351"/>
      <c r="M195" s="223">
        <f t="shared" si="104"/>
        <v>7866.9766449999997</v>
      </c>
      <c r="N195" s="351"/>
      <c r="O195" s="223">
        <f t="shared" si="105"/>
        <v>2954.2027899999998</v>
      </c>
      <c r="P195" s="351"/>
      <c r="Q195" s="223">
        <f t="shared" si="106"/>
        <v>1429.5488349999998</v>
      </c>
      <c r="R195" s="351"/>
      <c r="S195" s="223">
        <f t="shared" si="107"/>
        <v>1878.3261200000002</v>
      </c>
      <c r="T195" s="351"/>
      <c r="U195" s="223">
        <f t="shared" si="108"/>
        <v>0</v>
      </c>
      <c r="V195" s="351"/>
      <c r="W195" s="223">
        <f t="shared" si="109"/>
        <v>118.8814</v>
      </c>
      <c r="X195" s="290"/>
      <c r="Y195" s="351"/>
      <c r="Z195" s="130"/>
      <c r="AA195" s="351"/>
      <c r="AB195" s="131" t="s">
        <v>95</v>
      </c>
      <c r="AC195" s="131"/>
      <c r="AD195" s="143">
        <f t="shared" si="119"/>
        <v>2</v>
      </c>
      <c r="AF195" s="351">
        <f t="shared" si="110"/>
        <v>29720.35</v>
      </c>
      <c r="AG195" s="351"/>
      <c r="AH195" s="282">
        <f t="shared" si="111"/>
        <v>18456.337349999998</v>
      </c>
      <c r="AI195" s="282"/>
      <c r="AJ195" s="282">
        <f t="shared" si="112"/>
        <v>11145.131249999999</v>
      </c>
      <c r="AK195" s="282"/>
      <c r="AL195" s="282">
        <f t="shared" si="113"/>
        <v>0</v>
      </c>
      <c r="AM195" s="282"/>
      <c r="AN195" s="282">
        <f t="shared" si="114"/>
        <v>0</v>
      </c>
      <c r="AO195" s="282"/>
      <c r="AP195" s="282">
        <f t="shared" si="115"/>
        <v>0</v>
      </c>
      <c r="AQ195" s="282"/>
      <c r="AR195" s="282">
        <f t="shared" si="116"/>
        <v>0</v>
      </c>
      <c r="AS195" s="153"/>
      <c r="AT195" s="153">
        <f t="shared" si="117"/>
        <v>118.8814</v>
      </c>
      <c r="AV195" s="351"/>
    </row>
    <row r="196" spans="1:49" s="128" customFormat="1" ht="12" customHeight="1" x14ac:dyDescent="0.25">
      <c r="B196" s="427"/>
      <c r="D196" s="351"/>
      <c r="E196" s="389" t="s">
        <v>96</v>
      </c>
      <c r="F196" s="131"/>
      <c r="G196" s="143">
        <v>14</v>
      </c>
      <c r="H196" s="132"/>
      <c r="I196" s="490">
        <v>72900.710000000006</v>
      </c>
      <c r="J196" s="648"/>
      <c r="K196" s="223">
        <f t="shared" si="103"/>
        <v>40860.847955000005</v>
      </c>
      <c r="L196" s="351"/>
      <c r="M196" s="223">
        <f t="shared" si="104"/>
        <v>14893.615053000001</v>
      </c>
      <c r="N196" s="351"/>
      <c r="O196" s="223">
        <f t="shared" si="105"/>
        <v>4621.9050139999999</v>
      </c>
      <c r="P196" s="351"/>
      <c r="Q196" s="223">
        <f t="shared" si="106"/>
        <v>2405.7234300000005</v>
      </c>
      <c r="R196" s="351"/>
      <c r="S196" s="223">
        <f t="shared" si="107"/>
        <v>1888.1283890000002</v>
      </c>
      <c r="T196" s="351"/>
      <c r="U196" s="223">
        <f t="shared" si="108"/>
        <v>0</v>
      </c>
      <c r="V196" s="351"/>
      <c r="W196" s="223">
        <f t="shared" si="109"/>
        <v>8230.4901590000009</v>
      </c>
      <c r="X196" s="290"/>
      <c r="Y196" s="351"/>
      <c r="Z196" s="130"/>
      <c r="AA196" s="351"/>
      <c r="AB196" s="131" t="s">
        <v>96</v>
      </c>
      <c r="AC196" s="131"/>
      <c r="AD196" s="143">
        <f t="shared" si="119"/>
        <v>14</v>
      </c>
      <c r="AF196" s="351">
        <f t="shared" si="110"/>
        <v>72900.710000000006</v>
      </c>
      <c r="AG196" s="351"/>
      <c r="AH196" s="282">
        <f t="shared" si="111"/>
        <v>25836.011624000002</v>
      </c>
      <c r="AI196" s="282"/>
      <c r="AJ196" s="282">
        <f t="shared" si="112"/>
        <v>10351.900820000001</v>
      </c>
      <c r="AK196" s="282"/>
      <c r="AL196" s="282">
        <f t="shared" si="113"/>
        <v>12254.609351000001</v>
      </c>
      <c r="AM196" s="282"/>
      <c r="AN196" s="282">
        <f t="shared" si="114"/>
        <v>5256.1411910000006</v>
      </c>
      <c r="AO196" s="282"/>
      <c r="AP196" s="282">
        <f t="shared" si="115"/>
        <v>3244.0815950000001</v>
      </c>
      <c r="AQ196" s="282"/>
      <c r="AR196" s="282">
        <f t="shared" si="116"/>
        <v>7727.4752600000002</v>
      </c>
      <c r="AS196" s="153"/>
      <c r="AT196" s="153">
        <f t="shared" si="117"/>
        <v>8230.4901590000009</v>
      </c>
      <c r="AV196" s="351"/>
    </row>
    <row r="197" spans="1:49" s="128" customFormat="1" ht="13.65" customHeight="1" x14ac:dyDescent="0.25">
      <c r="A197" s="589"/>
      <c r="B197" s="490"/>
      <c r="D197" s="351"/>
      <c r="E197" s="389" t="s">
        <v>486</v>
      </c>
      <c r="F197" s="131"/>
      <c r="G197" s="143">
        <v>19</v>
      </c>
      <c r="H197" s="132"/>
      <c r="I197" s="490">
        <v>76800.647514381984</v>
      </c>
      <c r="J197" s="648"/>
      <c r="K197" s="223">
        <f t="shared" si="103"/>
        <v>40857.944477651217</v>
      </c>
      <c r="L197" s="351"/>
      <c r="M197" s="223">
        <f t="shared" si="104"/>
        <v>16750.22122288671</v>
      </c>
      <c r="N197" s="351"/>
      <c r="O197" s="223">
        <f t="shared" si="105"/>
        <v>5545.0067505383795</v>
      </c>
      <c r="P197" s="351"/>
      <c r="Q197" s="223">
        <f t="shared" si="106"/>
        <v>2826.2638285292569</v>
      </c>
      <c r="R197" s="351"/>
      <c r="S197" s="223">
        <f t="shared" si="107"/>
        <v>2695.7027277548077</v>
      </c>
      <c r="T197" s="351"/>
      <c r="U197" s="223">
        <f t="shared" si="108"/>
        <v>0</v>
      </c>
      <c r="V197" s="351"/>
      <c r="W197" s="223">
        <f t="shared" si="109"/>
        <v>8125.5085070216146</v>
      </c>
      <c r="X197" s="290"/>
      <c r="Y197" s="351"/>
      <c r="Z197" s="130"/>
      <c r="AA197" s="351"/>
      <c r="AB197" s="131" t="s">
        <v>99</v>
      </c>
      <c r="AC197" s="131"/>
      <c r="AD197" s="143">
        <f t="shared" si="119"/>
        <v>19</v>
      </c>
      <c r="AF197" s="351">
        <f>+I197</f>
        <v>76800.647514381984</v>
      </c>
      <c r="AG197" s="351"/>
      <c r="AH197" s="282">
        <f t="shared" si="111"/>
        <v>34806.053453517918</v>
      </c>
      <c r="AI197" s="282"/>
      <c r="AJ197" s="282">
        <f t="shared" si="112"/>
        <v>12372.584314566937</v>
      </c>
      <c r="AK197" s="282"/>
      <c r="AL197" s="282">
        <f t="shared" si="113"/>
        <v>9484.8799680261745</v>
      </c>
      <c r="AM197" s="282"/>
      <c r="AN197" s="282">
        <f t="shared" si="114"/>
        <v>4431.3973615798404</v>
      </c>
      <c r="AO197" s="282"/>
      <c r="AP197" s="282">
        <f t="shared" si="115"/>
        <v>3947.5532822392342</v>
      </c>
      <c r="AQ197" s="282"/>
      <c r="AR197" s="282">
        <f t="shared" si="116"/>
        <v>3632.6706274302678</v>
      </c>
      <c r="AS197" s="153"/>
      <c r="AT197" s="153">
        <f t="shared" si="117"/>
        <v>8125.5085070216146</v>
      </c>
      <c r="AV197" s="351"/>
    </row>
    <row r="198" spans="1:49" s="128" customFormat="1" ht="14.25" customHeight="1" x14ac:dyDescent="0.25">
      <c r="B198" s="569"/>
      <c r="C198" s="425"/>
      <c r="D198" s="351"/>
      <c r="E198" s="389" t="s">
        <v>89</v>
      </c>
      <c r="F198" s="131"/>
      <c r="G198" s="143">
        <v>19</v>
      </c>
      <c r="H198" s="132"/>
      <c r="I198" s="490">
        <v>481325.4</v>
      </c>
      <c r="J198" s="379"/>
      <c r="K198" s="223">
        <f t="shared" si="103"/>
        <v>256065.11280000003</v>
      </c>
      <c r="L198" s="351"/>
      <c r="M198" s="223">
        <f t="shared" si="104"/>
        <v>104977.06974000001</v>
      </c>
      <c r="N198" s="351"/>
      <c r="O198" s="223">
        <f t="shared" si="105"/>
        <v>34751.693879999999</v>
      </c>
      <c r="P198" s="351"/>
      <c r="Q198" s="223">
        <f t="shared" si="106"/>
        <v>17712.774720000001</v>
      </c>
      <c r="R198" s="351"/>
      <c r="S198" s="223">
        <f t="shared" si="107"/>
        <v>16894.521540000002</v>
      </c>
      <c r="T198" s="351"/>
      <c r="U198" s="223">
        <f t="shared" si="108"/>
        <v>0</v>
      </c>
      <c r="V198" s="351"/>
      <c r="W198" s="223">
        <f t="shared" si="109"/>
        <v>50924.227320000005</v>
      </c>
      <c r="X198" s="290"/>
      <c r="Y198" s="351"/>
      <c r="Z198" s="130"/>
      <c r="AA198" s="351"/>
      <c r="AB198" s="131" t="s">
        <v>89</v>
      </c>
      <c r="AC198" s="131"/>
      <c r="AD198" s="143">
        <f t="shared" si="119"/>
        <v>19</v>
      </c>
      <c r="AF198" s="351">
        <f>+I198</f>
        <v>481325.4</v>
      </c>
      <c r="AG198" s="351"/>
      <c r="AH198" s="282">
        <f t="shared" si="111"/>
        <v>218136.67128000001</v>
      </c>
      <c r="AI198" s="282"/>
      <c r="AJ198" s="282">
        <f t="shared" si="112"/>
        <v>77541.521940000006</v>
      </c>
      <c r="AK198" s="282"/>
      <c r="AL198" s="282">
        <f t="shared" si="113"/>
        <v>59443.686900000001</v>
      </c>
      <c r="AM198" s="282"/>
      <c r="AN198" s="282">
        <f t="shared" si="114"/>
        <v>27772.475580000002</v>
      </c>
      <c r="AO198" s="282"/>
      <c r="AP198" s="282">
        <f t="shared" si="115"/>
        <v>24740.12556</v>
      </c>
      <c r="AQ198" s="282"/>
      <c r="AR198" s="282">
        <f t="shared" si="116"/>
        <v>22766.691420000003</v>
      </c>
      <c r="AS198" s="153"/>
      <c r="AT198" s="153">
        <f t="shared" si="117"/>
        <v>50924.227320000005</v>
      </c>
      <c r="AV198" s="351"/>
    </row>
    <row r="199" spans="1:49" ht="13.5" customHeight="1" x14ac:dyDescent="0.25">
      <c r="E199" s="389" t="s">
        <v>98</v>
      </c>
      <c r="F199" s="292"/>
      <c r="G199" s="293">
        <v>19</v>
      </c>
      <c r="H199" s="230"/>
      <c r="I199" s="645">
        <v>9720</v>
      </c>
      <c r="J199" s="379"/>
      <c r="K199" s="397">
        <f t="shared" si="103"/>
        <v>5171.04</v>
      </c>
      <c r="L199" s="351"/>
      <c r="M199" s="397">
        <f t="shared" si="104"/>
        <v>2119.9319999999998</v>
      </c>
      <c r="N199" s="351"/>
      <c r="O199" s="397">
        <f t="shared" si="105"/>
        <v>701.78399999999999</v>
      </c>
      <c r="P199" s="351"/>
      <c r="Q199" s="397">
        <f t="shared" si="106"/>
        <v>357.69599999999997</v>
      </c>
      <c r="R199" s="351"/>
      <c r="S199" s="397">
        <f t="shared" si="107"/>
        <v>341.17199999999997</v>
      </c>
      <c r="T199" s="351"/>
      <c r="U199" s="397">
        <f t="shared" si="108"/>
        <v>0</v>
      </c>
      <c r="V199" s="351"/>
      <c r="W199" s="397">
        <f t="shared" si="109"/>
        <v>1028.376</v>
      </c>
      <c r="X199" s="154"/>
      <c r="Z199" s="137"/>
      <c r="AA199" s="351"/>
      <c r="AB199" s="131" t="s">
        <v>98</v>
      </c>
      <c r="AC199" s="292"/>
      <c r="AD199" s="293">
        <f t="shared" si="119"/>
        <v>19</v>
      </c>
      <c r="AF199" s="632">
        <f t="shared" si="110"/>
        <v>9720</v>
      </c>
      <c r="AG199" s="224"/>
      <c r="AH199" s="397">
        <f t="shared" si="111"/>
        <v>4405.1040000000003</v>
      </c>
      <c r="AI199" s="282"/>
      <c r="AJ199" s="397">
        <f t="shared" si="112"/>
        <v>1565.8919999999998</v>
      </c>
      <c r="AK199" s="282"/>
      <c r="AL199" s="397">
        <f t="shared" si="113"/>
        <v>1200.42</v>
      </c>
      <c r="AM199" s="282"/>
      <c r="AN199" s="397">
        <f t="shared" si="114"/>
        <v>560.84400000000005</v>
      </c>
      <c r="AO199" s="282"/>
      <c r="AP199" s="397">
        <f t="shared" si="115"/>
        <v>499.608</v>
      </c>
      <c r="AQ199" s="282"/>
      <c r="AR199" s="397">
        <f t="shared" si="116"/>
        <v>459.75600000000003</v>
      </c>
      <c r="AS199" s="153"/>
      <c r="AT199" s="140">
        <f t="shared" si="117"/>
        <v>1028.376</v>
      </c>
    </row>
    <row r="200" spans="1:49" ht="14.25" customHeight="1" x14ac:dyDescent="0.25">
      <c r="E200" s="233" t="s">
        <v>97</v>
      </c>
      <c r="F200" s="292"/>
      <c r="G200" s="293"/>
      <c r="H200" s="230"/>
      <c r="I200" s="659">
        <f>SUM(I191:I199)</f>
        <v>2158684.1075143823</v>
      </c>
      <c r="J200" s="639"/>
      <c r="K200" s="643">
        <f>SUM(K191:K199)</f>
        <v>1178335.0942426515</v>
      </c>
      <c r="L200" s="643"/>
      <c r="M200" s="643">
        <f>SUM(M191:M199)</f>
        <v>463147.82269088668</v>
      </c>
      <c r="N200" s="643"/>
      <c r="O200" s="643">
        <f>SUM(O191:O199)</f>
        <v>146881.0670345384</v>
      </c>
      <c r="P200" s="643"/>
      <c r="Q200" s="643">
        <f>SUM(Q191:Q199)</f>
        <v>77368.121253529243</v>
      </c>
      <c r="R200" s="643"/>
      <c r="S200" s="643">
        <f>SUM(S191:S199)</f>
        <v>71194.015676754818</v>
      </c>
      <c r="T200" s="643"/>
      <c r="U200" s="643">
        <f>SUM(U191:U199)</f>
        <v>0</v>
      </c>
      <c r="V200" s="643"/>
      <c r="W200" s="643">
        <f>SUM(W191:W199)</f>
        <v>221757.98661602166</v>
      </c>
      <c r="X200" s="230"/>
      <c r="Z200" s="137"/>
      <c r="AA200" s="351"/>
      <c r="AB200" s="233" t="s">
        <v>97</v>
      </c>
      <c r="AC200" s="292"/>
      <c r="AD200" s="293"/>
      <c r="AF200" s="531">
        <f>SUM(AF191:AF199)</f>
        <v>2158684.1075143823</v>
      </c>
      <c r="AG200" s="531"/>
      <c r="AH200" s="531">
        <f>SUM(AH191:AH199)</f>
        <v>893308.12858751812</v>
      </c>
      <c r="AI200" s="531"/>
      <c r="AJ200" s="531">
        <f>SUM(AJ191:AJ199)</f>
        <v>350984.46653456695</v>
      </c>
      <c r="AK200" s="531"/>
      <c r="AL200" s="531">
        <f>SUM(AL191:AL199)</f>
        <v>245742.41445902621</v>
      </c>
      <c r="AM200" s="531"/>
      <c r="AN200" s="531">
        <f>SUM(AN191:AN199)</f>
        <v>260241.19746257985</v>
      </c>
      <c r="AO200" s="531"/>
      <c r="AP200" s="531">
        <f>SUM(AP191:AP199)</f>
        <v>110326.91334723923</v>
      </c>
      <c r="AQ200" s="531"/>
      <c r="AR200" s="531">
        <f>SUM(AR191:AR199)</f>
        <v>76323.000507430261</v>
      </c>
      <c r="AS200" s="531"/>
      <c r="AT200" s="531">
        <f>SUM(AT191:AT199)</f>
        <v>221757.98661602166</v>
      </c>
    </row>
    <row r="201" spans="1:49" ht="12" customHeight="1" x14ac:dyDescent="0.25">
      <c r="E201" s="233"/>
      <c r="F201" s="292"/>
      <c r="G201" s="293"/>
      <c r="H201" s="230"/>
      <c r="I201" s="643"/>
      <c r="J201" s="639"/>
      <c r="K201" s="643"/>
      <c r="L201" s="531"/>
      <c r="M201" s="643"/>
      <c r="N201" s="531"/>
      <c r="O201" s="643"/>
      <c r="P201" s="531"/>
      <c r="Q201" s="643"/>
      <c r="R201" s="531"/>
      <c r="S201" s="643"/>
      <c r="T201" s="531"/>
      <c r="U201" s="643"/>
      <c r="V201" s="531"/>
      <c r="W201" s="643"/>
      <c r="Z201" s="137"/>
      <c r="AA201" s="351"/>
      <c r="AB201" s="233"/>
      <c r="AC201" s="292"/>
      <c r="AD201" s="293"/>
      <c r="AF201" s="224"/>
      <c r="AG201" s="224"/>
      <c r="AH201" s="473"/>
      <c r="AI201" s="473"/>
      <c r="AJ201" s="473"/>
      <c r="AK201" s="473"/>
      <c r="AL201" s="473"/>
      <c r="AM201" s="473"/>
      <c r="AN201" s="473"/>
      <c r="AO201" s="473"/>
      <c r="AP201" s="473"/>
      <c r="AQ201" s="473"/>
      <c r="AR201" s="473"/>
      <c r="AS201" s="294"/>
      <c r="AT201" s="294"/>
    </row>
    <row r="202" spans="1:49" ht="12.15" customHeight="1" x14ac:dyDescent="0.25">
      <c r="E202" s="131"/>
      <c r="F202" s="131"/>
      <c r="G202" s="293"/>
      <c r="H202" s="230"/>
      <c r="I202" s="643"/>
      <c r="J202" s="639"/>
      <c r="K202" s="641"/>
      <c r="L202" s="531"/>
      <c r="M202" s="644"/>
      <c r="N202" s="531"/>
      <c r="O202" s="644"/>
      <c r="P202" s="531"/>
      <c r="Q202" s="644"/>
      <c r="R202" s="531"/>
      <c r="S202" s="644"/>
      <c r="T202" s="531"/>
      <c r="U202" s="644"/>
      <c r="V202" s="531"/>
      <c r="W202" s="644"/>
      <c r="Z202" s="137"/>
      <c r="AA202" s="351"/>
      <c r="AB202" s="131"/>
      <c r="AC202" s="131"/>
      <c r="AD202" s="143"/>
      <c r="AF202" s="223"/>
      <c r="AG202" s="224"/>
      <c r="AH202" s="223"/>
      <c r="AI202" s="224"/>
      <c r="AJ202" s="351"/>
      <c r="AK202" s="224"/>
      <c r="AL202" s="351"/>
      <c r="AM202" s="224"/>
      <c r="AN202" s="351"/>
      <c r="AO202" s="224"/>
      <c r="AP202" s="351"/>
      <c r="AQ202" s="224"/>
      <c r="AR202" s="351"/>
      <c r="AT202" s="147"/>
    </row>
    <row r="203" spans="1:49" s="529" customFormat="1" x14ac:dyDescent="0.25">
      <c r="A203" s="557"/>
      <c r="B203" s="470"/>
      <c r="C203" s="427"/>
      <c r="D203" s="224"/>
      <c r="E203" s="233" t="s">
        <v>419</v>
      </c>
      <c r="F203" s="131"/>
      <c r="G203" s="293"/>
      <c r="H203" s="230"/>
      <c r="I203" s="643"/>
      <c r="J203" s="639"/>
      <c r="K203" s="643"/>
      <c r="L203" s="531"/>
      <c r="M203" s="531"/>
      <c r="N203" s="531"/>
      <c r="O203" s="531"/>
      <c r="P203" s="531"/>
      <c r="Q203" s="531"/>
      <c r="R203" s="531"/>
      <c r="S203" s="531"/>
      <c r="T203" s="531"/>
      <c r="U203" s="531"/>
      <c r="V203" s="531"/>
      <c r="W203" s="531"/>
      <c r="Y203" s="224"/>
      <c r="Z203" s="137"/>
      <c r="AA203" s="224"/>
      <c r="AB203" s="233" t="s">
        <v>419</v>
      </c>
      <c r="AC203" s="131"/>
      <c r="AD203" s="293"/>
      <c r="AF203" s="473"/>
      <c r="AG203" s="224"/>
      <c r="AH203" s="473"/>
      <c r="AI203" s="224"/>
      <c r="AJ203" s="224"/>
      <c r="AK203" s="224"/>
      <c r="AL203" s="224"/>
      <c r="AM203" s="224"/>
      <c r="AN203" s="224"/>
      <c r="AO203" s="224"/>
      <c r="AP203" s="224"/>
      <c r="AQ203" s="224"/>
      <c r="AR203" s="224"/>
      <c r="AT203" s="152"/>
      <c r="AV203" s="224"/>
    </row>
    <row r="204" spans="1:49" s="529" customFormat="1" ht="13.8" thickBot="1" x14ac:dyDescent="0.3">
      <c r="A204" s="557"/>
      <c r="B204" s="470"/>
      <c r="C204" s="427"/>
      <c r="D204" s="224"/>
      <c r="E204" s="233" t="s">
        <v>418</v>
      </c>
      <c r="F204" s="131"/>
      <c r="G204" s="293"/>
      <c r="H204" s="230"/>
      <c r="I204" s="660">
        <f>I188-I200</f>
        <v>68202600.182083949</v>
      </c>
      <c r="J204" s="639"/>
      <c r="K204" s="660">
        <f>K188-K200</f>
        <v>36244674.656220682</v>
      </c>
      <c r="L204" s="643"/>
      <c r="M204" s="660">
        <f>M188-M200</f>
        <v>14885992.136413351</v>
      </c>
      <c r="N204" s="643"/>
      <c r="O204" s="660">
        <f>O188-O200</f>
        <v>4934209.0416771527</v>
      </c>
      <c r="P204" s="643"/>
      <c r="Q204" s="660">
        <f>Q188-Q200</f>
        <v>2512790.4013423626</v>
      </c>
      <c r="R204" s="643"/>
      <c r="S204" s="660">
        <f>S188-S200</f>
        <v>2399304.132244674</v>
      </c>
      <c r="T204" s="643"/>
      <c r="U204" s="660">
        <f>U188-U200</f>
        <v>0</v>
      </c>
      <c r="V204" s="643"/>
      <c r="W204" s="660">
        <f>W188-W200</f>
        <v>7225629.8141857199</v>
      </c>
      <c r="Y204" s="224"/>
      <c r="Z204" s="137"/>
      <c r="AA204" s="224"/>
      <c r="AB204" s="233" t="s">
        <v>418</v>
      </c>
      <c r="AC204" s="131"/>
      <c r="AD204" s="293"/>
      <c r="AF204" s="660">
        <f>AF188-AF200</f>
        <v>68202600.182083949</v>
      </c>
      <c r="AG204" s="531"/>
      <c r="AH204" s="660">
        <f>AH188-AH200</f>
        <v>30984228.233010333</v>
      </c>
      <c r="AI204" s="531"/>
      <c r="AJ204" s="660">
        <f>AJ188-AJ200</f>
        <v>10985404.451287597</v>
      </c>
      <c r="AK204" s="531"/>
      <c r="AL204" s="660">
        <f>AL188-AL200</f>
        <v>8445267.2713767048</v>
      </c>
      <c r="AM204" s="531"/>
      <c r="AN204" s="660">
        <f>AN188-AN200</f>
        <v>3797884.3338413597</v>
      </c>
      <c r="AO204" s="531"/>
      <c r="AP204" s="660">
        <f>AP188-AP200</f>
        <v>3508988.8450032258</v>
      </c>
      <c r="AQ204" s="531"/>
      <c r="AR204" s="660">
        <f>AR188-AR200</f>
        <v>3255197.2333790041</v>
      </c>
      <c r="AS204" s="531"/>
      <c r="AT204" s="660">
        <f>AT188-AT200</f>
        <v>7225629.8141857199</v>
      </c>
      <c r="AV204" s="224"/>
      <c r="AW204" s="274"/>
    </row>
    <row r="205" spans="1:49" s="529" customFormat="1" ht="7.95" customHeight="1" thickTop="1" x14ac:dyDescent="0.25">
      <c r="A205" s="557"/>
      <c r="B205" s="470"/>
      <c r="C205" s="427"/>
      <c r="D205" s="224"/>
      <c r="E205" s="131"/>
      <c r="F205" s="131"/>
      <c r="G205" s="293"/>
      <c r="H205" s="230"/>
      <c r="I205" s="473"/>
      <c r="J205" s="379"/>
      <c r="K205" s="473"/>
      <c r="L205" s="224"/>
      <c r="M205" s="224"/>
      <c r="N205" s="224"/>
      <c r="O205" s="224"/>
      <c r="P205" s="224"/>
      <c r="Q205" s="224"/>
      <c r="R205" s="224"/>
      <c r="S205" s="224"/>
      <c r="T205" s="224"/>
      <c r="U205" s="224"/>
      <c r="V205" s="224"/>
      <c r="W205" s="224"/>
      <c r="X205" s="152"/>
      <c r="Y205" s="224"/>
      <c r="Z205" s="137"/>
      <c r="AA205" s="224"/>
      <c r="AB205" s="131"/>
      <c r="AC205" s="131"/>
      <c r="AD205" s="293"/>
      <c r="AF205" s="531"/>
      <c r="AG205" s="531"/>
      <c r="AH205" s="531"/>
      <c r="AI205" s="531"/>
      <c r="AJ205" s="531"/>
      <c r="AK205" s="531"/>
      <c r="AL205" s="531"/>
      <c r="AM205" s="531"/>
      <c r="AN205" s="531"/>
      <c r="AO205" s="531"/>
      <c r="AP205" s="531"/>
      <c r="AQ205" s="531"/>
      <c r="AR205" s="531"/>
      <c r="AS205" s="531"/>
      <c r="AT205" s="531"/>
      <c r="AV205" s="224"/>
    </row>
    <row r="206" spans="1:49" s="529" customFormat="1" ht="10.199999999999999" customHeight="1" x14ac:dyDescent="0.25">
      <c r="A206" s="557"/>
      <c r="B206" s="470"/>
      <c r="C206" s="427"/>
      <c r="D206" s="224"/>
      <c r="E206" s="131"/>
      <c r="F206" s="131"/>
      <c r="G206" s="293"/>
      <c r="H206" s="230"/>
      <c r="I206" s="473"/>
      <c r="J206" s="379"/>
      <c r="K206" s="473"/>
      <c r="L206" s="224"/>
      <c r="M206" s="224"/>
      <c r="N206" s="224"/>
      <c r="O206" s="224"/>
      <c r="P206" s="224"/>
      <c r="Q206" s="224"/>
      <c r="R206" s="224"/>
      <c r="S206" s="224"/>
      <c r="T206" s="224"/>
      <c r="U206" s="224"/>
      <c r="V206" s="224"/>
      <c r="W206" s="224"/>
      <c r="X206" s="152"/>
      <c r="Y206" s="224"/>
      <c r="Z206" s="137"/>
      <c r="AA206" s="224"/>
      <c r="AB206" s="131"/>
      <c r="AC206" s="131"/>
      <c r="AD206" s="293"/>
      <c r="AF206" s="531"/>
      <c r="AG206" s="531"/>
      <c r="AH206" s="531"/>
      <c r="AI206" s="531"/>
      <c r="AJ206" s="531"/>
      <c r="AK206" s="531"/>
      <c r="AL206" s="531"/>
      <c r="AM206" s="531"/>
      <c r="AN206" s="531"/>
      <c r="AO206" s="531"/>
      <c r="AP206" s="531"/>
      <c r="AQ206" s="531"/>
      <c r="AR206" s="531"/>
      <c r="AS206" s="531"/>
      <c r="AT206" s="531"/>
      <c r="AV206" s="224"/>
    </row>
    <row r="207" spans="1:49" s="529" customFormat="1" x14ac:dyDescent="0.25">
      <c r="A207" s="557"/>
      <c r="B207" s="470"/>
      <c r="C207" s="427"/>
      <c r="D207" s="224"/>
      <c r="E207" s="131" t="s">
        <v>10</v>
      </c>
      <c r="F207" s="131"/>
      <c r="G207" s="293">
        <v>20</v>
      </c>
      <c r="H207" s="230"/>
      <c r="I207" s="614"/>
      <c r="J207" s="639"/>
      <c r="K207" s="638">
        <f>(VLOOKUP($G207,Factors,K$316))*-$W207</f>
        <v>5793509.9850141099</v>
      </c>
      <c r="L207" s="638"/>
      <c r="M207" s="638">
        <f>(VLOOKUP($G207,Factors,M$316))*-$W207</f>
        <v>1202344.8010805037</v>
      </c>
      <c r="N207" s="638"/>
      <c r="O207" s="638">
        <f>(VLOOKUP($G207,Factors,O$316))*-$W207</f>
        <v>68643.483234764339</v>
      </c>
      <c r="P207" s="638"/>
      <c r="Q207" s="638">
        <f>(VLOOKUP($G207,Factors,Q$316))*-$W207</f>
        <v>161131.54485634156</v>
      </c>
      <c r="R207" s="638"/>
      <c r="S207" s="638">
        <f>(VLOOKUP($G207,Factors,S$316))*-$W207</f>
        <v>0</v>
      </c>
      <c r="T207" s="638"/>
      <c r="U207" s="638">
        <f>(VLOOKUP($G207,Factors,U$316))*-$W207</f>
        <v>0</v>
      </c>
      <c r="V207" s="531"/>
      <c r="W207" s="687">
        <f>+-W204</f>
        <v>-7225629.8141857199</v>
      </c>
      <c r="X207" s="152"/>
      <c r="Y207" s="224"/>
      <c r="Z207" s="137"/>
      <c r="AA207" s="224"/>
      <c r="AB207" s="131" t="s">
        <v>10</v>
      </c>
      <c r="AC207" s="131"/>
      <c r="AD207" s="293">
        <f>+G207</f>
        <v>20</v>
      </c>
      <c r="AF207" s="531">
        <f>+I207</f>
        <v>0</v>
      </c>
      <c r="AG207" s="531"/>
      <c r="AH207" s="643">
        <f>(VLOOKUP($AD207,func,AH$316))*$AF207</f>
        <v>0</v>
      </c>
      <c r="AI207" s="643"/>
      <c r="AJ207" s="643">
        <f>(VLOOKUP($AD207,func,AJ$316))*$AF207</f>
        <v>0</v>
      </c>
      <c r="AK207" s="643"/>
      <c r="AL207" s="643">
        <f>(VLOOKUP($AD207,func,AL$316))*$AF207</f>
        <v>0</v>
      </c>
      <c r="AM207" s="643"/>
      <c r="AN207" s="643">
        <f>-AT207</f>
        <v>7225629.8141857199</v>
      </c>
      <c r="AO207" s="643"/>
      <c r="AP207" s="643">
        <f>(VLOOKUP($AD207,func,AP$316))*$AF207</f>
        <v>0</v>
      </c>
      <c r="AQ207" s="643"/>
      <c r="AR207" s="643">
        <f>(VLOOKUP($AD207,func,AR$316))*$AF207</f>
        <v>0</v>
      </c>
      <c r="AS207" s="643"/>
      <c r="AT207" s="643">
        <f>+W207</f>
        <v>-7225629.8141857199</v>
      </c>
      <c r="AV207" s="224"/>
    </row>
    <row r="208" spans="1:49" s="529" customFormat="1" ht="10.199999999999999" customHeight="1" x14ac:dyDescent="0.25">
      <c r="A208" s="557"/>
      <c r="B208" s="470"/>
      <c r="C208" s="427"/>
      <c r="D208" s="224"/>
      <c r="E208" s="131"/>
      <c r="F208" s="131"/>
      <c r="G208" s="293"/>
      <c r="H208" s="230"/>
      <c r="I208" s="473"/>
      <c r="J208" s="379"/>
      <c r="K208" s="473"/>
      <c r="L208" s="224"/>
      <c r="M208" s="224"/>
      <c r="N208" s="224"/>
      <c r="O208" s="224"/>
      <c r="P208" s="224"/>
      <c r="Q208" s="224"/>
      <c r="R208" s="224"/>
      <c r="S208" s="224"/>
      <c r="T208" s="224"/>
      <c r="U208" s="224"/>
      <c r="V208" s="224"/>
      <c r="W208" s="224"/>
      <c r="X208" s="152"/>
      <c r="Y208" s="224"/>
      <c r="Z208" s="137"/>
      <c r="AA208" s="224"/>
      <c r="AB208" s="131"/>
      <c r="AC208" s="131"/>
      <c r="AD208" s="293"/>
      <c r="AF208" s="531"/>
      <c r="AG208" s="531"/>
      <c r="AH208" s="531"/>
      <c r="AI208" s="531"/>
      <c r="AJ208" s="531"/>
      <c r="AK208" s="531"/>
      <c r="AL208" s="531"/>
      <c r="AM208" s="531"/>
      <c r="AN208" s="531"/>
      <c r="AO208" s="531"/>
      <c r="AP208" s="531"/>
      <c r="AQ208" s="531"/>
      <c r="AR208" s="531"/>
      <c r="AS208" s="531"/>
      <c r="AT208" s="531"/>
      <c r="AV208" s="224"/>
    </row>
    <row r="209" spans="1:48" s="529" customFormat="1" ht="13.8" thickBot="1" x14ac:dyDescent="0.3">
      <c r="A209" s="557"/>
      <c r="B209" s="470"/>
      <c r="C209" s="427"/>
      <c r="D209" s="224"/>
      <c r="E209" s="233" t="s">
        <v>148</v>
      </c>
      <c r="F209" s="131"/>
      <c r="G209" s="293"/>
      <c r="H209" s="230"/>
      <c r="I209" s="660">
        <f>I204+I207</f>
        <v>68202600.182083949</v>
      </c>
      <c r="J209" s="639"/>
      <c r="K209" s="660">
        <f>K204+K207</f>
        <v>42038184.641234793</v>
      </c>
      <c r="L209" s="661"/>
      <c r="M209" s="660">
        <f>M204+M207</f>
        <v>16088336.937493855</v>
      </c>
      <c r="N209" s="661"/>
      <c r="O209" s="660">
        <f>O204+O207</f>
        <v>5002852.5249119168</v>
      </c>
      <c r="P209" s="661"/>
      <c r="Q209" s="660">
        <f>Q204+Q207</f>
        <v>2673921.9461987042</v>
      </c>
      <c r="R209" s="661"/>
      <c r="S209" s="660">
        <f>S204+S207</f>
        <v>2399304.132244674</v>
      </c>
      <c r="T209" s="661"/>
      <c r="U209" s="660">
        <f>U204+U207</f>
        <v>0</v>
      </c>
      <c r="V209" s="661"/>
      <c r="W209" s="660">
        <f>W204+W207</f>
        <v>0</v>
      </c>
      <c r="Y209" s="224"/>
      <c r="Z209" s="137"/>
      <c r="AA209" s="224"/>
      <c r="AB209" s="233" t="s">
        <v>148</v>
      </c>
      <c r="AC209" s="131"/>
      <c r="AD209" s="293"/>
      <c r="AF209" s="660">
        <f>AF204+AF207</f>
        <v>68202600.182083949</v>
      </c>
      <c r="AG209" s="661"/>
      <c r="AH209" s="660">
        <f>AH204+AH207</f>
        <v>30984228.233010333</v>
      </c>
      <c r="AI209" s="661"/>
      <c r="AJ209" s="660">
        <f>AJ204+AJ207</f>
        <v>10985404.451287597</v>
      </c>
      <c r="AK209" s="661"/>
      <c r="AL209" s="660">
        <f>AL204+AL207</f>
        <v>8445267.2713767048</v>
      </c>
      <c r="AM209" s="661"/>
      <c r="AN209" s="660">
        <f>AN204+AN207</f>
        <v>11023514.148027079</v>
      </c>
      <c r="AO209" s="661"/>
      <c r="AP209" s="660">
        <f>AP204+AP207</f>
        <v>3508988.8450032258</v>
      </c>
      <c r="AQ209" s="661"/>
      <c r="AR209" s="660">
        <f>AR204+AR207</f>
        <v>3255197.2333790041</v>
      </c>
      <c r="AS209" s="661"/>
      <c r="AT209" s="660">
        <f>AT204+AT207</f>
        <v>0</v>
      </c>
      <c r="AV209" s="224"/>
    </row>
    <row r="210" spans="1:48" ht="13.8" thickTop="1" x14ac:dyDescent="0.25">
      <c r="E210" s="131"/>
      <c r="F210" s="131"/>
      <c r="G210" s="293"/>
      <c r="H210" s="230"/>
      <c r="I210" s="612"/>
      <c r="J210" s="379"/>
      <c r="K210" s="282"/>
      <c r="L210" s="282"/>
      <c r="M210" s="282"/>
      <c r="N210" s="282"/>
      <c r="O210" s="282"/>
      <c r="P210" s="282"/>
      <c r="Q210" s="282"/>
      <c r="R210" s="282"/>
      <c r="S210" s="282"/>
      <c r="T210" s="282"/>
      <c r="U210" s="282"/>
      <c r="V210" s="282"/>
      <c r="W210" s="282"/>
      <c r="Z210" s="137"/>
      <c r="AA210" s="351"/>
      <c r="AB210" s="131"/>
      <c r="AC210" s="131"/>
      <c r="AD210" s="143"/>
      <c r="AF210" s="224"/>
      <c r="AG210" s="224"/>
      <c r="AH210" s="224"/>
      <c r="AI210" s="224"/>
      <c r="AJ210" s="224"/>
      <c r="AK210" s="224"/>
      <c r="AL210" s="224"/>
      <c r="AM210" s="224"/>
      <c r="AN210" s="224"/>
      <c r="AO210" s="224"/>
      <c r="AP210" s="224"/>
      <c r="AQ210" s="224"/>
      <c r="AR210" s="224"/>
    </row>
    <row r="211" spans="1:48" hidden="1" x14ac:dyDescent="0.25">
      <c r="E211" s="131"/>
      <c r="F211" s="131"/>
      <c r="G211" s="293"/>
      <c r="H211" s="230"/>
      <c r="I211" s="612"/>
      <c r="J211" s="379"/>
      <c r="K211" s="282"/>
      <c r="L211" s="282"/>
      <c r="M211" s="282"/>
      <c r="N211" s="282"/>
      <c r="O211" s="282"/>
      <c r="P211" s="282"/>
      <c r="Q211" s="282"/>
      <c r="R211" s="282"/>
      <c r="S211" s="282"/>
      <c r="T211" s="282"/>
      <c r="U211" s="282"/>
      <c r="V211" s="282"/>
      <c r="W211" s="282"/>
      <c r="Z211" s="137"/>
      <c r="AA211" s="351"/>
      <c r="AB211" s="131"/>
      <c r="AC211" s="131"/>
      <c r="AD211" s="143"/>
      <c r="AF211" s="224"/>
      <c r="AG211" s="224"/>
      <c r="AH211" s="224"/>
      <c r="AI211" s="224"/>
      <c r="AJ211" s="224"/>
      <c r="AK211" s="224"/>
      <c r="AL211" s="224"/>
      <c r="AM211" s="224"/>
      <c r="AN211" s="224"/>
      <c r="AO211" s="224"/>
      <c r="AP211" s="224"/>
      <c r="AQ211" s="224"/>
      <c r="AR211" s="224"/>
    </row>
    <row r="212" spans="1:48" hidden="1" x14ac:dyDescent="0.25">
      <c r="E212" s="131"/>
      <c r="F212" s="131"/>
      <c r="G212" s="143"/>
      <c r="H212" s="132"/>
      <c r="I212" s="561"/>
      <c r="J212" s="560"/>
      <c r="K212" s="282"/>
      <c r="L212" s="282"/>
      <c r="M212" s="282"/>
      <c r="N212" s="282"/>
      <c r="O212" s="282"/>
      <c r="P212" s="282"/>
      <c r="Q212" s="282"/>
      <c r="R212" s="282"/>
      <c r="S212" s="282"/>
      <c r="T212" s="282"/>
      <c r="U212" s="282"/>
      <c r="V212" s="282"/>
      <c r="W212" s="282"/>
      <c r="Z212" s="137"/>
      <c r="AA212" s="351"/>
      <c r="AB212" s="131"/>
      <c r="AC212" s="131"/>
      <c r="AD212" s="143"/>
      <c r="AF212" s="224"/>
      <c r="AG212" s="224"/>
      <c r="AH212" s="224">
        <f>+SUM('SCH-C - F 1-2'!G16:G20)*365</f>
        <v>10024725</v>
      </c>
      <c r="AI212" s="224"/>
      <c r="AJ212" s="224"/>
      <c r="AK212" s="224"/>
      <c r="AL212" s="224"/>
      <c r="AM212" s="224"/>
      <c r="AN212" s="224"/>
      <c r="AO212" s="224"/>
      <c r="AP212" s="224"/>
      <c r="AQ212" s="224"/>
      <c r="AR212" s="224"/>
    </row>
    <row r="213" spans="1:48" hidden="1" x14ac:dyDescent="0.25">
      <c r="E213" s="131"/>
      <c r="F213" s="131"/>
      <c r="G213" s="143"/>
      <c r="H213" s="132"/>
      <c r="I213" s="561"/>
      <c r="J213" s="560"/>
      <c r="K213" s="282"/>
      <c r="L213" s="282"/>
      <c r="M213" s="282"/>
      <c r="N213" s="282"/>
      <c r="O213" s="282"/>
      <c r="P213" s="282"/>
      <c r="Q213" s="282"/>
      <c r="R213" s="282"/>
      <c r="S213" s="282"/>
      <c r="T213" s="282"/>
      <c r="U213" s="282"/>
      <c r="V213" s="282"/>
      <c r="W213" s="282"/>
      <c r="Z213" s="137"/>
      <c r="AA213" s="351"/>
      <c r="AB213" s="131"/>
      <c r="AC213" s="131"/>
      <c r="AD213" s="143"/>
      <c r="AF213" s="224"/>
      <c r="AG213" s="224"/>
      <c r="AH213" s="224">
        <f>+AH209/AH212</f>
        <v>3.0907808676058779</v>
      </c>
      <c r="AI213" s="224"/>
      <c r="AJ213" s="224"/>
      <c r="AK213" s="224"/>
      <c r="AL213" s="224"/>
      <c r="AM213" s="224"/>
      <c r="AN213" s="224"/>
      <c r="AO213" s="224"/>
      <c r="AP213" s="224"/>
      <c r="AQ213" s="224"/>
      <c r="AR213" s="224"/>
    </row>
    <row r="214" spans="1:48" hidden="1" x14ac:dyDescent="0.25">
      <c r="E214" s="131"/>
      <c r="F214" s="131"/>
      <c r="G214" s="143"/>
      <c r="H214" s="132"/>
      <c r="I214" s="561"/>
      <c r="J214" s="560"/>
      <c r="K214" s="282"/>
      <c r="L214" s="282"/>
      <c r="M214" s="282"/>
      <c r="N214" s="282"/>
      <c r="O214" s="282"/>
      <c r="P214" s="282"/>
      <c r="Q214" s="282"/>
      <c r="R214" s="282"/>
      <c r="S214" s="282"/>
      <c r="T214" s="282"/>
      <c r="U214" s="282"/>
      <c r="V214" s="282"/>
      <c r="W214" s="282"/>
      <c r="Z214" s="137"/>
      <c r="AA214" s="351"/>
      <c r="AB214" s="131"/>
      <c r="AC214" s="131"/>
      <c r="AD214" s="143"/>
      <c r="AF214" s="224"/>
      <c r="AG214" s="224"/>
      <c r="AH214" s="224"/>
      <c r="AI214" s="224"/>
      <c r="AJ214" s="224"/>
      <c r="AK214" s="224"/>
      <c r="AL214" s="224"/>
      <c r="AM214" s="224"/>
      <c r="AN214" s="224"/>
      <c r="AO214" s="224"/>
      <c r="AP214" s="224"/>
      <c r="AQ214" s="224"/>
      <c r="AR214" s="681"/>
    </row>
    <row r="215" spans="1:48" hidden="1" x14ac:dyDescent="0.25">
      <c r="E215" s="131"/>
      <c r="F215" s="131"/>
      <c r="G215" s="143"/>
      <c r="H215" s="132"/>
      <c r="I215" s="561"/>
      <c r="J215" s="560"/>
      <c r="K215" s="282"/>
      <c r="L215" s="282"/>
      <c r="M215" s="282"/>
      <c r="N215" s="282"/>
      <c r="O215" s="282"/>
      <c r="P215" s="282"/>
      <c r="Q215" s="282"/>
      <c r="R215" s="282"/>
      <c r="S215" s="282"/>
      <c r="T215" s="282"/>
      <c r="U215" s="282"/>
      <c r="V215" s="282"/>
      <c r="W215" s="282"/>
      <c r="Z215" s="137"/>
      <c r="AA215" s="351"/>
      <c r="AB215" s="131"/>
      <c r="AC215" s="131"/>
      <c r="AD215" s="143"/>
      <c r="AF215" s="224"/>
      <c r="AG215" s="224"/>
      <c r="AH215" s="224"/>
      <c r="AI215" s="224"/>
      <c r="AJ215" s="224"/>
      <c r="AK215" s="224"/>
      <c r="AL215" s="224"/>
      <c r="AM215" s="224"/>
      <c r="AN215" s="224"/>
      <c r="AO215" s="224"/>
      <c r="AP215" s="224"/>
      <c r="AQ215" s="224"/>
      <c r="AR215" s="681"/>
    </row>
    <row r="216" spans="1:48" hidden="1" x14ac:dyDescent="0.25">
      <c r="E216" s="131"/>
      <c r="F216" s="131"/>
      <c r="G216" s="143"/>
      <c r="H216" s="132"/>
      <c r="I216" s="561"/>
      <c r="J216" s="560"/>
      <c r="K216" s="282"/>
      <c r="L216" s="282"/>
      <c r="M216" s="282"/>
      <c r="N216" s="282"/>
      <c r="O216" s="282"/>
      <c r="P216" s="282"/>
      <c r="Q216" s="282"/>
      <c r="R216" s="282"/>
      <c r="S216" s="282"/>
      <c r="T216" s="282"/>
      <c r="U216" s="282"/>
      <c r="V216" s="282"/>
      <c r="W216" s="282"/>
      <c r="Z216" s="137"/>
      <c r="AA216" s="351"/>
      <c r="AB216" s="131"/>
      <c r="AC216" s="131"/>
      <c r="AD216" s="143"/>
      <c r="AF216" s="224"/>
      <c r="AG216" s="224"/>
      <c r="AH216" s="224"/>
      <c r="AI216" s="224"/>
      <c r="AJ216" s="224"/>
      <c r="AK216" s="224"/>
      <c r="AL216" s="224"/>
      <c r="AM216" s="224"/>
      <c r="AN216" s="224"/>
      <c r="AO216" s="224"/>
      <c r="AP216" s="224"/>
      <c r="AQ216" s="224"/>
      <c r="AR216" s="681"/>
    </row>
    <row r="217" spans="1:48" x14ac:dyDescent="0.25">
      <c r="E217" s="131"/>
      <c r="F217" s="131"/>
      <c r="G217" s="143"/>
      <c r="H217" s="132"/>
      <c r="I217" s="561"/>
      <c r="J217" s="560"/>
      <c r="K217" s="282"/>
      <c r="L217" s="282"/>
      <c r="M217" s="282"/>
      <c r="N217" s="282"/>
      <c r="O217" s="282"/>
      <c r="P217" s="282"/>
      <c r="Q217" s="282"/>
      <c r="R217" s="282"/>
      <c r="S217" s="282"/>
      <c r="T217" s="282"/>
      <c r="U217" s="282"/>
      <c r="V217" s="282"/>
      <c r="W217" s="282"/>
      <c r="Z217" s="137"/>
      <c r="AA217" s="351"/>
      <c r="AB217" s="131"/>
      <c r="AC217" s="131"/>
      <c r="AD217" s="143"/>
      <c r="AF217" s="224"/>
      <c r="AG217" s="224"/>
      <c r="AH217" s="224"/>
      <c r="AI217" s="224"/>
      <c r="AJ217" s="224"/>
      <c r="AK217" s="224"/>
      <c r="AL217" s="224"/>
      <c r="AM217" s="224"/>
      <c r="AN217" s="224"/>
      <c r="AO217" s="224"/>
      <c r="AP217" s="224"/>
      <c r="AQ217" s="224"/>
      <c r="AR217" s="681"/>
    </row>
    <row r="218" spans="1:48" x14ac:dyDescent="0.25">
      <c r="E218" s="255" t="s">
        <v>131</v>
      </c>
      <c r="I218" s="553"/>
      <c r="J218" s="596"/>
      <c r="K218" s="351"/>
      <c r="L218" s="351"/>
      <c r="M218" s="351"/>
      <c r="N218" s="351"/>
      <c r="O218" s="351"/>
      <c r="P218" s="351"/>
      <c r="Q218" s="351"/>
      <c r="R218" s="351"/>
      <c r="S218" s="351"/>
      <c r="T218" s="351"/>
      <c r="U218" s="351"/>
      <c r="V218" s="351"/>
      <c r="W218" s="351"/>
      <c r="Z218" s="137"/>
      <c r="AA218" s="351"/>
      <c r="AB218" s="255" t="s">
        <v>131</v>
      </c>
      <c r="AC218" s="133"/>
      <c r="AD218" s="144"/>
      <c r="AF218" s="224"/>
      <c r="AG218" s="224"/>
      <c r="AH218" s="224"/>
      <c r="AI218" s="224"/>
      <c r="AJ218" s="224"/>
      <c r="AK218" s="224"/>
      <c r="AL218" s="224"/>
      <c r="AM218" s="224"/>
      <c r="AN218" s="224"/>
      <c r="AO218" s="224"/>
      <c r="AP218" s="224"/>
      <c r="AQ218" s="224"/>
      <c r="AR218" s="224"/>
    </row>
    <row r="219" spans="1:48" x14ac:dyDescent="0.25">
      <c r="B219" s="427"/>
      <c r="C219" s="438"/>
      <c r="E219" s="209"/>
      <c r="I219" s="473"/>
      <c r="J219" s="225"/>
      <c r="K219" s="223"/>
      <c r="L219" s="351"/>
      <c r="M219" s="223"/>
      <c r="N219" s="351"/>
      <c r="O219" s="223"/>
      <c r="P219" s="351"/>
      <c r="Q219" s="223"/>
      <c r="R219" s="351"/>
      <c r="S219" s="223"/>
      <c r="T219" s="351"/>
      <c r="U219" s="223"/>
      <c r="V219" s="351"/>
      <c r="W219" s="223"/>
      <c r="AA219" s="351"/>
      <c r="AB219" s="209"/>
      <c r="AC219" s="133"/>
      <c r="AD219" s="144"/>
      <c r="AE219" s="133"/>
      <c r="AF219" s="396"/>
      <c r="AG219" s="224"/>
      <c r="AH219" s="223"/>
      <c r="AI219" s="223"/>
      <c r="AJ219" s="223"/>
      <c r="AK219" s="223"/>
      <c r="AL219" s="223"/>
      <c r="AM219" s="223"/>
      <c r="AN219" s="223"/>
      <c r="AO219" s="223"/>
      <c r="AP219" s="223"/>
      <c r="AQ219" s="223"/>
      <c r="AR219" s="223"/>
      <c r="AS219" s="139"/>
      <c r="AT219" s="139"/>
    </row>
    <row r="220" spans="1:48" x14ac:dyDescent="0.25">
      <c r="B220" s="427"/>
      <c r="C220" s="438">
        <v>303.10000000000002</v>
      </c>
      <c r="E220" s="389" t="s">
        <v>81</v>
      </c>
      <c r="G220" s="144">
        <v>2</v>
      </c>
      <c r="I220" s="643">
        <v>29200</v>
      </c>
      <c r="J220" s="662"/>
      <c r="K220" s="641">
        <f t="shared" ref="K220:K260" si="120">(VLOOKUP($G220,Factors,K$316))*$I220</f>
        <v>15201.519999999999</v>
      </c>
      <c r="L220" s="644"/>
      <c r="M220" s="641">
        <f t="shared" ref="M220:M260" si="121">(VLOOKUP($G220,Factors,M$316))*$I220</f>
        <v>7729.24</v>
      </c>
      <c r="N220" s="644"/>
      <c r="O220" s="641">
        <f t="shared" ref="O220:O260" si="122">(VLOOKUP($G220,Factors,O$316))*$I220</f>
        <v>2902.48</v>
      </c>
      <c r="P220" s="644"/>
      <c r="Q220" s="641">
        <f t="shared" ref="Q220:Q260" si="123">(VLOOKUP($G220,Factors,Q$316))*$I220</f>
        <v>1404.52</v>
      </c>
      <c r="R220" s="644"/>
      <c r="S220" s="641">
        <f t="shared" ref="S220:S260" si="124">(VLOOKUP($G220,Factors,S$316))*$I220</f>
        <v>1845.4400000000003</v>
      </c>
      <c r="T220" s="644"/>
      <c r="U220" s="641">
        <f t="shared" ref="U220:U260" si="125">(VLOOKUP($G220,Factors,U$316))*$I220</f>
        <v>0</v>
      </c>
      <c r="V220" s="644"/>
      <c r="W220" s="641">
        <f t="shared" ref="W220:W260" si="126">(VLOOKUP($G220,Factors,W$316))*$I220</f>
        <v>116.8</v>
      </c>
      <c r="AA220" s="351"/>
      <c r="AB220" s="389" t="s">
        <v>81</v>
      </c>
      <c r="AC220" s="133"/>
      <c r="AD220" s="144">
        <f t="shared" ref="AD220" si="127">+G220</f>
        <v>2</v>
      </c>
      <c r="AE220" s="133"/>
      <c r="AF220" s="396">
        <f t="shared" ref="AF220" si="128">+I220</f>
        <v>29200</v>
      </c>
      <c r="AG220" s="224"/>
      <c r="AH220" s="223">
        <f t="shared" ref="AH220:AH260" si="129">(VLOOKUP($AD220,func,AH$316))*$AF220</f>
        <v>18133.2</v>
      </c>
      <c r="AI220" s="223"/>
      <c r="AJ220" s="223">
        <f t="shared" ref="AJ220:AJ260" si="130">(VLOOKUP($AD220,func,AJ$316))*$AF220</f>
        <v>10950</v>
      </c>
      <c r="AK220" s="223"/>
      <c r="AL220" s="223">
        <f t="shared" ref="AL220:AL260" si="131">(VLOOKUP($AD220,func,AL$316))*$AF220</f>
        <v>0</v>
      </c>
      <c r="AM220" s="223"/>
      <c r="AN220" s="223">
        <f t="shared" ref="AN220:AN260" si="132">(VLOOKUP($AD220,func,AN$316))*$AF220</f>
        <v>0</v>
      </c>
      <c r="AO220" s="223"/>
      <c r="AP220" s="223">
        <f t="shared" ref="AP220:AP260" si="133">(VLOOKUP($AD220,func,AP$316))*$AF220</f>
        <v>0</v>
      </c>
      <c r="AQ220" s="223"/>
      <c r="AR220" s="223">
        <f t="shared" ref="AR220:AR260" si="134">(VLOOKUP($AD220,func,AR$316))*$AF220</f>
        <v>0</v>
      </c>
      <c r="AS220" s="139"/>
      <c r="AT220" s="139">
        <f t="shared" ref="AT220:AT260" si="135">(VLOOKUP($AD220,func,AT$316))*$AF220</f>
        <v>116.8</v>
      </c>
    </row>
    <row r="221" spans="1:48" x14ac:dyDescent="0.25">
      <c r="B221" s="427"/>
      <c r="C221" s="438">
        <v>303.2</v>
      </c>
      <c r="E221" s="389" t="s">
        <v>82</v>
      </c>
      <c r="G221" s="144">
        <v>2</v>
      </c>
      <c r="I221" s="473">
        <v>368719.46</v>
      </c>
      <c r="J221" s="225"/>
      <c r="K221" s="223">
        <f t="shared" si="120"/>
        <v>191955.35087599998</v>
      </c>
      <c r="L221" s="351"/>
      <c r="M221" s="223">
        <f t="shared" si="121"/>
        <v>97600.041062000004</v>
      </c>
      <c r="N221" s="351"/>
      <c r="O221" s="223">
        <f t="shared" si="122"/>
        <v>36650.714324</v>
      </c>
      <c r="P221" s="351"/>
      <c r="Q221" s="223">
        <f t="shared" si="123"/>
        <v>17735.406026000001</v>
      </c>
      <c r="R221" s="351"/>
      <c r="S221" s="223">
        <f t="shared" si="124"/>
        <v>23303.069872000004</v>
      </c>
      <c r="T221" s="351"/>
      <c r="U221" s="223">
        <f t="shared" si="125"/>
        <v>0</v>
      </c>
      <c r="V221" s="351"/>
      <c r="W221" s="223">
        <f t="shared" si="126"/>
        <v>1474.8778400000001</v>
      </c>
      <c r="AA221" s="351"/>
      <c r="AB221" s="389" t="s">
        <v>82</v>
      </c>
      <c r="AC221" s="133"/>
      <c r="AD221" s="144">
        <f t="shared" ref="AD221:AD260" si="136">+G221</f>
        <v>2</v>
      </c>
      <c r="AE221" s="133"/>
      <c r="AF221" s="396">
        <f t="shared" ref="AF221:AF260" si="137">+I221</f>
        <v>368719.46</v>
      </c>
      <c r="AG221" s="224"/>
      <c r="AH221" s="223">
        <f t="shared" si="129"/>
        <v>228974.78466</v>
      </c>
      <c r="AI221" s="223"/>
      <c r="AJ221" s="223">
        <f t="shared" si="130"/>
        <v>138269.79750000002</v>
      </c>
      <c r="AK221" s="223"/>
      <c r="AL221" s="223">
        <f t="shared" si="131"/>
        <v>0</v>
      </c>
      <c r="AM221" s="223"/>
      <c r="AN221" s="223">
        <f t="shared" si="132"/>
        <v>0</v>
      </c>
      <c r="AO221" s="223"/>
      <c r="AP221" s="223">
        <f t="shared" si="133"/>
        <v>0</v>
      </c>
      <c r="AQ221" s="223"/>
      <c r="AR221" s="223">
        <f t="shared" si="134"/>
        <v>0</v>
      </c>
      <c r="AS221" s="139"/>
      <c r="AT221" s="139">
        <f t="shared" si="135"/>
        <v>1474.8778400000001</v>
      </c>
    </row>
    <row r="222" spans="1:48" x14ac:dyDescent="0.25">
      <c r="B222" s="427"/>
      <c r="C222" s="438">
        <v>303.3</v>
      </c>
      <c r="E222" s="389" t="s">
        <v>83</v>
      </c>
      <c r="G222" s="144">
        <v>3</v>
      </c>
      <c r="I222" s="473">
        <v>374601.58</v>
      </c>
      <c r="J222" s="225"/>
      <c r="K222" s="223">
        <f t="shared" si="120"/>
        <v>166885.00389000002</v>
      </c>
      <c r="L222" s="351"/>
      <c r="M222" s="223">
        <f t="shared" si="121"/>
        <v>84809.797712</v>
      </c>
      <c r="N222" s="351"/>
      <c r="O222" s="223">
        <f t="shared" si="122"/>
        <v>31803.674142000003</v>
      </c>
      <c r="P222" s="351"/>
      <c r="Q222" s="223">
        <f t="shared" si="123"/>
        <v>15433.585096000001</v>
      </c>
      <c r="R222" s="351"/>
      <c r="S222" s="223">
        <f t="shared" si="124"/>
        <v>20228.48532</v>
      </c>
      <c r="T222" s="351"/>
      <c r="U222" s="223">
        <f t="shared" si="125"/>
        <v>0</v>
      </c>
      <c r="V222" s="351"/>
      <c r="W222" s="223">
        <f t="shared" si="126"/>
        <v>55441.033839999996</v>
      </c>
      <c r="AA222" s="351"/>
      <c r="AB222" s="389" t="s">
        <v>83</v>
      </c>
      <c r="AC222" s="133"/>
      <c r="AD222" s="144">
        <f t="shared" si="136"/>
        <v>3</v>
      </c>
      <c r="AE222" s="133"/>
      <c r="AF222" s="396">
        <f t="shared" si="137"/>
        <v>374601.58</v>
      </c>
      <c r="AG222" s="224"/>
      <c r="AH222" s="223">
        <f t="shared" si="129"/>
        <v>198988.35929600001</v>
      </c>
      <c r="AI222" s="223"/>
      <c r="AJ222" s="223">
        <f t="shared" si="130"/>
        <v>120172.18686399999</v>
      </c>
      <c r="AK222" s="223"/>
      <c r="AL222" s="223">
        <f t="shared" si="131"/>
        <v>0</v>
      </c>
      <c r="AM222" s="223"/>
      <c r="AN222" s="223">
        <f t="shared" si="132"/>
        <v>0</v>
      </c>
      <c r="AO222" s="223"/>
      <c r="AP222" s="223">
        <f t="shared" si="133"/>
        <v>0</v>
      </c>
      <c r="AQ222" s="223"/>
      <c r="AR222" s="223">
        <f t="shared" si="134"/>
        <v>0</v>
      </c>
      <c r="AS222" s="139"/>
      <c r="AT222" s="139">
        <f t="shared" si="135"/>
        <v>55441.033839999996</v>
      </c>
    </row>
    <row r="223" spans="1:48" x14ac:dyDescent="0.25">
      <c r="B223" s="427"/>
      <c r="C223" s="438">
        <v>303.39999999999998</v>
      </c>
      <c r="E223" s="389" t="s">
        <v>84</v>
      </c>
      <c r="G223" s="144">
        <v>2</v>
      </c>
      <c r="I223" s="473">
        <v>2575648.25</v>
      </c>
      <c r="J223" s="225"/>
      <c r="K223" s="223">
        <f t="shared" si="120"/>
        <v>1340882.4789499999</v>
      </c>
      <c r="L223" s="351"/>
      <c r="M223" s="223">
        <f t="shared" si="121"/>
        <v>681774.09177499998</v>
      </c>
      <c r="N223" s="351"/>
      <c r="O223" s="223">
        <f t="shared" si="122"/>
        <v>256019.43605000002</v>
      </c>
      <c r="P223" s="351"/>
      <c r="Q223" s="223">
        <f t="shared" si="123"/>
        <v>123888.68082499999</v>
      </c>
      <c r="R223" s="351"/>
      <c r="S223" s="223">
        <f t="shared" si="124"/>
        <v>162780.9694</v>
      </c>
      <c r="T223" s="351"/>
      <c r="U223" s="223">
        <f t="shared" si="125"/>
        <v>0</v>
      </c>
      <c r="V223" s="351"/>
      <c r="W223" s="223">
        <f t="shared" si="126"/>
        <v>10302.593000000001</v>
      </c>
      <c r="AA223" s="351"/>
      <c r="AB223" s="389" t="s">
        <v>84</v>
      </c>
      <c r="AC223" s="133"/>
      <c r="AD223" s="144">
        <f t="shared" si="136"/>
        <v>2</v>
      </c>
      <c r="AE223" s="133"/>
      <c r="AF223" s="396">
        <f t="shared" si="137"/>
        <v>2575648.25</v>
      </c>
      <c r="AG223" s="224"/>
      <c r="AH223" s="223">
        <f t="shared" si="129"/>
        <v>1599477.5632499999</v>
      </c>
      <c r="AI223" s="223"/>
      <c r="AJ223" s="223">
        <f t="shared" si="130"/>
        <v>965868.09375</v>
      </c>
      <c r="AK223" s="223"/>
      <c r="AL223" s="223">
        <f t="shared" si="131"/>
        <v>0</v>
      </c>
      <c r="AM223" s="223"/>
      <c r="AN223" s="223">
        <f t="shared" si="132"/>
        <v>0</v>
      </c>
      <c r="AO223" s="223"/>
      <c r="AP223" s="223">
        <f t="shared" si="133"/>
        <v>0</v>
      </c>
      <c r="AQ223" s="223"/>
      <c r="AR223" s="223">
        <f t="shared" si="134"/>
        <v>0</v>
      </c>
      <c r="AS223" s="139"/>
      <c r="AT223" s="139">
        <f t="shared" si="135"/>
        <v>10302.593000000001</v>
      </c>
    </row>
    <row r="224" spans="1:48" x14ac:dyDescent="0.25">
      <c r="B224" s="427"/>
      <c r="C224" s="438">
        <v>304.10000000000002</v>
      </c>
      <c r="E224" s="389" t="s">
        <v>60</v>
      </c>
      <c r="G224" s="144">
        <v>2</v>
      </c>
      <c r="I224" s="473">
        <v>9358525.4100000001</v>
      </c>
      <c r="J224" s="225"/>
      <c r="K224" s="223">
        <f t="shared" si="120"/>
        <v>4872048.3284459999</v>
      </c>
      <c r="L224" s="351"/>
      <c r="M224" s="223">
        <f t="shared" si="121"/>
        <v>2477201.676027</v>
      </c>
      <c r="N224" s="351"/>
      <c r="O224" s="223">
        <f t="shared" si="122"/>
        <v>930237.42575400008</v>
      </c>
      <c r="P224" s="351"/>
      <c r="Q224" s="223">
        <f t="shared" si="123"/>
        <v>450145.07222099998</v>
      </c>
      <c r="R224" s="351"/>
      <c r="S224" s="223">
        <f t="shared" si="124"/>
        <v>591458.80591200001</v>
      </c>
      <c r="T224" s="351"/>
      <c r="U224" s="223">
        <f t="shared" si="125"/>
        <v>0</v>
      </c>
      <c r="V224" s="351"/>
      <c r="W224" s="223">
        <f t="shared" si="126"/>
        <v>37434.101640000001</v>
      </c>
      <c r="AA224" s="351"/>
      <c r="AB224" s="389" t="s">
        <v>60</v>
      </c>
      <c r="AC224" s="133"/>
      <c r="AD224" s="144">
        <f t="shared" si="136"/>
        <v>2</v>
      </c>
      <c r="AE224" s="133"/>
      <c r="AF224" s="396">
        <f t="shared" si="137"/>
        <v>9358525.4100000001</v>
      </c>
      <c r="AG224" s="224"/>
      <c r="AH224" s="223">
        <f t="shared" si="129"/>
        <v>5811644.2796099996</v>
      </c>
      <c r="AI224" s="223"/>
      <c r="AJ224" s="223">
        <f t="shared" si="130"/>
        <v>3509447.0287500001</v>
      </c>
      <c r="AK224" s="223"/>
      <c r="AL224" s="223">
        <f t="shared" si="131"/>
        <v>0</v>
      </c>
      <c r="AM224" s="223"/>
      <c r="AN224" s="223">
        <f t="shared" si="132"/>
        <v>0</v>
      </c>
      <c r="AO224" s="223"/>
      <c r="AP224" s="223">
        <f t="shared" si="133"/>
        <v>0</v>
      </c>
      <c r="AQ224" s="223"/>
      <c r="AR224" s="223">
        <f t="shared" si="134"/>
        <v>0</v>
      </c>
      <c r="AS224" s="139"/>
      <c r="AT224" s="139">
        <f t="shared" si="135"/>
        <v>37434.101640000001</v>
      </c>
    </row>
    <row r="225" spans="1:48" x14ac:dyDescent="0.25">
      <c r="B225" s="427"/>
      <c r="C225" s="438">
        <v>304.2</v>
      </c>
      <c r="E225" s="389" t="s">
        <v>61</v>
      </c>
      <c r="G225" s="144">
        <v>2</v>
      </c>
      <c r="I225" s="473">
        <v>48658466.290000007</v>
      </c>
      <c r="J225" s="225"/>
      <c r="K225" s="223">
        <f t="shared" si="120"/>
        <v>25331597.550574001</v>
      </c>
      <c r="L225" s="351"/>
      <c r="M225" s="223">
        <f t="shared" si="121"/>
        <v>12879896.026963001</v>
      </c>
      <c r="N225" s="351"/>
      <c r="O225" s="223">
        <f t="shared" si="122"/>
        <v>4836651.5492260009</v>
      </c>
      <c r="P225" s="351"/>
      <c r="Q225" s="223">
        <f t="shared" si="123"/>
        <v>2340472.2285490003</v>
      </c>
      <c r="R225" s="351"/>
      <c r="S225" s="223">
        <f t="shared" si="124"/>
        <v>3075215.0695280009</v>
      </c>
      <c r="T225" s="351"/>
      <c r="U225" s="223">
        <f t="shared" si="125"/>
        <v>0</v>
      </c>
      <c r="V225" s="351"/>
      <c r="W225" s="223">
        <f t="shared" si="126"/>
        <v>194633.86516000002</v>
      </c>
      <c r="AA225" s="351"/>
      <c r="AB225" s="389" t="s">
        <v>61</v>
      </c>
      <c r="AC225" s="133"/>
      <c r="AD225" s="144">
        <f t="shared" si="136"/>
        <v>2</v>
      </c>
      <c r="AE225" s="133"/>
      <c r="AF225" s="396">
        <f t="shared" si="137"/>
        <v>48658466.290000007</v>
      </c>
      <c r="AG225" s="224"/>
      <c r="AH225" s="223">
        <f t="shared" si="129"/>
        <v>30216907.566090003</v>
      </c>
      <c r="AI225" s="223"/>
      <c r="AJ225" s="223">
        <f t="shared" si="130"/>
        <v>18246924.858750001</v>
      </c>
      <c r="AK225" s="223"/>
      <c r="AL225" s="223">
        <f t="shared" si="131"/>
        <v>0</v>
      </c>
      <c r="AM225" s="223"/>
      <c r="AN225" s="223">
        <f t="shared" si="132"/>
        <v>0</v>
      </c>
      <c r="AO225" s="223"/>
      <c r="AP225" s="223">
        <f t="shared" si="133"/>
        <v>0</v>
      </c>
      <c r="AQ225" s="223"/>
      <c r="AR225" s="223">
        <f t="shared" si="134"/>
        <v>0</v>
      </c>
      <c r="AS225" s="139"/>
      <c r="AT225" s="139">
        <f t="shared" si="135"/>
        <v>194633.86516000002</v>
      </c>
    </row>
    <row r="226" spans="1:48" x14ac:dyDescent="0.25">
      <c r="B226" s="427"/>
      <c r="C226" s="438">
        <v>304.3</v>
      </c>
      <c r="E226" s="389" t="s">
        <v>62</v>
      </c>
      <c r="G226" s="144">
        <v>3</v>
      </c>
      <c r="I226" s="473">
        <v>4678235.43</v>
      </c>
      <c r="J226" s="225"/>
      <c r="K226" s="223">
        <f t="shared" si="120"/>
        <v>2084153.8840649999</v>
      </c>
      <c r="L226" s="351"/>
      <c r="M226" s="223">
        <f t="shared" si="121"/>
        <v>1059152.5013519998</v>
      </c>
      <c r="N226" s="351"/>
      <c r="O226" s="223">
        <f t="shared" si="122"/>
        <v>397182.18800700002</v>
      </c>
      <c r="P226" s="351"/>
      <c r="Q226" s="223">
        <f t="shared" si="123"/>
        <v>192743.29971599998</v>
      </c>
      <c r="R226" s="351"/>
      <c r="S226" s="223">
        <f t="shared" si="124"/>
        <v>252624.71321999998</v>
      </c>
      <c r="T226" s="351"/>
      <c r="U226" s="223">
        <f t="shared" si="125"/>
        <v>0</v>
      </c>
      <c r="V226" s="351"/>
      <c r="W226" s="223">
        <f t="shared" si="126"/>
        <v>692378.84363999998</v>
      </c>
      <c r="AA226" s="351"/>
      <c r="AB226" s="389" t="s">
        <v>62</v>
      </c>
      <c r="AC226" s="133"/>
      <c r="AD226" s="144">
        <f t="shared" si="136"/>
        <v>3</v>
      </c>
      <c r="AE226" s="133"/>
      <c r="AF226" s="396">
        <f t="shared" si="137"/>
        <v>4678235.43</v>
      </c>
      <c r="AG226" s="224"/>
      <c r="AH226" s="223">
        <f t="shared" si="129"/>
        <v>2485078.6604160001</v>
      </c>
      <c r="AI226" s="223"/>
      <c r="AJ226" s="223">
        <f t="shared" si="130"/>
        <v>1500777.9259439998</v>
      </c>
      <c r="AK226" s="223"/>
      <c r="AL226" s="223">
        <f t="shared" si="131"/>
        <v>0</v>
      </c>
      <c r="AM226" s="223"/>
      <c r="AN226" s="223">
        <f t="shared" si="132"/>
        <v>0</v>
      </c>
      <c r="AO226" s="223"/>
      <c r="AP226" s="223">
        <f t="shared" si="133"/>
        <v>0</v>
      </c>
      <c r="AQ226" s="223"/>
      <c r="AR226" s="223">
        <f t="shared" si="134"/>
        <v>0</v>
      </c>
      <c r="AS226" s="139"/>
      <c r="AT226" s="139">
        <f t="shared" si="135"/>
        <v>692378.84363999998</v>
      </c>
    </row>
    <row r="227" spans="1:48" x14ac:dyDescent="0.25">
      <c r="B227" s="427"/>
      <c r="C227" s="438">
        <v>304.39999999999998</v>
      </c>
      <c r="E227" s="389" t="s">
        <v>63</v>
      </c>
      <c r="G227" s="144">
        <v>14</v>
      </c>
      <c r="I227" s="473">
        <v>5789026.8200000003</v>
      </c>
      <c r="J227" s="225"/>
      <c r="K227" s="223">
        <f t="shared" si="120"/>
        <v>3244749.5326100001</v>
      </c>
      <c r="L227" s="351"/>
      <c r="M227" s="223">
        <f t="shared" si="121"/>
        <v>1182698.1793260002</v>
      </c>
      <c r="N227" s="351"/>
      <c r="O227" s="223">
        <f t="shared" si="122"/>
        <v>367024.30038800003</v>
      </c>
      <c r="P227" s="351"/>
      <c r="Q227" s="223">
        <f t="shared" si="123"/>
        <v>191037.88506000003</v>
      </c>
      <c r="R227" s="351"/>
      <c r="S227" s="223">
        <f t="shared" si="124"/>
        <v>149935.79463799999</v>
      </c>
      <c r="T227" s="351"/>
      <c r="U227" s="223">
        <f t="shared" si="125"/>
        <v>0</v>
      </c>
      <c r="V227" s="351"/>
      <c r="W227" s="223">
        <f t="shared" si="126"/>
        <v>653581.12797800009</v>
      </c>
      <c r="AA227" s="351"/>
      <c r="AB227" s="389" t="s">
        <v>63</v>
      </c>
      <c r="AC227" s="133"/>
      <c r="AD227" s="144">
        <f t="shared" si="136"/>
        <v>14</v>
      </c>
      <c r="AE227" s="133"/>
      <c r="AF227" s="396">
        <f t="shared" si="137"/>
        <v>5789026.8200000003</v>
      </c>
      <c r="AG227" s="224"/>
      <c r="AH227" s="223">
        <f t="shared" si="129"/>
        <v>2051631.105008</v>
      </c>
      <c r="AI227" s="223"/>
      <c r="AJ227" s="223">
        <f t="shared" si="130"/>
        <v>822041.80843999994</v>
      </c>
      <c r="AK227" s="223"/>
      <c r="AL227" s="223">
        <f t="shared" si="131"/>
        <v>973135.40844200004</v>
      </c>
      <c r="AM227" s="223"/>
      <c r="AN227" s="223">
        <f t="shared" si="132"/>
        <v>417388.83372200001</v>
      </c>
      <c r="AO227" s="223"/>
      <c r="AP227" s="223">
        <f t="shared" si="133"/>
        <v>257611.69349000001</v>
      </c>
      <c r="AQ227" s="223"/>
      <c r="AR227" s="223">
        <f t="shared" si="134"/>
        <v>613636.84291999997</v>
      </c>
      <c r="AS227" s="139"/>
      <c r="AT227" s="139">
        <f t="shared" si="135"/>
        <v>653581.12797800009</v>
      </c>
    </row>
    <row r="228" spans="1:48" x14ac:dyDescent="0.25">
      <c r="B228" s="427"/>
      <c r="C228" s="438">
        <v>304.5</v>
      </c>
      <c r="E228" s="389" t="s">
        <v>64</v>
      </c>
      <c r="G228" s="144">
        <v>14</v>
      </c>
      <c r="I228" s="473">
        <v>8382.5400000000009</v>
      </c>
      <c r="J228" s="225"/>
      <c r="K228" s="223">
        <f t="shared" si="120"/>
        <v>4698.4136700000008</v>
      </c>
      <c r="L228" s="351"/>
      <c r="M228" s="223">
        <f t="shared" si="121"/>
        <v>1712.5529220000003</v>
      </c>
      <c r="N228" s="351"/>
      <c r="O228" s="223">
        <f t="shared" si="122"/>
        <v>531.453036</v>
      </c>
      <c r="P228" s="351"/>
      <c r="Q228" s="223">
        <f t="shared" si="123"/>
        <v>276.62382000000002</v>
      </c>
      <c r="R228" s="351"/>
      <c r="S228" s="223">
        <f t="shared" si="124"/>
        <v>217.107786</v>
      </c>
      <c r="T228" s="351"/>
      <c r="U228" s="223">
        <f t="shared" si="125"/>
        <v>0</v>
      </c>
      <c r="V228" s="351"/>
      <c r="W228" s="223">
        <f t="shared" si="126"/>
        <v>946.38876600000015</v>
      </c>
      <c r="AA228" s="351"/>
      <c r="AB228" s="389" t="s">
        <v>64</v>
      </c>
      <c r="AC228" s="133"/>
      <c r="AD228" s="144">
        <f t="shared" si="136"/>
        <v>14</v>
      </c>
      <c r="AE228" s="133"/>
      <c r="AF228" s="396">
        <f t="shared" si="137"/>
        <v>8382.5400000000009</v>
      </c>
      <c r="AG228" s="224"/>
      <c r="AH228" s="223">
        <f t="shared" si="129"/>
        <v>2970.7721760000004</v>
      </c>
      <c r="AI228" s="223"/>
      <c r="AJ228" s="223">
        <f t="shared" si="130"/>
        <v>1190.32068</v>
      </c>
      <c r="AK228" s="223"/>
      <c r="AL228" s="223">
        <f t="shared" si="131"/>
        <v>1409.1049740000001</v>
      </c>
      <c r="AM228" s="223"/>
      <c r="AN228" s="223">
        <f t="shared" si="132"/>
        <v>604.38113400000009</v>
      </c>
      <c r="AO228" s="223"/>
      <c r="AP228" s="223">
        <f t="shared" si="133"/>
        <v>373.02303000000001</v>
      </c>
      <c r="AQ228" s="223"/>
      <c r="AR228" s="223">
        <f t="shared" si="134"/>
        <v>888.54924000000005</v>
      </c>
      <c r="AS228" s="139"/>
      <c r="AT228" s="139">
        <f t="shared" si="135"/>
        <v>946.38876600000015</v>
      </c>
    </row>
    <row r="229" spans="1:48" x14ac:dyDescent="0.25">
      <c r="B229" s="427"/>
      <c r="C229" s="438">
        <v>304.60000000000002</v>
      </c>
      <c r="E229" s="389" t="s">
        <v>65</v>
      </c>
      <c r="G229" s="144">
        <v>2</v>
      </c>
      <c r="I229" s="473">
        <v>2266762.5900000003</v>
      </c>
      <c r="J229" s="225"/>
      <c r="K229" s="223">
        <f t="shared" si="120"/>
        <v>1180076.604354</v>
      </c>
      <c r="L229" s="351"/>
      <c r="M229" s="223">
        <f t="shared" si="121"/>
        <v>600012.05757300009</v>
      </c>
      <c r="N229" s="351"/>
      <c r="O229" s="223">
        <f t="shared" si="122"/>
        <v>225316.20144600005</v>
      </c>
      <c r="P229" s="351"/>
      <c r="Q229" s="223">
        <f t="shared" si="123"/>
        <v>109031.28057900001</v>
      </c>
      <c r="R229" s="351"/>
      <c r="S229" s="223">
        <f t="shared" si="124"/>
        <v>143259.39568800005</v>
      </c>
      <c r="T229" s="351"/>
      <c r="U229" s="223">
        <f t="shared" si="125"/>
        <v>0</v>
      </c>
      <c r="V229" s="351"/>
      <c r="W229" s="223">
        <f t="shared" si="126"/>
        <v>9067.0503600000011</v>
      </c>
      <c r="AA229" s="351"/>
      <c r="AB229" s="389" t="s">
        <v>65</v>
      </c>
      <c r="AC229" s="133"/>
      <c r="AD229" s="144">
        <f t="shared" si="136"/>
        <v>2</v>
      </c>
      <c r="AE229" s="133"/>
      <c r="AF229" s="396">
        <f t="shared" si="137"/>
        <v>2266762.5900000003</v>
      </c>
      <c r="AG229" s="224"/>
      <c r="AH229" s="223">
        <f t="shared" si="129"/>
        <v>1407659.5683900001</v>
      </c>
      <c r="AI229" s="223"/>
      <c r="AJ229" s="223">
        <f t="shared" si="130"/>
        <v>850035.97125000018</v>
      </c>
      <c r="AK229" s="223"/>
      <c r="AL229" s="223">
        <f t="shared" si="131"/>
        <v>0</v>
      </c>
      <c r="AM229" s="223"/>
      <c r="AN229" s="223">
        <f t="shared" si="132"/>
        <v>0</v>
      </c>
      <c r="AO229" s="223"/>
      <c r="AP229" s="223">
        <f t="shared" si="133"/>
        <v>0</v>
      </c>
      <c r="AQ229" s="223"/>
      <c r="AR229" s="223">
        <f t="shared" si="134"/>
        <v>0</v>
      </c>
      <c r="AS229" s="139"/>
      <c r="AT229" s="139">
        <f t="shared" si="135"/>
        <v>9067.0503600000011</v>
      </c>
    </row>
    <row r="230" spans="1:48" x14ac:dyDescent="0.25">
      <c r="B230" s="427"/>
      <c r="C230" s="438">
        <v>306</v>
      </c>
      <c r="E230" s="389" t="s">
        <v>66</v>
      </c>
      <c r="G230" s="144">
        <v>2</v>
      </c>
      <c r="I230" s="473">
        <v>285539.44999999995</v>
      </c>
      <c r="J230" s="225"/>
      <c r="K230" s="223">
        <f t="shared" si="120"/>
        <v>148651.83766999995</v>
      </c>
      <c r="L230" s="351"/>
      <c r="M230" s="223">
        <f t="shared" si="121"/>
        <v>75582.292414999989</v>
      </c>
      <c r="N230" s="351"/>
      <c r="O230" s="223">
        <f t="shared" si="122"/>
        <v>28382.621329999994</v>
      </c>
      <c r="P230" s="351"/>
      <c r="Q230" s="223">
        <f t="shared" si="123"/>
        <v>13734.447544999997</v>
      </c>
      <c r="R230" s="351"/>
      <c r="S230" s="223">
        <f t="shared" si="124"/>
        <v>18046.093239999998</v>
      </c>
      <c r="T230" s="351"/>
      <c r="U230" s="223">
        <f t="shared" si="125"/>
        <v>0</v>
      </c>
      <c r="V230" s="351"/>
      <c r="W230" s="223">
        <f t="shared" si="126"/>
        <v>1142.1577999999997</v>
      </c>
      <c r="AA230" s="351"/>
      <c r="AB230" s="389" t="s">
        <v>66</v>
      </c>
      <c r="AC230" s="133"/>
      <c r="AD230" s="144">
        <f t="shared" si="136"/>
        <v>2</v>
      </c>
      <c r="AE230" s="133"/>
      <c r="AF230" s="396">
        <f t="shared" si="137"/>
        <v>285539.44999999995</v>
      </c>
      <c r="AG230" s="224"/>
      <c r="AH230" s="223">
        <f t="shared" si="129"/>
        <v>177319.99844999998</v>
      </c>
      <c r="AI230" s="223"/>
      <c r="AJ230" s="223">
        <f t="shared" si="130"/>
        <v>107077.29374999998</v>
      </c>
      <c r="AK230" s="223"/>
      <c r="AL230" s="223">
        <f t="shared" si="131"/>
        <v>0</v>
      </c>
      <c r="AM230" s="223"/>
      <c r="AN230" s="223">
        <f t="shared" si="132"/>
        <v>0</v>
      </c>
      <c r="AO230" s="223"/>
      <c r="AP230" s="223">
        <f t="shared" si="133"/>
        <v>0</v>
      </c>
      <c r="AQ230" s="223"/>
      <c r="AR230" s="223">
        <f t="shared" si="134"/>
        <v>0</v>
      </c>
      <c r="AS230" s="139"/>
      <c r="AT230" s="139">
        <f t="shared" si="135"/>
        <v>1142.1577999999997</v>
      </c>
    </row>
    <row r="231" spans="1:48" x14ac:dyDescent="0.25">
      <c r="B231" s="427"/>
      <c r="C231" s="438">
        <v>309</v>
      </c>
      <c r="E231" s="389" t="s">
        <v>155</v>
      </c>
      <c r="G231" s="144">
        <v>2</v>
      </c>
      <c r="I231" s="473">
        <v>1634028.6500000001</v>
      </c>
      <c r="J231" s="225"/>
      <c r="K231" s="223">
        <f t="shared" si="120"/>
        <v>850675.31518999999</v>
      </c>
      <c r="L231" s="351"/>
      <c r="M231" s="223">
        <f t="shared" si="121"/>
        <v>432527.38365500001</v>
      </c>
      <c r="N231" s="351"/>
      <c r="O231" s="223">
        <f t="shared" si="122"/>
        <v>162422.44781000001</v>
      </c>
      <c r="P231" s="351"/>
      <c r="Q231" s="223">
        <f t="shared" si="123"/>
        <v>78596.778065000006</v>
      </c>
      <c r="R231" s="351"/>
      <c r="S231" s="223">
        <f t="shared" si="124"/>
        <v>103270.61068000001</v>
      </c>
      <c r="T231" s="351"/>
      <c r="U231" s="223">
        <f t="shared" si="125"/>
        <v>0</v>
      </c>
      <c r="V231" s="351"/>
      <c r="W231" s="223">
        <f t="shared" si="126"/>
        <v>6536.1146000000008</v>
      </c>
      <c r="AA231" s="351"/>
      <c r="AB231" s="389" t="s">
        <v>155</v>
      </c>
      <c r="AC231" s="133"/>
      <c r="AD231" s="144">
        <f t="shared" si="136"/>
        <v>2</v>
      </c>
      <c r="AE231" s="133"/>
      <c r="AF231" s="396">
        <f t="shared" si="137"/>
        <v>1634028.6500000001</v>
      </c>
      <c r="AG231" s="224"/>
      <c r="AH231" s="223">
        <f t="shared" si="129"/>
        <v>1014731.79165</v>
      </c>
      <c r="AI231" s="223"/>
      <c r="AJ231" s="223">
        <f t="shared" si="130"/>
        <v>612760.74375000002</v>
      </c>
      <c r="AK231" s="223"/>
      <c r="AL231" s="223">
        <f t="shared" si="131"/>
        <v>0</v>
      </c>
      <c r="AM231" s="223"/>
      <c r="AN231" s="223">
        <f t="shared" si="132"/>
        <v>0</v>
      </c>
      <c r="AO231" s="223"/>
      <c r="AP231" s="223">
        <f t="shared" si="133"/>
        <v>0</v>
      </c>
      <c r="AQ231" s="223"/>
      <c r="AR231" s="223">
        <f t="shared" si="134"/>
        <v>0</v>
      </c>
      <c r="AS231" s="139"/>
      <c r="AT231" s="139">
        <f t="shared" si="135"/>
        <v>6536.1146000000008</v>
      </c>
    </row>
    <row r="232" spans="1:48" s="514" customFormat="1" x14ac:dyDescent="0.25">
      <c r="A232" s="557"/>
      <c r="B232" s="427"/>
      <c r="C232" s="438">
        <v>310.10000000000002</v>
      </c>
      <c r="E232" s="389" t="s">
        <v>487</v>
      </c>
      <c r="F232" s="133"/>
      <c r="G232" s="144">
        <v>2</v>
      </c>
      <c r="H232" s="128"/>
      <c r="I232" s="473">
        <v>985521.96000000008</v>
      </c>
      <c r="J232" s="225"/>
      <c r="K232" s="223">
        <f t="shared" si="120"/>
        <v>513062.73237599997</v>
      </c>
      <c r="L232" s="351"/>
      <c r="M232" s="223">
        <f t="shared" si="121"/>
        <v>260867.66281200002</v>
      </c>
      <c r="N232" s="351"/>
      <c r="O232" s="223">
        <f t="shared" si="122"/>
        <v>97960.882824000015</v>
      </c>
      <c r="P232" s="351"/>
      <c r="Q232" s="223">
        <f t="shared" si="123"/>
        <v>47403.606275999999</v>
      </c>
      <c r="R232" s="351"/>
      <c r="S232" s="223">
        <f t="shared" si="124"/>
        <v>62284.987872000012</v>
      </c>
      <c r="T232" s="351"/>
      <c r="U232" s="223">
        <f t="shared" si="125"/>
        <v>0</v>
      </c>
      <c r="V232" s="351"/>
      <c r="W232" s="223">
        <f t="shared" si="126"/>
        <v>3942.0878400000006</v>
      </c>
      <c r="Y232" s="224"/>
      <c r="AA232" s="351"/>
      <c r="AB232" s="389" t="s">
        <v>487</v>
      </c>
      <c r="AC232" s="133"/>
      <c r="AD232" s="144">
        <f t="shared" si="136"/>
        <v>2</v>
      </c>
      <c r="AE232" s="133"/>
      <c r="AF232" s="396">
        <f t="shared" si="137"/>
        <v>985521.96000000008</v>
      </c>
      <c r="AG232" s="224"/>
      <c r="AH232" s="223">
        <f t="shared" si="129"/>
        <v>612009.13716000004</v>
      </c>
      <c r="AI232" s="223"/>
      <c r="AJ232" s="223">
        <f t="shared" si="130"/>
        <v>369570.73500000004</v>
      </c>
      <c r="AK232" s="223"/>
      <c r="AL232" s="223">
        <f t="shared" si="131"/>
        <v>0</v>
      </c>
      <c r="AM232" s="223"/>
      <c r="AN232" s="223">
        <f t="shared" si="132"/>
        <v>0</v>
      </c>
      <c r="AO232" s="223"/>
      <c r="AP232" s="223">
        <f t="shared" si="133"/>
        <v>0</v>
      </c>
      <c r="AQ232" s="223"/>
      <c r="AR232" s="223">
        <f t="shared" si="134"/>
        <v>0</v>
      </c>
      <c r="AS232" s="139"/>
      <c r="AT232" s="139">
        <f t="shared" si="135"/>
        <v>3942.0878400000006</v>
      </c>
      <c r="AV232" s="224"/>
    </row>
    <row r="233" spans="1:48" s="634" customFormat="1" x14ac:dyDescent="0.25">
      <c r="B233" s="427"/>
      <c r="C233" s="438">
        <v>310.2</v>
      </c>
      <c r="E233" s="389" t="s">
        <v>488</v>
      </c>
      <c r="F233" s="133"/>
      <c r="G233" s="144">
        <v>2</v>
      </c>
      <c r="H233" s="128"/>
      <c r="I233" s="473">
        <v>119398.42000000001</v>
      </c>
      <c r="J233" s="225"/>
      <c r="K233" s="223">
        <f t="shared" si="120"/>
        <v>62158.817452000003</v>
      </c>
      <c r="L233" s="351"/>
      <c r="M233" s="223">
        <f t="shared" si="121"/>
        <v>31604.761774000002</v>
      </c>
      <c r="N233" s="351"/>
      <c r="O233" s="223">
        <f t="shared" si="122"/>
        <v>11868.202948000002</v>
      </c>
      <c r="P233" s="351"/>
      <c r="Q233" s="223">
        <f t="shared" si="123"/>
        <v>5743.0640020000001</v>
      </c>
      <c r="R233" s="351"/>
      <c r="S233" s="223">
        <f t="shared" si="124"/>
        <v>7545.9801440000019</v>
      </c>
      <c r="T233" s="351"/>
      <c r="U233" s="223">
        <f t="shared" si="125"/>
        <v>0</v>
      </c>
      <c r="V233" s="351"/>
      <c r="W233" s="223">
        <f t="shared" si="126"/>
        <v>477.59368000000006</v>
      </c>
      <c r="Y233" s="224"/>
      <c r="AA233" s="351"/>
      <c r="AB233" s="389" t="s">
        <v>488</v>
      </c>
      <c r="AC233" s="133"/>
      <c r="AD233" s="144">
        <f t="shared" si="136"/>
        <v>2</v>
      </c>
      <c r="AE233" s="133"/>
      <c r="AF233" s="396">
        <f t="shared" si="137"/>
        <v>119398.42000000001</v>
      </c>
      <c r="AG233" s="224"/>
      <c r="AH233" s="223">
        <f t="shared" si="129"/>
        <v>74146.418820000006</v>
      </c>
      <c r="AI233" s="223"/>
      <c r="AJ233" s="223">
        <f t="shared" si="130"/>
        <v>44774.407500000001</v>
      </c>
      <c r="AK233" s="223"/>
      <c r="AL233" s="223">
        <f t="shared" si="131"/>
        <v>0</v>
      </c>
      <c r="AM233" s="223"/>
      <c r="AN233" s="223">
        <f t="shared" si="132"/>
        <v>0</v>
      </c>
      <c r="AO233" s="223"/>
      <c r="AP233" s="223">
        <f t="shared" si="133"/>
        <v>0</v>
      </c>
      <c r="AQ233" s="223"/>
      <c r="AR233" s="223">
        <f t="shared" si="134"/>
        <v>0</v>
      </c>
      <c r="AS233" s="139"/>
      <c r="AT233" s="139">
        <f t="shared" si="135"/>
        <v>477.59368000000006</v>
      </c>
      <c r="AV233" s="224"/>
    </row>
    <row r="234" spans="1:48" x14ac:dyDescent="0.25">
      <c r="B234" s="427"/>
      <c r="C234" s="438">
        <v>310.3</v>
      </c>
      <c r="E234" s="389" t="s">
        <v>67</v>
      </c>
      <c r="G234" s="144">
        <v>3</v>
      </c>
      <c r="I234" s="473">
        <v>1245792.48</v>
      </c>
      <c r="J234" s="225"/>
      <c r="K234" s="223">
        <f t="shared" si="120"/>
        <v>555000.54983999999</v>
      </c>
      <c r="L234" s="351"/>
      <c r="M234" s="223">
        <f t="shared" si="121"/>
        <v>282047.417472</v>
      </c>
      <c r="N234" s="351"/>
      <c r="O234" s="223">
        <f t="shared" si="122"/>
        <v>105767.781552</v>
      </c>
      <c r="P234" s="351"/>
      <c r="Q234" s="223">
        <f t="shared" si="123"/>
        <v>51326.650176000003</v>
      </c>
      <c r="R234" s="351"/>
      <c r="S234" s="223">
        <f t="shared" si="124"/>
        <v>67272.793919999996</v>
      </c>
      <c r="T234" s="351"/>
      <c r="U234" s="223">
        <f t="shared" si="125"/>
        <v>0</v>
      </c>
      <c r="V234" s="351"/>
      <c r="W234" s="223">
        <f t="shared" si="126"/>
        <v>184377.28704</v>
      </c>
      <c r="AA234" s="351"/>
      <c r="AB234" s="389" t="s">
        <v>67</v>
      </c>
      <c r="AC234" s="133"/>
      <c r="AD234" s="144">
        <f t="shared" si="136"/>
        <v>3</v>
      </c>
      <c r="AE234" s="133"/>
      <c r="AF234" s="396">
        <f t="shared" si="137"/>
        <v>1245792.48</v>
      </c>
      <c r="AG234" s="224"/>
      <c r="AH234" s="223">
        <f t="shared" si="129"/>
        <v>661764.96537600004</v>
      </c>
      <c r="AI234" s="223"/>
      <c r="AJ234" s="223">
        <f t="shared" si="130"/>
        <v>399650.22758399998</v>
      </c>
      <c r="AK234" s="223"/>
      <c r="AL234" s="223">
        <f t="shared" si="131"/>
        <v>0</v>
      </c>
      <c r="AM234" s="223"/>
      <c r="AN234" s="223">
        <f t="shared" si="132"/>
        <v>0</v>
      </c>
      <c r="AO234" s="223"/>
      <c r="AP234" s="223">
        <f t="shared" si="133"/>
        <v>0</v>
      </c>
      <c r="AQ234" s="223"/>
      <c r="AR234" s="223">
        <f t="shared" si="134"/>
        <v>0</v>
      </c>
      <c r="AS234" s="139"/>
      <c r="AT234" s="139">
        <f t="shared" si="135"/>
        <v>184377.28704</v>
      </c>
    </row>
    <row r="235" spans="1:48" x14ac:dyDescent="0.25">
      <c r="B235" s="427"/>
      <c r="C235" s="438">
        <v>311.10000000000002</v>
      </c>
      <c r="E235" s="389" t="s">
        <v>68</v>
      </c>
      <c r="G235" s="144">
        <v>3</v>
      </c>
      <c r="I235" s="473">
        <v>918825.63000000035</v>
      </c>
      <c r="J235" s="225"/>
      <c r="K235" s="223">
        <f t="shared" si="120"/>
        <v>409336.81816500018</v>
      </c>
      <c r="L235" s="351"/>
      <c r="M235" s="223">
        <f t="shared" si="121"/>
        <v>208022.12263200007</v>
      </c>
      <c r="N235" s="351"/>
      <c r="O235" s="223">
        <f t="shared" si="122"/>
        <v>78008.295987000034</v>
      </c>
      <c r="P235" s="351"/>
      <c r="Q235" s="223">
        <f t="shared" si="123"/>
        <v>37855.615956000016</v>
      </c>
      <c r="R235" s="351"/>
      <c r="S235" s="223">
        <f t="shared" si="124"/>
        <v>49616.584020000017</v>
      </c>
      <c r="T235" s="351"/>
      <c r="U235" s="223">
        <f t="shared" si="125"/>
        <v>0</v>
      </c>
      <c r="V235" s="351"/>
      <c r="W235" s="223">
        <f t="shared" si="126"/>
        <v>135986.19324000005</v>
      </c>
      <c r="AA235" s="351"/>
      <c r="AB235" s="389" t="s">
        <v>68</v>
      </c>
      <c r="AC235" s="133"/>
      <c r="AD235" s="144">
        <f t="shared" si="136"/>
        <v>3</v>
      </c>
      <c r="AE235" s="133"/>
      <c r="AF235" s="396">
        <f t="shared" si="137"/>
        <v>918825.63000000035</v>
      </c>
      <c r="AG235" s="224"/>
      <c r="AH235" s="223">
        <f t="shared" si="129"/>
        <v>488080.17465600022</v>
      </c>
      <c r="AI235" s="223"/>
      <c r="AJ235" s="223">
        <f t="shared" si="130"/>
        <v>294759.26210400008</v>
      </c>
      <c r="AK235" s="223"/>
      <c r="AL235" s="223">
        <f t="shared" si="131"/>
        <v>0</v>
      </c>
      <c r="AM235" s="223"/>
      <c r="AN235" s="223">
        <f t="shared" si="132"/>
        <v>0</v>
      </c>
      <c r="AO235" s="223"/>
      <c r="AP235" s="223">
        <f t="shared" si="133"/>
        <v>0</v>
      </c>
      <c r="AQ235" s="223"/>
      <c r="AR235" s="223">
        <f t="shared" si="134"/>
        <v>0</v>
      </c>
      <c r="AS235" s="139"/>
      <c r="AT235" s="139">
        <f t="shared" si="135"/>
        <v>135986.19324000005</v>
      </c>
    </row>
    <row r="236" spans="1:48" x14ac:dyDescent="0.25">
      <c r="B236" s="427"/>
      <c r="C236" s="438">
        <v>311.2</v>
      </c>
      <c r="E236" s="389" t="s">
        <v>68</v>
      </c>
      <c r="G236" s="144">
        <v>3</v>
      </c>
      <c r="I236" s="473">
        <v>350315.69999999995</v>
      </c>
      <c r="J236" s="225"/>
      <c r="K236" s="223">
        <f t="shared" si="120"/>
        <v>156065.64434999999</v>
      </c>
      <c r="L236" s="351"/>
      <c r="M236" s="223">
        <f t="shared" si="121"/>
        <v>79311.47447999999</v>
      </c>
      <c r="N236" s="351"/>
      <c r="O236" s="223">
        <f t="shared" si="122"/>
        <v>29741.802929999998</v>
      </c>
      <c r="P236" s="351"/>
      <c r="Q236" s="223">
        <f t="shared" si="123"/>
        <v>14433.006839999998</v>
      </c>
      <c r="R236" s="351"/>
      <c r="S236" s="223">
        <f t="shared" si="124"/>
        <v>18917.047799999997</v>
      </c>
      <c r="T236" s="351"/>
      <c r="U236" s="223">
        <f t="shared" si="125"/>
        <v>0</v>
      </c>
      <c r="V236" s="351"/>
      <c r="W236" s="223">
        <f t="shared" si="126"/>
        <v>51846.72359999999</v>
      </c>
      <c r="AA236" s="351"/>
      <c r="AB236" s="389" t="s">
        <v>68</v>
      </c>
      <c r="AC236" s="133"/>
      <c r="AD236" s="144">
        <f t="shared" si="136"/>
        <v>3</v>
      </c>
      <c r="AE236" s="133"/>
      <c r="AF236" s="396">
        <f t="shared" si="137"/>
        <v>350315.69999999995</v>
      </c>
      <c r="AG236" s="224"/>
      <c r="AH236" s="223">
        <f t="shared" si="129"/>
        <v>186087.69983999999</v>
      </c>
      <c r="AI236" s="223"/>
      <c r="AJ236" s="223">
        <f t="shared" si="130"/>
        <v>112381.27655999997</v>
      </c>
      <c r="AK236" s="223"/>
      <c r="AL236" s="223">
        <f t="shared" si="131"/>
        <v>0</v>
      </c>
      <c r="AM236" s="223"/>
      <c r="AN236" s="223">
        <f t="shared" si="132"/>
        <v>0</v>
      </c>
      <c r="AO236" s="223"/>
      <c r="AP236" s="223">
        <f t="shared" si="133"/>
        <v>0</v>
      </c>
      <c r="AQ236" s="223"/>
      <c r="AR236" s="223">
        <f t="shared" si="134"/>
        <v>0</v>
      </c>
      <c r="AS236" s="139"/>
      <c r="AT236" s="139">
        <f t="shared" si="135"/>
        <v>51846.72359999999</v>
      </c>
    </row>
    <row r="237" spans="1:48" x14ac:dyDescent="0.25">
      <c r="B237" s="427"/>
      <c r="C237" s="438">
        <v>311.3</v>
      </c>
      <c r="E237" s="389" t="s">
        <v>68</v>
      </c>
      <c r="G237" s="144">
        <v>3</v>
      </c>
      <c r="I237" s="473">
        <v>693693.53000000026</v>
      </c>
      <c r="J237" s="225"/>
      <c r="K237" s="223">
        <f t="shared" si="120"/>
        <v>309040.46761500015</v>
      </c>
      <c r="L237" s="351"/>
      <c r="M237" s="223">
        <f t="shared" si="121"/>
        <v>157052.21519200006</v>
      </c>
      <c r="N237" s="351"/>
      <c r="O237" s="223">
        <f t="shared" si="122"/>
        <v>58894.580697000027</v>
      </c>
      <c r="P237" s="351"/>
      <c r="Q237" s="223">
        <f t="shared" si="123"/>
        <v>28580.173436000012</v>
      </c>
      <c r="R237" s="351"/>
      <c r="S237" s="223">
        <f t="shared" si="124"/>
        <v>37459.450620000011</v>
      </c>
      <c r="T237" s="351"/>
      <c r="U237" s="223">
        <f t="shared" si="125"/>
        <v>0</v>
      </c>
      <c r="V237" s="351"/>
      <c r="W237" s="223">
        <f t="shared" si="126"/>
        <v>102666.64244000004</v>
      </c>
      <c r="AA237" s="351"/>
      <c r="AB237" s="389" t="s">
        <v>68</v>
      </c>
      <c r="AC237" s="133"/>
      <c r="AD237" s="144">
        <f t="shared" si="136"/>
        <v>3</v>
      </c>
      <c r="AE237" s="133"/>
      <c r="AF237" s="396">
        <f t="shared" si="137"/>
        <v>693693.53000000026</v>
      </c>
      <c r="AG237" s="224"/>
      <c r="AH237" s="223">
        <f t="shared" si="129"/>
        <v>368490.00313600013</v>
      </c>
      <c r="AI237" s="223"/>
      <c r="AJ237" s="223">
        <f t="shared" si="130"/>
        <v>222536.88442400008</v>
      </c>
      <c r="AK237" s="223"/>
      <c r="AL237" s="223">
        <f t="shared" si="131"/>
        <v>0</v>
      </c>
      <c r="AM237" s="223"/>
      <c r="AN237" s="223">
        <f t="shared" si="132"/>
        <v>0</v>
      </c>
      <c r="AO237" s="223"/>
      <c r="AP237" s="223">
        <f t="shared" si="133"/>
        <v>0</v>
      </c>
      <c r="AQ237" s="223"/>
      <c r="AR237" s="223">
        <f t="shared" si="134"/>
        <v>0</v>
      </c>
      <c r="AS237" s="139"/>
      <c r="AT237" s="139">
        <f t="shared" si="135"/>
        <v>102666.64244000004</v>
      </c>
    </row>
    <row r="238" spans="1:48" x14ac:dyDescent="0.25">
      <c r="B238" s="427"/>
      <c r="C238" s="438">
        <v>320.10000000000002</v>
      </c>
      <c r="E238" s="389" t="s">
        <v>69</v>
      </c>
      <c r="G238" s="144">
        <v>2</v>
      </c>
      <c r="I238" s="473">
        <v>16166330.390000001</v>
      </c>
      <c r="J238" s="225"/>
      <c r="K238" s="223">
        <f t="shared" si="120"/>
        <v>8416191.6010339987</v>
      </c>
      <c r="L238" s="351"/>
      <c r="M238" s="223">
        <f t="shared" si="121"/>
        <v>4279227.6542330002</v>
      </c>
      <c r="N238" s="351"/>
      <c r="O238" s="223">
        <f t="shared" si="122"/>
        <v>1606933.240766</v>
      </c>
      <c r="P238" s="351"/>
      <c r="Q238" s="223">
        <f t="shared" si="123"/>
        <v>777600.491759</v>
      </c>
      <c r="R238" s="351"/>
      <c r="S238" s="223">
        <f t="shared" si="124"/>
        <v>1021712.0806480001</v>
      </c>
      <c r="T238" s="351"/>
      <c r="U238" s="223">
        <f t="shared" si="125"/>
        <v>0</v>
      </c>
      <c r="V238" s="351"/>
      <c r="W238" s="223">
        <f t="shared" si="126"/>
        <v>64665.321560000004</v>
      </c>
      <c r="AA238" s="351"/>
      <c r="AB238" s="389" t="s">
        <v>69</v>
      </c>
      <c r="AC238" s="133"/>
      <c r="AD238" s="144">
        <f t="shared" si="136"/>
        <v>2</v>
      </c>
      <c r="AE238" s="133"/>
      <c r="AF238" s="396">
        <f t="shared" si="137"/>
        <v>16166330.390000001</v>
      </c>
      <c r="AG238" s="224"/>
      <c r="AH238" s="223">
        <f t="shared" si="129"/>
        <v>10039291.172190001</v>
      </c>
      <c r="AI238" s="223"/>
      <c r="AJ238" s="223">
        <f t="shared" si="130"/>
        <v>6062373.8962500002</v>
      </c>
      <c r="AK238" s="223"/>
      <c r="AL238" s="223">
        <f t="shared" si="131"/>
        <v>0</v>
      </c>
      <c r="AM238" s="223"/>
      <c r="AN238" s="223">
        <f t="shared" si="132"/>
        <v>0</v>
      </c>
      <c r="AO238" s="223"/>
      <c r="AP238" s="223">
        <f t="shared" si="133"/>
        <v>0</v>
      </c>
      <c r="AQ238" s="223"/>
      <c r="AR238" s="223">
        <f t="shared" si="134"/>
        <v>0</v>
      </c>
      <c r="AS238" s="139"/>
      <c r="AT238" s="139">
        <f t="shared" si="135"/>
        <v>64665.321560000004</v>
      </c>
    </row>
    <row r="239" spans="1:48" x14ac:dyDescent="0.25">
      <c r="B239" s="427"/>
      <c r="C239" s="438">
        <v>320.2</v>
      </c>
      <c r="E239" s="389" t="s">
        <v>70</v>
      </c>
      <c r="G239" s="144">
        <v>2</v>
      </c>
      <c r="I239" s="473">
        <v>160831.35</v>
      </c>
      <c r="J239" s="225"/>
      <c r="K239" s="223">
        <f t="shared" si="120"/>
        <v>83728.800810000001</v>
      </c>
      <c r="L239" s="351"/>
      <c r="M239" s="223">
        <f t="shared" si="121"/>
        <v>42572.058344999998</v>
      </c>
      <c r="N239" s="351"/>
      <c r="O239" s="223">
        <f t="shared" si="122"/>
        <v>15986.636190000001</v>
      </c>
      <c r="P239" s="351"/>
      <c r="Q239" s="223">
        <f t="shared" si="123"/>
        <v>7735.9879350000001</v>
      </c>
      <c r="R239" s="351"/>
      <c r="S239" s="223">
        <f t="shared" si="124"/>
        <v>10164.541320000002</v>
      </c>
      <c r="T239" s="351"/>
      <c r="U239" s="223">
        <f t="shared" si="125"/>
        <v>0</v>
      </c>
      <c r="V239" s="351"/>
      <c r="W239" s="223">
        <f t="shared" si="126"/>
        <v>643.32540000000006</v>
      </c>
      <c r="AA239" s="351"/>
      <c r="AB239" s="389" t="s">
        <v>70</v>
      </c>
      <c r="AC239" s="133"/>
      <c r="AD239" s="144">
        <f t="shared" si="136"/>
        <v>2</v>
      </c>
      <c r="AE239" s="133"/>
      <c r="AF239" s="396">
        <f t="shared" si="137"/>
        <v>160831.35</v>
      </c>
      <c r="AG239" s="224"/>
      <c r="AH239" s="223">
        <f t="shared" si="129"/>
        <v>99876.268349999998</v>
      </c>
      <c r="AI239" s="223"/>
      <c r="AJ239" s="223">
        <f t="shared" si="130"/>
        <v>60311.756250000006</v>
      </c>
      <c r="AK239" s="223"/>
      <c r="AL239" s="223">
        <f t="shared" si="131"/>
        <v>0</v>
      </c>
      <c r="AM239" s="223"/>
      <c r="AN239" s="223">
        <f t="shared" si="132"/>
        <v>0</v>
      </c>
      <c r="AO239" s="223"/>
      <c r="AP239" s="223">
        <f t="shared" si="133"/>
        <v>0</v>
      </c>
      <c r="AQ239" s="223"/>
      <c r="AR239" s="223">
        <f t="shared" si="134"/>
        <v>0</v>
      </c>
      <c r="AS239" s="139"/>
      <c r="AT239" s="139">
        <f t="shared" si="135"/>
        <v>643.32540000000006</v>
      </c>
    </row>
    <row r="240" spans="1:48" x14ac:dyDescent="0.25">
      <c r="B240" s="427"/>
      <c r="C240" s="438">
        <v>330.1</v>
      </c>
      <c r="E240" s="389" t="s">
        <v>71</v>
      </c>
      <c r="G240" s="144">
        <v>5</v>
      </c>
      <c r="I240" s="473">
        <v>4055920.1400000006</v>
      </c>
      <c r="J240" s="225"/>
      <c r="K240" s="223">
        <f t="shared" si="120"/>
        <v>1657248.9692040002</v>
      </c>
      <c r="L240" s="351"/>
      <c r="M240" s="223">
        <f t="shared" si="121"/>
        <v>766568.90646000009</v>
      </c>
      <c r="N240" s="351"/>
      <c r="O240" s="223">
        <f t="shared" si="122"/>
        <v>240110.47228800005</v>
      </c>
      <c r="P240" s="351"/>
      <c r="Q240" s="223">
        <f t="shared" si="123"/>
        <v>116404.90801800002</v>
      </c>
      <c r="R240" s="351"/>
      <c r="S240" s="223">
        <f t="shared" si="124"/>
        <v>152502.59726400001</v>
      </c>
      <c r="T240" s="351"/>
      <c r="U240" s="223">
        <f t="shared" si="125"/>
        <v>0</v>
      </c>
      <c r="V240" s="351"/>
      <c r="W240" s="223">
        <f t="shared" si="126"/>
        <v>1123084.2867660003</v>
      </c>
      <c r="AA240" s="351"/>
      <c r="AB240" s="389" t="s">
        <v>71</v>
      </c>
      <c r="AC240" s="133"/>
      <c r="AD240" s="144">
        <f t="shared" si="136"/>
        <v>5</v>
      </c>
      <c r="AE240" s="133"/>
      <c r="AF240" s="396">
        <f t="shared" si="137"/>
        <v>4055920.1400000006</v>
      </c>
      <c r="AG240" s="224"/>
      <c r="AH240" s="223">
        <f t="shared" si="129"/>
        <v>1217587.226028</v>
      </c>
      <c r="AI240" s="223"/>
      <c r="AJ240" s="223">
        <f t="shared" si="130"/>
        <v>0</v>
      </c>
      <c r="AK240" s="223"/>
      <c r="AL240" s="223">
        <f t="shared" si="131"/>
        <v>1715248.6272060003</v>
      </c>
      <c r="AM240" s="223"/>
      <c r="AN240" s="223">
        <f t="shared" si="132"/>
        <v>0</v>
      </c>
      <c r="AO240" s="223"/>
      <c r="AP240" s="223">
        <f t="shared" si="133"/>
        <v>0</v>
      </c>
      <c r="AQ240" s="223"/>
      <c r="AR240" s="223">
        <f t="shared" si="134"/>
        <v>0</v>
      </c>
      <c r="AS240" s="139"/>
      <c r="AT240" s="139">
        <f t="shared" si="135"/>
        <v>1123084.2867660003</v>
      </c>
    </row>
    <row r="241" spans="2:49" s="339" customFormat="1" x14ac:dyDescent="0.25">
      <c r="B241" s="513"/>
      <c r="C241" s="438">
        <v>331.1</v>
      </c>
      <c r="D241" s="476"/>
      <c r="E241" s="389" t="s">
        <v>168</v>
      </c>
      <c r="F241" s="477"/>
      <c r="G241" s="478">
        <v>3</v>
      </c>
      <c r="I241" s="490">
        <v>80524263.32751298</v>
      </c>
      <c r="J241" s="651"/>
      <c r="K241" s="223">
        <f t="shared" si="120"/>
        <v>35873559.312407032</v>
      </c>
      <c r="L241" s="351"/>
      <c r="M241" s="223">
        <f t="shared" si="121"/>
        <v>18230693.217348937</v>
      </c>
      <c r="N241" s="351"/>
      <c r="O241" s="223">
        <f t="shared" si="122"/>
        <v>6836509.9565058518</v>
      </c>
      <c r="P241" s="351"/>
      <c r="Q241" s="223">
        <f t="shared" si="123"/>
        <v>3317599.6490935348</v>
      </c>
      <c r="R241" s="351"/>
      <c r="S241" s="223">
        <f t="shared" si="124"/>
        <v>4348310.2196857007</v>
      </c>
      <c r="T241" s="351"/>
      <c r="U241" s="223">
        <f t="shared" si="125"/>
        <v>0</v>
      </c>
      <c r="V241" s="351"/>
      <c r="W241" s="223">
        <f t="shared" si="126"/>
        <v>11917590.972471921</v>
      </c>
      <c r="Y241" s="476"/>
      <c r="AA241" s="476"/>
      <c r="AB241" s="389" t="s">
        <v>168</v>
      </c>
      <c r="AC241" s="477"/>
      <c r="AD241" s="478">
        <f t="shared" si="136"/>
        <v>3</v>
      </c>
      <c r="AE241" s="477"/>
      <c r="AF241" s="481">
        <f t="shared" si="137"/>
        <v>80524263.32751298</v>
      </c>
      <c r="AG241" s="476"/>
      <c r="AH241" s="338">
        <f t="shared" si="129"/>
        <v>42774488.679574892</v>
      </c>
      <c r="AI241" s="338"/>
      <c r="AJ241" s="338">
        <f t="shared" si="130"/>
        <v>25832183.675466161</v>
      </c>
      <c r="AK241" s="338"/>
      <c r="AL241" s="338">
        <f t="shared" si="131"/>
        <v>0</v>
      </c>
      <c r="AM241" s="338"/>
      <c r="AN241" s="338">
        <f t="shared" si="132"/>
        <v>0</v>
      </c>
      <c r="AO241" s="338"/>
      <c r="AP241" s="338">
        <f t="shared" si="133"/>
        <v>0</v>
      </c>
      <c r="AQ241" s="338"/>
      <c r="AR241" s="338">
        <f t="shared" si="134"/>
        <v>0</v>
      </c>
      <c r="AS241" s="479"/>
      <c r="AT241" s="479">
        <f t="shared" si="135"/>
        <v>11917590.972471921</v>
      </c>
      <c r="AV241" s="476"/>
    </row>
    <row r="242" spans="2:49" s="339" customFormat="1" x14ac:dyDescent="0.25">
      <c r="B242" s="513"/>
      <c r="C242" s="438">
        <v>331.1</v>
      </c>
      <c r="D242" s="476"/>
      <c r="E242" s="389" t="s">
        <v>169</v>
      </c>
      <c r="F242" s="477"/>
      <c r="G242" s="478">
        <v>4</v>
      </c>
      <c r="I242" s="490">
        <v>95716190.442487001</v>
      </c>
      <c r="J242" s="651"/>
      <c r="K242" s="223">
        <f t="shared" si="120"/>
        <v>44718604.174729921</v>
      </c>
      <c r="L242" s="351"/>
      <c r="M242" s="223">
        <f t="shared" si="121"/>
        <v>20732126.849842686</v>
      </c>
      <c r="N242" s="351"/>
      <c r="O242" s="223">
        <f t="shared" si="122"/>
        <v>6518272.5691333646</v>
      </c>
      <c r="P242" s="351"/>
      <c r="Q242" s="223">
        <f t="shared" si="123"/>
        <v>3149062.6655578222</v>
      </c>
      <c r="R242" s="351"/>
      <c r="S242" s="223">
        <f t="shared" si="124"/>
        <v>0</v>
      </c>
      <c r="T242" s="351"/>
      <c r="U242" s="223">
        <f t="shared" si="125"/>
        <v>0</v>
      </c>
      <c r="V242" s="351"/>
      <c r="W242" s="223">
        <f t="shared" si="126"/>
        <v>20598124.183223203</v>
      </c>
      <c r="Y242" s="476"/>
      <c r="AA242" s="476"/>
      <c r="AB242" s="389" t="s">
        <v>169</v>
      </c>
      <c r="AC242" s="477"/>
      <c r="AD242" s="478">
        <f t="shared" si="136"/>
        <v>4</v>
      </c>
      <c r="AE242" s="477"/>
      <c r="AF242" s="481">
        <f t="shared" si="137"/>
        <v>95716190.442487001</v>
      </c>
      <c r="AG242" s="476"/>
      <c r="AH242" s="338">
        <f t="shared" si="129"/>
        <v>31174763.227118015</v>
      </c>
      <c r="AI242" s="338"/>
      <c r="AJ242" s="338">
        <f t="shared" si="130"/>
        <v>0</v>
      </c>
      <c r="AK242" s="338"/>
      <c r="AL242" s="338">
        <f t="shared" si="131"/>
        <v>43943303.032145783</v>
      </c>
      <c r="AM242" s="338"/>
      <c r="AN242" s="338">
        <f t="shared" si="132"/>
        <v>0</v>
      </c>
      <c r="AO242" s="338"/>
      <c r="AP242" s="338">
        <f t="shared" si="133"/>
        <v>0</v>
      </c>
      <c r="AQ242" s="338"/>
      <c r="AR242" s="338">
        <f t="shared" si="134"/>
        <v>0</v>
      </c>
      <c r="AS242" s="479"/>
      <c r="AT242" s="479">
        <f t="shared" si="135"/>
        <v>20598124.183223203</v>
      </c>
      <c r="AV242" s="476"/>
    </row>
    <row r="243" spans="2:49" s="339" customFormat="1" x14ac:dyDescent="0.25">
      <c r="B243" s="513"/>
      <c r="C243" s="438">
        <v>331.2</v>
      </c>
      <c r="D243" s="476"/>
      <c r="E243" s="389" t="s">
        <v>168</v>
      </c>
      <c r="F243" s="477"/>
      <c r="G243" s="478">
        <v>3</v>
      </c>
      <c r="I243" s="490">
        <v>1963922.1552179998</v>
      </c>
      <c r="J243" s="651"/>
      <c r="K243" s="223">
        <f t="shared" si="120"/>
        <v>874927.3201496189</v>
      </c>
      <c r="L243" s="351"/>
      <c r="M243" s="223">
        <f t="shared" si="121"/>
        <v>444631.97594135517</v>
      </c>
      <c r="N243" s="351"/>
      <c r="O243" s="223">
        <f t="shared" si="122"/>
        <v>166736.99097800819</v>
      </c>
      <c r="P243" s="351"/>
      <c r="Q243" s="223">
        <f t="shared" si="123"/>
        <v>80913.592794981596</v>
      </c>
      <c r="R243" s="351"/>
      <c r="S243" s="223">
        <f t="shared" si="124"/>
        <v>106051.79638177199</v>
      </c>
      <c r="T243" s="351"/>
      <c r="U243" s="223">
        <f t="shared" si="125"/>
        <v>0</v>
      </c>
      <c r="V243" s="351"/>
      <c r="W243" s="223">
        <f t="shared" si="126"/>
        <v>290660.47897226398</v>
      </c>
      <c r="Y243" s="476"/>
      <c r="AA243" s="476"/>
      <c r="AB243" s="389" t="s">
        <v>168</v>
      </c>
      <c r="AC243" s="477"/>
      <c r="AD243" s="478">
        <f t="shared" si="136"/>
        <v>3</v>
      </c>
      <c r="AE243" s="477"/>
      <c r="AF243" s="481">
        <f t="shared" si="137"/>
        <v>1963922.1552179998</v>
      </c>
      <c r="AG243" s="476"/>
      <c r="AH243" s="338">
        <f t="shared" si="129"/>
        <v>1043235.4488518016</v>
      </c>
      <c r="AI243" s="338"/>
      <c r="AJ243" s="338">
        <f t="shared" si="130"/>
        <v>630026.22739393427</v>
      </c>
      <c r="AK243" s="338"/>
      <c r="AL243" s="338">
        <f t="shared" si="131"/>
        <v>0</v>
      </c>
      <c r="AM243" s="338"/>
      <c r="AN243" s="338">
        <f t="shared" si="132"/>
        <v>0</v>
      </c>
      <c r="AO243" s="338"/>
      <c r="AP243" s="338">
        <f t="shared" si="133"/>
        <v>0</v>
      </c>
      <c r="AQ243" s="338"/>
      <c r="AR243" s="338">
        <f t="shared" si="134"/>
        <v>0</v>
      </c>
      <c r="AS243" s="479"/>
      <c r="AT243" s="479">
        <f t="shared" si="135"/>
        <v>290660.47897226398</v>
      </c>
      <c r="AV243" s="476"/>
    </row>
    <row r="244" spans="2:49" s="339" customFormat="1" x14ac:dyDescent="0.25">
      <c r="B244" s="513"/>
      <c r="C244" s="438">
        <v>331.2</v>
      </c>
      <c r="D244" s="476"/>
      <c r="E244" s="389" t="s">
        <v>169</v>
      </c>
      <c r="F244" s="477"/>
      <c r="G244" s="478">
        <v>4</v>
      </c>
      <c r="I244" s="490">
        <v>2334441.0647820001</v>
      </c>
      <c r="J244" s="651"/>
      <c r="K244" s="223">
        <f t="shared" si="120"/>
        <v>1090650.8654661505</v>
      </c>
      <c r="L244" s="351"/>
      <c r="M244" s="223">
        <f t="shared" si="121"/>
        <v>505639.93463178125</v>
      </c>
      <c r="N244" s="351"/>
      <c r="O244" s="223">
        <f t="shared" si="122"/>
        <v>158975.4365116542</v>
      </c>
      <c r="P244" s="351"/>
      <c r="Q244" s="223">
        <f t="shared" si="123"/>
        <v>76803.111031327804</v>
      </c>
      <c r="R244" s="351"/>
      <c r="S244" s="223">
        <f t="shared" si="124"/>
        <v>0</v>
      </c>
      <c r="T244" s="351"/>
      <c r="U244" s="223">
        <f t="shared" si="125"/>
        <v>0</v>
      </c>
      <c r="V244" s="351"/>
      <c r="W244" s="223">
        <f t="shared" si="126"/>
        <v>502371.71714108641</v>
      </c>
      <c r="Y244" s="476"/>
      <c r="AA244" s="476"/>
      <c r="AB244" s="389" t="s">
        <v>169</v>
      </c>
      <c r="AC244" s="477"/>
      <c r="AD244" s="478">
        <f t="shared" si="136"/>
        <v>4</v>
      </c>
      <c r="AE244" s="477"/>
      <c r="AF244" s="481">
        <f t="shared" si="137"/>
        <v>2334441.0647820001</v>
      </c>
      <c r="AG244" s="476"/>
      <c r="AH244" s="338">
        <f t="shared" si="129"/>
        <v>760327.45479949738</v>
      </c>
      <c r="AI244" s="338"/>
      <c r="AJ244" s="338">
        <f t="shared" si="130"/>
        <v>0</v>
      </c>
      <c r="AK244" s="338"/>
      <c r="AL244" s="338">
        <f t="shared" si="131"/>
        <v>1071741.8928414162</v>
      </c>
      <c r="AM244" s="338"/>
      <c r="AN244" s="338">
        <f t="shared" si="132"/>
        <v>0</v>
      </c>
      <c r="AO244" s="338"/>
      <c r="AP244" s="338">
        <f t="shared" si="133"/>
        <v>0</v>
      </c>
      <c r="AQ244" s="338"/>
      <c r="AR244" s="338">
        <f t="shared" si="134"/>
        <v>0</v>
      </c>
      <c r="AS244" s="479"/>
      <c r="AT244" s="479">
        <f t="shared" si="135"/>
        <v>502371.71714108641</v>
      </c>
      <c r="AV244" s="476"/>
    </row>
    <row r="245" spans="2:49" s="339" customFormat="1" x14ac:dyDescent="0.25">
      <c r="B245" s="513"/>
      <c r="C245" s="438">
        <v>331.3</v>
      </c>
      <c r="D245" s="476"/>
      <c r="E245" s="389" t="s">
        <v>168</v>
      </c>
      <c r="F245" s="477"/>
      <c r="G245" s="478">
        <v>3</v>
      </c>
      <c r="I245" s="490">
        <v>775893.57601499977</v>
      </c>
      <c r="J245" s="651"/>
      <c r="K245" s="338">
        <f t="shared" si="120"/>
        <v>345660.58811468241</v>
      </c>
      <c r="L245" s="476"/>
      <c r="M245" s="338">
        <f t="shared" si="121"/>
        <v>175662.30560979593</v>
      </c>
      <c r="N245" s="476"/>
      <c r="O245" s="338">
        <f t="shared" si="122"/>
        <v>65873.364603673486</v>
      </c>
      <c r="P245" s="476"/>
      <c r="Q245" s="338">
        <f t="shared" si="123"/>
        <v>31966.81533181799</v>
      </c>
      <c r="R245" s="476"/>
      <c r="S245" s="338">
        <f t="shared" si="124"/>
        <v>41898.253104809985</v>
      </c>
      <c r="T245" s="476"/>
      <c r="U245" s="338">
        <f t="shared" si="125"/>
        <v>0</v>
      </c>
      <c r="V245" s="476"/>
      <c r="W245" s="338">
        <f t="shared" si="126"/>
        <v>114832.24925021996</v>
      </c>
      <c r="Y245" s="476"/>
      <c r="AA245" s="476"/>
      <c r="AB245" s="389" t="s">
        <v>168</v>
      </c>
      <c r="AC245" s="477"/>
      <c r="AD245" s="478">
        <f t="shared" si="136"/>
        <v>3</v>
      </c>
      <c r="AE245" s="477"/>
      <c r="AF245" s="481">
        <f t="shared" si="137"/>
        <v>775893.57601499977</v>
      </c>
      <c r="AG245" s="476"/>
      <c r="AH245" s="338">
        <f t="shared" si="129"/>
        <v>412154.66757916787</v>
      </c>
      <c r="AI245" s="338"/>
      <c r="AJ245" s="338">
        <f t="shared" si="130"/>
        <v>248906.6591856119</v>
      </c>
      <c r="AK245" s="338"/>
      <c r="AL245" s="338">
        <f t="shared" si="131"/>
        <v>0</v>
      </c>
      <c r="AM245" s="338"/>
      <c r="AN245" s="338">
        <f t="shared" si="132"/>
        <v>0</v>
      </c>
      <c r="AO245" s="338"/>
      <c r="AP245" s="338">
        <f t="shared" si="133"/>
        <v>0</v>
      </c>
      <c r="AQ245" s="338"/>
      <c r="AR245" s="338">
        <f t="shared" si="134"/>
        <v>0</v>
      </c>
      <c r="AS245" s="479"/>
      <c r="AT245" s="479">
        <f t="shared" si="135"/>
        <v>114832.24925021996</v>
      </c>
      <c r="AV245" s="476"/>
    </row>
    <row r="246" spans="2:49" s="339" customFormat="1" x14ac:dyDescent="0.25">
      <c r="B246" s="513"/>
      <c r="C246" s="438">
        <v>331.3</v>
      </c>
      <c r="D246" s="476"/>
      <c r="E246" s="389" t="s">
        <v>169</v>
      </c>
      <c r="F246" s="477"/>
      <c r="G246" s="478">
        <v>4</v>
      </c>
      <c r="I246" s="490">
        <v>922275.77398499986</v>
      </c>
      <c r="J246" s="651"/>
      <c r="K246" s="338">
        <f t="shared" si="120"/>
        <v>430887.2416057919</v>
      </c>
      <c r="L246" s="476"/>
      <c r="M246" s="338">
        <f t="shared" si="121"/>
        <v>199764.93264515098</v>
      </c>
      <c r="N246" s="476"/>
      <c r="O246" s="338">
        <f t="shared" si="122"/>
        <v>62806.980208378482</v>
      </c>
      <c r="P246" s="476"/>
      <c r="Q246" s="338">
        <f t="shared" si="123"/>
        <v>30342.872964106493</v>
      </c>
      <c r="R246" s="476"/>
      <c r="S246" s="338">
        <f t="shared" si="124"/>
        <v>0</v>
      </c>
      <c r="T246" s="476"/>
      <c r="U246" s="338">
        <f t="shared" si="125"/>
        <v>0</v>
      </c>
      <c r="V246" s="476"/>
      <c r="W246" s="338">
        <f t="shared" si="126"/>
        <v>198473.74656157198</v>
      </c>
      <c r="Y246" s="476"/>
      <c r="AA246" s="476"/>
      <c r="AB246" s="389" t="s">
        <v>169</v>
      </c>
      <c r="AC246" s="477"/>
      <c r="AD246" s="478">
        <f t="shared" si="136"/>
        <v>4</v>
      </c>
      <c r="AE246" s="477"/>
      <c r="AF246" s="481">
        <f t="shared" si="137"/>
        <v>922275.77398499986</v>
      </c>
      <c r="AG246" s="476"/>
      <c r="AH246" s="338">
        <f t="shared" si="129"/>
        <v>300385.21958691446</v>
      </c>
      <c r="AI246" s="338"/>
      <c r="AJ246" s="338">
        <f t="shared" si="130"/>
        <v>0</v>
      </c>
      <c r="AK246" s="338"/>
      <c r="AL246" s="338">
        <f t="shared" si="131"/>
        <v>423416.80783651344</v>
      </c>
      <c r="AM246" s="338"/>
      <c r="AN246" s="338">
        <f t="shared" si="132"/>
        <v>0</v>
      </c>
      <c r="AO246" s="338"/>
      <c r="AP246" s="338">
        <f t="shared" si="133"/>
        <v>0</v>
      </c>
      <c r="AQ246" s="338"/>
      <c r="AR246" s="338">
        <f t="shared" si="134"/>
        <v>0</v>
      </c>
      <c r="AS246" s="479"/>
      <c r="AT246" s="479">
        <f t="shared" si="135"/>
        <v>198473.74656157198</v>
      </c>
      <c r="AV246" s="476"/>
    </row>
    <row r="247" spans="2:49" x14ac:dyDescent="0.25">
      <c r="B247" s="427"/>
      <c r="C247" s="438">
        <v>333.1</v>
      </c>
      <c r="E247" s="389" t="s">
        <v>320</v>
      </c>
      <c r="G247" s="144">
        <v>9</v>
      </c>
      <c r="I247" s="473">
        <v>21103840.07</v>
      </c>
      <c r="J247" s="225"/>
      <c r="K247" s="223">
        <f t="shared" si="120"/>
        <v>18090211.708003998</v>
      </c>
      <c r="L247" s="351"/>
      <c r="M247" s="223">
        <f t="shared" si="121"/>
        <v>2589441.176589</v>
      </c>
      <c r="N247" s="351"/>
      <c r="O247" s="223">
        <f t="shared" si="122"/>
        <v>105519.20035</v>
      </c>
      <c r="P247" s="351"/>
      <c r="Q247" s="223">
        <f t="shared" si="123"/>
        <v>308116.065022</v>
      </c>
      <c r="R247" s="351"/>
      <c r="S247" s="223">
        <f t="shared" si="124"/>
        <v>10551.920035000001</v>
      </c>
      <c r="T247" s="351"/>
      <c r="U247" s="223">
        <f t="shared" si="125"/>
        <v>0</v>
      </c>
      <c r="V247" s="351"/>
      <c r="W247" s="223">
        <f t="shared" si="126"/>
        <v>0</v>
      </c>
      <c r="AA247" s="351"/>
      <c r="AB247" s="389" t="s">
        <v>320</v>
      </c>
      <c r="AC247" s="133"/>
      <c r="AD247" s="144">
        <f t="shared" si="136"/>
        <v>9</v>
      </c>
      <c r="AE247" s="133"/>
      <c r="AF247" s="396">
        <f t="shared" si="137"/>
        <v>21103840.07</v>
      </c>
      <c r="AG247" s="351"/>
      <c r="AH247" s="223">
        <f t="shared" si="129"/>
        <v>0</v>
      </c>
      <c r="AI247" s="223"/>
      <c r="AJ247" s="223">
        <f t="shared" si="130"/>
        <v>0</v>
      </c>
      <c r="AK247" s="223"/>
      <c r="AL247" s="223">
        <f t="shared" si="131"/>
        <v>0</v>
      </c>
      <c r="AM247" s="223"/>
      <c r="AN247" s="223">
        <f t="shared" si="132"/>
        <v>0</v>
      </c>
      <c r="AO247" s="223"/>
      <c r="AP247" s="223">
        <f t="shared" si="133"/>
        <v>21103840.07</v>
      </c>
      <c r="AQ247" s="223"/>
      <c r="AR247" s="223">
        <f t="shared" si="134"/>
        <v>0</v>
      </c>
      <c r="AS247" s="139"/>
      <c r="AT247" s="139">
        <f t="shared" si="135"/>
        <v>0</v>
      </c>
      <c r="AU247" s="128"/>
      <c r="AV247" s="351"/>
      <c r="AW247" s="128"/>
    </row>
    <row r="248" spans="2:49" x14ac:dyDescent="0.25">
      <c r="B248" s="427"/>
      <c r="C248" s="438">
        <v>333.2</v>
      </c>
      <c r="E248" s="389" t="s">
        <v>72</v>
      </c>
      <c r="G248" s="144">
        <v>9</v>
      </c>
      <c r="I248" s="473">
        <v>216937.5</v>
      </c>
      <c r="J248" s="225"/>
      <c r="K248" s="223">
        <f t="shared" si="120"/>
        <v>185958.82499999998</v>
      </c>
      <c r="L248" s="351"/>
      <c r="M248" s="223">
        <f t="shared" si="121"/>
        <v>26618.231250000001</v>
      </c>
      <c r="N248" s="351"/>
      <c r="O248" s="223">
        <f t="shared" si="122"/>
        <v>1084.6875</v>
      </c>
      <c r="P248" s="351"/>
      <c r="Q248" s="223">
        <f t="shared" si="123"/>
        <v>3167.2874999999999</v>
      </c>
      <c r="R248" s="351"/>
      <c r="S248" s="223">
        <f t="shared" si="124"/>
        <v>108.46875</v>
      </c>
      <c r="T248" s="351"/>
      <c r="U248" s="223">
        <f t="shared" si="125"/>
        <v>0</v>
      </c>
      <c r="V248" s="351"/>
      <c r="W248" s="223">
        <f t="shared" si="126"/>
        <v>0</v>
      </c>
      <c r="AA248" s="351"/>
      <c r="AB248" s="389" t="s">
        <v>72</v>
      </c>
      <c r="AC248" s="133"/>
      <c r="AD248" s="144">
        <f t="shared" si="136"/>
        <v>9</v>
      </c>
      <c r="AE248" s="133"/>
      <c r="AF248" s="396">
        <f t="shared" si="137"/>
        <v>216937.5</v>
      </c>
      <c r="AG248" s="224"/>
      <c r="AH248" s="223">
        <f t="shared" si="129"/>
        <v>0</v>
      </c>
      <c r="AI248" s="223"/>
      <c r="AJ248" s="223">
        <f t="shared" si="130"/>
        <v>0</v>
      </c>
      <c r="AK248" s="223"/>
      <c r="AL248" s="223">
        <f t="shared" si="131"/>
        <v>0</v>
      </c>
      <c r="AM248" s="223"/>
      <c r="AN248" s="223">
        <f t="shared" si="132"/>
        <v>0</v>
      </c>
      <c r="AO248" s="223"/>
      <c r="AP248" s="223">
        <f t="shared" si="133"/>
        <v>216937.5</v>
      </c>
      <c r="AQ248" s="223"/>
      <c r="AR248" s="223">
        <f t="shared" si="134"/>
        <v>0</v>
      </c>
      <c r="AS248" s="139"/>
      <c r="AT248" s="139">
        <f t="shared" si="135"/>
        <v>0</v>
      </c>
    </row>
    <row r="249" spans="2:49" x14ac:dyDescent="0.25">
      <c r="B249" s="427"/>
      <c r="C249" s="438">
        <v>334.1</v>
      </c>
      <c r="E249" s="389" t="s">
        <v>397</v>
      </c>
      <c r="G249" s="144">
        <v>8</v>
      </c>
      <c r="I249" s="473">
        <v>10757181.48</v>
      </c>
      <c r="J249" s="225"/>
      <c r="K249" s="223">
        <f t="shared" si="120"/>
        <v>8616502.3654800002</v>
      </c>
      <c r="L249" s="351"/>
      <c r="M249" s="223">
        <f t="shared" si="121"/>
        <v>1787843.561976</v>
      </c>
      <c r="N249" s="351"/>
      <c r="O249" s="223">
        <f t="shared" si="122"/>
        <v>102193.22406000001</v>
      </c>
      <c r="P249" s="351"/>
      <c r="Q249" s="223">
        <f t="shared" si="123"/>
        <v>239885.14700400003</v>
      </c>
      <c r="R249" s="351"/>
      <c r="S249" s="223">
        <f t="shared" si="124"/>
        <v>10757.181480000001</v>
      </c>
      <c r="T249" s="351"/>
      <c r="U249" s="223">
        <f t="shared" si="125"/>
        <v>0</v>
      </c>
      <c r="V249" s="351"/>
      <c r="W249" s="223">
        <f t="shared" si="126"/>
        <v>0</v>
      </c>
      <c r="AA249" s="351"/>
      <c r="AB249" s="389" t="s">
        <v>397</v>
      </c>
      <c r="AC249" s="133"/>
      <c r="AD249" s="144">
        <f t="shared" si="136"/>
        <v>8</v>
      </c>
      <c r="AE249" s="133"/>
      <c r="AF249" s="396">
        <f t="shared" si="137"/>
        <v>10757181.48</v>
      </c>
      <c r="AG249" s="224"/>
      <c r="AH249" s="223">
        <f t="shared" si="129"/>
        <v>0</v>
      </c>
      <c r="AI249" s="223"/>
      <c r="AJ249" s="223">
        <f t="shared" si="130"/>
        <v>0</v>
      </c>
      <c r="AK249" s="223"/>
      <c r="AL249" s="223">
        <f t="shared" si="131"/>
        <v>0</v>
      </c>
      <c r="AM249" s="223"/>
      <c r="AN249" s="223">
        <f t="shared" si="132"/>
        <v>10757181.48</v>
      </c>
      <c r="AO249" s="223"/>
      <c r="AP249" s="223">
        <f t="shared" si="133"/>
        <v>0</v>
      </c>
      <c r="AQ249" s="223"/>
      <c r="AR249" s="223">
        <f t="shared" si="134"/>
        <v>0</v>
      </c>
      <c r="AS249" s="139"/>
      <c r="AT249" s="139">
        <f t="shared" si="135"/>
        <v>0</v>
      </c>
    </row>
    <row r="250" spans="2:49" x14ac:dyDescent="0.25">
      <c r="B250" s="427"/>
      <c r="C250" s="438">
        <v>335.1</v>
      </c>
      <c r="E250" s="389" t="s">
        <v>73</v>
      </c>
      <c r="G250" s="144">
        <v>7</v>
      </c>
      <c r="I250" s="473">
        <v>7424518.5000000009</v>
      </c>
      <c r="J250" s="225"/>
      <c r="K250" s="223">
        <f t="shared" si="120"/>
        <v>0</v>
      </c>
      <c r="L250" s="351"/>
      <c r="M250" s="223">
        <f t="shared" si="121"/>
        <v>0</v>
      </c>
      <c r="N250" s="351"/>
      <c r="O250" s="223">
        <f t="shared" si="122"/>
        <v>0</v>
      </c>
      <c r="P250" s="351"/>
      <c r="Q250" s="223">
        <f t="shared" si="123"/>
        <v>0</v>
      </c>
      <c r="R250" s="351"/>
      <c r="S250" s="223">
        <f t="shared" si="124"/>
        <v>0</v>
      </c>
      <c r="T250" s="351"/>
      <c r="U250" s="223">
        <f t="shared" si="125"/>
        <v>0</v>
      </c>
      <c r="V250" s="351"/>
      <c r="W250" s="223">
        <f t="shared" si="126"/>
        <v>7424518.5000000009</v>
      </c>
      <c r="AA250" s="351"/>
      <c r="AB250" s="389" t="s">
        <v>73</v>
      </c>
      <c r="AC250" s="133"/>
      <c r="AD250" s="144">
        <f t="shared" si="136"/>
        <v>7</v>
      </c>
      <c r="AE250" s="133"/>
      <c r="AF250" s="396">
        <f t="shared" si="137"/>
        <v>7424518.5000000009</v>
      </c>
      <c r="AG250" s="224"/>
      <c r="AH250" s="223">
        <f t="shared" si="129"/>
        <v>0</v>
      </c>
      <c r="AI250" s="223"/>
      <c r="AJ250" s="223">
        <f t="shared" si="130"/>
        <v>0</v>
      </c>
      <c r="AK250" s="223"/>
      <c r="AL250" s="223">
        <f t="shared" si="131"/>
        <v>0</v>
      </c>
      <c r="AM250" s="223"/>
      <c r="AN250" s="223">
        <f t="shared" si="132"/>
        <v>0</v>
      </c>
      <c r="AO250" s="223"/>
      <c r="AP250" s="223">
        <f t="shared" si="133"/>
        <v>0</v>
      </c>
      <c r="AQ250" s="223"/>
      <c r="AR250" s="223">
        <f t="shared" si="134"/>
        <v>0</v>
      </c>
      <c r="AS250" s="139"/>
      <c r="AT250" s="139">
        <f t="shared" si="135"/>
        <v>7424518.5000000009</v>
      </c>
    </row>
    <row r="251" spans="2:49" x14ac:dyDescent="0.25">
      <c r="B251" s="427"/>
      <c r="C251" s="438">
        <v>335.3</v>
      </c>
      <c r="E251" s="389" t="s">
        <v>74</v>
      </c>
      <c r="G251" s="144">
        <v>7</v>
      </c>
      <c r="I251" s="473">
        <v>80416.62</v>
      </c>
      <c r="J251" s="225"/>
      <c r="K251" s="223">
        <f t="shared" si="120"/>
        <v>0</v>
      </c>
      <c r="L251" s="351"/>
      <c r="M251" s="223">
        <f t="shared" si="121"/>
        <v>0</v>
      </c>
      <c r="N251" s="351"/>
      <c r="O251" s="223">
        <f t="shared" si="122"/>
        <v>0</v>
      </c>
      <c r="P251" s="351"/>
      <c r="Q251" s="223">
        <f t="shared" si="123"/>
        <v>0</v>
      </c>
      <c r="R251" s="351"/>
      <c r="S251" s="223">
        <f t="shared" si="124"/>
        <v>0</v>
      </c>
      <c r="T251" s="351"/>
      <c r="U251" s="223">
        <f t="shared" si="125"/>
        <v>0</v>
      </c>
      <c r="V251" s="351"/>
      <c r="W251" s="223">
        <f t="shared" si="126"/>
        <v>80416.62</v>
      </c>
      <c r="AA251" s="351"/>
      <c r="AB251" s="389" t="s">
        <v>74</v>
      </c>
      <c r="AC251" s="133"/>
      <c r="AD251" s="144">
        <f t="shared" si="136"/>
        <v>7</v>
      </c>
      <c r="AE251" s="133"/>
      <c r="AF251" s="396">
        <f t="shared" si="137"/>
        <v>80416.62</v>
      </c>
      <c r="AG251" s="224"/>
      <c r="AH251" s="223">
        <f t="shared" si="129"/>
        <v>0</v>
      </c>
      <c r="AI251" s="223"/>
      <c r="AJ251" s="223">
        <f t="shared" si="130"/>
        <v>0</v>
      </c>
      <c r="AK251" s="223"/>
      <c r="AL251" s="223">
        <f t="shared" si="131"/>
        <v>0</v>
      </c>
      <c r="AM251" s="223"/>
      <c r="AN251" s="223">
        <f t="shared" si="132"/>
        <v>0</v>
      </c>
      <c r="AO251" s="223"/>
      <c r="AP251" s="223">
        <f t="shared" si="133"/>
        <v>0</v>
      </c>
      <c r="AQ251" s="223"/>
      <c r="AR251" s="223">
        <f t="shared" si="134"/>
        <v>0</v>
      </c>
      <c r="AS251" s="139"/>
      <c r="AT251" s="139">
        <f t="shared" si="135"/>
        <v>80416.62</v>
      </c>
    </row>
    <row r="252" spans="2:49" x14ac:dyDescent="0.25">
      <c r="B252" s="427"/>
      <c r="C252" s="438">
        <v>339.1</v>
      </c>
      <c r="E252" s="389" t="s">
        <v>75</v>
      </c>
      <c r="G252" s="144">
        <v>14</v>
      </c>
      <c r="I252" s="473">
        <v>22658.510000000242</v>
      </c>
      <c r="J252" s="225"/>
      <c r="K252" s="223">
        <f t="shared" si="120"/>
        <v>12700.094855000136</v>
      </c>
      <c r="L252" s="351"/>
      <c r="M252" s="223">
        <f t="shared" si="121"/>
        <v>4629.1335930000496</v>
      </c>
      <c r="N252" s="351"/>
      <c r="O252" s="223">
        <f t="shared" si="122"/>
        <v>1436.5495340000152</v>
      </c>
      <c r="P252" s="351"/>
      <c r="Q252" s="223">
        <f t="shared" si="123"/>
        <v>747.73083000000804</v>
      </c>
      <c r="R252" s="351"/>
      <c r="S252" s="223">
        <f t="shared" si="124"/>
        <v>586.85540900000626</v>
      </c>
      <c r="T252" s="351"/>
      <c r="U252" s="223">
        <f t="shared" si="125"/>
        <v>0</v>
      </c>
      <c r="V252" s="351"/>
      <c r="W252" s="223">
        <f t="shared" si="126"/>
        <v>2558.1457790000272</v>
      </c>
      <c r="AA252" s="351"/>
      <c r="AB252" s="389" t="s">
        <v>75</v>
      </c>
      <c r="AC252" s="133"/>
      <c r="AD252" s="144">
        <f t="shared" si="136"/>
        <v>14</v>
      </c>
      <c r="AE252" s="133"/>
      <c r="AF252" s="396">
        <f t="shared" si="137"/>
        <v>22658.510000000242</v>
      </c>
      <c r="AG252" s="224"/>
      <c r="AH252" s="223">
        <f t="shared" si="129"/>
        <v>8030.175944000086</v>
      </c>
      <c r="AI252" s="223"/>
      <c r="AJ252" s="223">
        <f t="shared" si="130"/>
        <v>3217.5084200000342</v>
      </c>
      <c r="AK252" s="223"/>
      <c r="AL252" s="223">
        <f t="shared" si="131"/>
        <v>3808.8955310000406</v>
      </c>
      <c r="AM252" s="223"/>
      <c r="AN252" s="223">
        <f t="shared" si="132"/>
        <v>1633.6785710000174</v>
      </c>
      <c r="AO252" s="223"/>
      <c r="AP252" s="223">
        <f t="shared" si="133"/>
        <v>1008.3036950000107</v>
      </c>
      <c r="AQ252" s="223"/>
      <c r="AR252" s="223">
        <f t="shared" si="134"/>
        <v>2401.8020600000254</v>
      </c>
      <c r="AS252" s="139"/>
      <c r="AT252" s="139">
        <f t="shared" si="135"/>
        <v>2558.1457790000272</v>
      </c>
    </row>
    <row r="253" spans="2:49" x14ac:dyDescent="0.25">
      <c r="B253" s="427"/>
      <c r="C253" s="438">
        <v>340.1</v>
      </c>
      <c r="E253" s="389" t="s">
        <v>76</v>
      </c>
      <c r="G253" s="144">
        <v>14</v>
      </c>
      <c r="I253" s="473">
        <v>226689.74000000022</v>
      </c>
      <c r="J253" s="225"/>
      <c r="K253" s="223">
        <f t="shared" si="120"/>
        <v>127059.59927000012</v>
      </c>
      <c r="L253" s="351"/>
      <c r="M253" s="223">
        <f t="shared" si="121"/>
        <v>46312.713882000047</v>
      </c>
      <c r="N253" s="351"/>
      <c r="O253" s="223">
        <f t="shared" si="122"/>
        <v>14372.129516000014</v>
      </c>
      <c r="P253" s="351"/>
      <c r="Q253" s="223">
        <f t="shared" si="123"/>
        <v>7480.761420000008</v>
      </c>
      <c r="R253" s="351"/>
      <c r="S253" s="223">
        <f t="shared" si="124"/>
        <v>5871.2642660000056</v>
      </c>
      <c r="T253" s="351"/>
      <c r="U253" s="223">
        <f t="shared" si="125"/>
        <v>0</v>
      </c>
      <c r="V253" s="351"/>
      <c r="W253" s="223">
        <f t="shared" si="126"/>
        <v>25593.271646000027</v>
      </c>
      <c r="AA253" s="351"/>
      <c r="AB253" s="389" t="s">
        <v>76</v>
      </c>
      <c r="AC253" s="133"/>
      <c r="AD253" s="144">
        <f t="shared" si="136"/>
        <v>14</v>
      </c>
      <c r="AE253" s="133"/>
      <c r="AF253" s="396">
        <f t="shared" si="137"/>
        <v>226689.74000000022</v>
      </c>
      <c r="AG253" s="224"/>
      <c r="AH253" s="223">
        <f t="shared" si="129"/>
        <v>80338.84385600008</v>
      </c>
      <c r="AI253" s="223"/>
      <c r="AJ253" s="223">
        <f t="shared" si="130"/>
        <v>32189.94308000003</v>
      </c>
      <c r="AK253" s="223"/>
      <c r="AL253" s="223">
        <f t="shared" si="131"/>
        <v>38106.54529400004</v>
      </c>
      <c r="AM253" s="223"/>
      <c r="AN253" s="223">
        <f t="shared" si="132"/>
        <v>16344.330254000015</v>
      </c>
      <c r="AO253" s="223"/>
      <c r="AP253" s="223">
        <f t="shared" si="133"/>
        <v>10087.69343000001</v>
      </c>
      <c r="AQ253" s="223"/>
      <c r="AR253" s="223">
        <f t="shared" si="134"/>
        <v>24029.112440000023</v>
      </c>
      <c r="AS253" s="139"/>
      <c r="AT253" s="139">
        <f t="shared" si="135"/>
        <v>25593.271646000027</v>
      </c>
    </row>
    <row r="254" spans="2:49" x14ac:dyDescent="0.25">
      <c r="B254" s="427"/>
      <c r="C254" s="438">
        <v>341.1</v>
      </c>
      <c r="E254" s="389" t="s">
        <v>77</v>
      </c>
      <c r="G254" s="144">
        <v>14</v>
      </c>
      <c r="I254" s="473">
        <v>1990065.6799999997</v>
      </c>
      <c r="J254" s="225"/>
      <c r="K254" s="223">
        <f t="shared" si="120"/>
        <v>1115431.8136399998</v>
      </c>
      <c r="L254" s="351"/>
      <c r="M254" s="223">
        <f t="shared" si="121"/>
        <v>406570.41842399997</v>
      </c>
      <c r="N254" s="351"/>
      <c r="O254" s="223">
        <f t="shared" si="122"/>
        <v>126170.16411199998</v>
      </c>
      <c r="P254" s="351"/>
      <c r="Q254" s="223">
        <f t="shared" si="123"/>
        <v>65672.16743999999</v>
      </c>
      <c r="R254" s="351"/>
      <c r="S254" s="223">
        <f t="shared" si="124"/>
        <v>51542.701111999988</v>
      </c>
      <c r="T254" s="351"/>
      <c r="U254" s="223">
        <f t="shared" si="125"/>
        <v>0</v>
      </c>
      <c r="V254" s="351"/>
      <c r="W254" s="223">
        <f t="shared" si="126"/>
        <v>224678.41527199995</v>
      </c>
      <c r="AA254" s="351"/>
      <c r="AB254" s="389" t="s">
        <v>77</v>
      </c>
      <c r="AC254" s="133"/>
      <c r="AD254" s="144">
        <f t="shared" si="136"/>
        <v>14</v>
      </c>
      <c r="AE254" s="133"/>
      <c r="AF254" s="396">
        <f t="shared" si="137"/>
        <v>1990065.6799999997</v>
      </c>
      <c r="AG254" s="224"/>
      <c r="AH254" s="223">
        <f t="shared" si="129"/>
        <v>705279.27699199982</v>
      </c>
      <c r="AI254" s="223"/>
      <c r="AJ254" s="223">
        <f t="shared" si="130"/>
        <v>282589.32655999996</v>
      </c>
      <c r="AK254" s="223"/>
      <c r="AL254" s="223">
        <f t="shared" si="131"/>
        <v>334530.04080799996</v>
      </c>
      <c r="AM254" s="223"/>
      <c r="AN254" s="223">
        <f t="shared" si="132"/>
        <v>143483.73552799996</v>
      </c>
      <c r="AO254" s="223"/>
      <c r="AP254" s="223">
        <f t="shared" si="133"/>
        <v>88557.922759999987</v>
      </c>
      <c r="AQ254" s="223"/>
      <c r="AR254" s="223">
        <f t="shared" si="134"/>
        <v>210946.96207999997</v>
      </c>
      <c r="AS254" s="139"/>
      <c r="AT254" s="139">
        <f t="shared" si="135"/>
        <v>224678.41527199995</v>
      </c>
    </row>
    <row r="255" spans="2:49" x14ac:dyDescent="0.25">
      <c r="B255" s="427"/>
      <c r="C255" s="438">
        <v>341.2</v>
      </c>
      <c r="E255" s="389" t="s">
        <v>77</v>
      </c>
      <c r="G255" s="144">
        <v>14</v>
      </c>
      <c r="I255" s="473">
        <v>3880.25</v>
      </c>
      <c r="J255" s="225"/>
      <c r="K255" s="223">
        <f t="shared" si="120"/>
        <v>2174.8801250000001</v>
      </c>
      <c r="L255" s="351"/>
      <c r="M255" s="223">
        <f t="shared" si="121"/>
        <v>792.73507500000005</v>
      </c>
      <c r="N255" s="351"/>
      <c r="O255" s="223">
        <f t="shared" si="122"/>
        <v>246.00784999999999</v>
      </c>
      <c r="P255" s="351"/>
      <c r="Q255" s="223">
        <f t="shared" si="123"/>
        <v>128.04825</v>
      </c>
      <c r="R255" s="351"/>
      <c r="S255" s="223">
        <f t="shared" si="124"/>
        <v>100.498475</v>
      </c>
      <c r="T255" s="351"/>
      <c r="U255" s="223">
        <f t="shared" si="125"/>
        <v>0</v>
      </c>
      <c r="V255" s="351"/>
      <c r="W255" s="223">
        <f t="shared" si="126"/>
        <v>438.08022499999998</v>
      </c>
      <c r="AA255" s="351"/>
      <c r="AB255" s="389" t="s">
        <v>77</v>
      </c>
      <c r="AC255" s="133"/>
      <c r="AD255" s="144">
        <f t="shared" si="136"/>
        <v>14</v>
      </c>
      <c r="AE255" s="133"/>
      <c r="AF255" s="396">
        <f t="shared" si="137"/>
        <v>3880.25</v>
      </c>
      <c r="AG255" s="224"/>
      <c r="AH255" s="223">
        <f t="shared" si="129"/>
        <v>1375.1605999999999</v>
      </c>
      <c r="AI255" s="223"/>
      <c r="AJ255" s="223">
        <f t="shared" si="130"/>
        <v>550.99549999999999</v>
      </c>
      <c r="AK255" s="223"/>
      <c r="AL255" s="223">
        <f t="shared" si="131"/>
        <v>652.27002500000003</v>
      </c>
      <c r="AM255" s="223"/>
      <c r="AN255" s="223">
        <f t="shared" si="132"/>
        <v>279.76602500000001</v>
      </c>
      <c r="AO255" s="223"/>
      <c r="AP255" s="223">
        <f t="shared" si="133"/>
        <v>172.67112499999999</v>
      </c>
      <c r="AQ255" s="223"/>
      <c r="AR255" s="223">
        <f t="shared" si="134"/>
        <v>411.30649999999997</v>
      </c>
      <c r="AS255" s="139"/>
      <c r="AT255" s="139">
        <f t="shared" si="135"/>
        <v>438.08022499999998</v>
      </c>
    </row>
    <row r="256" spans="2:49" x14ac:dyDescent="0.25">
      <c r="B256" s="427"/>
      <c r="C256" s="438">
        <v>343.1</v>
      </c>
      <c r="E256" s="389" t="s">
        <v>78</v>
      </c>
      <c r="G256" s="144">
        <v>14</v>
      </c>
      <c r="I256" s="473">
        <v>394720.28</v>
      </c>
      <c r="J256" s="225"/>
      <c r="K256" s="223">
        <f t="shared" si="120"/>
        <v>221240.71694000001</v>
      </c>
      <c r="L256" s="351"/>
      <c r="M256" s="223">
        <f t="shared" si="121"/>
        <v>80641.353204000014</v>
      </c>
      <c r="N256" s="351"/>
      <c r="O256" s="223">
        <f t="shared" si="122"/>
        <v>25025.265751999999</v>
      </c>
      <c r="P256" s="351"/>
      <c r="Q256" s="223">
        <f t="shared" si="123"/>
        <v>13025.769240000001</v>
      </c>
      <c r="R256" s="351"/>
      <c r="S256" s="223">
        <f t="shared" si="124"/>
        <v>10223.255252000001</v>
      </c>
      <c r="T256" s="351"/>
      <c r="U256" s="223">
        <f t="shared" si="125"/>
        <v>0</v>
      </c>
      <c r="V256" s="351"/>
      <c r="W256" s="223">
        <f t="shared" si="126"/>
        <v>44563.919612000005</v>
      </c>
      <c r="AA256" s="351"/>
      <c r="AB256" s="389" t="s">
        <v>78</v>
      </c>
      <c r="AC256" s="133"/>
      <c r="AD256" s="144">
        <f t="shared" si="136"/>
        <v>14</v>
      </c>
      <c r="AE256" s="133"/>
      <c r="AF256" s="396">
        <f t="shared" si="137"/>
        <v>394720.28</v>
      </c>
      <c r="AG256" s="224"/>
      <c r="AH256" s="223">
        <f t="shared" si="129"/>
        <v>139888.86723200002</v>
      </c>
      <c r="AI256" s="223"/>
      <c r="AJ256" s="223">
        <f t="shared" si="130"/>
        <v>56050.279759999998</v>
      </c>
      <c r="AK256" s="223"/>
      <c r="AL256" s="223">
        <f t="shared" si="131"/>
        <v>66352.479068000001</v>
      </c>
      <c r="AM256" s="223"/>
      <c r="AN256" s="223">
        <f t="shared" si="132"/>
        <v>28459.332188</v>
      </c>
      <c r="AO256" s="223"/>
      <c r="AP256" s="223">
        <f t="shared" si="133"/>
        <v>17565.052459999999</v>
      </c>
      <c r="AQ256" s="223"/>
      <c r="AR256" s="223">
        <f t="shared" si="134"/>
        <v>41840.349679999999</v>
      </c>
      <c r="AS256" s="139"/>
      <c r="AT256" s="139">
        <f t="shared" si="135"/>
        <v>44563.919612000005</v>
      </c>
    </row>
    <row r="257" spans="2:50" x14ac:dyDescent="0.25">
      <c r="B257" s="427"/>
      <c r="C257" s="438">
        <v>344.1</v>
      </c>
      <c r="E257" s="389" t="s">
        <v>156</v>
      </c>
      <c r="G257" s="144">
        <v>2</v>
      </c>
      <c r="I257" s="473">
        <v>396008.75000000006</v>
      </c>
      <c r="J257" s="225"/>
      <c r="K257" s="223">
        <f t="shared" si="120"/>
        <v>206162.15525000001</v>
      </c>
      <c r="L257" s="351"/>
      <c r="M257" s="223">
        <f t="shared" si="121"/>
        <v>104823.51612500001</v>
      </c>
      <c r="N257" s="351"/>
      <c r="O257" s="223">
        <f t="shared" si="122"/>
        <v>39363.269750000007</v>
      </c>
      <c r="P257" s="351"/>
      <c r="Q257" s="223">
        <f t="shared" si="123"/>
        <v>19048.020875000002</v>
      </c>
      <c r="R257" s="351"/>
      <c r="S257" s="223">
        <f t="shared" si="124"/>
        <v>25027.753000000008</v>
      </c>
      <c r="T257" s="351"/>
      <c r="U257" s="223">
        <f t="shared" si="125"/>
        <v>0</v>
      </c>
      <c r="V257" s="351"/>
      <c r="W257" s="223">
        <f t="shared" si="126"/>
        <v>1584.0350000000003</v>
      </c>
      <c r="AA257" s="351"/>
      <c r="AB257" s="389" t="s">
        <v>156</v>
      </c>
      <c r="AC257" s="133"/>
      <c r="AD257" s="144">
        <f t="shared" si="136"/>
        <v>2</v>
      </c>
      <c r="AE257" s="133"/>
      <c r="AF257" s="396">
        <f t="shared" si="137"/>
        <v>396008.75000000006</v>
      </c>
      <c r="AG257" s="224"/>
      <c r="AH257" s="223">
        <f t="shared" si="129"/>
        <v>245921.43375000003</v>
      </c>
      <c r="AI257" s="223"/>
      <c r="AJ257" s="223">
        <f t="shared" si="130"/>
        <v>148503.28125000003</v>
      </c>
      <c r="AK257" s="223"/>
      <c r="AL257" s="223">
        <f t="shared" si="131"/>
        <v>0</v>
      </c>
      <c r="AM257" s="223"/>
      <c r="AN257" s="223">
        <f t="shared" si="132"/>
        <v>0</v>
      </c>
      <c r="AO257" s="223"/>
      <c r="AP257" s="223">
        <f t="shared" si="133"/>
        <v>0</v>
      </c>
      <c r="AQ257" s="223"/>
      <c r="AR257" s="223">
        <f t="shared" si="134"/>
        <v>0</v>
      </c>
      <c r="AS257" s="139"/>
      <c r="AT257" s="139">
        <f t="shared" si="135"/>
        <v>1584.0350000000003</v>
      </c>
    </row>
    <row r="258" spans="2:50" x14ac:dyDescent="0.25">
      <c r="B258" s="427"/>
      <c r="C258" s="438">
        <v>345.1</v>
      </c>
      <c r="E258" s="389" t="s">
        <v>157</v>
      </c>
      <c r="G258" s="144">
        <v>14</v>
      </c>
      <c r="I258" s="473">
        <v>158865.16999999993</v>
      </c>
      <c r="J258" s="225"/>
      <c r="K258" s="223">
        <f t="shared" si="120"/>
        <v>89043.927784999963</v>
      </c>
      <c r="L258" s="351"/>
      <c r="M258" s="223">
        <f t="shared" si="121"/>
        <v>32456.154230999986</v>
      </c>
      <c r="N258" s="351"/>
      <c r="O258" s="223">
        <f t="shared" si="122"/>
        <v>10072.051777999995</v>
      </c>
      <c r="P258" s="351"/>
      <c r="Q258" s="223">
        <f t="shared" si="123"/>
        <v>5242.5506099999975</v>
      </c>
      <c r="R258" s="351"/>
      <c r="S258" s="223">
        <f t="shared" si="124"/>
        <v>4114.6079029999983</v>
      </c>
      <c r="T258" s="351"/>
      <c r="U258" s="223">
        <f t="shared" si="125"/>
        <v>0</v>
      </c>
      <c r="V258" s="351"/>
      <c r="W258" s="223">
        <f t="shared" si="126"/>
        <v>17935.877692999991</v>
      </c>
      <c r="AA258" s="351"/>
      <c r="AB258" s="389" t="s">
        <v>157</v>
      </c>
      <c r="AC258" s="133"/>
      <c r="AD258" s="144">
        <f t="shared" si="136"/>
        <v>14</v>
      </c>
      <c r="AE258" s="133"/>
      <c r="AF258" s="396">
        <f t="shared" si="137"/>
        <v>158865.16999999993</v>
      </c>
      <c r="AG258" s="224"/>
      <c r="AH258" s="223">
        <f t="shared" si="129"/>
        <v>56301.816247999974</v>
      </c>
      <c r="AI258" s="223"/>
      <c r="AJ258" s="223">
        <f t="shared" si="130"/>
        <v>22558.854139999989</v>
      </c>
      <c r="AK258" s="223"/>
      <c r="AL258" s="223">
        <f t="shared" si="131"/>
        <v>26705.235076999987</v>
      </c>
      <c r="AM258" s="223"/>
      <c r="AN258" s="223">
        <f t="shared" si="132"/>
        <v>11454.178756999994</v>
      </c>
      <c r="AO258" s="223"/>
      <c r="AP258" s="223">
        <f t="shared" si="133"/>
        <v>7069.5000649999965</v>
      </c>
      <c r="AQ258" s="223"/>
      <c r="AR258" s="223">
        <f t="shared" si="134"/>
        <v>16839.708019999991</v>
      </c>
      <c r="AS258" s="139"/>
      <c r="AT258" s="139">
        <f t="shared" si="135"/>
        <v>17935.877692999991</v>
      </c>
    </row>
    <row r="259" spans="2:50" x14ac:dyDescent="0.25">
      <c r="B259" s="427"/>
      <c r="C259" s="438">
        <v>346.1</v>
      </c>
      <c r="E259" s="389" t="s">
        <v>79</v>
      </c>
      <c r="G259" s="144">
        <v>14</v>
      </c>
      <c r="I259" s="473">
        <v>2811987.9799999995</v>
      </c>
      <c r="J259" s="225"/>
      <c r="K259" s="223">
        <f t="shared" si="120"/>
        <v>1576119.2627899998</v>
      </c>
      <c r="L259" s="351"/>
      <c r="M259" s="223">
        <f t="shared" si="121"/>
        <v>574489.14431399992</v>
      </c>
      <c r="N259" s="351"/>
      <c r="O259" s="223">
        <f t="shared" si="122"/>
        <v>178280.03793199998</v>
      </c>
      <c r="P259" s="351"/>
      <c r="Q259" s="223">
        <f t="shared" si="123"/>
        <v>92795.603339999987</v>
      </c>
      <c r="R259" s="351"/>
      <c r="S259" s="223">
        <f t="shared" si="124"/>
        <v>72830.488681999981</v>
      </c>
      <c r="T259" s="351"/>
      <c r="U259" s="223">
        <f t="shared" si="125"/>
        <v>0</v>
      </c>
      <c r="V259" s="351"/>
      <c r="W259" s="223">
        <f t="shared" si="126"/>
        <v>317473.44294199994</v>
      </c>
      <c r="AA259" s="351"/>
      <c r="AB259" s="389" t="s">
        <v>79</v>
      </c>
      <c r="AC259" s="133"/>
      <c r="AD259" s="144">
        <f t="shared" si="136"/>
        <v>14</v>
      </c>
      <c r="AE259" s="133"/>
      <c r="AF259" s="396">
        <f t="shared" si="137"/>
        <v>2811987.9799999995</v>
      </c>
      <c r="AG259" s="224"/>
      <c r="AH259" s="223">
        <f t="shared" si="129"/>
        <v>996568.54011199984</v>
      </c>
      <c r="AI259" s="223"/>
      <c r="AJ259" s="223">
        <f t="shared" si="130"/>
        <v>399302.29315999988</v>
      </c>
      <c r="AK259" s="223"/>
      <c r="AL259" s="223">
        <f t="shared" si="131"/>
        <v>472695.1794379999</v>
      </c>
      <c r="AM259" s="223"/>
      <c r="AN259" s="223">
        <f t="shared" si="132"/>
        <v>202744.33335799995</v>
      </c>
      <c r="AO259" s="223"/>
      <c r="AP259" s="223">
        <f t="shared" si="133"/>
        <v>125133.46510999998</v>
      </c>
      <c r="AQ259" s="223"/>
      <c r="AR259" s="223">
        <f t="shared" si="134"/>
        <v>298070.72587999993</v>
      </c>
      <c r="AS259" s="139"/>
      <c r="AT259" s="139">
        <f t="shared" si="135"/>
        <v>317473.44294199994</v>
      </c>
    </row>
    <row r="260" spans="2:50" x14ac:dyDescent="0.25">
      <c r="B260" s="427"/>
      <c r="C260" s="438">
        <v>347.1</v>
      </c>
      <c r="E260" s="389" t="s">
        <v>80</v>
      </c>
      <c r="G260" s="144">
        <v>14</v>
      </c>
      <c r="I260" s="614">
        <v>13173.989999999991</v>
      </c>
      <c r="J260" s="652"/>
      <c r="K260" s="397">
        <f t="shared" si="120"/>
        <v>7384.0213949999952</v>
      </c>
      <c r="L260" s="351"/>
      <c r="M260" s="397">
        <f t="shared" si="121"/>
        <v>2691.446156999998</v>
      </c>
      <c r="N260" s="351"/>
      <c r="O260" s="397">
        <f t="shared" si="122"/>
        <v>835.2309659999994</v>
      </c>
      <c r="P260" s="351"/>
      <c r="Q260" s="397">
        <f t="shared" si="123"/>
        <v>434.74166999999971</v>
      </c>
      <c r="R260" s="351"/>
      <c r="S260" s="397">
        <f t="shared" si="124"/>
        <v>341.20634099999972</v>
      </c>
      <c r="T260" s="351"/>
      <c r="U260" s="397">
        <f t="shared" si="125"/>
        <v>0</v>
      </c>
      <c r="V260" s="351"/>
      <c r="W260" s="397">
        <f t="shared" si="126"/>
        <v>1487.343470999999</v>
      </c>
      <c r="AA260" s="351"/>
      <c r="AB260" s="389" t="s">
        <v>80</v>
      </c>
      <c r="AC260" s="133"/>
      <c r="AD260" s="144">
        <f t="shared" si="136"/>
        <v>14</v>
      </c>
      <c r="AE260" s="133"/>
      <c r="AF260" s="396">
        <f t="shared" si="137"/>
        <v>13173.989999999991</v>
      </c>
      <c r="AG260" s="224"/>
      <c r="AH260" s="223">
        <f t="shared" si="129"/>
        <v>4668.8620559999963</v>
      </c>
      <c r="AI260" s="223"/>
      <c r="AJ260" s="223">
        <f t="shared" si="130"/>
        <v>1870.7065799999984</v>
      </c>
      <c r="AK260" s="223"/>
      <c r="AL260" s="223">
        <f t="shared" si="131"/>
        <v>2214.5477189999983</v>
      </c>
      <c r="AM260" s="223"/>
      <c r="AN260" s="223">
        <f t="shared" si="132"/>
        <v>949.84467899999925</v>
      </c>
      <c r="AO260" s="223"/>
      <c r="AP260" s="223">
        <f t="shared" si="133"/>
        <v>586.24255499999958</v>
      </c>
      <c r="AQ260" s="223"/>
      <c r="AR260" s="223">
        <f t="shared" si="134"/>
        <v>1396.442939999999</v>
      </c>
      <c r="AS260" s="139"/>
      <c r="AT260" s="139">
        <f t="shared" si="135"/>
        <v>1487.343470999999</v>
      </c>
    </row>
    <row r="261" spans="2:50" ht="16.649999999999999" customHeight="1" x14ac:dyDescent="0.25">
      <c r="B261" s="427"/>
      <c r="I261" s="643"/>
      <c r="J261" s="662"/>
      <c r="K261" s="663"/>
      <c r="L261" s="663"/>
      <c r="M261" s="664"/>
      <c r="N261" s="644"/>
      <c r="O261" s="644"/>
      <c r="P261" s="644"/>
      <c r="Q261" s="644"/>
      <c r="R261" s="644"/>
      <c r="S261" s="644"/>
      <c r="T261" s="644"/>
      <c r="U261" s="644"/>
      <c r="V261" s="644"/>
      <c r="W261" s="644"/>
      <c r="Z261" s="137"/>
      <c r="AA261" s="351"/>
      <c r="AB261" s="133"/>
      <c r="AC261" s="133"/>
      <c r="AD261" s="144"/>
      <c r="AF261" s="682"/>
      <c r="AG261" s="224"/>
      <c r="AH261" s="682"/>
      <c r="AI261" s="224"/>
      <c r="AJ261" s="682"/>
      <c r="AK261" s="224"/>
      <c r="AL261" s="682"/>
      <c r="AM261" s="224"/>
      <c r="AN261" s="682"/>
      <c r="AO261" s="224"/>
      <c r="AP261" s="682"/>
      <c r="AQ261" s="224"/>
      <c r="AR261" s="682"/>
      <c r="AS261" s="517"/>
      <c r="AT261" s="528"/>
    </row>
    <row r="262" spans="2:50" x14ac:dyDescent="0.25">
      <c r="B262" s="427"/>
      <c r="E262" s="231" t="s">
        <v>158</v>
      </c>
      <c r="I262" s="638">
        <f>SUM(I219:I261)</f>
        <v>328561696.93000013</v>
      </c>
      <c r="J262" s="665"/>
      <c r="K262" s="640">
        <f>SUM(K219:K261)</f>
        <v>165177689.09414819</v>
      </c>
      <c r="L262" s="644"/>
      <c r="M262" s="640">
        <f>SUM(M219:M261)</f>
        <v>71633798.915021673</v>
      </c>
      <c r="N262" s="644"/>
      <c r="O262" s="640">
        <f>SUM(O219:O261)</f>
        <v>23934169.504735935</v>
      </c>
      <c r="P262" s="644"/>
      <c r="Q262" s="640">
        <f>SUM(Q219:Q261)</f>
        <v>12064015.911874592</v>
      </c>
      <c r="R262" s="644"/>
      <c r="S262" s="640">
        <f>SUM(S219:S261)</f>
        <v>10657978.088769285</v>
      </c>
      <c r="T262" s="644"/>
      <c r="U262" s="640">
        <f>SUM(U219:U261)</f>
        <v>0</v>
      </c>
      <c r="V262" s="644"/>
      <c r="W262" s="640">
        <f>SUM(W219:W261)</f>
        <v>45094045.415450245</v>
      </c>
      <c r="Z262" s="137"/>
      <c r="AA262" s="351"/>
      <c r="AB262" s="231" t="s">
        <v>158</v>
      </c>
      <c r="AC262" s="133"/>
      <c r="AD262" s="144"/>
      <c r="AF262" s="397">
        <f>SUM(AF219:AF261)</f>
        <v>328561696.93000013</v>
      </c>
      <c r="AG262" s="224"/>
      <c r="AH262" s="397">
        <f>SUM(AH219:AH261)</f>
        <v>137664578.38885227</v>
      </c>
      <c r="AI262" s="223"/>
      <c r="AJ262" s="397">
        <f>SUM(AJ219:AJ261)</f>
        <v>62109824.225595698</v>
      </c>
      <c r="AK262" s="351"/>
      <c r="AL262" s="397">
        <f>SUM(AL219:AL261)</f>
        <v>49073320.066405714</v>
      </c>
      <c r="AM262" s="351"/>
      <c r="AN262" s="397">
        <f>SUM(AN219:AN261)</f>
        <v>11580523.894216001</v>
      </c>
      <c r="AO262" s="351"/>
      <c r="AP262" s="397">
        <f>SUM(AP219:AP261)</f>
        <v>21828943.137719996</v>
      </c>
      <c r="AQ262" s="351"/>
      <c r="AR262" s="397">
        <f>SUM(AR219:AR261)</f>
        <v>1210461.8017599997</v>
      </c>
      <c r="AS262" s="147"/>
      <c r="AT262" s="140">
        <f>SUM(AT219:AT261)</f>
        <v>45094045.415450245</v>
      </c>
      <c r="AU262" s="147"/>
      <c r="AX262" s="184"/>
    </row>
    <row r="263" spans="2:50" ht="15" customHeight="1" x14ac:dyDescent="0.25">
      <c r="I263" s="553"/>
      <c r="J263" s="596"/>
      <c r="K263" s="653"/>
      <c r="L263" s="653"/>
      <c r="M263" s="392"/>
      <c r="N263" s="351"/>
      <c r="O263" s="351"/>
      <c r="P263" s="351"/>
      <c r="Q263" s="351"/>
      <c r="R263" s="351"/>
      <c r="S263" s="351"/>
      <c r="T263" s="351"/>
      <c r="U263" s="351"/>
      <c r="V263" s="351"/>
      <c r="W263" s="351"/>
      <c r="Z263" s="137"/>
      <c r="AA263" s="351"/>
      <c r="AB263" s="133"/>
      <c r="AC263" s="133"/>
      <c r="AD263" s="144"/>
      <c r="AF263" s="224"/>
      <c r="AG263" s="224"/>
      <c r="AH263" s="224"/>
      <c r="AI263" s="224"/>
      <c r="AJ263" s="224"/>
      <c r="AK263" s="224"/>
      <c r="AL263" s="224"/>
      <c r="AM263" s="224"/>
      <c r="AN263" s="224"/>
      <c r="AO263" s="224"/>
      <c r="AP263" s="224"/>
      <c r="AQ263" s="224"/>
      <c r="AR263" s="224"/>
    </row>
    <row r="264" spans="2:50" s="128" customFormat="1" ht="15" customHeight="1" x14ac:dyDescent="0.25">
      <c r="B264" s="470"/>
      <c r="C264" s="425"/>
      <c r="D264" s="351"/>
      <c r="E264" s="133" t="s">
        <v>331</v>
      </c>
      <c r="F264" s="133"/>
      <c r="G264" s="144"/>
      <c r="I264" s="449"/>
      <c r="J264" s="654"/>
      <c r="K264" s="223"/>
      <c r="L264" s="351"/>
      <c r="M264" s="223"/>
      <c r="N264" s="351"/>
      <c r="O264" s="223"/>
      <c r="P264" s="351"/>
      <c r="Q264" s="223"/>
      <c r="R264" s="351"/>
      <c r="S264" s="223"/>
      <c r="T264" s="351"/>
      <c r="U264" s="223"/>
      <c r="V264" s="351"/>
      <c r="W264" s="223"/>
      <c r="Y264" s="351"/>
      <c r="Z264" s="130"/>
      <c r="AA264" s="351"/>
      <c r="AB264" s="133" t="s">
        <v>331</v>
      </c>
      <c r="AC264" s="133"/>
      <c r="AD264" s="144"/>
      <c r="AE264" s="133"/>
      <c r="AF264" s="396"/>
      <c r="AG264" s="351"/>
      <c r="AH264" s="223"/>
      <c r="AI264" s="223"/>
      <c r="AJ264" s="223"/>
      <c r="AK264" s="223"/>
      <c r="AL264" s="223"/>
      <c r="AM264" s="223"/>
      <c r="AN264" s="223"/>
      <c r="AO264" s="223"/>
      <c r="AP264" s="223"/>
      <c r="AQ264" s="223"/>
      <c r="AR264" s="223"/>
      <c r="AS264" s="139"/>
      <c r="AT264" s="139"/>
      <c r="AV264" s="224"/>
    </row>
    <row r="265" spans="2:50" s="128" customFormat="1" ht="15" customHeight="1" x14ac:dyDescent="0.25">
      <c r="B265" s="470"/>
      <c r="C265" s="425"/>
      <c r="D265" s="351"/>
      <c r="E265" s="389" t="s">
        <v>282</v>
      </c>
      <c r="F265" s="133"/>
      <c r="G265" s="144">
        <v>3</v>
      </c>
      <c r="I265" s="449">
        <v>2748521.56</v>
      </c>
      <c r="J265" s="654"/>
      <c r="K265" s="223">
        <f t="shared" ref="K265:K271" si="138">(VLOOKUP($G265,Factors,K$316))*$I265</f>
        <v>1224466.3549800001</v>
      </c>
      <c r="L265" s="351"/>
      <c r="M265" s="223">
        <f t="shared" ref="M265:M271" si="139">(VLOOKUP($G265,Factors,M$316))*$I265</f>
        <v>622265.28118399996</v>
      </c>
      <c r="N265" s="351"/>
      <c r="O265" s="223">
        <f t="shared" ref="O265:O271" si="140">(VLOOKUP($G265,Factors,O$316))*$I265</f>
        <v>233349.48044400002</v>
      </c>
      <c r="P265" s="351"/>
      <c r="Q265" s="223">
        <f t="shared" ref="Q265:Q271" si="141">(VLOOKUP($G265,Factors,Q$316))*$I265</f>
        <v>113239.08827200001</v>
      </c>
      <c r="R265" s="351"/>
      <c r="S265" s="223">
        <f t="shared" ref="S265:S271" si="142">(VLOOKUP($G265,Factors,S$316))*$I265</f>
        <v>148420.16424000001</v>
      </c>
      <c r="T265" s="351"/>
      <c r="U265" s="223">
        <f t="shared" ref="U265:U271" si="143">(VLOOKUP($G265,Factors,U$316))*$I265</f>
        <v>0</v>
      </c>
      <c r="V265" s="351"/>
      <c r="W265" s="223">
        <f t="shared" ref="W265:W271" si="144">(VLOOKUP($G265,Factors,W$316))*$I265</f>
        <v>406781.19088000001</v>
      </c>
      <c r="X265"/>
      <c r="Y265" s="224"/>
      <c r="Z265" s="130"/>
      <c r="AA265" s="351"/>
      <c r="AB265" s="389" t="s">
        <v>282</v>
      </c>
      <c r="AC265" s="133"/>
      <c r="AD265" s="144">
        <f t="shared" ref="AD265:AD271" si="145">+G265</f>
        <v>3</v>
      </c>
      <c r="AE265" s="133"/>
      <c r="AF265" s="396">
        <f t="shared" ref="AF265:AF271" si="146">+I265</f>
        <v>2748521.56</v>
      </c>
      <c r="AG265" s="351"/>
      <c r="AH265" s="223">
        <f t="shared" ref="AH265:AH271" si="147">(VLOOKUP($AD265,func,AH$316))*$AF265</f>
        <v>1460014.652672</v>
      </c>
      <c r="AI265" s="223"/>
      <c r="AJ265" s="223">
        <f t="shared" ref="AJ265:AJ271" si="148">(VLOOKUP($AD265,func,AJ$316))*$AF265</f>
        <v>881725.71644799993</v>
      </c>
      <c r="AK265" s="223"/>
      <c r="AL265" s="223">
        <f t="shared" ref="AL265:AL271" si="149">(VLOOKUP($AD265,func,AL$316))*$AF265</f>
        <v>0</v>
      </c>
      <c r="AM265" s="223"/>
      <c r="AN265" s="223">
        <f t="shared" ref="AN265:AN271" si="150">(VLOOKUP($AD265,func,AN$316))*$AF265</f>
        <v>0</v>
      </c>
      <c r="AO265" s="223"/>
      <c r="AP265" s="223">
        <f t="shared" ref="AP265:AP271" si="151">(VLOOKUP($AD265,func,AP$316))*$AF265</f>
        <v>0</v>
      </c>
      <c r="AQ265" s="223"/>
      <c r="AR265" s="223">
        <f t="shared" ref="AR265:AR271" si="152">(VLOOKUP($AD265,func,AR$316))*$AF265</f>
        <v>0</v>
      </c>
      <c r="AS265" s="139"/>
      <c r="AT265" s="139">
        <f t="shared" ref="AT265:AT271" si="153">(VLOOKUP($AD265,func,AT$316))*$AF265</f>
        <v>406781.19088000001</v>
      </c>
      <c r="AU265"/>
      <c r="AV265" s="224"/>
    </row>
    <row r="266" spans="2:50" s="128" customFormat="1" ht="15" customHeight="1" x14ac:dyDescent="0.25">
      <c r="B266" s="470"/>
      <c r="C266" s="425"/>
      <c r="D266" s="351"/>
      <c r="E266" s="389" t="s">
        <v>283</v>
      </c>
      <c r="F266" s="133"/>
      <c r="G266" s="144">
        <v>4</v>
      </c>
      <c r="I266" s="449">
        <v>1791023.4500000002</v>
      </c>
      <c r="J266" s="654"/>
      <c r="K266" s="223">
        <f t="shared" si="138"/>
        <v>836766.15584000002</v>
      </c>
      <c r="L266" s="351"/>
      <c r="M266" s="223">
        <f t="shared" si="139"/>
        <v>387935.67927000008</v>
      </c>
      <c r="N266" s="351"/>
      <c r="O266" s="223">
        <f t="shared" si="140"/>
        <v>121968.696945</v>
      </c>
      <c r="P266" s="351"/>
      <c r="Q266" s="223">
        <f t="shared" si="141"/>
        <v>58924.671505000006</v>
      </c>
      <c r="R266" s="351"/>
      <c r="S266" s="223">
        <f t="shared" si="142"/>
        <v>0</v>
      </c>
      <c r="T266" s="351"/>
      <c r="U266" s="223">
        <f t="shared" si="143"/>
        <v>0</v>
      </c>
      <c r="V266" s="351"/>
      <c r="W266" s="223">
        <f t="shared" si="144"/>
        <v>385428.24644000002</v>
      </c>
      <c r="X266"/>
      <c r="Y266" s="224"/>
      <c r="Z266" s="130"/>
      <c r="AA266" s="351"/>
      <c r="AB266" s="389" t="s">
        <v>283</v>
      </c>
      <c r="AC266" s="133"/>
      <c r="AD266" s="144">
        <f t="shared" si="145"/>
        <v>4</v>
      </c>
      <c r="AE266" s="133"/>
      <c r="AF266" s="396">
        <f t="shared" si="146"/>
        <v>1791023.4500000002</v>
      </c>
      <c r="AG266" s="351"/>
      <c r="AH266" s="223">
        <f t="shared" si="147"/>
        <v>583336.337665</v>
      </c>
      <c r="AI266" s="223"/>
      <c r="AJ266" s="223">
        <f t="shared" si="148"/>
        <v>0</v>
      </c>
      <c r="AK266" s="223"/>
      <c r="AL266" s="223">
        <f t="shared" si="149"/>
        <v>822258.86589500005</v>
      </c>
      <c r="AM266" s="223"/>
      <c r="AN266" s="223">
        <f t="shared" si="150"/>
        <v>0</v>
      </c>
      <c r="AO266" s="223"/>
      <c r="AP266" s="223">
        <f t="shared" si="151"/>
        <v>0</v>
      </c>
      <c r="AQ266" s="223"/>
      <c r="AR266" s="223">
        <f t="shared" si="152"/>
        <v>0</v>
      </c>
      <c r="AS266" s="139"/>
      <c r="AT266" s="139">
        <f t="shared" si="153"/>
        <v>385428.24644000002</v>
      </c>
      <c r="AU266"/>
      <c r="AV266" s="224"/>
    </row>
    <row r="267" spans="2:50" s="128" customFormat="1" ht="15" customHeight="1" x14ac:dyDescent="0.25">
      <c r="B267" s="470"/>
      <c r="C267" s="425"/>
      <c r="D267" s="351"/>
      <c r="E267" s="389" t="s">
        <v>292</v>
      </c>
      <c r="F267" s="133"/>
      <c r="G267" s="144">
        <v>3</v>
      </c>
      <c r="I267" s="449">
        <v>198211.01</v>
      </c>
      <c r="J267" s="654"/>
      <c r="K267" s="223">
        <f t="shared" si="138"/>
        <v>88303.004955000011</v>
      </c>
      <c r="L267" s="351"/>
      <c r="M267" s="223">
        <f t="shared" si="139"/>
        <v>44874.972664000001</v>
      </c>
      <c r="N267" s="351"/>
      <c r="O267" s="223">
        <f t="shared" si="140"/>
        <v>16828.114749</v>
      </c>
      <c r="P267" s="351"/>
      <c r="Q267" s="223">
        <f t="shared" si="141"/>
        <v>8166.2936120000004</v>
      </c>
      <c r="R267" s="351"/>
      <c r="S267" s="223">
        <f t="shared" si="142"/>
        <v>10703.394540000001</v>
      </c>
      <c r="T267" s="351"/>
      <c r="U267" s="223">
        <f t="shared" si="143"/>
        <v>0</v>
      </c>
      <c r="V267" s="351"/>
      <c r="W267" s="223">
        <f t="shared" si="144"/>
        <v>29335.229479999998</v>
      </c>
      <c r="X267"/>
      <c r="Y267" s="224"/>
      <c r="Z267" s="130"/>
      <c r="AA267" s="351"/>
      <c r="AB267" s="133" t="s">
        <v>284</v>
      </c>
      <c r="AC267" s="133"/>
      <c r="AD267" s="144">
        <f t="shared" si="145"/>
        <v>3</v>
      </c>
      <c r="AE267" s="133"/>
      <c r="AF267" s="396">
        <f t="shared" si="146"/>
        <v>198211.01</v>
      </c>
      <c r="AG267" s="351"/>
      <c r="AH267" s="223">
        <f t="shared" si="147"/>
        <v>105289.68851200001</v>
      </c>
      <c r="AI267" s="223"/>
      <c r="AJ267" s="223">
        <f t="shared" si="148"/>
        <v>63586.092008</v>
      </c>
      <c r="AK267" s="223"/>
      <c r="AL267" s="223">
        <f t="shared" si="149"/>
        <v>0</v>
      </c>
      <c r="AM267" s="223"/>
      <c r="AN267" s="223">
        <f t="shared" si="150"/>
        <v>0</v>
      </c>
      <c r="AO267" s="223"/>
      <c r="AP267" s="223">
        <f t="shared" si="151"/>
        <v>0</v>
      </c>
      <c r="AQ267" s="223"/>
      <c r="AR267" s="223">
        <f t="shared" si="152"/>
        <v>0</v>
      </c>
      <c r="AS267" s="139"/>
      <c r="AT267" s="139">
        <f t="shared" si="153"/>
        <v>29335.229479999998</v>
      </c>
      <c r="AU267"/>
      <c r="AV267" s="224"/>
    </row>
    <row r="268" spans="2:50" s="128" customFormat="1" ht="15" customHeight="1" x14ac:dyDescent="0.25">
      <c r="B268" s="470"/>
      <c r="C268" s="425"/>
      <c r="D268" s="351"/>
      <c r="E268" s="389" t="s">
        <v>291</v>
      </c>
      <c r="F268" s="133"/>
      <c r="G268" s="144">
        <v>2</v>
      </c>
      <c r="I268" s="449">
        <v>3014840.3200000003</v>
      </c>
      <c r="J268" s="654"/>
      <c r="K268" s="223">
        <f t="shared" si="138"/>
        <v>1569525.870592</v>
      </c>
      <c r="L268" s="351"/>
      <c r="M268" s="223">
        <f t="shared" si="139"/>
        <v>798028.23270400008</v>
      </c>
      <c r="N268" s="351"/>
      <c r="O268" s="223">
        <f t="shared" si="140"/>
        <v>299675.12780800002</v>
      </c>
      <c r="P268" s="351"/>
      <c r="Q268" s="223">
        <f t="shared" si="141"/>
        <v>145013.819392</v>
      </c>
      <c r="R268" s="351"/>
      <c r="S268" s="223">
        <f t="shared" si="142"/>
        <v>190537.90822400004</v>
      </c>
      <c r="T268" s="351"/>
      <c r="U268" s="223">
        <f t="shared" si="143"/>
        <v>0</v>
      </c>
      <c r="V268" s="351"/>
      <c r="W268" s="223">
        <f t="shared" si="144"/>
        <v>12059.361280000001</v>
      </c>
      <c r="X268"/>
      <c r="Y268" s="224"/>
      <c r="Z268" s="130"/>
      <c r="AA268" s="351"/>
      <c r="AB268" s="133" t="s">
        <v>285</v>
      </c>
      <c r="AC268" s="133"/>
      <c r="AD268" s="144">
        <f t="shared" si="145"/>
        <v>2</v>
      </c>
      <c r="AE268" s="133"/>
      <c r="AF268" s="396">
        <f t="shared" si="146"/>
        <v>3014840.3200000003</v>
      </c>
      <c r="AG268" s="351"/>
      <c r="AH268" s="223">
        <f t="shared" si="147"/>
        <v>1872215.8387200001</v>
      </c>
      <c r="AI268" s="223"/>
      <c r="AJ268" s="223">
        <f t="shared" si="148"/>
        <v>1130565.1200000001</v>
      </c>
      <c r="AK268" s="223"/>
      <c r="AL268" s="223">
        <f t="shared" si="149"/>
        <v>0</v>
      </c>
      <c r="AM268" s="223"/>
      <c r="AN268" s="223">
        <f t="shared" si="150"/>
        <v>0</v>
      </c>
      <c r="AO268" s="223"/>
      <c r="AP268" s="223">
        <f t="shared" si="151"/>
        <v>0</v>
      </c>
      <c r="AQ268" s="223"/>
      <c r="AR268" s="223">
        <f t="shared" si="152"/>
        <v>0</v>
      </c>
      <c r="AS268" s="139"/>
      <c r="AT268" s="139">
        <f t="shared" si="153"/>
        <v>12059.361280000001</v>
      </c>
      <c r="AU268"/>
      <c r="AV268" s="224"/>
    </row>
    <row r="269" spans="2:50" s="128" customFormat="1" ht="15" customHeight="1" x14ac:dyDescent="0.25">
      <c r="B269" s="470"/>
      <c r="C269" s="425"/>
      <c r="D269" s="351"/>
      <c r="E269" s="389" t="s">
        <v>290</v>
      </c>
      <c r="F269" s="133"/>
      <c r="G269" s="144">
        <v>5</v>
      </c>
      <c r="I269" s="449">
        <v>2452587.7200000002</v>
      </c>
      <c r="J269" s="654"/>
      <c r="K269" s="223">
        <f t="shared" si="138"/>
        <v>1002127.342392</v>
      </c>
      <c r="L269" s="351"/>
      <c r="M269" s="223">
        <f t="shared" si="139"/>
        <v>463539.07908000005</v>
      </c>
      <c r="N269" s="351"/>
      <c r="O269" s="223">
        <f t="shared" si="140"/>
        <v>145193.19302400001</v>
      </c>
      <c r="P269" s="351"/>
      <c r="Q269" s="223">
        <f t="shared" si="141"/>
        <v>70389.267564000009</v>
      </c>
      <c r="R269" s="351"/>
      <c r="S269" s="223">
        <f t="shared" si="142"/>
        <v>92217.298272</v>
      </c>
      <c r="T269" s="351"/>
      <c r="U269" s="223">
        <f t="shared" si="143"/>
        <v>0</v>
      </c>
      <c r="V269" s="351"/>
      <c r="W269" s="223">
        <f t="shared" si="144"/>
        <v>679121.53966800019</v>
      </c>
      <c r="X269"/>
      <c r="Y269" s="224"/>
      <c r="Z269" s="130"/>
      <c r="AA269" s="351"/>
      <c r="AB269" s="133" t="s">
        <v>286</v>
      </c>
      <c r="AC269" s="133"/>
      <c r="AD269" s="144">
        <f t="shared" si="145"/>
        <v>5</v>
      </c>
      <c r="AE269" s="133"/>
      <c r="AF269" s="396">
        <f t="shared" si="146"/>
        <v>2452587.7200000002</v>
      </c>
      <c r="AG269" s="351"/>
      <c r="AH269" s="223">
        <f t="shared" si="147"/>
        <v>736266.83354399994</v>
      </c>
      <c r="AI269" s="223"/>
      <c r="AJ269" s="223">
        <f t="shared" si="148"/>
        <v>0</v>
      </c>
      <c r="AK269" s="223"/>
      <c r="AL269" s="223">
        <f t="shared" si="149"/>
        <v>1037199.3467880001</v>
      </c>
      <c r="AM269" s="223"/>
      <c r="AN269" s="223">
        <f t="shared" si="150"/>
        <v>0</v>
      </c>
      <c r="AO269" s="223"/>
      <c r="AP269" s="223">
        <f t="shared" si="151"/>
        <v>0</v>
      </c>
      <c r="AQ269" s="223"/>
      <c r="AR269" s="223">
        <f t="shared" si="152"/>
        <v>0</v>
      </c>
      <c r="AS269" s="139"/>
      <c r="AT269" s="139">
        <f t="shared" si="153"/>
        <v>679121.53966800019</v>
      </c>
      <c r="AU269"/>
      <c r="AV269" s="224"/>
    </row>
    <row r="270" spans="2:50" s="128" customFormat="1" ht="15" customHeight="1" x14ac:dyDescent="0.25">
      <c r="B270" s="470"/>
      <c r="C270" s="425"/>
      <c r="D270" s="351"/>
      <c r="E270" s="389" t="s">
        <v>478</v>
      </c>
      <c r="F270" s="133"/>
      <c r="G270" s="144">
        <v>8</v>
      </c>
      <c r="I270" s="449">
        <v>438432.58999999997</v>
      </c>
      <c r="J270" s="654"/>
      <c r="K270" s="223">
        <f t="shared" si="138"/>
        <v>351184.50458999997</v>
      </c>
      <c r="L270" s="351"/>
      <c r="M270" s="223">
        <f t="shared" si="139"/>
        <v>72867.496457999994</v>
      </c>
      <c r="N270" s="351"/>
      <c r="O270" s="223">
        <f t="shared" si="140"/>
        <v>4165.1096049999996</v>
      </c>
      <c r="P270" s="351"/>
      <c r="Q270" s="223">
        <f t="shared" si="141"/>
        <v>9777.0467570000001</v>
      </c>
      <c r="R270" s="351"/>
      <c r="S270" s="223">
        <f t="shared" si="142"/>
        <v>438.43259</v>
      </c>
      <c r="T270" s="351"/>
      <c r="U270" s="223">
        <f t="shared" si="143"/>
        <v>0</v>
      </c>
      <c r="V270" s="351"/>
      <c r="W270" s="223">
        <f t="shared" si="144"/>
        <v>0</v>
      </c>
      <c r="X270" s="584"/>
      <c r="Y270" s="224"/>
      <c r="Z270" s="583"/>
      <c r="AA270" s="351"/>
      <c r="AB270" s="389" t="s">
        <v>478</v>
      </c>
      <c r="AC270" s="133"/>
      <c r="AD270" s="144">
        <f t="shared" si="145"/>
        <v>8</v>
      </c>
      <c r="AE270" s="133"/>
      <c r="AF270" s="396">
        <f t="shared" ref="AF270" si="154">+I270</f>
        <v>438432.58999999997</v>
      </c>
      <c r="AG270" s="351"/>
      <c r="AH270" s="223">
        <f t="shared" si="147"/>
        <v>0</v>
      </c>
      <c r="AI270" s="223"/>
      <c r="AJ270" s="223">
        <f t="shared" si="148"/>
        <v>0</v>
      </c>
      <c r="AK270" s="223"/>
      <c r="AL270" s="223">
        <f t="shared" si="149"/>
        <v>0</v>
      </c>
      <c r="AM270" s="223"/>
      <c r="AN270" s="223">
        <f t="shared" si="150"/>
        <v>438432.58999999997</v>
      </c>
      <c r="AO270" s="223"/>
      <c r="AP270" s="223">
        <f t="shared" si="151"/>
        <v>0</v>
      </c>
      <c r="AQ270" s="223"/>
      <c r="AR270" s="223">
        <f t="shared" si="152"/>
        <v>0</v>
      </c>
      <c r="AS270" s="139"/>
      <c r="AT270" s="139">
        <f t="shared" si="153"/>
        <v>0</v>
      </c>
      <c r="AU270" s="584"/>
      <c r="AV270" s="224"/>
    </row>
    <row r="271" spans="2:50" s="128" customFormat="1" ht="15" customHeight="1" x14ac:dyDescent="0.25">
      <c r="B271" s="470"/>
      <c r="C271" s="425"/>
      <c r="D271" s="351"/>
      <c r="E271" s="389" t="s">
        <v>289</v>
      </c>
      <c r="F271" s="133"/>
      <c r="G271" s="144">
        <v>14</v>
      </c>
      <c r="I271" s="693">
        <v>1851784.8699999999</v>
      </c>
      <c r="J271" s="655"/>
      <c r="K271" s="397">
        <f t="shared" si="138"/>
        <v>1037925.4196349999</v>
      </c>
      <c r="L271" s="351"/>
      <c r="M271" s="397">
        <f t="shared" si="139"/>
        <v>378319.64894099999</v>
      </c>
      <c r="N271" s="351"/>
      <c r="O271" s="397">
        <f t="shared" si="140"/>
        <v>117403.16075799998</v>
      </c>
      <c r="P271" s="351"/>
      <c r="Q271" s="397">
        <f t="shared" si="141"/>
        <v>61108.900710000002</v>
      </c>
      <c r="R271" s="351"/>
      <c r="S271" s="397">
        <f t="shared" si="142"/>
        <v>47961.228132999997</v>
      </c>
      <c r="T271" s="351"/>
      <c r="U271" s="397">
        <f t="shared" si="143"/>
        <v>0</v>
      </c>
      <c r="V271" s="351"/>
      <c r="W271" s="397">
        <f t="shared" si="144"/>
        <v>209066.51182299998</v>
      </c>
      <c r="X271"/>
      <c r="Y271" s="224"/>
      <c r="Z271" s="130"/>
      <c r="AA271" s="351"/>
      <c r="AB271" s="133" t="s">
        <v>287</v>
      </c>
      <c r="AC271" s="133"/>
      <c r="AD271" s="144">
        <f t="shared" si="145"/>
        <v>14</v>
      </c>
      <c r="AE271" s="133"/>
      <c r="AF271" s="445">
        <f t="shared" si="146"/>
        <v>1851784.8699999999</v>
      </c>
      <c r="AG271" s="351"/>
      <c r="AH271" s="397">
        <f t="shared" si="147"/>
        <v>656272.55792799999</v>
      </c>
      <c r="AI271" s="223"/>
      <c r="AJ271" s="397">
        <f t="shared" si="148"/>
        <v>262953.45153999998</v>
      </c>
      <c r="AK271" s="223"/>
      <c r="AL271" s="397">
        <f t="shared" si="149"/>
        <v>311285.036647</v>
      </c>
      <c r="AM271" s="223"/>
      <c r="AN271" s="397">
        <f t="shared" si="150"/>
        <v>133513.68912699999</v>
      </c>
      <c r="AO271" s="223"/>
      <c r="AP271" s="397">
        <f t="shared" si="151"/>
        <v>82404.426714999994</v>
      </c>
      <c r="AQ271" s="223"/>
      <c r="AR271" s="397">
        <f t="shared" si="152"/>
        <v>196289.19621999998</v>
      </c>
      <c r="AS271" s="139"/>
      <c r="AT271" s="140">
        <f t="shared" si="153"/>
        <v>209066.51182299998</v>
      </c>
      <c r="AU271"/>
      <c r="AV271" s="224"/>
    </row>
    <row r="272" spans="2:50" s="128" customFormat="1" ht="15" customHeight="1" x14ac:dyDescent="0.25">
      <c r="B272" s="470"/>
      <c r="C272" s="425"/>
      <c r="D272" s="351"/>
      <c r="E272" s="133"/>
      <c r="F272" s="133"/>
      <c r="G272" s="144"/>
      <c r="I272" s="449"/>
      <c r="J272" s="654"/>
      <c r="K272" s="223"/>
      <c r="L272" s="351"/>
      <c r="M272" s="223"/>
      <c r="N272" s="351"/>
      <c r="O272" s="223"/>
      <c r="P272" s="351"/>
      <c r="Q272" s="223"/>
      <c r="R272" s="351"/>
      <c r="S272" s="223"/>
      <c r="T272" s="351"/>
      <c r="U272" s="223"/>
      <c r="V272" s="351"/>
      <c r="W272" s="223"/>
      <c r="Y272" s="224"/>
      <c r="Z272" s="130"/>
      <c r="AA272" s="351"/>
      <c r="AB272" s="133"/>
      <c r="AC272" s="133"/>
      <c r="AD272" s="144"/>
      <c r="AE272" s="133"/>
      <c r="AF272" s="396"/>
      <c r="AG272" s="351"/>
      <c r="AH272" s="223"/>
      <c r="AI272" s="223"/>
      <c r="AJ272" s="223"/>
      <c r="AK272" s="223"/>
      <c r="AL272" s="223"/>
      <c r="AM272" s="223"/>
      <c r="AN272" s="223"/>
      <c r="AO272" s="223"/>
      <c r="AP272" s="223"/>
      <c r="AQ272" s="223"/>
      <c r="AR272" s="223"/>
      <c r="AS272" s="139"/>
      <c r="AT272" s="139"/>
      <c r="AV272" s="224"/>
    </row>
    <row r="273" spans="2:48" s="128" customFormat="1" ht="15" customHeight="1" x14ac:dyDescent="0.25">
      <c r="B273" s="470"/>
      <c r="C273" s="425"/>
      <c r="D273" s="351"/>
      <c r="E273" s="133" t="s">
        <v>288</v>
      </c>
      <c r="F273" s="133"/>
      <c r="G273" s="144"/>
      <c r="I273" s="530">
        <f>SUM(I264:I272)</f>
        <v>12495401.52</v>
      </c>
      <c r="J273" s="666"/>
      <c r="K273" s="644">
        <f>SUM(K265:K272)</f>
        <v>6110298.6529839998</v>
      </c>
      <c r="L273" s="644"/>
      <c r="M273" s="644">
        <f>SUM(M265:M272)</f>
        <v>2767830.3903010003</v>
      </c>
      <c r="N273" s="644"/>
      <c r="O273" s="644">
        <f>SUM(O265:O272)</f>
        <v>938582.88333300001</v>
      </c>
      <c r="P273" s="644"/>
      <c r="Q273" s="644">
        <f>SUM(Q265:Q272)</f>
        <v>466619.08781199995</v>
      </c>
      <c r="R273" s="644"/>
      <c r="S273" s="644">
        <f>SUM(S265:S272)</f>
        <v>490278.42599900009</v>
      </c>
      <c r="T273" s="644"/>
      <c r="U273" s="644">
        <f>SUM(U265:U272)</f>
        <v>0</v>
      </c>
      <c r="V273" s="644"/>
      <c r="W273" s="644">
        <f>SUM(W265:W272)</f>
        <v>1721792.0795710001</v>
      </c>
      <c r="Y273" s="224"/>
      <c r="Z273" s="130"/>
      <c r="AA273" s="351"/>
      <c r="AB273" s="133" t="s">
        <v>288</v>
      </c>
      <c r="AC273" s="133"/>
      <c r="AD273" s="144"/>
      <c r="AE273" s="133"/>
      <c r="AF273" s="396">
        <f>SUM(AF265:AF272)</f>
        <v>12495401.52</v>
      </c>
      <c r="AG273" s="437"/>
      <c r="AH273" s="396">
        <f>SUM(AH265:AH272)</f>
        <v>5413395.9090409996</v>
      </c>
      <c r="AI273" s="437"/>
      <c r="AJ273" s="396">
        <f>SUM(AJ265:AJ272)</f>
        <v>2338830.3799959999</v>
      </c>
      <c r="AK273" s="437"/>
      <c r="AL273" s="396">
        <f>SUM(AL265:AL272)</f>
        <v>2170743.24933</v>
      </c>
      <c r="AM273" s="437"/>
      <c r="AN273" s="396">
        <f>SUM(AN265:AN272)</f>
        <v>571946.2791269999</v>
      </c>
      <c r="AO273" s="437"/>
      <c r="AP273" s="396">
        <f>SUM(AP265:AP272)</f>
        <v>82404.426714999994</v>
      </c>
      <c r="AQ273" s="437"/>
      <c r="AR273" s="396">
        <f>SUM(AR265:AR272)</f>
        <v>196289.19621999998</v>
      </c>
      <c r="AS273" s="133"/>
      <c r="AT273" s="396">
        <f>SUM(AT265:AT272)</f>
        <v>1721792.0795710001</v>
      </c>
      <c r="AV273" s="224"/>
    </row>
    <row r="274" spans="2:48" s="128" customFormat="1" ht="15" customHeight="1" x14ac:dyDescent="0.25">
      <c r="B274" s="470"/>
      <c r="C274" s="425"/>
      <c r="D274" s="351"/>
      <c r="E274" s="133"/>
      <c r="F274" s="133"/>
      <c r="G274" s="144"/>
      <c r="I274" s="694"/>
      <c r="J274" s="667"/>
      <c r="K274" s="641"/>
      <c r="L274" s="644"/>
      <c r="M274" s="641"/>
      <c r="N274" s="644"/>
      <c r="O274" s="641"/>
      <c r="P274" s="644"/>
      <c r="Q274" s="641"/>
      <c r="R274" s="644"/>
      <c r="S274" s="641"/>
      <c r="T274" s="644"/>
      <c r="U274" s="641"/>
      <c r="V274" s="644"/>
      <c r="W274" s="641"/>
      <c r="Y274" s="224"/>
      <c r="Z274" s="130"/>
      <c r="AA274" s="351"/>
      <c r="AB274" s="133"/>
      <c r="AC274" s="133"/>
      <c r="AD274" s="144"/>
      <c r="AE274" s="133"/>
      <c r="AF274" s="396"/>
      <c r="AG274" s="351"/>
      <c r="AH274" s="223"/>
      <c r="AI274" s="223"/>
      <c r="AJ274" s="223"/>
      <c r="AK274" s="223"/>
      <c r="AL274" s="223"/>
      <c r="AM274" s="223"/>
      <c r="AN274" s="223"/>
      <c r="AO274" s="223"/>
      <c r="AP274" s="223"/>
      <c r="AQ274" s="223"/>
      <c r="AR274" s="223"/>
      <c r="AS274" s="139"/>
      <c r="AT274" s="139"/>
      <c r="AV274" s="224"/>
    </row>
    <row r="275" spans="2:48" s="128" customFormat="1" ht="15" customHeight="1" x14ac:dyDescent="0.25">
      <c r="B275" s="470"/>
      <c r="C275" s="425"/>
      <c r="D275" s="351"/>
      <c r="E275" s="133" t="s">
        <v>9</v>
      </c>
      <c r="F275" s="133"/>
      <c r="G275" s="144">
        <v>4</v>
      </c>
      <c r="I275" s="530">
        <v>-32162326.190000001</v>
      </c>
      <c r="J275" s="668"/>
      <c r="K275" s="669">
        <f>(VLOOKUP($G275,Factors,K$316))*$I275</f>
        <v>-15026238.795968</v>
      </c>
      <c r="L275" s="670"/>
      <c r="M275" s="669">
        <f>(VLOOKUP($G275,Factors,M$316))*$I275</f>
        <v>-6966359.8527540006</v>
      </c>
      <c r="N275" s="670"/>
      <c r="O275" s="669">
        <f>(VLOOKUP($G275,Factors,O$316))*$I275</f>
        <v>-2190254.4135389999</v>
      </c>
      <c r="P275" s="670"/>
      <c r="Q275" s="669">
        <f>(VLOOKUP($G275,Factors,Q$316))*$I275</f>
        <v>-1058140.531651</v>
      </c>
      <c r="R275" s="670"/>
      <c r="S275" s="669">
        <f>(VLOOKUP($G275,Factors,S$316))*$I275</f>
        <v>0</v>
      </c>
      <c r="T275" s="670"/>
      <c r="U275" s="669">
        <f>(VLOOKUP($G275,Factors,U$316))*$I275</f>
        <v>0</v>
      </c>
      <c r="V275" s="670"/>
      <c r="W275" s="669">
        <f>(VLOOKUP($G275,Factors,W$316))*$I275</f>
        <v>-6921332.5960880006</v>
      </c>
      <c r="X275" s="339"/>
      <c r="Y275" s="449"/>
      <c r="Z275" s="130"/>
      <c r="AA275" s="351"/>
      <c r="AB275" s="133" t="s">
        <v>9</v>
      </c>
      <c r="AC275" s="133"/>
      <c r="AD275" s="144">
        <f>+G275</f>
        <v>4</v>
      </c>
      <c r="AE275" s="133"/>
      <c r="AF275" s="396">
        <f>+I275</f>
        <v>-32162326.190000001</v>
      </c>
      <c r="AG275" s="351"/>
      <c r="AH275" s="223">
        <f>(VLOOKUP($AD275,func,AH$316))*$AF275</f>
        <v>-10475269.640083</v>
      </c>
      <c r="AI275" s="223"/>
      <c r="AJ275" s="223">
        <f>(VLOOKUP($AD275,func,AJ$316))*$AF275</f>
        <v>0</v>
      </c>
      <c r="AK275" s="223"/>
      <c r="AL275" s="223">
        <f>(VLOOKUP($AD275,func,AL$316))*$AF275</f>
        <v>-14765723.953829002</v>
      </c>
      <c r="AM275" s="223"/>
      <c r="AN275" s="223">
        <f>(VLOOKUP($AD275,func,AN$316))*$AF275</f>
        <v>0</v>
      </c>
      <c r="AO275" s="223"/>
      <c r="AP275" s="223">
        <f>(VLOOKUP($AD275,func,AP$316))*$AF275</f>
        <v>0</v>
      </c>
      <c r="AQ275" s="223"/>
      <c r="AR275" s="223">
        <f>(VLOOKUP($AD275,func,AR$316))*$AF275</f>
        <v>0</v>
      </c>
      <c r="AS275" s="139"/>
      <c r="AT275" s="139">
        <f>(VLOOKUP($AD275,func,AT$316))*$AF275</f>
        <v>-6921332.5960880006</v>
      </c>
      <c r="AV275" s="224"/>
    </row>
    <row r="276" spans="2:48" ht="15" customHeight="1" x14ac:dyDescent="0.25">
      <c r="I276" s="553"/>
      <c r="J276" s="596"/>
      <c r="K276" s="653"/>
      <c r="L276" s="653"/>
      <c r="M276" s="392"/>
      <c r="N276" s="351"/>
      <c r="O276" s="351"/>
      <c r="P276" s="351"/>
      <c r="Q276" s="351"/>
      <c r="R276" s="351"/>
      <c r="S276" s="351"/>
      <c r="T276" s="351"/>
      <c r="U276" s="351"/>
      <c r="V276" s="351"/>
      <c r="W276" s="351"/>
      <c r="Z276" s="137"/>
      <c r="AA276" s="351"/>
      <c r="AB276" s="133"/>
      <c r="AC276" s="133"/>
      <c r="AD276" s="144"/>
      <c r="AF276" s="224"/>
      <c r="AG276" s="224"/>
      <c r="AH276" s="224"/>
      <c r="AI276" s="224"/>
      <c r="AJ276" s="224"/>
      <c r="AK276" s="224"/>
      <c r="AL276" s="224"/>
      <c r="AM276" s="224"/>
      <c r="AN276" s="224"/>
      <c r="AO276" s="224"/>
      <c r="AP276" s="224"/>
      <c r="AQ276" s="224"/>
      <c r="AR276" s="224"/>
    </row>
    <row r="277" spans="2:48" x14ac:dyDescent="0.25">
      <c r="E277" s="234" t="s">
        <v>164</v>
      </c>
      <c r="I277" s="553"/>
      <c r="J277" s="596"/>
      <c r="K277" s="351"/>
      <c r="L277" s="351"/>
      <c r="M277" s="351"/>
      <c r="N277" s="351"/>
      <c r="O277" s="351"/>
      <c r="P277" s="351"/>
      <c r="Q277" s="351"/>
      <c r="R277" s="351"/>
      <c r="S277" s="351"/>
      <c r="T277" s="351"/>
      <c r="U277" s="351"/>
      <c r="V277" s="351"/>
      <c r="W277" s="351"/>
      <c r="Z277" s="137"/>
      <c r="AA277" s="351"/>
      <c r="AB277" s="234" t="s">
        <v>164</v>
      </c>
      <c r="AC277" s="133"/>
      <c r="AD277" s="144"/>
      <c r="AF277" s="224"/>
      <c r="AG277" s="224"/>
      <c r="AH277" s="224"/>
      <c r="AI277" s="224"/>
      <c r="AJ277" s="224"/>
      <c r="AK277" s="224"/>
      <c r="AL277" s="224"/>
      <c r="AM277" s="224"/>
      <c r="AN277" s="224"/>
      <c r="AO277" s="224"/>
      <c r="AP277" s="224"/>
      <c r="AQ277" s="224"/>
      <c r="AR277" s="224"/>
    </row>
    <row r="278" spans="2:48" x14ac:dyDescent="0.25">
      <c r="E278" s="153" t="s">
        <v>165</v>
      </c>
      <c r="I278" s="582"/>
      <c r="J278" s="656"/>
      <c r="K278" s="223"/>
      <c r="L278" s="351"/>
      <c r="M278" s="223"/>
      <c r="N278" s="351"/>
      <c r="O278" s="223"/>
      <c r="P278" s="351"/>
      <c r="Q278" s="223"/>
      <c r="R278" s="351"/>
      <c r="S278" s="223"/>
      <c r="T278" s="351"/>
      <c r="U278" s="223"/>
      <c r="V278" s="351"/>
      <c r="W278" s="223"/>
      <c r="Z278" s="137"/>
      <c r="AA278" s="351"/>
      <c r="AB278" s="153" t="s">
        <v>165</v>
      </c>
      <c r="AC278" s="133"/>
      <c r="AD278" s="144"/>
      <c r="AF278" s="224"/>
      <c r="AG278" s="224"/>
      <c r="AH278" s="224"/>
      <c r="AI278" s="224"/>
      <c r="AJ278" s="224"/>
      <c r="AK278" s="224"/>
      <c r="AL278" s="224"/>
      <c r="AM278" s="224"/>
      <c r="AN278" s="224"/>
      <c r="AO278" s="224"/>
      <c r="AP278" s="224"/>
      <c r="AQ278" s="224"/>
      <c r="AR278" s="224"/>
    </row>
    <row r="279" spans="2:48" x14ac:dyDescent="0.25">
      <c r="B279" s="427"/>
      <c r="E279" s="153" t="s">
        <v>87</v>
      </c>
      <c r="G279" s="144">
        <v>17</v>
      </c>
      <c r="I279" s="490"/>
      <c r="J279" s="651"/>
      <c r="K279" s="338">
        <f t="shared" ref="K279:K285" si="155">(VLOOKUP($G279,Factors,K$316))*$I279</f>
        <v>0</v>
      </c>
      <c r="L279" s="476"/>
      <c r="M279" s="338">
        <f t="shared" ref="M279:M285" si="156">(VLOOKUP($G279,Factors,M$316))*$I279</f>
        <v>0</v>
      </c>
      <c r="N279" s="476"/>
      <c r="O279" s="338">
        <f t="shared" ref="O279:O285" si="157">(VLOOKUP($G279,Factors,O$316))*$I279</f>
        <v>0</v>
      </c>
      <c r="P279" s="476"/>
      <c r="Q279" s="338">
        <f t="shared" ref="Q279:Q285" si="158">(VLOOKUP($G279,Factors,Q$316))*$I279</f>
        <v>0</v>
      </c>
      <c r="R279" s="476"/>
      <c r="S279" s="338">
        <f t="shared" ref="S279:S285" si="159">(VLOOKUP($G279,Factors,S$316))*$I279</f>
        <v>0</v>
      </c>
      <c r="T279" s="476"/>
      <c r="U279" s="338">
        <f t="shared" ref="U279:U285" si="160">(VLOOKUP($G279,Factors,U$316))*$I279</f>
        <v>0</v>
      </c>
      <c r="V279" s="476"/>
      <c r="W279" s="338">
        <f t="shared" ref="W279:W285" si="161">(VLOOKUP($G279,Factors,W$316))*$I279</f>
        <v>0</v>
      </c>
      <c r="Z279" s="137"/>
      <c r="AA279" s="351"/>
      <c r="AB279" s="153" t="s">
        <v>87</v>
      </c>
      <c r="AC279" s="133"/>
      <c r="AD279" s="144">
        <f>+G279</f>
        <v>17</v>
      </c>
      <c r="AF279" s="224">
        <f t="shared" ref="AF279" si="162">+I279</f>
        <v>0</v>
      </c>
      <c r="AG279" s="224"/>
      <c r="AH279" s="223">
        <f t="shared" ref="AH279:AH285" si="163">(VLOOKUP($AD279,func,AH$316))*$AF279</f>
        <v>0</v>
      </c>
      <c r="AI279" s="223"/>
      <c r="AJ279" s="223">
        <f t="shared" ref="AJ279:AJ285" si="164">(VLOOKUP($AD279,func,AJ$316))*$AF279</f>
        <v>0</v>
      </c>
      <c r="AK279" s="223"/>
      <c r="AL279" s="223">
        <f t="shared" ref="AL279:AL285" si="165">(VLOOKUP($AD279,func,AL$316))*$AF279</f>
        <v>0</v>
      </c>
      <c r="AM279" s="223"/>
      <c r="AN279" s="223">
        <f t="shared" ref="AN279:AN285" si="166">(VLOOKUP($AD279,func,AN$316))*$AF279</f>
        <v>0</v>
      </c>
      <c r="AO279" s="223"/>
      <c r="AP279" s="223">
        <f t="shared" ref="AP279:AP285" si="167">(VLOOKUP($AD279,func,AP$316))*$AF279</f>
        <v>0</v>
      </c>
      <c r="AQ279" s="223"/>
      <c r="AR279" s="223">
        <f t="shared" ref="AR279:AR285" si="168">(VLOOKUP($AD279,func,AR$316))*$AF279</f>
        <v>0</v>
      </c>
      <c r="AS279" s="139"/>
      <c r="AT279" s="139">
        <f t="shared" ref="AT279:AT285" si="169">(VLOOKUP($AD279,func,AT$316))*$AF279</f>
        <v>0</v>
      </c>
    </row>
    <row r="280" spans="2:48" x14ac:dyDescent="0.25">
      <c r="B280" s="427"/>
      <c r="E280" s="153" t="s">
        <v>170</v>
      </c>
      <c r="G280" s="144">
        <v>14</v>
      </c>
      <c r="I280" s="490">
        <v>1341665.3999999999</v>
      </c>
      <c r="J280" s="651"/>
      <c r="K280" s="338">
        <f t="shared" si="155"/>
        <v>752003.45669999998</v>
      </c>
      <c r="L280" s="476"/>
      <c r="M280" s="338">
        <f t="shared" si="156"/>
        <v>274102.24121999997</v>
      </c>
      <c r="N280" s="476"/>
      <c r="O280" s="338">
        <f t="shared" si="157"/>
        <v>85061.586359999987</v>
      </c>
      <c r="P280" s="476"/>
      <c r="Q280" s="338">
        <f t="shared" si="158"/>
        <v>44274.958200000001</v>
      </c>
      <c r="R280" s="476"/>
      <c r="S280" s="338">
        <f t="shared" si="159"/>
        <v>34749.133859999994</v>
      </c>
      <c r="T280" s="476"/>
      <c r="U280" s="338">
        <f t="shared" si="160"/>
        <v>0</v>
      </c>
      <c r="V280" s="476"/>
      <c r="W280" s="338">
        <f t="shared" si="161"/>
        <v>151474.02365999998</v>
      </c>
      <c r="Z280" s="137"/>
      <c r="AA280" s="351"/>
      <c r="AB280" s="153" t="s">
        <v>170</v>
      </c>
      <c r="AC280" s="133"/>
      <c r="AD280" s="144">
        <f t="shared" ref="AD280:AD285" si="170">+G280</f>
        <v>14</v>
      </c>
      <c r="AE280" s="514"/>
      <c r="AF280" s="224">
        <f t="shared" ref="AF280:AF285" si="171">+I280</f>
        <v>1341665.3999999999</v>
      </c>
      <c r="AG280" s="224"/>
      <c r="AH280" s="223">
        <f t="shared" si="163"/>
        <v>475486.21775999997</v>
      </c>
      <c r="AI280" s="223"/>
      <c r="AJ280" s="223">
        <f t="shared" si="164"/>
        <v>190516.48679999998</v>
      </c>
      <c r="AK280" s="223"/>
      <c r="AL280" s="223">
        <f t="shared" si="165"/>
        <v>225533.95374</v>
      </c>
      <c r="AM280" s="223"/>
      <c r="AN280" s="223">
        <f t="shared" si="166"/>
        <v>96734.075339999996</v>
      </c>
      <c r="AO280" s="223"/>
      <c r="AP280" s="223">
        <f t="shared" si="167"/>
        <v>59704.110299999993</v>
      </c>
      <c r="AQ280" s="223"/>
      <c r="AR280" s="223">
        <f t="shared" si="168"/>
        <v>142216.5324</v>
      </c>
      <c r="AS280" s="139"/>
      <c r="AT280" s="139">
        <f t="shared" si="169"/>
        <v>151474.02365999998</v>
      </c>
      <c r="AU280" s="514"/>
    </row>
    <row r="281" spans="2:48" s="337" customFormat="1" x14ac:dyDescent="0.25">
      <c r="B281" s="513"/>
      <c r="C281" s="513"/>
      <c r="D281" s="476"/>
      <c r="E281" s="509" t="s">
        <v>473</v>
      </c>
      <c r="F281" s="477"/>
      <c r="G281" s="478">
        <v>8</v>
      </c>
      <c r="H281" s="339"/>
      <c r="I281" s="490">
        <v>513169.34</v>
      </c>
      <c r="J281" s="651"/>
      <c r="K281" s="338">
        <f t="shared" si="155"/>
        <v>411048.64134000003</v>
      </c>
      <c r="L281" s="476"/>
      <c r="M281" s="338">
        <f t="shared" si="156"/>
        <v>85288.744307999994</v>
      </c>
      <c r="N281" s="476"/>
      <c r="O281" s="338">
        <f t="shared" si="157"/>
        <v>4875.1087299999999</v>
      </c>
      <c r="P281" s="476"/>
      <c r="Q281" s="338">
        <f t="shared" si="158"/>
        <v>11443.676282</v>
      </c>
      <c r="R281" s="476"/>
      <c r="S281" s="338">
        <f t="shared" si="159"/>
        <v>513.16934000000003</v>
      </c>
      <c r="T281" s="476"/>
      <c r="U281" s="338">
        <f t="shared" si="160"/>
        <v>0</v>
      </c>
      <c r="V281" s="476"/>
      <c r="W281" s="338">
        <f t="shared" si="161"/>
        <v>0</v>
      </c>
      <c r="Y281" s="449"/>
      <c r="Z281" s="458"/>
      <c r="AA281" s="476"/>
      <c r="AB281" s="509" t="s">
        <v>473</v>
      </c>
      <c r="AC281" s="477"/>
      <c r="AD281" s="144">
        <f t="shared" si="170"/>
        <v>8</v>
      </c>
      <c r="AE281" s="514"/>
      <c r="AF281" s="224">
        <f t="shared" si="171"/>
        <v>513169.34</v>
      </c>
      <c r="AG281" s="224"/>
      <c r="AH281" s="223">
        <f t="shared" si="163"/>
        <v>0</v>
      </c>
      <c r="AI281" s="223"/>
      <c r="AJ281" s="223">
        <f t="shared" si="164"/>
        <v>0</v>
      </c>
      <c r="AK281" s="223"/>
      <c r="AL281" s="223">
        <f t="shared" si="165"/>
        <v>0</v>
      </c>
      <c r="AM281" s="223"/>
      <c r="AN281" s="223">
        <f t="shared" si="166"/>
        <v>513169.34</v>
      </c>
      <c r="AO281" s="223"/>
      <c r="AP281" s="223">
        <f t="shared" si="167"/>
        <v>0</v>
      </c>
      <c r="AQ281" s="223"/>
      <c r="AR281" s="223">
        <f t="shared" si="168"/>
        <v>0</v>
      </c>
      <c r="AS281" s="139"/>
      <c r="AT281" s="139">
        <f t="shared" si="169"/>
        <v>0</v>
      </c>
      <c r="AU281" s="514"/>
      <c r="AV281" s="224"/>
    </row>
    <row r="282" spans="2:48" s="337" customFormat="1" x14ac:dyDescent="0.25">
      <c r="B282" s="513"/>
      <c r="C282" s="513"/>
      <c r="D282" s="476"/>
      <c r="E282" s="509" t="s">
        <v>171</v>
      </c>
      <c r="F282" s="477"/>
      <c r="G282" s="478">
        <v>14</v>
      </c>
      <c r="H282" s="339"/>
      <c r="I282" s="490">
        <v>1084531.02</v>
      </c>
      <c r="J282" s="651"/>
      <c r="K282" s="338">
        <f t="shared" si="155"/>
        <v>607879.63670999999</v>
      </c>
      <c r="L282" s="476"/>
      <c r="M282" s="338">
        <f t="shared" si="156"/>
        <v>221569.68738600001</v>
      </c>
      <c r="N282" s="476"/>
      <c r="O282" s="338">
        <f t="shared" si="157"/>
        <v>68759.266667999997</v>
      </c>
      <c r="P282" s="476"/>
      <c r="Q282" s="338">
        <f t="shared" si="158"/>
        <v>35789.523659999999</v>
      </c>
      <c r="R282" s="476"/>
      <c r="S282" s="338">
        <f t="shared" si="159"/>
        <v>28089.353417999999</v>
      </c>
      <c r="T282" s="476"/>
      <c r="U282" s="338">
        <f t="shared" si="160"/>
        <v>0</v>
      </c>
      <c r="V282" s="476"/>
      <c r="W282" s="338">
        <f t="shared" si="161"/>
        <v>122443.55215800001</v>
      </c>
      <c r="Y282" s="449"/>
      <c r="Z282" s="458"/>
      <c r="AA282" s="476"/>
      <c r="AB282" s="509" t="s">
        <v>171</v>
      </c>
      <c r="AC282" s="477"/>
      <c r="AD282" s="144">
        <f t="shared" si="170"/>
        <v>14</v>
      </c>
      <c r="AE282" s="514"/>
      <c r="AF282" s="224">
        <f t="shared" si="171"/>
        <v>1084531.02</v>
      </c>
      <c r="AG282" s="224"/>
      <c r="AH282" s="223">
        <f t="shared" si="163"/>
        <v>384357.793488</v>
      </c>
      <c r="AI282" s="223"/>
      <c r="AJ282" s="223">
        <f t="shared" si="164"/>
        <v>154003.40484</v>
      </c>
      <c r="AK282" s="223"/>
      <c r="AL282" s="223">
        <f t="shared" si="165"/>
        <v>182309.66446200002</v>
      </c>
      <c r="AM282" s="223"/>
      <c r="AN282" s="223">
        <f t="shared" si="166"/>
        <v>78194.686541999996</v>
      </c>
      <c r="AO282" s="223"/>
      <c r="AP282" s="223">
        <f t="shared" si="167"/>
        <v>48261.630389999998</v>
      </c>
      <c r="AQ282" s="223"/>
      <c r="AR282" s="223">
        <f t="shared" si="168"/>
        <v>114960.28812</v>
      </c>
      <c r="AS282" s="139"/>
      <c r="AT282" s="139">
        <f t="shared" si="169"/>
        <v>122443.55215800001</v>
      </c>
      <c r="AU282" s="514"/>
      <c r="AV282" s="224"/>
    </row>
    <row r="283" spans="2:48" s="337" customFormat="1" x14ac:dyDescent="0.25">
      <c r="B283" s="513"/>
      <c r="C283" s="513"/>
      <c r="D283" s="476"/>
      <c r="E283" s="509" t="s">
        <v>85</v>
      </c>
      <c r="F283" s="477"/>
      <c r="G283" s="478">
        <v>5</v>
      </c>
      <c r="H283" s="339"/>
      <c r="I283" s="490">
        <v>2927970.36</v>
      </c>
      <c r="J283" s="651"/>
      <c r="K283" s="338">
        <f t="shared" si="155"/>
        <v>1196368.6890959998</v>
      </c>
      <c r="L283" s="476"/>
      <c r="M283" s="338">
        <f t="shared" si="156"/>
        <v>553386.39804</v>
      </c>
      <c r="N283" s="476"/>
      <c r="O283" s="338">
        <f t="shared" si="157"/>
        <v>173335.84531199999</v>
      </c>
      <c r="P283" s="476"/>
      <c r="Q283" s="338">
        <f t="shared" si="158"/>
        <v>84032.749331999992</v>
      </c>
      <c r="R283" s="476"/>
      <c r="S283" s="338">
        <f t="shared" si="159"/>
        <v>110091.68553599998</v>
      </c>
      <c r="T283" s="476"/>
      <c r="U283" s="338">
        <f t="shared" si="160"/>
        <v>0</v>
      </c>
      <c r="V283" s="476"/>
      <c r="W283" s="338">
        <f t="shared" si="161"/>
        <v>810754.99268400006</v>
      </c>
      <c r="Y283" s="449"/>
      <c r="Z283" s="458"/>
      <c r="AA283" s="476"/>
      <c r="AB283" s="509" t="s">
        <v>85</v>
      </c>
      <c r="AC283" s="477"/>
      <c r="AD283" s="144">
        <f t="shared" si="170"/>
        <v>5</v>
      </c>
      <c r="AE283" s="514"/>
      <c r="AF283" s="224">
        <f t="shared" si="171"/>
        <v>2927970.36</v>
      </c>
      <c r="AG283" s="224"/>
      <c r="AH283" s="223">
        <f t="shared" si="163"/>
        <v>878976.7020719999</v>
      </c>
      <c r="AI283" s="223"/>
      <c r="AJ283" s="223">
        <f t="shared" si="164"/>
        <v>0</v>
      </c>
      <c r="AK283" s="223"/>
      <c r="AL283" s="223">
        <f t="shared" si="165"/>
        <v>1238238.665244</v>
      </c>
      <c r="AM283" s="223"/>
      <c r="AN283" s="223">
        <f t="shared" si="166"/>
        <v>0</v>
      </c>
      <c r="AO283" s="223"/>
      <c r="AP283" s="223">
        <f t="shared" si="167"/>
        <v>0</v>
      </c>
      <c r="AQ283" s="223"/>
      <c r="AR283" s="223">
        <f t="shared" si="168"/>
        <v>0</v>
      </c>
      <c r="AS283" s="139"/>
      <c r="AT283" s="139">
        <f t="shared" si="169"/>
        <v>810754.99268400006</v>
      </c>
      <c r="AU283" s="514"/>
      <c r="AV283" s="224"/>
    </row>
    <row r="284" spans="2:48" s="337" customFormat="1" x14ac:dyDescent="0.25">
      <c r="B284" s="513"/>
      <c r="C284" s="513"/>
      <c r="D284" s="476"/>
      <c r="E284" s="509" t="s">
        <v>466</v>
      </c>
      <c r="F284" s="477"/>
      <c r="G284" s="478">
        <f>+G150</f>
        <v>5</v>
      </c>
      <c r="H284" s="339"/>
      <c r="I284" s="490">
        <v>22938.959999999999</v>
      </c>
      <c r="J284" s="651"/>
      <c r="K284" s="338">
        <f t="shared" si="155"/>
        <v>9372.8590559999993</v>
      </c>
      <c r="L284" s="476"/>
      <c r="M284" s="338">
        <f t="shared" si="156"/>
        <v>4335.4634399999995</v>
      </c>
      <c r="N284" s="476"/>
      <c r="O284" s="338">
        <f t="shared" si="157"/>
        <v>1357.9864319999999</v>
      </c>
      <c r="P284" s="476"/>
      <c r="Q284" s="338">
        <f t="shared" si="158"/>
        <v>658.34815200000003</v>
      </c>
      <c r="R284" s="476"/>
      <c r="S284" s="338">
        <f t="shared" si="159"/>
        <v>862.5048959999998</v>
      </c>
      <c r="T284" s="476"/>
      <c r="U284" s="338">
        <f t="shared" si="160"/>
        <v>0</v>
      </c>
      <c r="V284" s="476"/>
      <c r="W284" s="338">
        <f t="shared" si="161"/>
        <v>6351.7980240000006</v>
      </c>
      <c r="Y284" s="449"/>
      <c r="Z284" s="458"/>
      <c r="AA284" s="476"/>
      <c r="AB284" s="509" t="s">
        <v>466</v>
      </c>
      <c r="AC284" s="477"/>
      <c r="AD284" s="144">
        <f t="shared" si="170"/>
        <v>5</v>
      </c>
      <c r="AE284" s="514"/>
      <c r="AF284" s="224">
        <f t="shared" si="171"/>
        <v>22938.959999999999</v>
      </c>
      <c r="AG284" s="224"/>
      <c r="AH284" s="223">
        <f t="shared" si="163"/>
        <v>6886.2757919999985</v>
      </c>
      <c r="AI284" s="223"/>
      <c r="AJ284" s="223">
        <f t="shared" si="164"/>
        <v>0</v>
      </c>
      <c r="AK284" s="223"/>
      <c r="AL284" s="223">
        <f t="shared" si="165"/>
        <v>9700.886183999999</v>
      </c>
      <c r="AM284" s="223"/>
      <c r="AN284" s="223">
        <f t="shared" si="166"/>
        <v>0</v>
      </c>
      <c r="AO284" s="223"/>
      <c r="AP284" s="223">
        <f t="shared" si="167"/>
        <v>0</v>
      </c>
      <c r="AQ284" s="223"/>
      <c r="AR284" s="223">
        <f t="shared" si="168"/>
        <v>0</v>
      </c>
      <c r="AS284" s="139"/>
      <c r="AT284" s="139">
        <f t="shared" si="169"/>
        <v>6351.7980240000006</v>
      </c>
      <c r="AU284" s="514"/>
      <c r="AV284" s="224"/>
    </row>
    <row r="285" spans="2:48" s="337" customFormat="1" x14ac:dyDescent="0.25">
      <c r="B285" s="513"/>
      <c r="C285" s="513"/>
      <c r="D285" s="476"/>
      <c r="E285" s="509" t="s">
        <v>474</v>
      </c>
      <c r="F285" s="477"/>
      <c r="G285" s="478">
        <v>2</v>
      </c>
      <c r="H285" s="339"/>
      <c r="I285" s="490">
        <v>1152078.3899999999</v>
      </c>
      <c r="J285" s="651"/>
      <c r="K285" s="338">
        <f t="shared" si="155"/>
        <v>599772.00983399991</v>
      </c>
      <c r="L285" s="476"/>
      <c r="M285" s="338">
        <f t="shared" si="156"/>
        <v>304955.14983299997</v>
      </c>
      <c r="N285" s="476"/>
      <c r="O285" s="338">
        <f t="shared" si="157"/>
        <v>114516.59196599999</v>
      </c>
      <c r="P285" s="476"/>
      <c r="Q285" s="338">
        <f t="shared" si="158"/>
        <v>55414.970558999994</v>
      </c>
      <c r="R285" s="476"/>
      <c r="S285" s="338">
        <f t="shared" si="159"/>
        <v>72811.354248000003</v>
      </c>
      <c r="T285" s="476"/>
      <c r="U285" s="338">
        <f t="shared" si="160"/>
        <v>0</v>
      </c>
      <c r="V285" s="476"/>
      <c r="W285" s="338">
        <f t="shared" si="161"/>
        <v>4608.3135599999996</v>
      </c>
      <c r="Y285" s="449"/>
      <c r="Z285" s="458"/>
      <c r="AA285" s="476"/>
      <c r="AB285" s="509" t="s">
        <v>474</v>
      </c>
      <c r="AC285" s="477"/>
      <c r="AD285" s="144">
        <f t="shared" si="170"/>
        <v>2</v>
      </c>
      <c r="AE285" s="514"/>
      <c r="AF285" s="224">
        <f t="shared" si="171"/>
        <v>1152078.3899999999</v>
      </c>
      <c r="AG285" s="224"/>
      <c r="AH285" s="223">
        <f t="shared" si="163"/>
        <v>715440.68018999998</v>
      </c>
      <c r="AI285" s="223"/>
      <c r="AJ285" s="223">
        <f t="shared" si="164"/>
        <v>432029.39624999999</v>
      </c>
      <c r="AK285" s="223"/>
      <c r="AL285" s="223">
        <f t="shared" si="165"/>
        <v>0</v>
      </c>
      <c r="AM285" s="223"/>
      <c r="AN285" s="223">
        <f t="shared" si="166"/>
        <v>0</v>
      </c>
      <c r="AO285" s="223"/>
      <c r="AP285" s="223">
        <f t="shared" si="167"/>
        <v>0</v>
      </c>
      <c r="AQ285" s="223"/>
      <c r="AR285" s="223">
        <f t="shared" si="168"/>
        <v>0</v>
      </c>
      <c r="AS285" s="139"/>
      <c r="AT285" s="139">
        <f t="shared" si="169"/>
        <v>4608.3135599999996</v>
      </c>
      <c r="AU285" s="514"/>
      <c r="AV285" s="224"/>
    </row>
    <row r="286" spans="2:48" x14ac:dyDescent="0.25">
      <c r="E286" s="153"/>
      <c r="I286" s="671"/>
      <c r="J286" s="672"/>
      <c r="K286" s="673"/>
      <c r="L286" s="476"/>
      <c r="M286" s="673"/>
      <c r="N286" s="476"/>
      <c r="O286" s="673"/>
      <c r="P286" s="476"/>
      <c r="Q286" s="673"/>
      <c r="R286" s="476"/>
      <c r="S286" s="673"/>
      <c r="T286" s="476"/>
      <c r="U286" s="673"/>
      <c r="V286" s="476"/>
      <c r="W286" s="673"/>
      <c r="Z286" s="137"/>
      <c r="AA286" s="351"/>
      <c r="AB286" s="153"/>
      <c r="AC286" s="133"/>
      <c r="AD286" s="144"/>
      <c r="AF286" s="224"/>
      <c r="AG286" s="224"/>
      <c r="AH286" s="223"/>
      <c r="AI286" s="223"/>
      <c r="AJ286" s="223"/>
      <c r="AK286" s="223"/>
      <c r="AL286" s="223"/>
      <c r="AM286" s="223"/>
      <c r="AN286" s="223"/>
      <c r="AO286" s="223"/>
      <c r="AP286" s="223"/>
      <c r="AQ286" s="223"/>
      <c r="AR286" s="223"/>
      <c r="AS286" s="139"/>
      <c r="AT286" s="139"/>
    </row>
    <row r="287" spans="2:48" ht="7.95" customHeight="1" x14ac:dyDescent="0.25">
      <c r="I287" s="637"/>
      <c r="J287" s="674"/>
      <c r="K287" s="476"/>
      <c r="L287" s="476"/>
      <c r="M287" s="476"/>
      <c r="N287" s="476"/>
      <c r="O287" s="476"/>
      <c r="P287" s="476"/>
      <c r="Q287" s="476"/>
      <c r="R287" s="476"/>
      <c r="S287" s="476"/>
      <c r="T287" s="476"/>
      <c r="U287" s="476"/>
      <c r="V287" s="476"/>
      <c r="W287" s="476"/>
      <c r="Z287" s="137"/>
      <c r="AA287" s="351"/>
      <c r="AB287" s="133"/>
      <c r="AC287" s="133"/>
      <c r="AD287" s="144"/>
      <c r="AF287" s="224"/>
      <c r="AG287" s="224"/>
      <c r="AH287" s="224"/>
      <c r="AI287" s="224"/>
      <c r="AJ287" s="224"/>
      <c r="AK287" s="224"/>
      <c r="AL287" s="224"/>
      <c r="AM287" s="224"/>
      <c r="AN287" s="224"/>
      <c r="AO287" s="224"/>
      <c r="AP287" s="224"/>
      <c r="AQ287" s="224"/>
      <c r="AR287" s="224"/>
    </row>
    <row r="288" spans="2:48" x14ac:dyDescent="0.25">
      <c r="E288" s="133" t="s">
        <v>263</v>
      </c>
      <c r="I288" s="645">
        <f>SUM(I278:I287)</f>
        <v>7042353.4699999988</v>
      </c>
      <c r="J288" s="675"/>
      <c r="K288" s="673">
        <f>SUM(K278:K287)</f>
        <v>3576445.2927359999</v>
      </c>
      <c r="L288" s="476"/>
      <c r="M288" s="673">
        <f>SUM(M278:M287)</f>
        <v>1443637.6842270002</v>
      </c>
      <c r="N288" s="476"/>
      <c r="O288" s="673">
        <f>SUM(O278:O287)</f>
        <v>447906.38546799996</v>
      </c>
      <c r="P288" s="476"/>
      <c r="Q288" s="673">
        <f>SUM(Q278:Q287)</f>
        <v>231614.22618499998</v>
      </c>
      <c r="R288" s="476"/>
      <c r="S288" s="673">
        <f>SUM(S278:S287)</f>
        <v>247117.20129799994</v>
      </c>
      <c r="T288" s="476"/>
      <c r="U288" s="673">
        <f>SUM(U278:U287)</f>
        <v>0</v>
      </c>
      <c r="V288" s="476"/>
      <c r="W288" s="673">
        <f>SUM(W278:W287)</f>
        <v>1095632.6800859999</v>
      </c>
      <c r="Z288" s="137"/>
      <c r="AA288" s="351"/>
      <c r="AB288" s="133" t="s">
        <v>263</v>
      </c>
      <c r="AC288" s="133"/>
      <c r="AD288" s="144"/>
      <c r="AF288" s="397">
        <f>SUM(AF278:AF287)</f>
        <v>7042353.4699999988</v>
      </c>
      <c r="AG288" s="223"/>
      <c r="AH288" s="397">
        <f>SUM(AH278:AH287)</f>
        <v>2461147.6693019997</v>
      </c>
      <c r="AI288" s="351"/>
      <c r="AJ288" s="397">
        <f>SUM(AJ278:AJ287)</f>
        <v>776549.28789000004</v>
      </c>
      <c r="AK288" s="351"/>
      <c r="AL288" s="397">
        <f>SUM(AL278:AL287)</f>
        <v>1655783.1696299999</v>
      </c>
      <c r="AM288" s="351"/>
      <c r="AN288" s="397">
        <f>SUM(AN278:AN287)</f>
        <v>688098.1018820001</v>
      </c>
      <c r="AO288" s="351"/>
      <c r="AP288" s="397">
        <f>SUM(AP278:AP287)</f>
        <v>107965.74068999999</v>
      </c>
      <c r="AQ288" s="351"/>
      <c r="AR288" s="397">
        <f>SUM(AR278:AR287)</f>
        <v>257176.82052000001</v>
      </c>
      <c r="AS288" s="147"/>
      <c r="AT288" s="140">
        <f>SUM(AT278:AT287)</f>
        <v>1095632.6800859999</v>
      </c>
    </row>
    <row r="289" spans="3:49" x14ac:dyDescent="0.25">
      <c r="I289" s="676"/>
      <c r="J289" s="677"/>
      <c r="K289" s="480"/>
      <c r="L289" s="480"/>
      <c r="M289" s="480"/>
      <c r="N289" s="480"/>
      <c r="O289" s="480"/>
      <c r="P289" s="480"/>
      <c r="Q289" s="480"/>
      <c r="R289" s="480"/>
      <c r="S289" s="480"/>
      <c r="T289" s="480"/>
      <c r="U289" s="480"/>
      <c r="V289" s="480"/>
      <c r="W289" s="480"/>
      <c r="Z289" s="137"/>
      <c r="AA289" s="351"/>
      <c r="AB289" s="133"/>
      <c r="AC289" s="133"/>
      <c r="AD289" s="144"/>
      <c r="AF289" s="351"/>
      <c r="AG289" s="351"/>
      <c r="AH289" s="351"/>
      <c r="AI289" s="351"/>
      <c r="AJ289" s="351"/>
      <c r="AK289" s="351"/>
      <c r="AL289" s="351"/>
      <c r="AM289" s="351"/>
      <c r="AN289" s="351"/>
      <c r="AO289" s="351"/>
      <c r="AP289" s="351"/>
      <c r="AQ289" s="351"/>
      <c r="AR289" s="351"/>
      <c r="AS289" s="147"/>
      <c r="AT289" s="147"/>
    </row>
    <row r="290" spans="3:49" ht="13.8" thickBot="1" x14ac:dyDescent="0.3">
      <c r="E290" s="255" t="s">
        <v>264</v>
      </c>
      <c r="I290" s="605">
        <f>I262+I288+I273+I275</f>
        <v>315937125.73000008</v>
      </c>
      <c r="J290" s="594"/>
      <c r="K290" s="211">
        <f>K262+K288+K273+K275</f>
        <v>159838194.24390018</v>
      </c>
      <c r="L290" s="128"/>
      <c r="M290" s="211">
        <f>M262+M288+M273+M275</f>
        <v>68878907.136795685</v>
      </c>
      <c r="N290" s="128"/>
      <c r="O290" s="211">
        <f>O262+O288+O273+O275</f>
        <v>23130404.359997936</v>
      </c>
      <c r="P290" s="128"/>
      <c r="Q290" s="211">
        <f>Q262+Q288+Q273+Q275</f>
        <v>11704108.694220593</v>
      </c>
      <c r="R290" s="128"/>
      <c r="S290" s="211">
        <f>S262+S288+S273+S275</f>
        <v>11395373.716066286</v>
      </c>
      <c r="T290" s="128"/>
      <c r="U290" s="211">
        <f>U262+U288+U273+U275</f>
        <v>0</v>
      </c>
      <c r="V290" s="128"/>
      <c r="W290" s="554">
        <f>W262+W288+W273+W275</f>
        <v>40990137.579019248</v>
      </c>
      <c r="Z290" s="137"/>
      <c r="AA290" s="351"/>
      <c r="AB290" s="255" t="s">
        <v>264</v>
      </c>
      <c r="AC290" s="133"/>
      <c r="AD290" s="144"/>
      <c r="AF290" s="683">
        <f>AF262+AF288+AF273+AF275</f>
        <v>315937125.73000008</v>
      </c>
      <c r="AG290" s="224"/>
      <c r="AH290" s="683">
        <f>AH262+AH288+AH273+AH275</f>
        <v>135063852.32711226</v>
      </c>
      <c r="AI290" s="224"/>
      <c r="AJ290" s="683">
        <f>AJ262+AJ288+AJ273+AJ275</f>
        <v>65225203.893481702</v>
      </c>
      <c r="AK290" s="224"/>
      <c r="AL290" s="683">
        <f>AL262+AL288+AL273+AL275</f>
        <v>38134122.531536713</v>
      </c>
      <c r="AM290" s="224"/>
      <c r="AN290" s="683">
        <f>AN262+AN288+AN273+AN275</f>
        <v>12840568.275225</v>
      </c>
      <c r="AO290" s="224"/>
      <c r="AP290" s="683">
        <f>AP262+AP288+AP273+AP275</f>
        <v>22019313.305124998</v>
      </c>
      <c r="AQ290" s="224"/>
      <c r="AR290" s="683">
        <f>AR262+AR288+AR273+AR275</f>
        <v>1663927.8184999998</v>
      </c>
      <c r="AT290" s="211">
        <f>AT262+AT288+AT273+AT275</f>
        <v>40990137.579019248</v>
      </c>
    </row>
    <row r="291" spans="3:49" ht="13.8" thickTop="1" x14ac:dyDescent="0.25">
      <c r="J291" s="593"/>
      <c r="Z291" s="184"/>
      <c r="AF291" s="224"/>
      <c r="AG291" s="224"/>
      <c r="AH291" s="224"/>
      <c r="AI291" s="224"/>
      <c r="AJ291" s="224"/>
      <c r="AK291" s="224"/>
      <c r="AL291" s="224"/>
      <c r="AM291" s="224"/>
      <c r="AN291" s="224"/>
      <c r="AO291" s="224"/>
      <c r="AP291" s="224"/>
      <c r="AQ291" s="224"/>
      <c r="AR291" s="224"/>
    </row>
    <row r="292" spans="3:49" x14ac:dyDescent="0.25">
      <c r="J292" s="593"/>
      <c r="Z292" s="184"/>
      <c r="AF292" s="224"/>
      <c r="AG292" s="224"/>
      <c r="AH292" s="224"/>
      <c r="AI292" s="224"/>
      <c r="AJ292" s="224"/>
      <c r="AK292" s="224"/>
      <c r="AL292" s="224"/>
      <c r="AM292" s="224"/>
      <c r="AN292" s="224"/>
      <c r="AO292" s="224"/>
      <c r="AP292" s="224"/>
      <c r="AQ292" s="224"/>
      <c r="AR292" s="224"/>
    </row>
    <row r="293" spans="3:49" x14ac:dyDescent="0.25">
      <c r="J293" s="593"/>
      <c r="Z293" s="184"/>
      <c r="AF293" s="224"/>
      <c r="AG293" s="224"/>
      <c r="AH293" s="224"/>
      <c r="AI293" s="224"/>
      <c r="AJ293" s="224"/>
      <c r="AK293" s="224"/>
      <c r="AL293" s="224"/>
      <c r="AM293" s="224"/>
      <c r="AN293" s="224"/>
      <c r="AO293" s="224"/>
      <c r="AP293" s="224"/>
      <c r="AQ293" s="224"/>
      <c r="AR293" s="224"/>
    </row>
    <row r="294" spans="3:49" x14ac:dyDescent="0.25">
      <c r="J294" s="593"/>
      <c r="Z294" s="184"/>
      <c r="AF294" s="224"/>
      <c r="AG294" s="224"/>
      <c r="AH294" s="224"/>
      <c r="AI294" s="224"/>
      <c r="AJ294" s="224"/>
      <c r="AK294" s="224"/>
      <c r="AL294" s="224"/>
      <c r="AM294" s="224"/>
      <c r="AN294" s="224"/>
      <c r="AO294" s="224"/>
      <c r="AP294" s="224"/>
      <c r="AQ294" s="224"/>
      <c r="AR294" s="224"/>
    </row>
    <row r="295" spans="3:49" x14ac:dyDescent="0.25">
      <c r="E295" s="236" t="s">
        <v>337</v>
      </c>
      <c r="J295" s="593"/>
      <c r="Z295" s="184"/>
      <c r="AB295" s="236" t="s">
        <v>337</v>
      </c>
      <c r="AC295" s="133"/>
      <c r="AD295" s="144"/>
      <c r="AE295" s="128"/>
      <c r="AF295" s="351"/>
      <c r="AG295" s="351"/>
      <c r="AH295" s="351"/>
      <c r="AI295" s="351"/>
      <c r="AJ295" s="351"/>
      <c r="AK295" s="351"/>
      <c r="AL295" s="351"/>
      <c r="AM295" s="351"/>
      <c r="AN295" s="351"/>
      <c r="AO295" s="351"/>
      <c r="AP295" s="351"/>
      <c r="AQ295" s="351"/>
      <c r="AR295" s="351"/>
      <c r="AS295" s="147"/>
      <c r="AT295" s="147"/>
    </row>
    <row r="296" spans="3:49" x14ac:dyDescent="0.25">
      <c r="E296" s="236" t="s">
        <v>338</v>
      </c>
      <c r="J296" s="593"/>
      <c r="K296" s="253"/>
      <c r="L296" s="253"/>
      <c r="M296" s="253"/>
      <c r="N296" s="253"/>
      <c r="O296" s="253"/>
      <c r="P296" s="253"/>
      <c r="Q296" s="253"/>
      <c r="R296" s="253"/>
      <c r="S296" s="253"/>
      <c r="T296" s="253"/>
      <c r="U296" s="253"/>
      <c r="V296" s="253"/>
      <c r="W296" s="253"/>
      <c r="X296" s="254"/>
      <c r="Y296" s="518"/>
      <c r="Z296" s="184"/>
      <c r="AB296" s="236" t="s">
        <v>338</v>
      </c>
      <c r="AC296" s="133"/>
      <c r="AD296" s="144"/>
      <c r="AE296" s="128"/>
      <c r="AF296" s="351"/>
      <c r="AG296" s="351"/>
      <c r="AH296" s="518"/>
      <c r="AI296" s="518"/>
      <c r="AJ296" s="518"/>
      <c r="AK296" s="518"/>
      <c r="AL296" s="518"/>
      <c r="AM296" s="518"/>
      <c r="AN296" s="518"/>
      <c r="AO296" s="518"/>
      <c r="AP296" s="518"/>
      <c r="AQ296" s="518"/>
      <c r="AR296" s="518"/>
      <c r="AS296" s="253"/>
      <c r="AT296" s="253"/>
      <c r="AU296" s="254"/>
      <c r="AV296" s="518"/>
    </row>
    <row r="297" spans="3:49" x14ac:dyDescent="0.25">
      <c r="E297" s="236" t="s">
        <v>339</v>
      </c>
      <c r="I297" s="460">
        <f>+SUM(I66:I73)+SUM(I77:I80)</f>
        <v>4608802.175006696</v>
      </c>
      <c r="J297" s="593"/>
      <c r="K297" s="147">
        <f>+SUM(K66:K73)+SUM(K77:K80)</f>
        <v>2225310.9340926162</v>
      </c>
      <c r="L297" s="128"/>
      <c r="M297" s="147">
        <f>+SUM(M66:M73)+SUM(M77:M80)</f>
        <v>917697.12363959581</v>
      </c>
      <c r="N297" s="128"/>
      <c r="O297" s="147">
        <f>+SUM(O66:O73)+SUM(O77:O80)</f>
        <v>284842.54576009139</v>
      </c>
      <c r="P297" s="128"/>
      <c r="Q297" s="147">
        <f>+SUM(Q66:Q73)+SUM(Q77:Q80)</f>
        <v>143402.68149313642</v>
      </c>
      <c r="R297" s="128"/>
      <c r="S297" s="147">
        <f>+SUM(S66:S73)+SUM(S77:S80)</f>
        <v>68521.99623637856</v>
      </c>
      <c r="T297" s="128"/>
      <c r="U297" s="147">
        <f>+SUM(U66:U73)+SUM(U77:U80)</f>
        <v>0</v>
      </c>
      <c r="V297" s="128"/>
      <c r="W297" s="147">
        <f>+SUM(W66:W73)+SUM(W77:W80)</f>
        <v>969026.89378487784</v>
      </c>
      <c r="Y297" s="224">
        <f>SUM(K297:W297)-I297</f>
        <v>0</v>
      </c>
      <c r="Z297" s="184"/>
      <c r="AB297" s="236" t="s">
        <v>339</v>
      </c>
      <c r="AC297" s="133"/>
      <c r="AD297" s="144"/>
      <c r="AE297" s="128"/>
      <c r="AF297" s="351">
        <f>+SUM(AF66:AF73)+SUM(AF77:AF80)</f>
        <v>4608802.175006696</v>
      </c>
      <c r="AG297" s="351"/>
      <c r="AH297" s="351">
        <f>+SUM(AH66:AH73)+SUM(AH77:AH80)</f>
        <v>1470511.1038098799</v>
      </c>
      <c r="AI297" s="351"/>
      <c r="AJ297" s="351">
        <f>+SUM(AJ66:AJ73)+SUM(AJ77:AJ80)</f>
        <v>285493.67908585188</v>
      </c>
      <c r="AK297" s="351"/>
      <c r="AL297" s="351">
        <f>+SUM(AL66:AL73)+SUM(AL77:AL80)</f>
        <v>1405564.2116546766</v>
      </c>
      <c r="AM297" s="351"/>
      <c r="AN297" s="351">
        <f>+SUM(AN66:AN73)+SUM(AN77:AN80)</f>
        <v>0</v>
      </c>
      <c r="AO297" s="351"/>
      <c r="AP297" s="351">
        <f>+SUM(AP66:AP73)+SUM(AP77:AP80)</f>
        <v>478206.28667141008</v>
      </c>
      <c r="AQ297" s="351"/>
      <c r="AR297" s="351">
        <f>+SUM(AR66:AR73)+SUM(AR77:AR80)</f>
        <v>0</v>
      </c>
      <c r="AS297" s="128"/>
      <c r="AT297" s="147">
        <f>+SUM(AT66:AT73)+SUM(AT77:AT80)</f>
        <v>969026.89378487784</v>
      </c>
      <c r="AV297" s="733">
        <f>SUM(AH297:AT297)-AF297</f>
        <v>0</v>
      </c>
    </row>
    <row r="298" spans="3:49" x14ac:dyDescent="0.25">
      <c r="E298" s="236" t="s">
        <v>137</v>
      </c>
      <c r="I298" s="606"/>
      <c r="J298" s="595"/>
      <c r="K298" s="253">
        <f>ROUND(K297/$I297,4)</f>
        <v>0.48280000000000001</v>
      </c>
      <c r="L298" s="253"/>
      <c r="M298" s="253">
        <f>ROUND(M297/$I297,4)</f>
        <v>0.1991</v>
      </c>
      <c r="N298" s="253"/>
      <c r="O298" s="253">
        <f>ROUND(O297/$I297,4)</f>
        <v>6.1800000000000001E-2</v>
      </c>
      <c r="P298" s="253"/>
      <c r="Q298" s="253">
        <f>ROUND(Q297/$I297,4)</f>
        <v>3.1099999999999999E-2</v>
      </c>
      <c r="R298" s="253"/>
      <c r="S298" s="253">
        <f>ROUND(S297/$I297,4)</f>
        <v>1.49E-2</v>
      </c>
      <c r="T298" s="253"/>
      <c r="U298" s="253">
        <f>ROUND(U297/$I297,4)</f>
        <v>0</v>
      </c>
      <c r="V298" s="253"/>
      <c r="W298" s="253">
        <f>ROUND(W297/$I297,4)</f>
        <v>0.21029999999999999</v>
      </c>
      <c r="X298" s="254"/>
      <c r="Y298" s="523">
        <f>SUM(K298:W298)</f>
        <v>1</v>
      </c>
      <c r="Z298" s="184"/>
      <c r="AB298" s="236" t="s">
        <v>137</v>
      </c>
      <c r="AC298" s="133"/>
      <c r="AD298" s="144"/>
      <c r="AE298" s="128"/>
      <c r="AF298" s="351"/>
      <c r="AG298" s="351"/>
      <c r="AH298" s="523">
        <f>ROUND(AH297/$I297,4)-0.0001</f>
        <v>0.31900000000000001</v>
      </c>
      <c r="AI298" s="523"/>
      <c r="AJ298" s="523">
        <f>ROUND(AJ297/$I297,4)</f>
        <v>6.1899999999999997E-2</v>
      </c>
      <c r="AK298" s="523"/>
      <c r="AL298" s="523">
        <f>ROUND(AL297/$I297,4)</f>
        <v>0.30499999999999999</v>
      </c>
      <c r="AM298" s="523"/>
      <c r="AN298" s="523">
        <f>ROUND(AN297/$I297,4)</f>
        <v>0</v>
      </c>
      <c r="AO298" s="523"/>
      <c r="AP298" s="523">
        <f>ROUND(AP297/$I297,4)</f>
        <v>0.1038</v>
      </c>
      <c r="AQ298" s="523"/>
      <c r="AR298" s="523">
        <f>ROUND(AR297/$I297,4)</f>
        <v>0</v>
      </c>
      <c r="AS298" s="253"/>
      <c r="AT298" s="253">
        <f>ROUND(AT297/$I297,4)</f>
        <v>0.21029999999999999</v>
      </c>
      <c r="AU298" s="254"/>
      <c r="AV298" s="523">
        <f>SUM(AH298:AT298)</f>
        <v>1</v>
      </c>
    </row>
    <row r="299" spans="3:49" x14ac:dyDescent="0.25">
      <c r="E299" s="236" t="s">
        <v>340</v>
      </c>
      <c r="I299" s="460">
        <f>+I24+I49+I85+I104-I14-I30-I31-I32-I54-I36</f>
        <v>14235438.293610068</v>
      </c>
      <c r="J299" s="593"/>
      <c r="K299" s="147">
        <f>+K24+K49+K85+K104-K14-K30-K31-K32-K54-K36</f>
        <v>7977789.6017138883</v>
      </c>
      <c r="L299" s="128"/>
      <c r="M299" s="147">
        <f>+M24+M49+M85+M104-M14-M30-M31-M32-M54-M36</f>
        <v>2907698.6078914874</v>
      </c>
      <c r="N299" s="128"/>
      <c r="O299" s="147">
        <f>+O24+O49+O85+O104-O14-O30-O31-O32-O54-O36</f>
        <v>903195.89652379241</v>
      </c>
      <c r="P299" s="128"/>
      <c r="Q299" s="147">
        <f>+Q24+Q49+Q85+Q104-Q14-Q30-Q31-Q32-Q54-Q36</f>
        <v>470056.34769067477</v>
      </c>
      <c r="R299" s="128"/>
      <c r="S299" s="147">
        <f>+S24+S49+S85+S104-S14-S30-S31-S32-S54-S36</f>
        <v>369002.30759968347</v>
      </c>
      <c r="T299" s="128"/>
      <c r="U299" s="147">
        <f>+U24+U49+U85+U104-U14-U30-U31-U32-U54-U36</f>
        <v>0</v>
      </c>
      <c r="V299" s="128"/>
      <c r="W299" s="147">
        <f>+W24+W49+W85+W104-W14-W30-W31-W32-W54-W36</f>
        <v>1607695.5321905443</v>
      </c>
      <c r="Y299" s="224">
        <f t="shared" ref="Y299" si="172">SUM(K299:W299)-I299</f>
        <v>0</v>
      </c>
      <c r="Z299" s="184"/>
      <c r="AB299" s="236" t="s">
        <v>340</v>
      </c>
      <c r="AC299" s="133"/>
      <c r="AD299" s="144"/>
      <c r="AE299" s="128"/>
      <c r="AF299" s="351">
        <f>+AF24+AF49+AF85+AF104-AF14-AF30-AF31-AF32-AF54-AF36</f>
        <v>14235438.293610068</v>
      </c>
      <c r="AG299" s="351"/>
      <c r="AH299" s="351">
        <f>+AH24+AH49+AH85+AH104-AH14-AH30-AH31-AH32-AH54-AH36</f>
        <v>5045367.3444429617</v>
      </c>
      <c r="AI299" s="351"/>
      <c r="AJ299" s="351">
        <f>+AJ24+AJ49+AJ85+AJ104-AJ14-AJ30-AJ31-AJ32-AJ54-AJ36</f>
        <v>2021258.032445773</v>
      </c>
      <c r="AK299" s="351"/>
      <c r="AL299" s="351">
        <f>+AL24+AL49+AL85+AL104-AL14-AL30-AL31-AL32-AL54-AL36</f>
        <v>2392322.2994519472</v>
      </c>
      <c r="AM299" s="351"/>
      <c r="AN299" s="351">
        <f>+AN24+AN49+AN85+AN104-AN14-AN30-AN31-AN32-AN54-AN36</f>
        <v>1027071.9197896251</v>
      </c>
      <c r="AO299" s="351"/>
      <c r="AP299" s="351">
        <f>+AP24+AP49+AP85+AP104-AP14-AP30-AP31-AP32-AP54-AP36</f>
        <v>633053.59319391358</v>
      </c>
      <c r="AQ299" s="351"/>
      <c r="AR299" s="351">
        <f>+AR24+AR49+AR85+AR104-AR14-AR30-AR31-AR32-AR54-AR36</f>
        <v>1508669.5720953008</v>
      </c>
      <c r="AS299" s="128"/>
      <c r="AT299" s="147">
        <f>+AT24+AT49+AT85+AT104-AT14-AT30-AT31-AT32-AT54-AT36</f>
        <v>1607695.5321905443</v>
      </c>
      <c r="AV299" s="733">
        <f>SUM(AH299:AT299)-AF299</f>
        <v>0</v>
      </c>
      <c r="AW299" s="152"/>
    </row>
    <row r="300" spans="3:49" x14ac:dyDescent="0.25">
      <c r="E300" s="236" t="s">
        <v>341</v>
      </c>
      <c r="J300" s="593"/>
      <c r="K300" s="253">
        <f>ROUND(K299/$I299,4)+0.0001</f>
        <v>0.5605</v>
      </c>
      <c r="L300" s="253"/>
      <c r="M300" s="253">
        <f>ROUND(M299/$I299,4)</f>
        <v>0.20430000000000001</v>
      </c>
      <c r="N300" s="253"/>
      <c r="O300" s="253">
        <f>ROUND(O299/$I299,4)</f>
        <v>6.3399999999999998E-2</v>
      </c>
      <c r="P300" s="253"/>
      <c r="Q300" s="253">
        <f>ROUND(Q299/$I299,4)</f>
        <v>3.3000000000000002E-2</v>
      </c>
      <c r="R300" s="253"/>
      <c r="S300" s="253">
        <f>ROUND(S299/$I299,4)</f>
        <v>2.5899999999999999E-2</v>
      </c>
      <c r="T300" s="253"/>
      <c r="U300" s="253">
        <f>ROUND(U299/$I299,4)</f>
        <v>0</v>
      </c>
      <c r="V300" s="253"/>
      <c r="W300" s="253">
        <f>ROUND(W299/$I299,4)</f>
        <v>0.1129</v>
      </c>
      <c r="X300" s="254"/>
      <c r="Y300" s="523">
        <f>SUM(K300:W300)</f>
        <v>1</v>
      </c>
      <c r="Z300" s="184"/>
      <c r="AB300" s="236" t="s">
        <v>341</v>
      </c>
      <c r="AC300" s="133"/>
      <c r="AD300" s="144"/>
      <c r="AE300" s="128"/>
      <c r="AF300" s="351"/>
      <c r="AG300" s="351"/>
      <c r="AH300" s="523">
        <f>ROUND(AH299/$I299,4)</f>
        <v>0.35439999999999999</v>
      </c>
      <c r="AI300" s="523"/>
      <c r="AJ300" s="523">
        <f>ROUND(AJ299/$I299,4)</f>
        <v>0.14199999999999999</v>
      </c>
      <c r="AK300" s="523"/>
      <c r="AL300" s="523">
        <f>ROUND(AL299/$I299,4)</f>
        <v>0.1681</v>
      </c>
      <c r="AM300" s="523"/>
      <c r="AN300" s="523">
        <f>ROUND(AN299/$I299,4)</f>
        <v>7.2099999999999997E-2</v>
      </c>
      <c r="AO300" s="523"/>
      <c r="AP300" s="523">
        <f>ROUND(AP299/$I299,4)</f>
        <v>4.4499999999999998E-2</v>
      </c>
      <c r="AQ300" s="523"/>
      <c r="AR300" s="523">
        <f>ROUND(AR299/$I299,4)</f>
        <v>0.106</v>
      </c>
      <c r="AS300" s="253"/>
      <c r="AT300" s="253">
        <f>ROUND(AT299/$I299,4)</f>
        <v>0.1129</v>
      </c>
      <c r="AU300" s="254"/>
      <c r="AV300" s="523">
        <f>SUM(AH300:AT300)</f>
        <v>0.99999999999999989</v>
      </c>
    </row>
    <row r="301" spans="3:49" x14ac:dyDescent="0.25">
      <c r="E301" s="236" t="s">
        <v>336</v>
      </c>
      <c r="I301" s="460">
        <f>+I130</f>
        <v>32809879.093598336</v>
      </c>
      <c r="J301" s="593"/>
      <c r="K301" s="460">
        <f>+K130</f>
        <v>18100363.987946711</v>
      </c>
      <c r="L301" s="128"/>
      <c r="M301" s="460">
        <f>+M130</f>
        <v>7147945.3529627137</v>
      </c>
      <c r="N301" s="128"/>
      <c r="O301" s="460">
        <f>+O130</f>
        <v>2348927.213706878</v>
      </c>
      <c r="P301" s="128"/>
      <c r="Q301" s="460">
        <f>+Q130</f>
        <v>1199624.8298954573</v>
      </c>
      <c r="R301" s="128"/>
      <c r="S301" s="460">
        <f>+S130</f>
        <v>1115739.9290365709</v>
      </c>
      <c r="T301" s="128"/>
      <c r="U301" s="460">
        <f>+U130</f>
        <v>0</v>
      </c>
      <c r="V301" s="128"/>
      <c r="W301" s="460">
        <f>+W130</f>
        <v>2897277.7800499969</v>
      </c>
      <c r="X301" s="254"/>
      <c r="Y301" s="224">
        <f t="shared" ref="Y301" si="173">SUM(K301:W301)-I301</f>
        <v>0</v>
      </c>
      <c r="Z301" s="184"/>
      <c r="AB301" s="236" t="s">
        <v>336</v>
      </c>
      <c r="AC301" s="133"/>
      <c r="AD301" s="144"/>
      <c r="AE301" s="128"/>
      <c r="AF301" s="351">
        <f>+AF130</f>
        <v>32809879.093598336</v>
      </c>
      <c r="AG301" s="351"/>
      <c r="AH301" s="351">
        <f>+AH130</f>
        <v>15767391.999684855</v>
      </c>
      <c r="AI301" s="351"/>
      <c r="AJ301" s="351">
        <f>+AJ130</f>
        <v>3772929.3981111431</v>
      </c>
      <c r="AK301" s="351"/>
      <c r="AL301" s="351">
        <f>+AL130</f>
        <v>4302800.8445690945</v>
      </c>
      <c r="AM301" s="351"/>
      <c r="AN301" s="351">
        <f>+AN130</f>
        <v>2081684.6391643395</v>
      </c>
      <c r="AO301" s="351"/>
      <c r="AP301" s="351">
        <f>+AP130</f>
        <v>988044.52829926566</v>
      </c>
      <c r="AQ301" s="351"/>
      <c r="AR301" s="351">
        <f>+AR130</f>
        <v>2999749.9037196338</v>
      </c>
      <c r="AS301" s="128"/>
      <c r="AT301" s="147">
        <f>+AT130</f>
        <v>2897277.7800499969</v>
      </c>
      <c r="AU301" s="254"/>
      <c r="AV301" s="733">
        <f>SUM(AH301:AT301)-AF301</f>
        <v>0</v>
      </c>
    </row>
    <row r="302" spans="3:49" x14ac:dyDescent="0.25">
      <c r="E302" s="236" t="s">
        <v>138</v>
      </c>
      <c r="J302" s="593"/>
      <c r="K302" s="253">
        <f>+ROUND(K301/$I$301,4)-0.0001</f>
        <v>0.55159999999999998</v>
      </c>
      <c r="L302" s="128"/>
      <c r="M302" s="253">
        <f>+ROUND(M301/$I$301,4)</f>
        <v>0.21790000000000001</v>
      </c>
      <c r="N302" s="128"/>
      <c r="O302" s="253">
        <f>+ROUND(O301/$I$301,4)</f>
        <v>7.1599999999999997E-2</v>
      </c>
      <c r="P302" s="128"/>
      <c r="Q302" s="253">
        <f>+ROUND(Q301/$I$301,4)</f>
        <v>3.6600000000000001E-2</v>
      </c>
      <c r="R302" s="128"/>
      <c r="S302" s="253">
        <f>+ROUND(S301/$I$301,4)</f>
        <v>3.4000000000000002E-2</v>
      </c>
      <c r="T302" s="128"/>
      <c r="U302" s="253">
        <f>+ROUND(U301/$I$301,4)</f>
        <v>0</v>
      </c>
      <c r="V302" s="128"/>
      <c r="W302" s="253">
        <f>+ROUND(W301/$I$301,4)</f>
        <v>8.8300000000000003E-2</v>
      </c>
      <c r="X302" s="254"/>
      <c r="Y302" s="523">
        <f>SUM(K302:W302)</f>
        <v>1</v>
      </c>
      <c r="Z302" s="184"/>
      <c r="AB302" s="236" t="s">
        <v>138</v>
      </c>
      <c r="AC302" s="133"/>
      <c r="AD302" s="144"/>
      <c r="AE302" s="128"/>
      <c r="AF302" s="351"/>
      <c r="AG302" s="351"/>
      <c r="AH302" s="523">
        <f>+ROUND(AH301/$AF$301,4)+0.0001</f>
        <v>0.48070000000000002</v>
      </c>
      <c r="AI302" s="689"/>
      <c r="AJ302" s="523">
        <f>+ROUND(AJ301/$AF$301,4)</f>
        <v>0.115</v>
      </c>
      <c r="AK302" s="689"/>
      <c r="AL302" s="523">
        <f>+ROUND(AL301/$AF$301,4)</f>
        <v>0.13109999999999999</v>
      </c>
      <c r="AM302" s="689"/>
      <c r="AN302" s="523">
        <f>+ROUND(AN301/$AF$301,4)</f>
        <v>6.3399999999999998E-2</v>
      </c>
      <c r="AO302" s="689"/>
      <c r="AP302" s="523">
        <f>+ROUND(AP301/$AF$301,4)</f>
        <v>3.0099999999999998E-2</v>
      </c>
      <c r="AQ302" s="689"/>
      <c r="AR302" s="523">
        <f>+ROUND(AR301/$AF$301,4)</f>
        <v>9.1399999999999995E-2</v>
      </c>
      <c r="AS302" s="128"/>
      <c r="AT302" s="253">
        <f>+ROUND(AT301/$AF$301,4)</f>
        <v>8.8300000000000003E-2</v>
      </c>
      <c r="AU302" s="254"/>
      <c r="AV302" s="523">
        <f>SUM(AH302:AT302)</f>
        <v>1</v>
      </c>
    </row>
    <row r="303" spans="3:49" x14ac:dyDescent="0.25">
      <c r="C303" s="470"/>
      <c r="E303" s="236" t="s">
        <v>139</v>
      </c>
      <c r="I303" s="460">
        <f>+I28+I29+I43+I53+I65+I66+I67+I68+I89+I88+I90+I91+I107</f>
        <v>11797802.329999998</v>
      </c>
      <c r="J303" s="593"/>
      <c r="K303" s="147">
        <f>+K28+K29+K43+K53+K65+K66+K67+K68+K89+K88+K90+K91+K107</f>
        <v>6590670.1206636429</v>
      </c>
      <c r="L303" s="128"/>
      <c r="M303" s="147">
        <f>+M28+M29+M43+M53+M65+M66+M67+M68+M89+M88+M90+M91+M107</f>
        <v>2494350.8619275498</v>
      </c>
      <c r="N303" s="128"/>
      <c r="O303" s="147">
        <f>+O28+O29+O43+O53+O65+O66+O67+O68+O89+O88+O90+O91+O107</f>
        <v>780823.25716651417</v>
      </c>
      <c r="P303" s="128"/>
      <c r="Q303" s="147">
        <f>+Q28+Q29+Q43+Q53+Q65+Q66+Q67+Q68+Q89+Q88+Q90+Q91+Q107</f>
        <v>407127.56993274251</v>
      </c>
      <c r="R303" s="128"/>
      <c r="S303" s="147">
        <f>+S28+S29+S43+S53+S65+S66+S67+S68+S89+S88+S90+S91+S107</f>
        <v>319813.75800558284</v>
      </c>
      <c r="T303" s="128"/>
      <c r="U303" s="147">
        <f>+U28+U29+U43+U53+U65+U66+U67+U68+U89+U88+U90+U91+U107</f>
        <v>0</v>
      </c>
      <c r="V303" s="128"/>
      <c r="W303" s="147">
        <f>+W28+W29+W43+W53+W65+W66+W67+W68+W89+W88+W90+W91+W107</f>
        <v>1205016.7623039677</v>
      </c>
      <c r="X303" s="128"/>
      <c r="Y303" s="224">
        <f t="shared" ref="Y303" si="174">SUM(K303:W303)-I303</f>
        <v>0</v>
      </c>
      <c r="Z303" s="184"/>
      <c r="AB303" s="236" t="s">
        <v>139</v>
      </c>
      <c r="AC303" s="133"/>
      <c r="AD303" s="144"/>
      <c r="AE303" s="128"/>
      <c r="AF303" s="351">
        <f>+AF28+AF29+AF43+AF53+AF65+AF66+AF67+AF68+AF89+AF88+AF90+AF91+AF107</f>
        <v>11797802.329999998</v>
      </c>
      <c r="AG303" s="351"/>
      <c r="AH303" s="351">
        <f>+AH28+AH29+AH43+AH53+AH65+AH66+AH67+AH68+AH89+AH88+AH90+AH91+AH107</f>
        <v>4384740.8872925555</v>
      </c>
      <c r="AI303" s="351"/>
      <c r="AJ303" s="351">
        <f>+AJ28+AJ29+AJ43+AJ53+AJ65+AJ66+AJ67+AJ68+AJ89+AJ88+AJ90+AJ91+AJ107</f>
        <v>1838386.857914143</v>
      </c>
      <c r="AK303" s="351"/>
      <c r="AL303" s="351">
        <f>+AL28+AL29+AL43+AL53+AL65+AL66+AL67+AL68+AL89+AL88+AL90+AL91+AL107</f>
        <v>1888578.311706095</v>
      </c>
      <c r="AM303" s="351"/>
      <c r="AN303" s="351">
        <f>+AN28+AN29+AN43+AN53+AN65+AN66+AN67+AN68+AN89+AN88+AN90+AN91+AN107</f>
        <v>1229539.5006423392</v>
      </c>
      <c r="AO303" s="351"/>
      <c r="AP303" s="351">
        <f>+AP28+AP29+AP43+AP53+AP65+AP66+AP67+AP68+AP89+AP88+AP90+AP91+AP107</f>
        <v>230514.92824826553</v>
      </c>
      <c r="AQ303" s="351"/>
      <c r="AR303" s="351">
        <f>+AR28+AR29+AR43+AR53+AR65+AR66+AR67+AR68+AR89+AR88+AR90+AR91+AR107</f>
        <v>1021025.0818926336</v>
      </c>
      <c r="AS303" s="128"/>
      <c r="AT303" s="147">
        <f>+AT28+AT29+AT43+AT53+AT65+AT66+AT67+AT68+AT89+AT88+AT90+AT91+AT107</f>
        <v>1205016.7623039677</v>
      </c>
      <c r="AV303" s="733">
        <f>SUM(AH303:AT303)-AF303</f>
        <v>0</v>
      </c>
    </row>
    <row r="304" spans="3:49" x14ac:dyDescent="0.25">
      <c r="E304" s="236" t="s">
        <v>140</v>
      </c>
      <c r="J304" s="593"/>
      <c r="K304" s="253">
        <f>ROUND(K303/$I303,4)+0.0001</f>
        <v>0.55869999999999997</v>
      </c>
      <c r="L304" s="253"/>
      <c r="M304" s="253">
        <f>ROUND(M303/$I303,4)</f>
        <v>0.2114</v>
      </c>
      <c r="N304" s="253"/>
      <c r="O304" s="253">
        <f>ROUND(O303/$I303,4)</f>
        <v>6.6199999999999995E-2</v>
      </c>
      <c r="P304" s="253"/>
      <c r="Q304" s="253">
        <f>ROUND(Q303/$I303,4)</f>
        <v>3.4500000000000003E-2</v>
      </c>
      <c r="R304" s="253"/>
      <c r="S304" s="253">
        <f>ROUND(S303/$I303,4)</f>
        <v>2.7099999999999999E-2</v>
      </c>
      <c r="T304" s="253"/>
      <c r="U304" s="253">
        <f>ROUND(U303/$I303,4)</f>
        <v>0</v>
      </c>
      <c r="V304" s="253"/>
      <c r="W304" s="253">
        <f>ROUND(W303/$I303,4)</f>
        <v>0.1021</v>
      </c>
      <c r="Y304" s="523">
        <f>SUM(K304:W304)</f>
        <v>1</v>
      </c>
      <c r="Z304" s="184"/>
      <c r="AB304" s="236" t="s">
        <v>140</v>
      </c>
      <c r="AC304" s="133"/>
      <c r="AD304" s="144"/>
      <c r="AE304" s="128"/>
      <c r="AF304" s="351"/>
      <c r="AG304" s="351"/>
      <c r="AH304" s="523">
        <f>ROUND(AH303/$I303,4)+0.0001</f>
        <v>0.37179999999999996</v>
      </c>
      <c r="AI304" s="523"/>
      <c r="AJ304" s="523">
        <f>ROUND(AJ303/$I303,4)</f>
        <v>0.15579999999999999</v>
      </c>
      <c r="AK304" s="523"/>
      <c r="AL304" s="523">
        <f>ROUND(AL303/$I303,4)</f>
        <v>0.16009999999999999</v>
      </c>
      <c r="AM304" s="523"/>
      <c r="AN304" s="523">
        <f>ROUND(AN303/$I303,4)</f>
        <v>0.1042</v>
      </c>
      <c r="AO304" s="523"/>
      <c r="AP304" s="523">
        <f>ROUND(AP303/$I303,4)</f>
        <v>1.95E-2</v>
      </c>
      <c r="AQ304" s="523"/>
      <c r="AR304" s="523">
        <f>ROUND(AR303/$I303,4)</f>
        <v>8.6499999999999994E-2</v>
      </c>
      <c r="AS304" s="253"/>
      <c r="AT304" s="253">
        <f>ROUND(AT303/$I303,4)</f>
        <v>0.1021</v>
      </c>
      <c r="AV304" s="523">
        <f>SUM(AH304:AT304)</f>
        <v>0.99999999999999989</v>
      </c>
    </row>
    <row r="305" spans="5:48" x14ac:dyDescent="0.25">
      <c r="E305" s="236" t="s">
        <v>141</v>
      </c>
      <c r="I305" s="460">
        <f>+SUM(I220:I260)</f>
        <v>328561696.93000013</v>
      </c>
      <c r="J305" s="593"/>
      <c r="K305" s="147">
        <f>+SUM(K220:K260)</f>
        <v>165177689.09414819</v>
      </c>
      <c r="L305" s="128"/>
      <c r="M305" s="147">
        <f>+SUM(M220:M260)</f>
        <v>71633798.915021673</v>
      </c>
      <c r="N305" s="128"/>
      <c r="O305" s="147">
        <f>+SUM(O220:O260)</f>
        <v>23934169.504735935</v>
      </c>
      <c r="P305" s="128"/>
      <c r="Q305" s="147">
        <f>+SUM(Q220:Q260)</f>
        <v>12064015.911874592</v>
      </c>
      <c r="R305" s="128"/>
      <c r="S305" s="147">
        <f>+SUM(S220:S260)</f>
        <v>10657978.088769285</v>
      </c>
      <c r="T305" s="128"/>
      <c r="U305" s="147">
        <f>+SUM(U220:U260)</f>
        <v>0</v>
      </c>
      <c r="V305" s="128"/>
      <c r="W305" s="147">
        <f>+SUM(W220:W260)</f>
        <v>45094045.415450245</v>
      </c>
      <c r="Y305" s="224">
        <f t="shared" ref="Y305" si="175">SUM(K305:W305)-I305</f>
        <v>0</v>
      </c>
      <c r="Z305" s="184"/>
      <c r="AB305" s="236" t="s">
        <v>141</v>
      </c>
      <c r="AC305" s="133"/>
      <c r="AD305" s="144"/>
      <c r="AE305" s="128"/>
      <c r="AF305" s="351">
        <f>+SUM(AF220:AF260)</f>
        <v>328561696.93000013</v>
      </c>
      <c r="AG305" s="351"/>
      <c r="AH305" s="351">
        <f>+SUM(AH220:AH260)</f>
        <v>137664578.38885227</v>
      </c>
      <c r="AI305" s="351"/>
      <c r="AJ305" s="351">
        <f>+SUM(AJ220:AJ260)</f>
        <v>62109824.225595698</v>
      </c>
      <c r="AK305" s="351"/>
      <c r="AL305" s="351">
        <f>+SUM(AL220:AL260)</f>
        <v>49073320.066405714</v>
      </c>
      <c r="AM305" s="351"/>
      <c r="AN305" s="351">
        <f>+SUM(AN220:AN260)</f>
        <v>11580523.894216001</v>
      </c>
      <c r="AO305" s="351"/>
      <c r="AP305" s="351">
        <f>+SUM(AP220:AP260)</f>
        <v>21828943.137719996</v>
      </c>
      <c r="AQ305" s="351"/>
      <c r="AR305" s="351">
        <f>+SUM(AR220:AR260)</f>
        <v>1210461.8017599997</v>
      </c>
      <c r="AS305" s="128"/>
      <c r="AT305" s="147">
        <f>+SUM(AT220:AT260)</f>
        <v>45094045.415450245</v>
      </c>
      <c r="AV305" s="733">
        <f>SUM(AH305:AT305)-AF305</f>
        <v>0</v>
      </c>
    </row>
    <row r="306" spans="5:48" x14ac:dyDescent="0.25">
      <c r="E306" s="236" t="s">
        <v>142</v>
      </c>
      <c r="J306" s="593"/>
      <c r="K306" s="253">
        <f>ROUND(K305/$I305,4)+0.0002</f>
        <v>0.50290000000000001</v>
      </c>
      <c r="L306" s="253"/>
      <c r="M306" s="253">
        <f>ROUND(M305/$I305,4)</f>
        <v>0.218</v>
      </c>
      <c r="N306" s="253"/>
      <c r="O306" s="253">
        <f>ROUND(O305/$I305,4)</f>
        <v>7.2800000000000004E-2</v>
      </c>
      <c r="P306" s="253"/>
      <c r="Q306" s="253">
        <f>ROUND(Q305/$I305,4)</f>
        <v>3.6700000000000003E-2</v>
      </c>
      <c r="R306" s="253"/>
      <c r="S306" s="253">
        <f>ROUND(S305/$I305,4)</f>
        <v>3.2399999999999998E-2</v>
      </c>
      <c r="T306" s="253"/>
      <c r="U306" s="253">
        <f>ROUND(U305/$I305,4)</f>
        <v>0</v>
      </c>
      <c r="V306" s="253"/>
      <c r="W306" s="253">
        <f>ROUND(W305/$I305,4)</f>
        <v>0.13719999999999999</v>
      </c>
      <c r="Y306" s="523">
        <f>SUM(K306:W306)</f>
        <v>0.99999999999999989</v>
      </c>
      <c r="Z306" s="184"/>
      <c r="AB306" s="236" t="s">
        <v>142</v>
      </c>
      <c r="AC306" s="133"/>
      <c r="AD306" s="144"/>
      <c r="AE306" s="128"/>
      <c r="AF306" s="351"/>
      <c r="AG306" s="351"/>
      <c r="AH306" s="523">
        <f>ROUND(AH305/$I305,4)+0.0001</f>
        <v>0.41909999999999997</v>
      </c>
      <c r="AI306" s="523"/>
      <c r="AJ306" s="523">
        <f>ROUND(AJ305/$I305,4)</f>
        <v>0.189</v>
      </c>
      <c r="AK306" s="523"/>
      <c r="AL306" s="523">
        <f>ROUND(AL305/$I305,4)</f>
        <v>0.14940000000000001</v>
      </c>
      <c r="AM306" s="523"/>
      <c r="AN306" s="523">
        <f>ROUND(AN305/$I305,4)</f>
        <v>3.5200000000000002E-2</v>
      </c>
      <c r="AO306" s="523"/>
      <c r="AP306" s="523">
        <f>ROUND(AP305/$I305,4)</f>
        <v>6.6400000000000001E-2</v>
      </c>
      <c r="AQ306" s="523"/>
      <c r="AR306" s="523">
        <f>ROUND(AR305/$I305,4)</f>
        <v>3.7000000000000002E-3</v>
      </c>
      <c r="AS306" s="253"/>
      <c r="AT306" s="253">
        <f>ROUND(AT305/$I305,4)</f>
        <v>0.13719999999999999</v>
      </c>
      <c r="AV306" s="523">
        <f>SUM(AH306:AT306)</f>
        <v>1</v>
      </c>
    </row>
    <row r="307" spans="5:48" x14ac:dyDescent="0.25">
      <c r="E307" s="236" t="s">
        <v>144</v>
      </c>
      <c r="H307" s="351"/>
      <c r="I307" s="553">
        <f>+I290</f>
        <v>315937125.73000008</v>
      </c>
      <c r="J307" s="596"/>
      <c r="K307" s="553">
        <f t="shared" ref="K307" si="176">+K290</f>
        <v>159838194.24390018</v>
      </c>
      <c r="L307" s="351"/>
      <c r="M307" s="553">
        <f t="shared" ref="M307" si="177">+M290</f>
        <v>68878907.136795685</v>
      </c>
      <c r="N307" s="351"/>
      <c r="O307" s="553">
        <f t="shared" ref="O307" si="178">+O290</f>
        <v>23130404.359997936</v>
      </c>
      <c r="P307" s="351"/>
      <c r="Q307" s="553">
        <f t="shared" ref="Q307" si="179">+Q290</f>
        <v>11704108.694220593</v>
      </c>
      <c r="R307" s="351"/>
      <c r="S307" s="553">
        <f t="shared" ref="S307" si="180">+S290</f>
        <v>11395373.716066286</v>
      </c>
      <c r="T307" s="351"/>
      <c r="U307" s="553">
        <f t="shared" ref="U307" si="181">+U290</f>
        <v>0</v>
      </c>
      <c r="V307" s="351"/>
      <c r="W307" s="553">
        <f t="shared" ref="W307" si="182">+W290</f>
        <v>40990137.579019248</v>
      </c>
      <c r="X307" s="351"/>
      <c r="Y307" s="553">
        <f>+Y275+Y273+Y262+SUM(Y279:Y285)</f>
        <v>0</v>
      </c>
      <c r="Z307" s="184"/>
      <c r="AB307" s="236" t="s">
        <v>144</v>
      </c>
      <c r="AC307" s="133"/>
      <c r="AD307" s="144"/>
      <c r="AE307" s="128"/>
      <c r="AF307" s="224">
        <f>+AF275+AF273+AF262+SUM(AF279:AF285)</f>
        <v>315937125.73000014</v>
      </c>
      <c r="AG307" s="351"/>
      <c r="AH307" s="224">
        <f>+AH275+AH273+AH262+SUM(AH279:AH285)</f>
        <v>135063852.32711226</v>
      </c>
      <c r="AI307" s="351"/>
      <c r="AJ307" s="224">
        <f>+AJ275+AJ273+AJ262+SUM(AJ279:AJ285)</f>
        <v>65225203.893481702</v>
      </c>
      <c r="AK307" s="351"/>
      <c r="AL307" s="224">
        <f>+AL275+AL273+AL262+SUM(AL279:AL285)</f>
        <v>38134122.531536706</v>
      </c>
      <c r="AM307" s="351"/>
      <c r="AN307" s="224">
        <f>+AN275+AN273+AN262+SUM(AN279:AN285)</f>
        <v>12840568.275225</v>
      </c>
      <c r="AO307" s="351"/>
      <c r="AP307" s="224">
        <f>+AP275+AP273+AP262+SUM(AP279:AP285)</f>
        <v>22019313.305124998</v>
      </c>
      <c r="AQ307" s="351"/>
      <c r="AR307" s="224">
        <f>+AR275+AR273+AR262+SUM(AR279:AR285)</f>
        <v>1663927.8184999998</v>
      </c>
      <c r="AS307" s="128"/>
      <c r="AT307" s="224">
        <f>+AT275+AT273+AT262+SUM(AT279:AT285)</f>
        <v>40990137.579019248</v>
      </c>
      <c r="AV307" s="733">
        <f>SUM(AH307:AT307)-AF307</f>
        <v>0</v>
      </c>
    </row>
    <row r="308" spans="5:48" x14ac:dyDescent="0.25">
      <c r="E308" s="236" t="s">
        <v>143</v>
      </c>
      <c r="J308" s="593"/>
      <c r="K308" s="253">
        <f>ROUND(K307/$I307,4)+0.0001</f>
        <v>0.50600000000000001</v>
      </c>
      <c r="L308" s="253"/>
      <c r="M308" s="253">
        <f>ROUND(M307/$I307,4)</f>
        <v>0.218</v>
      </c>
      <c r="N308" s="253"/>
      <c r="O308" s="253">
        <f>ROUND(O307/$I307,4)</f>
        <v>7.3200000000000001E-2</v>
      </c>
      <c r="P308" s="253"/>
      <c r="Q308" s="253">
        <f>ROUND(Q307/$I307,4)</f>
        <v>3.6999999999999998E-2</v>
      </c>
      <c r="R308" s="253"/>
      <c r="S308" s="253">
        <f>ROUND(S307/$I307,4)</f>
        <v>3.61E-2</v>
      </c>
      <c r="T308" s="253"/>
      <c r="U308" s="253">
        <f>ROUND(U307/$I307,4)</f>
        <v>0</v>
      </c>
      <c r="V308" s="253"/>
      <c r="W308" s="253">
        <f>ROUND(W307/$I307,4)</f>
        <v>0.12970000000000001</v>
      </c>
      <c r="Y308" s="523">
        <f>SUM(K308:W308)</f>
        <v>1</v>
      </c>
      <c r="Z308" s="184"/>
      <c r="AB308" s="236" t="s">
        <v>143</v>
      </c>
      <c r="AC308" s="133"/>
      <c r="AD308" s="144"/>
      <c r="AE308" s="128"/>
      <c r="AF308" s="351"/>
      <c r="AG308" s="351"/>
      <c r="AH308" s="523">
        <f>ROUND(AH307/$I307,4)+0.0001</f>
        <v>0.42759999999999998</v>
      </c>
      <c r="AI308" s="523"/>
      <c r="AJ308" s="523">
        <f>ROUND(AJ307/$I307,4)</f>
        <v>0.2064</v>
      </c>
      <c r="AK308" s="523"/>
      <c r="AL308" s="523">
        <f>ROUND(AL307/$I307,4)</f>
        <v>0.1207</v>
      </c>
      <c r="AM308" s="523"/>
      <c r="AN308" s="523">
        <f>ROUND(AN307/$I307,4)</f>
        <v>4.0599999999999997E-2</v>
      </c>
      <c r="AO308" s="523"/>
      <c r="AP308" s="523">
        <f>ROUND(AP307/$I307,4)</f>
        <v>6.9699999999999998E-2</v>
      </c>
      <c r="AQ308" s="523"/>
      <c r="AR308" s="523">
        <f>ROUND(AR307/$I307,4)</f>
        <v>5.3E-3</v>
      </c>
      <c r="AS308" s="253"/>
      <c r="AT308" s="253">
        <f>ROUND(AT307/$I307,4)</f>
        <v>0.12970000000000001</v>
      </c>
      <c r="AV308" s="523">
        <f>SUM(AH308:AT308)</f>
        <v>1</v>
      </c>
    </row>
    <row r="309" spans="5:48" x14ac:dyDescent="0.25">
      <c r="E309" s="236" t="s">
        <v>145</v>
      </c>
      <c r="I309" s="460">
        <f>+I24+I49+I85+I104+SUM(I107:I123)+SUM(I125:I126)+I171+I178+SUM(I182:I182)+I173+I174</f>
        <v>70211033.459598333</v>
      </c>
      <c r="J309" s="128"/>
      <c r="K309" s="460">
        <f>+K24+K49+K85+K104+SUM(K107:K123)+SUM(K125:K126)+K171+K178+SUM(K182:K182)+K173+K174</f>
        <v>37343076.308903329</v>
      </c>
      <c r="L309" s="128"/>
      <c r="M309" s="460">
        <f>+M24+M49+M85+M104+SUM(M107:M123)+SUM(M125:M126)+M171+M178+SUM(M182:M182)+M173+M174</f>
        <v>15316370.253081238</v>
      </c>
      <c r="N309" s="128"/>
      <c r="O309" s="460">
        <f>+O24+O49+O85+O104+SUM(O107:O123)+SUM(O125:O126)+O171+O178+SUM(O182:O182)+O173+O174</f>
        <v>5070241.9987856923</v>
      </c>
      <c r="P309" s="128"/>
      <c r="Q309" s="460">
        <f>+Q24+Q49+Q85+Q104+SUM(Q107:Q123)+SUM(Q125:Q126)+Q171+Q178+SUM(Q182:Q182)+Q173+Q174</f>
        <v>2584629.2920518918</v>
      </c>
      <c r="R309" s="128"/>
      <c r="S309" s="460">
        <f>+S24+S49+S85+S104+SUM(S107:S123)+SUM(S125:S126)+S171+S178+SUM(S182:S182)+S173+S174</f>
        <v>2465224.3437884292</v>
      </c>
      <c r="T309" s="128"/>
      <c r="U309" s="460">
        <f>+U24+U49+U85+U104+SUM(U107:U123)+SUM(U125:U126)+U171+U178+SUM(U182:U182)+U173+U174</f>
        <v>0</v>
      </c>
      <c r="V309" s="128"/>
      <c r="W309" s="460">
        <f>+W24+W49+W85+W104+SUM(W107:W123)+SUM(W125:W126)+W171+W178+SUM(W182:W182)+W173+W174</f>
        <v>7431491.2629877413</v>
      </c>
      <c r="X309" s="128"/>
      <c r="Y309" s="224">
        <f>SUM(K309:W309)-I309</f>
        <v>0</v>
      </c>
      <c r="Z309" s="184"/>
      <c r="AB309" s="236" t="s">
        <v>145</v>
      </c>
      <c r="AC309" s="133"/>
      <c r="AD309" s="144"/>
      <c r="AE309" s="128"/>
      <c r="AF309" s="460">
        <f>+AF24+AF49+AF85+AF104+SUM(AF107:AF123)+SUM(AF125:AF126)+AF171+AF178+SUM(AF182:AF182)+AF173+AF174</f>
        <v>70211033.459598333</v>
      </c>
      <c r="AG309" s="128"/>
      <c r="AH309" s="460">
        <f>+AH24+AH49+AH85+AH104+SUM(AH107:AH123)+SUM(AH125:AH126)+AH171+AH178+SUM(AH182:AH182)+AH173+AH174</f>
        <v>31809442.685441848</v>
      </c>
      <c r="AI309" s="128"/>
      <c r="AJ309" s="460">
        <f>+AJ24+AJ49+AJ85+AJ104+SUM(AJ107:AJ123)+SUM(AJ125:AJ126)+AJ171+AJ178+SUM(AJ182:AJ182)+AJ173+AJ174</f>
        <v>11312183.509109166</v>
      </c>
      <c r="AK309" s="128"/>
      <c r="AL309" s="460">
        <f>+AL24+AL49+AL85+AL104+SUM(AL107:AL123)+SUM(AL125:AL126)+AL171+AL178+SUM(AL182:AL182)+AL173+AL174</f>
        <v>8672453.7083307281</v>
      </c>
      <c r="AM309" s="128"/>
      <c r="AN309" s="460">
        <f>+AN24+AN49+AN85+AN104+SUM(AN107:AN123)+SUM(AN125:AN126)+AN171+AN178+SUM(AN182:AN182)+AN173+AN174</f>
        <v>4049456.0584129393</v>
      </c>
      <c r="AO309" s="128"/>
      <c r="AP309" s="460">
        <f>+AP24+AP49+AP85+AP104+SUM(AP107:AP123)+SUM(AP125:AP126)+AP171+AP178+SUM(AP182:AP182)+AP173+AP174</f>
        <v>3611592.8656884651</v>
      </c>
      <c r="AQ309" s="128"/>
      <c r="AR309" s="460">
        <f>+AR24+AR49+AR85+AR104+SUM(AR107:AR123)+SUM(AR125:AR126)+AR171+AR178+SUM(AR182:AR182)+AR173+AR174</f>
        <v>3324413.3696274343</v>
      </c>
      <c r="AS309" s="128"/>
      <c r="AT309" s="460">
        <f>+AT24+AT49+AT85+AT104+SUM(AT107:AT123)+SUM(AT125:AT126)+AT171+AT178+SUM(AT182:AT182)+AT173+AT174</f>
        <v>7431491.2629877413</v>
      </c>
      <c r="AV309" s="733">
        <f>SUM(AH309:AT309)-AF309</f>
        <v>0</v>
      </c>
    </row>
    <row r="310" spans="5:48" x14ac:dyDescent="0.25">
      <c r="E310" s="236" t="s">
        <v>146</v>
      </c>
      <c r="J310" s="593"/>
      <c r="K310" s="253">
        <f>ROUND(K309/$I309,4)+0.0001</f>
        <v>0.53200000000000003</v>
      </c>
      <c r="L310" s="253"/>
      <c r="M310" s="253">
        <f>ROUND(M309/$I309,4)</f>
        <v>0.21809999999999999</v>
      </c>
      <c r="N310" s="253"/>
      <c r="O310" s="253">
        <f>ROUND(O309/$I309,4)</f>
        <v>7.22E-2</v>
      </c>
      <c r="P310" s="253"/>
      <c r="Q310" s="253">
        <f>ROUND(Q309/$I309,4)</f>
        <v>3.6799999999999999E-2</v>
      </c>
      <c r="R310" s="253"/>
      <c r="S310" s="253">
        <f>ROUND(S309/$I309,4)</f>
        <v>3.5099999999999999E-2</v>
      </c>
      <c r="T310" s="253"/>
      <c r="U310" s="253">
        <f>ROUND(U309/$I309,4)</f>
        <v>0</v>
      </c>
      <c r="V310" s="253"/>
      <c r="W310" s="253">
        <f>ROUND(W309/$I309,4)</f>
        <v>0.10580000000000001</v>
      </c>
      <c r="Y310" s="523">
        <f t="shared" ref="Y310" si="183">SUM(K310:W310)</f>
        <v>1</v>
      </c>
      <c r="Z310" s="184"/>
      <c r="AB310" s="236" t="s">
        <v>146</v>
      </c>
      <c r="AC310" s="133"/>
      <c r="AD310" s="144"/>
      <c r="AE310" s="128"/>
      <c r="AF310" s="351"/>
      <c r="AG310" s="351"/>
      <c r="AH310" s="523">
        <f>ROUND(AH309/$I309,4)+0.0001</f>
        <v>0.45319999999999999</v>
      </c>
      <c r="AI310" s="523"/>
      <c r="AJ310" s="523">
        <f>ROUND(AJ309/$I309,4)</f>
        <v>0.16109999999999999</v>
      </c>
      <c r="AK310" s="523"/>
      <c r="AL310" s="523">
        <f>ROUND(AL309/$I309,4)</f>
        <v>0.1235</v>
      </c>
      <c r="AM310" s="523"/>
      <c r="AN310" s="523">
        <f>ROUND(AN309/$I309,4)</f>
        <v>5.7700000000000001E-2</v>
      </c>
      <c r="AO310" s="523"/>
      <c r="AP310" s="523">
        <f>ROUND(AP309/$I309,4)</f>
        <v>5.1400000000000001E-2</v>
      </c>
      <c r="AQ310" s="523"/>
      <c r="AR310" s="523">
        <f>ROUND(AR309/$I309,4)</f>
        <v>4.7300000000000002E-2</v>
      </c>
      <c r="AS310" s="253"/>
      <c r="AT310" s="253">
        <f>ROUND(AT309/$I309,4)</f>
        <v>0.10580000000000001</v>
      </c>
      <c r="AU310" s="611"/>
      <c r="AV310" s="523">
        <f>SUM(AH310:AT310)</f>
        <v>1</v>
      </c>
    </row>
    <row r="311" spans="5:48" x14ac:dyDescent="0.25">
      <c r="E311" s="236"/>
      <c r="J311" s="593"/>
      <c r="K311" s="253"/>
      <c r="L311" s="253"/>
      <c r="M311" s="253"/>
      <c r="N311" s="253"/>
      <c r="O311" s="253"/>
      <c r="P311" s="253"/>
      <c r="Q311" s="253"/>
      <c r="R311" s="253"/>
      <c r="S311" s="253"/>
      <c r="T311" s="253"/>
      <c r="U311" s="253"/>
      <c r="V311" s="253"/>
      <c r="W311" s="253"/>
      <c r="Y311" s="518"/>
      <c r="Z311" s="184"/>
      <c r="AF311" s="224"/>
      <c r="AG311" s="224"/>
      <c r="AH311" s="224"/>
      <c r="AI311" s="224"/>
      <c r="AJ311" s="224"/>
      <c r="AK311" s="224"/>
      <c r="AL311" s="224"/>
      <c r="AM311" s="224"/>
      <c r="AN311" s="224"/>
      <c r="AO311" s="224"/>
      <c r="AP311" s="224"/>
      <c r="AQ311" s="224"/>
      <c r="AR311" s="224"/>
      <c r="AV311" s="733"/>
    </row>
    <row r="312" spans="5:48" x14ac:dyDescent="0.25">
      <c r="E312" s="236"/>
      <c r="J312" s="593"/>
      <c r="K312" s="253"/>
      <c r="L312" s="253"/>
      <c r="M312" s="253"/>
      <c r="N312" s="253"/>
      <c r="O312" s="253"/>
      <c r="P312" s="253"/>
      <c r="Q312" s="253"/>
      <c r="R312" s="253"/>
      <c r="S312" s="253"/>
      <c r="T312" s="253"/>
      <c r="U312" s="253"/>
      <c r="V312" s="253"/>
      <c r="W312" s="253"/>
      <c r="Y312" s="518"/>
      <c r="Z312" s="184"/>
      <c r="AF312" s="224"/>
      <c r="AG312" s="224"/>
      <c r="AH312" s="224"/>
      <c r="AI312" s="224"/>
      <c r="AJ312" s="224"/>
      <c r="AK312" s="224"/>
      <c r="AL312" s="224"/>
      <c r="AM312" s="224"/>
      <c r="AN312" s="224"/>
      <c r="AO312" s="224"/>
      <c r="AP312" s="224"/>
      <c r="AQ312" s="224"/>
      <c r="AR312" s="224"/>
    </row>
    <row r="313" spans="5:48" x14ac:dyDescent="0.25">
      <c r="E313" s="236"/>
      <c r="J313" s="593"/>
      <c r="K313" s="253"/>
      <c r="L313" s="253"/>
      <c r="M313" s="253"/>
      <c r="N313" s="253"/>
      <c r="O313" s="253"/>
      <c r="P313" s="253"/>
      <c r="Q313" s="253"/>
      <c r="R313" s="253"/>
      <c r="S313" s="253"/>
      <c r="T313" s="253"/>
      <c r="U313" s="253"/>
      <c r="V313" s="253"/>
      <c r="W313" s="253"/>
      <c r="Y313" s="518"/>
      <c r="Z313" s="184"/>
      <c r="AF313" s="224"/>
      <c r="AG313" s="224"/>
      <c r="AH313" s="224"/>
      <c r="AI313" s="224"/>
      <c r="AJ313" s="224"/>
      <c r="AK313" s="224"/>
      <c r="AL313" s="224"/>
      <c r="AM313" s="224"/>
      <c r="AN313" s="224"/>
      <c r="AO313" s="224"/>
      <c r="AP313" s="224"/>
      <c r="AQ313" s="224"/>
      <c r="AR313" s="224"/>
    </row>
    <row r="314" spans="5:48" x14ac:dyDescent="0.25">
      <c r="J314" s="593"/>
      <c r="Y314" s="519"/>
      <c r="AA314" s="239"/>
      <c r="AB314" s="130"/>
      <c r="AC314" s="239"/>
      <c r="AD314" s="239"/>
      <c r="AE314" s="239"/>
      <c r="AF314" s="520"/>
      <c r="AG314" s="520"/>
      <c r="AH314" s="520"/>
      <c r="AI314" s="520"/>
      <c r="AJ314" s="520"/>
      <c r="AK314" s="520"/>
      <c r="AL314" s="520"/>
      <c r="AM314" s="520"/>
      <c r="AN314" s="520"/>
      <c r="AO314" s="224"/>
      <c r="AP314" s="224"/>
      <c r="AQ314" s="224"/>
      <c r="AR314" s="224"/>
    </row>
    <row r="315" spans="5:48" x14ac:dyDescent="0.25">
      <c r="J315" s="593"/>
      <c r="K315" s="238" t="s">
        <v>174</v>
      </c>
      <c r="Y315" s="519"/>
      <c r="AA315" s="239"/>
      <c r="AB315" s="130"/>
      <c r="AC315" s="239"/>
      <c r="AD315" s="239"/>
      <c r="AE315" s="239"/>
      <c r="AF315" s="520"/>
      <c r="AG315" s="520"/>
      <c r="AH315" s="520"/>
      <c r="AI315" s="520"/>
      <c r="AJ315" s="520"/>
      <c r="AK315" s="520"/>
      <c r="AL315" s="520"/>
      <c r="AM315" s="520"/>
      <c r="AN315" s="520"/>
      <c r="AO315" s="224"/>
      <c r="AP315" s="224"/>
      <c r="AQ315" s="224"/>
      <c r="AR315" s="224"/>
    </row>
    <row r="316" spans="5:48" x14ac:dyDescent="0.25">
      <c r="E316" s="437"/>
      <c r="J316" s="593"/>
      <c r="K316" s="240">
        <v>2</v>
      </c>
      <c r="L316" s="239"/>
      <c r="M316" s="239">
        <v>4</v>
      </c>
      <c r="N316" s="239"/>
      <c r="O316" s="239">
        <v>6</v>
      </c>
      <c r="P316" s="239"/>
      <c r="Q316" s="239">
        <v>8</v>
      </c>
      <c r="R316" s="239"/>
      <c r="S316" s="239">
        <v>10</v>
      </c>
      <c r="T316" s="239"/>
      <c r="U316" s="239">
        <v>12</v>
      </c>
      <c r="V316" s="239"/>
      <c r="W316" s="239">
        <v>14</v>
      </c>
      <c r="X316" s="239"/>
      <c r="Y316" s="520">
        <v>20</v>
      </c>
      <c r="AF316" s="224"/>
      <c r="AG316" s="224"/>
      <c r="AH316" s="684">
        <v>2</v>
      </c>
      <c r="AI316" s="684"/>
      <c r="AJ316" s="684">
        <v>4</v>
      </c>
      <c r="AK316" s="684"/>
      <c r="AL316" s="684">
        <v>6</v>
      </c>
      <c r="AM316" s="684"/>
      <c r="AN316" s="684">
        <v>8</v>
      </c>
      <c r="AO316" s="684"/>
      <c r="AP316" s="684">
        <v>10</v>
      </c>
      <c r="AQ316" s="684"/>
      <c r="AR316" s="684">
        <v>12</v>
      </c>
      <c r="AS316" s="272"/>
      <c r="AT316" s="272">
        <v>14</v>
      </c>
    </row>
    <row r="317" spans="5:48" x14ac:dyDescent="0.25">
      <c r="E317" s="437"/>
      <c r="J317" s="593"/>
      <c r="K317" s="241" t="s">
        <v>192</v>
      </c>
      <c r="L317" s="239"/>
      <c r="M317" s="242" t="s">
        <v>193</v>
      </c>
      <c r="N317" s="239"/>
      <c r="O317" s="242" t="s">
        <v>194</v>
      </c>
      <c r="P317" s="239"/>
      <c r="Q317" s="242" t="s">
        <v>177</v>
      </c>
      <c r="R317" s="239"/>
      <c r="S317" s="242" t="s">
        <v>313</v>
      </c>
      <c r="T317" s="243"/>
      <c r="U317" s="242" t="s">
        <v>129</v>
      </c>
      <c r="V317" s="239"/>
      <c r="W317" s="242" t="s">
        <v>130</v>
      </c>
      <c r="X317" s="239"/>
      <c r="Y317" s="521" t="s">
        <v>315</v>
      </c>
      <c r="AF317" s="224"/>
      <c r="AG317" s="224"/>
      <c r="AH317" s="685"/>
      <c r="AI317" s="685"/>
      <c r="AJ317" s="685"/>
      <c r="AK317" s="685"/>
      <c r="AL317" s="685"/>
      <c r="AM317" s="685"/>
      <c r="AN317" s="685"/>
      <c r="AO317" s="685"/>
      <c r="AP317" s="685"/>
      <c r="AQ317" s="685"/>
      <c r="AR317" s="685" t="s">
        <v>437</v>
      </c>
      <c r="AS317" s="273"/>
      <c r="AT317" s="273" t="s">
        <v>439</v>
      </c>
    </row>
    <row r="318" spans="5:48" x14ac:dyDescent="0.25">
      <c r="E318" s="437"/>
      <c r="J318" s="593"/>
      <c r="K318" s="240"/>
      <c r="L318" s="237"/>
      <c r="M318" s="237"/>
      <c r="N318" s="237"/>
      <c r="O318" s="237"/>
      <c r="P318" s="237"/>
      <c r="Q318" s="237"/>
      <c r="R318" s="237"/>
      <c r="S318" s="237"/>
      <c r="T318" s="237"/>
      <c r="U318" s="237"/>
      <c r="V318" s="237"/>
      <c r="W318" s="237"/>
      <c r="X318" s="237"/>
      <c r="Y318" s="519"/>
      <c r="AF318" s="224"/>
      <c r="AG318" s="224"/>
      <c r="AH318" s="685" t="s">
        <v>434</v>
      </c>
      <c r="AI318" s="685"/>
      <c r="AJ318" s="685" t="s">
        <v>435</v>
      </c>
      <c r="AK318" s="685"/>
      <c r="AL318" s="685" t="s">
        <v>436</v>
      </c>
      <c r="AM318" s="685"/>
      <c r="AN318" s="685" t="s">
        <v>397</v>
      </c>
      <c r="AO318" s="685"/>
      <c r="AP318" s="685" t="s">
        <v>320</v>
      </c>
      <c r="AQ318" s="685"/>
      <c r="AR318" s="685" t="s">
        <v>438</v>
      </c>
      <c r="AS318" s="273"/>
      <c r="AT318" s="273" t="s">
        <v>316</v>
      </c>
    </row>
    <row r="319" spans="5:48" x14ac:dyDescent="0.25">
      <c r="E319" s="437"/>
      <c r="J319" s="593"/>
      <c r="K319" s="240"/>
      <c r="L319" s="237"/>
      <c r="M319" s="244"/>
      <c r="N319" s="237"/>
      <c r="O319" s="244"/>
      <c r="P319" s="237"/>
      <c r="Q319" s="244"/>
      <c r="R319" s="237"/>
      <c r="S319" s="244"/>
      <c r="T319" s="237"/>
      <c r="U319" s="244"/>
      <c r="V319" s="237"/>
      <c r="W319" s="244"/>
      <c r="X319" s="237"/>
      <c r="Y319" s="519"/>
      <c r="AF319" s="224"/>
      <c r="AG319" s="224"/>
      <c r="AH319" s="224"/>
      <c r="AI319" s="224"/>
      <c r="AJ319" s="224"/>
      <c r="AK319" s="224"/>
      <c r="AL319" s="224"/>
      <c r="AM319" s="224"/>
      <c r="AN319" s="224"/>
      <c r="AO319" s="224"/>
      <c r="AP319" s="224"/>
      <c r="AQ319" s="224"/>
      <c r="AR319" s="224"/>
      <c r="AV319" s="733"/>
    </row>
    <row r="320" spans="5:48" x14ac:dyDescent="0.25">
      <c r="E320" s="437"/>
      <c r="J320" s="593">
        <v>1</v>
      </c>
      <c r="K320" s="247">
        <f>'SCH-C - F 1-2'!K16</f>
        <v>0.497</v>
      </c>
      <c r="L320" s="247"/>
      <c r="M320" s="247">
        <f>'SCH-C - F 1-2'!K17</f>
        <v>0.2732</v>
      </c>
      <c r="N320" s="247"/>
      <c r="O320" s="247">
        <f>'SCH-C - F 1-2'!K18</f>
        <v>0.10539999999999999</v>
      </c>
      <c r="P320" s="247"/>
      <c r="Q320" s="247">
        <f>'SCH-C - F 1-2'!K19</f>
        <v>5.0999999999999997E-2</v>
      </c>
      <c r="R320" s="247"/>
      <c r="S320" s="247">
        <f>'SCH-C - F 1-2'!K20</f>
        <v>6.7000000000000004E-2</v>
      </c>
      <c r="T320" s="247"/>
      <c r="U320" s="247"/>
      <c r="V320" s="247"/>
      <c r="W320" s="247">
        <f>'SCH-C - F 1-2'!K21</f>
        <v>6.4000000000000003E-3</v>
      </c>
      <c r="X320" s="245"/>
      <c r="Y320" s="524">
        <f t="shared" ref="Y320:Y329" si="184">SUM(K320:X320)</f>
        <v>1</v>
      </c>
      <c r="AF320" s="224"/>
      <c r="AG320" s="519">
        <v>1</v>
      </c>
      <c r="AH320" s="690">
        <f>1-AT320</f>
        <v>0.99360000000000004</v>
      </c>
      <c r="AI320" s="690"/>
      <c r="AJ320" s="690">
        <v>0</v>
      </c>
      <c r="AK320" s="690"/>
      <c r="AL320" s="690">
        <v>0</v>
      </c>
      <c r="AM320" s="690"/>
      <c r="AN320" s="690">
        <v>0</v>
      </c>
      <c r="AO320" s="690"/>
      <c r="AP320" s="690">
        <v>0</v>
      </c>
      <c r="AQ320" s="690"/>
      <c r="AR320" s="690">
        <v>0</v>
      </c>
      <c r="AS320" s="271"/>
      <c r="AT320" s="271">
        <f>+'SCH-C - F 1-2'!K21</f>
        <v>6.4000000000000003E-3</v>
      </c>
      <c r="AU320" s="271"/>
      <c r="AV320" s="690">
        <f>SUM(AH320:AT320)</f>
        <v>1</v>
      </c>
    </row>
    <row r="321" spans="5:48" x14ac:dyDescent="0.25">
      <c r="E321" s="437"/>
      <c r="J321" s="593">
        <v>2</v>
      </c>
      <c r="K321" s="247">
        <f>'SCH-C - F 1-2'!M38</f>
        <v>0.52059999999999995</v>
      </c>
      <c r="L321" s="247"/>
      <c r="M321" s="247">
        <f>'SCH-C - F 1-2'!M39</f>
        <v>0.26469999999999999</v>
      </c>
      <c r="N321" s="247"/>
      <c r="O321" s="247">
        <f>'SCH-C - F 1-2'!M40</f>
        <v>9.9400000000000002E-2</v>
      </c>
      <c r="P321" s="247"/>
      <c r="Q321" s="247">
        <f>'SCH-C - F 1-2'!M41</f>
        <v>4.8099999999999997E-2</v>
      </c>
      <c r="R321" s="247"/>
      <c r="S321" s="247">
        <f>'SCH-C - F 1-2'!M42</f>
        <v>6.3200000000000006E-2</v>
      </c>
      <c r="T321" s="247"/>
      <c r="U321" s="247"/>
      <c r="V321" s="247"/>
      <c r="W321" s="247">
        <f>'SCH-C - F 1-2'!M43</f>
        <v>4.0000000000000001E-3</v>
      </c>
      <c r="X321" s="245"/>
      <c r="Y321" s="524">
        <f t="shared" si="184"/>
        <v>1</v>
      </c>
      <c r="AF321" s="224"/>
      <c r="AG321" s="519">
        <v>2</v>
      </c>
      <c r="AH321" s="690">
        <f>+'SCH-C - F 2 B'!H33-'SCH-B - COS'!AT321</f>
        <v>0.621</v>
      </c>
      <c r="AI321" s="690"/>
      <c r="AJ321" s="690">
        <f>+'SCH-C - F 2 B'!H35</f>
        <v>0.375</v>
      </c>
      <c r="AK321" s="690"/>
      <c r="AL321" s="690">
        <v>0</v>
      </c>
      <c r="AM321" s="690"/>
      <c r="AN321" s="690">
        <v>0</v>
      </c>
      <c r="AO321" s="690"/>
      <c r="AP321" s="690">
        <v>0</v>
      </c>
      <c r="AQ321" s="690"/>
      <c r="AR321" s="690">
        <v>0</v>
      </c>
      <c r="AS321" s="271"/>
      <c r="AT321" s="271">
        <f>+'SCH-C - F 1-2'!G43</f>
        <v>4.0000000000000001E-3</v>
      </c>
      <c r="AU321" s="271"/>
      <c r="AV321" s="690">
        <f t="shared" ref="AV321:AV340" si="185">SUM(AH321:AT321)</f>
        <v>1</v>
      </c>
    </row>
    <row r="322" spans="5:48" x14ac:dyDescent="0.25">
      <c r="E322" s="437"/>
      <c r="J322" s="593">
        <v>3</v>
      </c>
      <c r="K322" s="247">
        <f>'SCH-C - F 3-4'!P19</f>
        <v>0.44550000000000001</v>
      </c>
      <c r="L322" s="247"/>
      <c r="M322" s="247">
        <f>'SCH-C - F 3-4'!P20</f>
        <v>0.22639999999999999</v>
      </c>
      <c r="N322" s="247"/>
      <c r="O322" s="247">
        <f>'SCH-C - F 3-4'!P21</f>
        <v>8.4900000000000003E-2</v>
      </c>
      <c r="P322" s="247"/>
      <c r="Q322" s="247">
        <f>'SCH-C - F 3-4'!P22</f>
        <v>4.1200000000000001E-2</v>
      </c>
      <c r="R322" s="247"/>
      <c r="S322" s="247">
        <f>'SCH-C - F 3-4'!P23</f>
        <v>5.3999999999999999E-2</v>
      </c>
      <c r="T322" s="247"/>
      <c r="U322" s="247"/>
      <c r="V322" s="247"/>
      <c r="W322" s="247">
        <f>'SCH-C - F 3-4'!P24</f>
        <v>0.14799999999999999</v>
      </c>
      <c r="X322" s="245"/>
      <c r="Y322" s="524">
        <f>SUM(K322:W322)</f>
        <v>1</v>
      </c>
      <c r="AF322" s="224"/>
      <c r="AG322" s="519">
        <v>3</v>
      </c>
      <c r="AH322" s="690">
        <f>+'SCH-C - F 3-4'!F17-'SCH-C - F 3-4'!F24</f>
        <v>0.53120000000000001</v>
      </c>
      <c r="AI322" s="690"/>
      <c r="AJ322" s="690">
        <f>+'SCH-C - F 3-4'!J17</f>
        <v>0.32079999999999997</v>
      </c>
      <c r="AK322" s="690"/>
      <c r="AL322" s="690">
        <v>0</v>
      </c>
      <c r="AM322" s="690"/>
      <c r="AN322" s="690">
        <v>0</v>
      </c>
      <c r="AO322" s="690"/>
      <c r="AP322" s="690">
        <v>0</v>
      </c>
      <c r="AQ322" s="690"/>
      <c r="AR322" s="690">
        <v>0</v>
      </c>
      <c r="AS322" s="271"/>
      <c r="AT322" s="271">
        <f>++'SCH-C - F 3-4'!P24</f>
        <v>0.14799999999999999</v>
      </c>
      <c r="AU322" s="271"/>
      <c r="AV322" s="690">
        <f t="shared" si="185"/>
        <v>1</v>
      </c>
    </row>
    <row r="323" spans="5:48" x14ac:dyDescent="0.25">
      <c r="E323" s="437"/>
      <c r="J323" s="593">
        <v>4</v>
      </c>
      <c r="K323" s="247">
        <f>'SCH-C - F 3-4'!R48</f>
        <v>0.46719999999999995</v>
      </c>
      <c r="L323" s="247"/>
      <c r="M323" s="247">
        <f>'SCH-C - F 3-4'!R49</f>
        <v>0.21660000000000001</v>
      </c>
      <c r="N323" s="247"/>
      <c r="O323" s="247">
        <f>'SCH-C - F 3-4'!R50</f>
        <v>6.8099999999999994E-2</v>
      </c>
      <c r="P323" s="247"/>
      <c r="Q323" s="247">
        <f>'SCH-C - F 3-4'!R51</f>
        <v>3.2899999999999999E-2</v>
      </c>
      <c r="R323" s="247"/>
      <c r="S323" s="247">
        <f>'SCH-C - F 3-4'!R52</f>
        <v>0</v>
      </c>
      <c r="T323" s="247"/>
      <c r="U323" s="247"/>
      <c r="V323" s="247"/>
      <c r="W323" s="247">
        <f>'SCH-C - F 3-4'!R53</f>
        <v>0.2152</v>
      </c>
      <c r="X323" s="245"/>
      <c r="Y323" s="524">
        <f t="shared" si="184"/>
        <v>1</v>
      </c>
      <c r="AF323" s="224"/>
      <c r="AG323" s="519">
        <v>4</v>
      </c>
      <c r="AH323" s="690">
        <f>+'SCH-C - F 3-4'!H46-'SCH-C - F 3-4'!H53</f>
        <v>0.32569999999999999</v>
      </c>
      <c r="AI323" s="690"/>
      <c r="AJ323" s="690">
        <v>0</v>
      </c>
      <c r="AK323" s="690"/>
      <c r="AL323" s="690">
        <f>+'SCH-C - F 3-4'!L46</f>
        <v>0.45910000000000001</v>
      </c>
      <c r="AM323" s="690"/>
      <c r="AN323" s="690">
        <v>0</v>
      </c>
      <c r="AO323" s="690"/>
      <c r="AP323" s="690">
        <v>0</v>
      </c>
      <c r="AQ323" s="690"/>
      <c r="AR323" s="690">
        <v>0</v>
      </c>
      <c r="AS323" s="271"/>
      <c r="AT323" s="271">
        <f>'SCH-C - F 3-4'!R53</f>
        <v>0.2152</v>
      </c>
      <c r="AU323" s="271"/>
      <c r="AV323" s="690">
        <f t="shared" si="185"/>
        <v>1</v>
      </c>
    </row>
    <row r="324" spans="5:48" x14ac:dyDescent="0.25">
      <c r="E324" s="437"/>
      <c r="J324" s="593">
        <v>5</v>
      </c>
      <c r="K324" s="247">
        <f>'SCH-C - F 5'!R18</f>
        <v>0.40859999999999996</v>
      </c>
      <c r="L324" s="247"/>
      <c r="M324" s="247">
        <f>'SCH-C - F 5'!R19</f>
        <v>0.189</v>
      </c>
      <c r="N324" s="247"/>
      <c r="O324" s="247">
        <f>'SCH-C - F 5'!R20</f>
        <v>5.9200000000000003E-2</v>
      </c>
      <c r="P324" s="247"/>
      <c r="Q324" s="247">
        <f>'SCH-C - F 5'!R21</f>
        <v>2.87E-2</v>
      </c>
      <c r="R324" s="247"/>
      <c r="S324" s="247">
        <f>'SCH-C - F 5'!R22</f>
        <v>3.7599999999999995E-2</v>
      </c>
      <c r="T324" s="247"/>
      <c r="U324" s="247"/>
      <c r="V324" s="247"/>
      <c r="W324" s="247">
        <f>'SCH-C - F 5'!R23</f>
        <v>0.27690000000000003</v>
      </c>
      <c r="X324" s="245"/>
      <c r="Y324" s="524">
        <f t="shared" si="184"/>
        <v>0.99999999999999989</v>
      </c>
      <c r="AF324" s="224"/>
      <c r="AG324" s="519">
        <v>5</v>
      </c>
      <c r="AH324" s="690">
        <f>+'SCH-C - F 5'!H16-'SCH-C - F 5'!H23</f>
        <v>0.30019999999999997</v>
      </c>
      <c r="AI324" s="690"/>
      <c r="AJ324" s="690">
        <v>0</v>
      </c>
      <c r="AK324" s="690"/>
      <c r="AL324" s="690">
        <f>+'SCH-C - F 5'!L16</f>
        <v>0.4229</v>
      </c>
      <c r="AM324" s="690"/>
      <c r="AN324" s="690">
        <v>0</v>
      </c>
      <c r="AO324" s="690"/>
      <c r="AP324" s="690">
        <v>0</v>
      </c>
      <c r="AQ324" s="690"/>
      <c r="AR324" s="690">
        <v>0</v>
      </c>
      <c r="AS324" s="271"/>
      <c r="AT324" s="271">
        <f>+'SCH-C - F 5'!R23</f>
        <v>0.27690000000000003</v>
      </c>
      <c r="AU324" s="271"/>
      <c r="AV324" s="690">
        <f t="shared" si="185"/>
        <v>1</v>
      </c>
    </row>
    <row r="325" spans="5:48" x14ac:dyDescent="0.25">
      <c r="E325" s="437"/>
      <c r="J325" s="593"/>
      <c r="K325" s="247"/>
      <c r="L325" s="247"/>
      <c r="M325" s="247"/>
      <c r="N325" s="247"/>
      <c r="O325" s="247"/>
      <c r="P325" s="247"/>
      <c r="Q325" s="247"/>
      <c r="R325" s="247"/>
      <c r="S325" s="247"/>
      <c r="T325" s="247"/>
      <c r="U325" s="247"/>
      <c r="V325" s="247"/>
      <c r="W325" s="247"/>
      <c r="X325" s="245"/>
      <c r="Y325" s="524"/>
      <c r="AF325" s="224"/>
      <c r="AG325" s="519"/>
      <c r="AH325" s="690"/>
      <c r="AI325" s="690"/>
      <c r="AJ325" s="690"/>
      <c r="AK325" s="690"/>
      <c r="AL325" s="690"/>
      <c r="AM325" s="690"/>
      <c r="AN325" s="690"/>
      <c r="AO325" s="690"/>
      <c r="AP325" s="690"/>
      <c r="AQ325" s="690"/>
      <c r="AR325" s="690"/>
      <c r="AS325" s="271"/>
      <c r="AT325" s="271"/>
      <c r="AU325" s="271"/>
      <c r="AV325" s="690"/>
    </row>
    <row r="326" spans="5:48" x14ac:dyDescent="0.25">
      <c r="J326" s="593">
        <v>6</v>
      </c>
      <c r="K326" s="247">
        <f>'SCH-C - F6'!N18</f>
        <v>0.46160000000000001</v>
      </c>
      <c r="L326" s="247"/>
      <c r="M326" s="247">
        <f>'SCH-C - F6'!N19</f>
        <v>0.21909999999999999</v>
      </c>
      <c r="N326" s="247"/>
      <c r="O326" s="247">
        <f>'SCH-C - F6'!N20</f>
        <v>7.2499999999999995E-2</v>
      </c>
      <c r="P326" s="247"/>
      <c r="Q326" s="247">
        <f>'SCH-C - F6'!N21</f>
        <v>3.5000000000000003E-2</v>
      </c>
      <c r="R326" s="247"/>
      <c r="S326" s="247">
        <f>'SCH-C - F6'!N22</f>
        <v>1.3899999999999999E-2</v>
      </c>
      <c r="T326" s="247"/>
      <c r="U326" s="247"/>
      <c r="V326" s="247"/>
      <c r="W326" s="247">
        <f>'SCH-C - F6'!N23</f>
        <v>0.19789999999999999</v>
      </c>
      <c r="X326" s="245"/>
      <c r="Y326" s="524">
        <f t="shared" si="184"/>
        <v>1</v>
      </c>
      <c r="AF326" s="224"/>
      <c r="AG326" s="519">
        <v>6</v>
      </c>
      <c r="AH326" s="690">
        <f>+'SCH-C - F6'!Y17</f>
        <v>0.37869999999999998</v>
      </c>
      <c r="AI326" s="690"/>
      <c r="AJ326" s="690">
        <f>+'SCH-C - F6'!Y18</f>
        <v>8.2600000000000007E-2</v>
      </c>
      <c r="AK326" s="690"/>
      <c r="AL326" s="690">
        <f>+'SCH-C - F6'!Y19</f>
        <v>0.34079999999999999</v>
      </c>
      <c r="AM326" s="690"/>
      <c r="AN326" s="690"/>
      <c r="AO326" s="690"/>
      <c r="AP326" s="690"/>
      <c r="AQ326" s="690"/>
      <c r="AR326" s="690"/>
      <c r="AS326" s="271"/>
      <c r="AT326" s="271">
        <f>+'SCH-C - F6'!Y20+'SCH-C - F6'!Y21</f>
        <v>0.19789999999999999</v>
      </c>
      <c r="AU326" s="271"/>
      <c r="AV326" s="690">
        <f t="shared" si="185"/>
        <v>1</v>
      </c>
    </row>
    <row r="327" spans="5:48" x14ac:dyDescent="0.25">
      <c r="J327" s="593">
        <v>7</v>
      </c>
      <c r="K327" s="247">
        <v>0</v>
      </c>
      <c r="L327" s="247"/>
      <c r="M327" s="247">
        <v>0</v>
      </c>
      <c r="N327" s="247"/>
      <c r="O327" s="247">
        <v>0</v>
      </c>
      <c r="P327" s="247"/>
      <c r="Q327" s="247">
        <v>0</v>
      </c>
      <c r="R327" s="247"/>
      <c r="S327" s="247">
        <v>0</v>
      </c>
      <c r="T327" s="247"/>
      <c r="U327" s="247"/>
      <c r="V327" s="247"/>
      <c r="W327" s="247">
        <v>1</v>
      </c>
      <c r="X327" s="245"/>
      <c r="Y327" s="524">
        <f t="shared" si="184"/>
        <v>1</v>
      </c>
      <c r="AF327" s="224"/>
      <c r="AG327" s="519">
        <v>7</v>
      </c>
      <c r="AH327" s="690">
        <v>0</v>
      </c>
      <c r="AI327" s="690"/>
      <c r="AJ327" s="690">
        <v>0</v>
      </c>
      <c r="AK327" s="690"/>
      <c r="AL327" s="690">
        <v>0</v>
      </c>
      <c r="AM327" s="690"/>
      <c r="AN327" s="690">
        <v>0</v>
      </c>
      <c r="AO327" s="690"/>
      <c r="AP327" s="690">
        <v>0</v>
      </c>
      <c r="AQ327" s="690"/>
      <c r="AR327" s="690">
        <v>0</v>
      </c>
      <c r="AS327" s="271"/>
      <c r="AT327" s="271">
        <f>+'SCH-C - F7-9'!F15</f>
        <v>1</v>
      </c>
      <c r="AU327" s="271"/>
      <c r="AV327" s="690">
        <f t="shared" si="185"/>
        <v>1</v>
      </c>
    </row>
    <row r="328" spans="5:48" x14ac:dyDescent="0.25">
      <c r="J328" s="593">
        <v>8</v>
      </c>
      <c r="K328" s="247">
        <f>'SCH-C - F7-9'!F29</f>
        <v>0.80100000000000005</v>
      </c>
      <c r="L328" s="247"/>
      <c r="M328" s="247">
        <f>'SCH-C - F7-9'!F30</f>
        <v>0.16619999999999999</v>
      </c>
      <c r="N328" s="247"/>
      <c r="O328" s="247">
        <f>'SCH-C - F7-9'!F31</f>
        <v>9.4999999999999998E-3</v>
      </c>
      <c r="P328" s="247"/>
      <c r="Q328" s="247">
        <f>'SCH-C - F7-9'!F32</f>
        <v>2.23E-2</v>
      </c>
      <c r="R328" s="247"/>
      <c r="S328" s="247">
        <f>'SCH-C - F7-9'!F33</f>
        <v>1E-3</v>
      </c>
      <c r="T328" s="247"/>
      <c r="U328" s="247"/>
      <c r="V328" s="247"/>
      <c r="W328" s="247">
        <v>0</v>
      </c>
      <c r="X328" s="245"/>
      <c r="Y328" s="524">
        <f t="shared" si="184"/>
        <v>1</v>
      </c>
      <c r="AF328" s="224"/>
      <c r="AG328" s="519">
        <v>8</v>
      </c>
      <c r="AH328" s="690">
        <v>0</v>
      </c>
      <c r="AI328" s="690"/>
      <c r="AJ328" s="690">
        <v>0</v>
      </c>
      <c r="AK328" s="690"/>
      <c r="AL328" s="690">
        <v>0</v>
      </c>
      <c r="AM328" s="690"/>
      <c r="AN328" s="690">
        <v>1</v>
      </c>
      <c r="AO328" s="690"/>
      <c r="AP328" s="690">
        <v>0</v>
      </c>
      <c r="AQ328" s="690"/>
      <c r="AR328" s="690">
        <v>0</v>
      </c>
      <c r="AS328" s="271"/>
      <c r="AT328" s="271">
        <v>0</v>
      </c>
      <c r="AU328" s="271"/>
      <c r="AV328" s="690">
        <f t="shared" si="185"/>
        <v>1</v>
      </c>
    </row>
    <row r="329" spans="5:48" x14ac:dyDescent="0.25">
      <c r="J329" s="593">
        <v>9</v>
      </c>
      <c r="K329" s="247">
        <f>'SCH-C - F7-9'!F52</f>
        <v>0.85719999999999996</v>
      </c>
      <c r="L329" s="247"/>
      <c r="M329" s="247">
        <f>'SCH-C - F7-9'!F53</f>
        <v>0.1227</v>
      </c>
      <c r="N329" s="247"/>
      <c r="O329" s="247">
        <f>'SCH-C - F7-9'!F54</f>
        <v>5.0000000000000001E-3</v>
      </c>
      <c r="P329" s="247"/>
      <c r="Q329" s="247">
        <f>'SCH-C - F7-9'!F55</f>
        <v>1.46E-2</v>
      </c>
      <c r="R329" s="247"/>
      <c r="S329" s="247">
        <f>'SCH-C - F7-9'!F56</f>
        <v>5.0000000000000001E-4</v>
      </c>
      <c r="T329" s="247"/>
      <c r="U329" s="247"/>
      <c r="V329" s="247"/>
      <c r="W329" s="247">
        <v>0</v>
      </c>
      <c r="X329" s="245"/>
      <c r="Y329" s="524">
        <f t="shared" si="184"/>
        <v>0.99999999999999989</v>
      </c>
      <c r="AF329" s="224"/>
      <c r="AG329" s="519">
        <v>9</v>
      </c>
      <c r="AH329" s="690">
        <v>0</v>
      </c>
      <c r="AI329" s="690"/>
      <c r="AJ329" s="690">
        <v>0</v>
      </c>
      <c r="AK329" s="690"/>
      <c r="AL329" s="690">
        <v>0</v>
      </c>
      <c r="AM329" s="690"/>
      <c r="AN329" s="690">
        <v>0</v>
      </c>
      <c r="AO329" s="690"/>
      <c r="AP329" s="690">
        <f>1-AT329</f>
        <v>1</v>
      </c>
      <c r="AQ329" s="690"/>
      <c r="AR329" s="690">
        <v>0</v>
      </c>
      <c r="AS329" s="271"/>
      <c r="AT329" s="271">
        <f>+'SCH-C - F7-9'!F57</f>
        <v>0</v>
      </c>
      <c r="AU329" s="271"/>
      <c r="AV329" s="690">
        <f t="shared" si="185"/>
        <v>1</v>
      </c>
    </row>
    <row r="330" spans="5:48" x14ac:dyDescent="0.25">
      <c r="J330" s="593"/>
      <c r="K330" s="248"/>
      <c r="L330" s="248"/>
      <c r="M330" s="248"/>
      <c r="N330" s="248"/>
      <c r="O330" s="248"/>
      <c r="P330" s="248"/>
      <c r="Q330" s="248"/>
      <c r="R330" s="248"/>
      <c r="S330" s="248"/>
      <c r="T330" s="248"/>
      <c r="U330" s="248"/>
      <c r="V330" s="248"/>
      <c r="W330" s="248"/>
      <c r="X330" s="246"/>
      <c r="Y330" s="524"/>
      <c r="AF330" s="224"/>
      <c r="AG330" s="519"/>
      <c r="AH330" s="690">
        <f>+AH296</f>
        <v>0</v>
      </c>
      <c r="AI330" s="690">
        <f t="shared" ref="AI330:AT330" si="186">+AI296</f>
        <v>0</v>
      </c>
      <c r="AJ330" s="690">
        <f t="shared" si="186"/>
        <v>0</v>
      </c>
      <c r="AK330" s="690">
        <f t="shared" si="186"/>
        <v>0</v>
      </c>
      <c r="AL330" s="690">
        <f t="shared" si="186"/>
        <v>0</v>
      </c>
      <c r="AM330" s="690">
        <f t="shared" si="186"/>
        <v>0</v>
      </c>
      <c r="AN330" s="690">
        <f t="shared" si="186"/>
        <v>0</v>
      </c>
      <c r="AO330" s="690">
        <f t="shared" si="186"/>
        <v>0</v>
      </c>
      <c r="AP330" s="690">
        <f t="shared" si="186"/>
        <v>0</v>
      </c>
      <c r="AQ330" s="690">
        <f t="shared" si="186"/>
        <v>0</v>
      </c>
      <c r="AR330" s="690">
        <f t="shared" si="186"/>
        <v>0</v>
      </c>
      <c r="AS330" s="271">
        <f t="shared" si="186"/>
        <v>0</v>
      </c>
      <c r="AT330" s="271">
        <f t="shared" si="186"/>
        <v>0</v>
      </c>
      <c r="AU330" s="271"/>
      <c r="AV330" s="690">
        <f t="shared" si="185"/>
        <v>0</v>
      </c>
    </row>
    <row r="331" spans="5:48" x14ac:dyDescent="0.25">
      <c r="J331" s="593">
        <v>11</v>
      </c>
      <c r="K331" s="248">
        <f>+K298</f>
        <v>0.48280000000000001</v>
      </c>
      <c r="L331" s="248"/>
      <c r="M331" s="248">
        <f>+M298</f>
        <v>0.1991</v>
      </c>
      <c r="N331" s="248"/>
      <c r="O331" s="248">
        <f>+O298</f>
        <v>6.1800000000000001E-2</v>
      </c>
      <c r="P331" s="248"/>
      <c r="Q331" s="248">
        <f>+Q298</f>
        <v>3.1099999999999999E-2</v>
      </c>
      <c r="R331" s="248"/>
      <c r="S331" s="248">
        <f>+S298</f>
        <v>1.49E-2</v>
      </c>
      <c r="T331" s="248"/>
      <c r="U331" s="248"/>
      <c r="V331" s="248"/>
      <c r="W331" s="248">
        <f>+W298</f>
        <v>0.21029999999999999</v>
      </c>
      <c r="X331" s="246"/>
      <c r="Y331" s="524">
        <f t="shared" ref="Y331:Y340" si="187">SUM(K331:X331)</f>
        <v>1</v>
      </c>
      <c r="AF331" s="224"/>
      <c r="AG331" s="519">
        <v>11</v>
      </c>
      <c r="AH331" s="690">
        <f>+AH298</f>
        <v>0.31900000000000001</v>
      </c>
      <c r="AI331" s="690">
        <f t="shared" ref="AI331:AT331" si="188">+AI298</f>
        <v>0</v>
      </c>
      <c r="AJ331" s="690">
        <f t="shared" si="188"/>
        <v>6.1899999999999997E-2</v>
      </c>
      <c r="AK331" s="690">
        <f t="shared" si="188"/>
        <v>0</v>
      </c>
      <c r="AL331" s="690">
        <f t="shared" si="188"/>
        <v>0.30499999999999999</v>
      </c>
      <c r="AM331" s="690">
        <f t="shared" si="188"/>
        <v>0</v>
      </c>
      <c r="AN331" s="690">
        <f t="shared" si="188"/>
        <v>0</v>
      </c>
      <c r="AO331" s="690">
        <f t="shared" si="188"/>
        <v>0</v>
      </c>
      <c r="AP331" s="690">
        <f t="shared" si="188"/>
        <v>0.1038</v>
      </c>
      <c r="AQ331" s="690">
        <f t="shared" si="188"/>
        <v>0</v>
      </c>
      <c r="AR331" s="690">
        <f t="shared" si="188"/>
        <v>0</v>
      </c>
      <c r="AS331" s="271">
        <f t="shared" si="188"/>
        <v>0</v>
      </c>
      <c r="AT331" s="271">
        <f t="shared" si="188"/>
        <v>0.21029999999999999</v>
      </c>
      <c r="AU331" s="271"/>
      <c r="AV331" s="690">
        <f t="shared" si="185"/>
        <v>1</v>
      </c>
    </row>
    <row r="332" spans="5:48" x14ac:dyDescent="0.25">
      <c r="J332" s="593">
        <v>12</v>
      </c>
      <c r="K332" s="525">
        <f>+'SCH-C - F12-13'!F15</f>
        <v>0.91916999999999993</v>
      </c>
      <c r="L332" s="525"/>
      <c r="M332" s="525">
        <f>+'SCH-C - F12-13'!F16</f>
        <v>7.3810000000000001E-2</v>
      </c>
      <c r="N332" s="525"/>
      <c r="O332" s="525">
        <f>+'SCH-C - F12-13'!F17</f>
        <v>1.2099999999999999E-3</v>
      </c>
      <c r="P332" s="525"/>
      <c r="Q332" s="525">
        <f>+'SCH-C - F12-13'!F18</f>
        <v>5.62E-3</v>
      </c>
      <c r="R332" s="525"/>
      <c r="S332" s="525">
        <f>+'SCH-C - F12-13'!F19</f>
        <v>1.9000000000000001E-4</v>
      </c>
      <c r="T332" s="525"/>
      <c r="U332" s="525"/>
      <c r="V332" s="525"/>
      <c r="W332" s="525"/>
      <c r="X332" s="525"/>
      <c r="Y332" s="526">
        <f t="shared" si="187"/>
        <v>1</v>
      </c>
      <c r="AF332" s="224"/>
      <c r="AG332" s="519">
        <v>12</v>
      </c>
      <c r="AH332" s="690">
        <v>0</v>
      </c>
      <c r="AI332" s="690"/>
      <c r="AJ332" s="690">
        <v>0</v>
      </c>
      <c r="AK332" s="690"/>
      <c r="AL332" s="690">
        <v>0</v>
      </c>
      <c r="AM332" s="690">
        <v>0</v>
      </c>
      <c r="AN332" s="690">
        <v>0</v>
      </c>
      <c r="AO332" s="690"/>
      <c r="AP332" s="690">
        <v>0</v>
      </c>
      <c r="AQ332" s="690"/>
      <c r="AR332" s="690">
        <f>1-AT332</f>
        <v>1</v>
      </c>
      <c r="AS332" s="271"/>
      <c r="AT332" s="271">
        <f>+'SCH-C - F12-13'!F20</f>
        <v>0</v>
      </c>
      <c r="AU332" s="271"/>
      <c r="AV332" s="690">
        <f t="shared" si="185"/>
        <v>1</v>
      </c>
    </row>
    <row r="333" spans="5:48" x14ac:dyDescent="0.25">
      <c r="J333" s="593">
        <v>13</v>
      </c>
      <c r="K333" s="247"/>
      <c r="L333" s="247"/>
      <c r="M333" s="247"/>
      <c r="N333" s="247"/>
      <c r="O333" s="247"/>
      <c r="P333" s="247"/>
      <c r="Q333" s="247"/>
      <c r="R333" s="247"/>
      <c r="S333" s="247"/>
      <c r="T333" s="247"/>
      <c r="U333" s="247"/>
      <c r="V333" s="247"/>
      <c r="W333" s="247">
        <v>0</v>
      </c>
      <c r="X333" s="246"/>
      <c r="Y333" s="524"/>
      <c r="AF333" s="224"/>
      <c r="AG333" s="519">
        <v>13</v>
      </c>
      <c r="AH333" s="690"/>
      <c r="AI333" s="690"/>
      <c r="AJ333" s="690"/>
      <c r="AK333" s="690"/>
      <c r="AL333" s="690"/>
      <c r="AM333" s="690"/>
      <c r="AN333" s="690"/>
      <c r="AO333" s="690"/>
      <c r="AP333" s="690"/>
      <c r="AQ333" s="690"/>
      <c r="AR333" s="690"/>
      <c r="AS333" s="271"/>
      <c r="AT333" s="271"/>
      <c r="AU333" s="271"/>
      <c r="AV333" s="690"/>
    </row>
    <row r="334" spans="5:48" x14ac:dyDescent="0.25">
      <c r="J334" s="593">
        <v>14</v>
      </c>
      <c r="K334" s="248">
        <f t="shared" ref="K334:W334" si="189">+K300</f>
        <v>0.5605</v>
      </c>
      <c r="L334" s="248"/>
      <c r="M334" s="248">
        <f t="shared" si="189"/>
        <v>0.20430000000000001</v>
      </c>
      <c r="N334" s="248"/>
      <c r="O334" s="248">
        <f t="shared" si="189"/>
        <v>6.3399999999999998E-2</v>
      </c>
      <c r="P334" s="248"/>
      <c r="Q334" s="248">
        <f t="shared" si="189"/>
        <v>3.3000000000000002E-2</v>
      </c>
      <c r="R334" s="248"/>
      <c r="S334" s="248">
        <f t="shared" si="189"/>
        <v>2.5899999999999999E-2</v>
      </c>
      <c r="T334" s="248">
        <f t="shared" si="189"/>
        <v>0</v>
      </c>
      <c r="U334" s="248"/>
      <c r="V334" s="248"/>
      <c r="W334" s="248">
        <f t="shared" si="189"/>
        <v>0.1129</v>
      </c>
      <c r="X334" s="246"/>
      <c r="Y334" s="524">
        <f t="shared" si="187"/>
        <v>1</v>
      </c>
      <c r="AF334" s="224"/>
      <c r="AG334" s="519">
        <v>14</v>
      </c>
      <c r="AH334" s="690">
        <f>+AH300</f>
        <v>0.35439999999999999</v>
      </c>
      <c r="AI334" s="690">
        <f t="shared" ref="AI334:AT334" si="190">+AI300</f>
        <v>0</v>
      </c>
      <c r="AJ334" s="690">
        <f t="shared" si="190"/>
        <v>0.14199999999999999</v>
      </c>
      <c r="AK334" s="690">
        <f t="shared" si="190"/>
        <v>0</v>
      </c>
      <c r="AL334" s="690">
        <f t="shared" si="190"/>
        <v>0.1681</v>
      </c>
      <c r="AM334" s="690">
        <f t="shared" si="190"/>
        <v>0</v>
      </c>
      <c r="AN334" s="690">
        <f t="shared" si="190"/>
        <v>7.2099999999999997E-2</v>
      </c>
      <c r="AO334" s="690">
        <f t="shared" si="190"/>
        <v>0</v>
      </c>
      <c r="AP334" s="690">
        <f t="shared" si="190"/>
        <v>4.4499999999999998E-2</v>
      </c>
      <c r="AQ334" s="690">
        <f t="shared" si="190"/>
        <v>0</v>
      </c>
      <c r="AR334" s="690">
        <f t="shared" si="190"/>
        <v>0.106</v>
      </c>
      <c r="AS334" s="271">
        <f t="shared" si="190"/>
        <v>0</v>
      </c>
      <c r="AT334" s="271">
        <f t="shared" si="190"/>
        <v>0.1129</v>
      </c>
      <c r="AU334" s="271"/>
      <c r="AV334" s="690">
        <f t="shared" si="185"/>
        <v>0.99999999999999989</v>
      </c>
    </row>
    <row r="335" spans="5:48" x14ac:dyDescent="0.25">
      <c r="J335" s="593">
        <v>15</v>
      </c>
      <c r="K335" s="248">
        <f>+K302</f>
        <v>0.55159999999999998</v>
      </c>
      <c r="L335" s="248"/>
      <c r="M335" s="248">
        <f>+M302</f>
        <v>0.21790000000000001</v>
      </c>
      <c r="N335" s="248"/>
      <c r="O335" s="248">
        <f>+O302</f>
        <v>7.1599999999999997E-2</v>
      </c>
      <c r="P335" s="248"/>
      <c r="Q335" s="248">
        <f>+Q302</f>
        <v>3.6600000000000001E-2</v>
      </c>
      <c r="R335" s="248"/>
      <c r="S335" s="248">
        <f>+S302</f>
        <v>3.4000000000000002E-2</v>
      </c>
      <c r="T335" s="248"/>
      <c r="U335" s="248"/>
      <c r="V335" s="248"/>
      <c r="W335" s="248">
        <f>+W302</f>
        <v>8.8300000000000003E-2</v>
      </c>
      <c r="X335" s="246"/>
      <c r="Y335" s="524">
        <f t="shared" si="187"/>
        <v>1</v>
      </c>
      <c r="AF335" s="224"/>
      <c r="AG335" s="519">
        <v>15</v>
      </c>
      <c r="AH335" s="690">
        <f>+AH302</f>
        <v>0.48070000000000002</v>
      </c>
      <c r="AI335" s="690"/>
      <c r="AJ335" s="690">
        <f>+AJ302</f>
        <v>0.115</v>
      </c>
      <c r="AK335" s="690"/>
      <c r="AL335" s="690">
        <f>+AL302</f>
        <v>0.13109999999999999</v>
      </c>
      <c r="AM335" s="690"/>
      <c r="AN335" s="690">
        <f>+AN302</f>
        <v>6.3399999999999998E-2</v>
      </c>
      <c r="AO335" s="690"/>
      <c r="AP335" s="690">
        <f>+AP302</f>
        <v>3.0099999999999998E-2</v>
      </c>
      <c r="AQ335" s="690"/>
      <c r="AR335" s="690">
        <f>+AR302</f>
        <v>9.1399999999999995E-2</v>
      </c>
      <c r="AS335" s="271"/>
      <c r="AT335" s="271">
        <f>+AT302</f>
        <v>8.8300000000000003E-2</v>
      </c>
      <c r="AU335" s="271"/>
      <c r="AV335" s="690">
        <f>SUM(AH335:AT335)</f>
        <v>1</v>
      </c>
    </row>
    <row r="336" spans="5:48" x14ac:dyDescent="0.25">
      <c r="J336" s="593">
        <v>16</v>
      </c>
      <c r="K336" s="248">
        <f t="shared" ref="K336:W336" si="191">+K304</f>
        <v>0.55869999999999997</v>
      </c>
      <c r="L336" s="248"/>
      <c r="M336" s="248">
        <f t="shared" si="191"/>
        <v>0.2114</v>
      </c>
      <c r="N336" s="248"/>
      <c r="O336" s="248">
        <f t="shared" si="191"/>
        <v>6.6199999999999995E-2</v>
      </c>
      <c r="P336" s="248"/>
      <c r="Q336" s="248">
        <f t="shared" si="191"/>
        <v>3.4500000000000003E-2</v>
      </c>
      <c r="R336" s="248"/>
      <c r="S336" s="248">
        <f t="shared" si="191"/>
        <v>2.7099999999999999E-2</v>
      </c>
      <c r="T336" s="248">
        <f t="shared" si="191"/>
        <v>0</v>
      </c>
      <c r="U336" s="248"/>
      <c r="V336" s="248"/>
      <c r="W336" s="248">
        <f t="shared" si="191"/>
        <v>0.1021</v>
      </c>
      <c r="X336" s="246"/>
      <c r="Y336" s="524">
        <f t="shared" si="187"/>
        <v>1</v>
      </c>
      <c r="AF336" s="224"/>
      <c r="AG336" s="519">
        <v>16</v>
      </c>
      <c r="AH336" s="690">
        <f>+AH304</f>
        <v>0.37179999999999996</v>
      </c>
      <c r="AI336" s="690">
        <f t="shared" ref="AI336:AT336" si="192">+AI304</f>
        <v>0</v>
      </c>
      <c r="AJ336" s="690">
        <f t="shared" si="192"/>
        <v>0.15579999999999999</v>
      </c>
      <c r="AK336" s="690">
        <f t="shared" si="192"/>
        <v>0</v>
      </c>
      <c r="AL336" s="690">
        <f t="shared" si="192"/>
        <v>0.16009999999999999</v>
      </c>
      <c r="AM336" s="690">
        <f t="shared" si="192"/>
        <v>0</v>
      </c>
      <c r="AN336" s="690">
        <f t="shared" si="192"/>
        <v>0.1042</v>
      </c>
      <c r="AO336" s="690">
        <f t="shared" si="192"/>
        <v>0</v>
      </c>
      <c r="AP336" s="690">
        <f t="shared" si="192"/>
        <v>1.95E-2</v>
      </c>
      <c r="AQ336" s="690">
        <f t="shared" si="192"/>
        <v>0</v>
      </c>
      <c r="AR336" s="690">
        <f t="shared" si="192"/>
        <v>8.6499999999999994E-2</v>
      </c>
      <c r="AS336" s="271">
        <f t="shared" si="192"/>
        <v>0</v>
      </c>
      <c r="AT336" s="271">
        <f t="shared" si="192"/>
        <v>0.1021</v>
      </c>
      <c r="AU336" s="271"/>
      <c r="AV336" s="690">
        <f t="shared" si="185"/>
        <v>0.99999999999999989</v>
      </c>
    </row>
    <row r="337" spans="9:48" x14ac:dyDescent="0.25">
      <c r="J337" s="593">
        <v>17</v>
      </c>
      <c r="K337" s="248">
        <f t="shared" ref="K337:W337" si="193">+K306</f>
        <v>0.50290000000000001</v>
      </c>
      <c r="L337" s="248"/>
      <c r="M337" s="248">
        <f t="shared" si="193"/>
        <v>0.218</v>
      </c>
      <c r="N337" s="248"/>
      <c r="O337" s="248">
        <f t="shared" si="193"/>
        <v>7.2800000000000004E-2</v>
      </c>
      <c r="P337" s="248"/>
      <c r="Q337" s="248">
        <f t="shared" si="193"/>
        <v>3.6700000000000003E-2</v>
      </c>
      <c r="R337" s="248"/>
      <c r="S337" s="248">
        <f t="shared" si="193"/>
        <v>3.2399999999999998E-2</v>
      </c>
      <c r="T337" s="248">
        <f t="shared" si="193"/>
        <v>0</v>
      </c>
      <c r="U337" s="248"/>
      <c r="V337" s="248"/>
      <c r="W337" s="248">
        <f t="shared" si="193"/>
        <v>0.13719999999999999</v>
      </c>
      <c r="X337" s="246"/>
      <c r="Y337" s="524">
        <f t="shared" si="187"/>
        <v>0.99999999999999989</v>
      </c>
      <c r="AF337" s="224"/>
      <c r="AG337" s="519">
        <v>17</v>
      </c>
      <c r="AH337" s="690">
        <f>+AH306</f>
        <v>0.41909999999999997</v>
      </c>
      <c r="AI337" s="690">
        <f t="shared" ref="AI337:AT337" si="194">+AI306</f>
        <v>0</v>
      </c>
      <c r="AJ337" s="690">
        <f t="shared" si="194"/>
        <v>0.189</v>
      </c>
      <c r="AK337" s="690">
        <f t="shared" si="194"/>
        <v>0</v>
      </c>
      <c r="AL337" s="690">
        <f t="shared" si="194"/>
        <v>0.14940000000000001</v>
      </c>
      <c r="AM337" s="690">
        <f t="shared" si="194"/>
        <v>0</v>
      </c>
      <c r="AN337" s="690">
        <f t="shared" si="194"/>
        <v>3.5200000000000002E-2</v>
      </c>
      <c r="AO337" s="690">
        <f t="shared" si="194"/>
        <v>0</v>
      </c>
      <c r="AP337" s="690">
        <f t="shared" si="194"/>
        <v>6.6400000000000001E-2</v>
      </c>
      <c r="AQ337" s="690">
        <f t="shared" si="194"/>
        <v>0</v>
      </c>
      <c r="AR337" s="690">
        <f t="shared" si="194"/>
        <v>3.7000000000000002E-3</v>
      </c>
      <c r="AS337" s="271">
        <f t="shared" si="194"/>
        <v>0</v>
      </c>
      <c r="AT337" s="271">
        <f t="shared" si="194"/>
        <v>0.13719999999999999</v>
      </c>
      <c r="AU337" s="271"/>
      <c r="AV337" s="690">
        <f t="shared" si="185"/>
        <v>1</v>
      </c>
    </row>
    <row r="338" spans="9:48" x14ac:dyDescent="0.25">
      <c r="J338" s="593">
        <v>18</v>
      </c>
      <c r="K338" s="247">
        <f>+K308</f>
        <v>0.50600000000000001</v>
      </c>
      <c r="L338" s="247"/>
      <c r="M338" s="247">
        <f>+M308</f>
        <v>0.218</v>
      </c>
      <c r="N338" s="247"/>
      <c r="O338" s="247">
        <f>+O308</f>
        <v>7.3200000000000001E-2</v>
      </c>
      <c r="P338" s="247"/>
      <c r="Q338" s="247">
        <f>+Q308</f>
        <v>3.6999999999999998E-2</v>
      </c>
      <c r="R338" s="247"/>
      <c r="S338" s="247">
        <f>+S308</f>
        <v>3.61E-2</v>
      </c>
      <c r="T338" s="247"/>
      <c r="U338" s="247"/>
      <c r="V338" s="247"/>
      <c r="W338" s="247">
        <f>+W308</f>
        <v>0.12970000000000001</v>
      </c>
      <c r="X338" s="246"/>
      <c r="Y338" s="524">
        <f t="shared" si="187"/>
        <v>1</v>
      </c>
      <c r="AF338" s="224"/>
      <c r="AG338" s="519">
        <v>18</v>
      </c>
      <c r="AH338" s="690">
        <f>+AH308</f>
        <v>0.42759999999999998</v>
      </c>
      <c r="AI338" s="690">
        <f t="shared" ref="AI338:AT338" si="195">+AI308</f>
        <v>0</v>
      </c>
      <c r="AJ338" s="690">
        <f t="shared" si="195"/>
        <v>0.2064</v>
      </c>
      <c r="AK338" s="690">
        <f t="shared" si="195"/>
        <v>0</v>
      </c>
      <c r="AL338" s="690">
        <f t="shared" si="195"/>
        <v>0.1207</v>
      </c>
      <c r="AM338" s="690">
        <f t="shared" si="195"/>
        <v>0</v>
      </c>
      <c r="AN338" s="690">
        <f t="shared" si="195"/>
        <v>4.0599999999999997E-2</v>
      </c>
      <c r="AO338" s="690">
        <f t="shared" si="195"/>
        <v>0</v>
      </c>
      <c r="AP338" s="690">
        <f t="shared" si="195"/>
        <v>6.9699999999999998E-2</v>
      </c>
      <c r="AQ338" s="690">
        <f t="shared" si="195"/>
        <v>0</v>
      </c>
      <c r="AR338" s="690">
        <f t="shared" si="195"/>
        <v>5.3E-3</v>
      </c>
      <c r="AS338" s="271">
        <f t="shared" si="195"/>
        <v>0</v>
      </c>
      <c r="AT338" s="271">
        <f t="shared" si="195"/>
        <v>0.12970000000000001</v>
      </c>
      <c r="AU338" s="271"/>
      <c r="AV338" s="690">
        <f t="shared" si="185"/>
        <v>1</v>
      </c>
    </row>
    <row r="339" spans="9:48" x14ac:dyDescent="0.25">
      <c r="J339" s="593">
        <v>19</v>
      </c>
      <c r="K339" s="247">
        <f>+K310</f>
        <v>0.53200000000000003</v>
      </c>
      <c r="L339" s="247"/>
      <c r="M339" s="247">
        <f>+M310</f>
        <v>0.21809999999999999</v>
      </c>
      <c r="N339" s="247"/>
      <c r="O339" s="247">
        <f>+O310</f>
        <v>7.22E-2</v>
      </c>
      <c r="P339" s="247"/>
      <c r="Q339" s="247">
        <f>+Q310</f>
        <v>3.6799999999999999E-2</v>
      </c>
      <c r="R339" s="247"/>
      <c r="S339" s="247">
        <f>+S310</f>
        <v>3.5099999999999999E-2</v>
      </c>
      <c r="T339" s="247"/>
      <c r="U339" s="247"/>
      <c r="V339" s="247"/>
      <c r="W339" s="247">
        <f>+W310</f>
        <v>0.10580000000000001</v>
      </c>
      <c r="X339" s="246"/>
      <c r="Y339" s="524">
        <f t="shared" si="187"/>
        <v>1</v>
      </c>
      <c r="AF339" s="224"/>
      <c r="AG339" s="519">
        <v>19</v>
      </c>
      <c r="AH339" s="690">
        <f>+AH310</f>
        <v>0.45319999999999999</v>
      </c>
      <c r="AI339" s="690">
        <f t="shared" ref="AI339:AS339" si="196">+AI310</f>
        <v>0</v>
      </c>
      <c r="AJ339" s="690">
        <f t="shared" si="196"/>
        <v>0.16109999999999999</v>
      </c>
      <c r="AK339" s="690">
        <f t="shared" si="196"/>
        <v>0</v>
      </c>
      <c r="AL339" s="690">
        <f t="shared" si="196"/>
        <v>0.1235</v>
      </c>
      <c r="AM339" s="690">
        <f t="shared" si="196"/>
        <v>0</v>
      </c>
      <c r="AN339" s="690">
        <f t="shared" si="196"/>
        <v>5.7700000000000001E-2</v>
      </c>
      <c r="AO339" s="690">
        <f t="shared" si="196"/>
        <v>0</v>
      </c>
      <c r="AP339" s="690">
        <f t="shared" si="196"/>
        <v>5.1400000000000001E-2</v>
      </c>
      <c r="AQ339" s="690">
        <f t="shared" si="196"/>
        <v>0</v>
      </c>
      <c r="AR339" s="690">
        <f t="shared" si="196"/>
        <v>4.7300000000000002E-2</v>
      </c>
      <c r="AS339" s="271">
        <f t="shared" si="196"/>
        <v>0</v>
      </c>
      <c r="AT339" s="271">
        <f>+AT310</f>
        <v>0.10580000000000001</v>
      </c>
      <c r="AU339" s="271"/>
      <c r="AV339" s="690">
        <f t="shared" si="185"/>
        <v>1</v>
      </c>
    </row>
    <row r="340" spans="9:48" x14ac:dyDescent="0.25">
      <c r="J340" s="593">
        <v>20</v>
      </c>
      <c r="K340" s="247">
        <f>+'SCH-C -F 14-20'!F151</f>
        <v>0.80179999999999996</v>
      </c>
      <c r="L340" s="247"/>
      <c r="M340" s="247">
        <f>+'SCH-C -F 14-20'!F152</f>
        <v>0.16639999999999999</v>
      </c>
      <c r="N340" s="247"/>
      <c r="O340" s="247">
        <f>+'SCH-C -F 14-20'!F153</f>
        <v>9.4999999999999998E-3</v>
      </c>
      <c r="P340" s="247"/>
      <c r="Q340" s="247">
        <f>+'SCH-C -F 14-20'!F154</f>
        <v>2.23E-2</v>
      </c>
      <c r="R340" s="247"/>
      <c r="S340" s="247"/>
      <c r="T340" s="247"/>
      <c r="U340" s="247"/>
      <c r="V340" s="247"/>
      <c r="W340" s="247"/>
      <c r="X340" s="245"/>
      <c r="Y340" s="524">
        <f t="shared" si="187"/>
        <v>0.99999999999999989</v>
      </c>
      <c r="AF340" s="224"/>
      <c r="AG340" s="519">
        <v>20</v>
      </c>
      <c r="AH340" s="690"/>
      <c r="AI340" s="690"/>
      <c r="AJ340" s="690"/>
      <c r="AK340" s="690"/>
      <c r="AL340" s="690"/>
      <c r="AM340" s="690"/>
      <c r="AN340" s="690">
        <v>1</v>
      </c>
      <c r="AO340" s="690"/>
      <c r="AP340" s="690"/>
      <c r="AQ340" s="690"/>
      <c r="AR340" s="690"/>
      <c r="AS340" s="271"/>
      <c r="AT340" s="271"/>
      <c r="AU340" s="271"/>
      <c r="AV340" s="690">
        <f t="shared" si="185"/>
        <v>1</v>
      </c>
    </row>
    <row r="341" spans="9:48" x14ac:dyDescent="0.25">
      <c r="J341" s="593"/>
      <c r="K341" s="163"/>
      <c r="L341" s="162"/>
      <c r="M341" s="162"/>
      <c r="N341" s="162"/>
      <c r="O341" s="162"/>
      <c r="P341" s="162"/>
      <c r="Q341" s="162"/>
      <c r="R341" s="162"/>
      <c r="S341" s="162"/>
      <c r="T341" s="162"/>
      <c r="U341" s="162"/>
      <c r="V341" s="162"/>
      <c r="W341" s="162"/>
      <c r="X341" s="162"/>
      <c r="Y341" s="522"/>
      <c r="AF341" s="224"/>
      <c r="AG341" s="684"/>
      <c r="AH341" s="690"/>
      <c r="AI341" s="690"/>
      <c r="AJ341" s="690"/>
      <c r="AK341" s="690"/>
      <c r="AL341" s="690"/>
      <c r="AM341" s="690"/>
      <c r="AN341" s="690"/>
      <c r="AO341" s="690"/>
      <c r="AP341" s="690"/>
      <c r="AQ341" s="690"/>
      <c r="AR341" s="690"/>
      <c r="AS341" s="272"/>
      <c r="AT341" s="272"/>
      <c r="AU341" s="272"/>
      <c r="AV341" s="684"/>
    </row>
    <row r="342" spans="9:48" x14ac:dyDescent="0.25">
      <c r="J342" s="593"/>
      <c r="K342" s="163"/>
      <c r="L342" s="162"/>
      <c r="M342" s="162"/>
      <c r="N342" s="162"/>
      <c r="O342" s="162"/>
      <c r="P342" s="162"/>
      <c r="Q342" s="162"/>
      <c r="R342" s="162"/>
      <c r="S342" s="162"/>
      <c r="T342" s="162"/>
      <c r="U342" s="162"/>
      <c r="V342" s="162"/>
      <c r="W342" s="162"/>
      <c r="X342" s="162"/>
      <c r="Y342" s="522"/>
      <c r="AF342" s="224"/>
      <c r="AG342" s="224"/>
      <c r="AH342" s="224"/>
      <c r="AI342" s="224"/>
      <c r="AJ342" s="224"/>
      <c r="AK342" s="224"/>
      <c r="AL342" s="224"/>
      <c r="AM342" s="224"/>
      <c r="AN342" s="224"/>
      <c r="AO342" s="224"/>
      <c r="AP342" s="224"/>
      <c r="AQ342" s="224"/>
      <c r="AR342" s="224"/>
    </row>
    <row r="343" spans="9:48" x14ac:dyDescent="0.25">
      <c r="J343" s="593"/>
      <c r="K343" s="163"/>
      <c r="L343" s="162"/>
      <c r="M343" s="162"/>
      <c r="N343" s="162"/>
      <c r="O343" s="162"/>
      <c r="P343" s="162"/>
      <c r="Q343" s="162"/>
      <c r="R343" s="162"/>
      <c r="S343" s="162"/>
      <c r="T343" s="162"/>
      <c r="U343" s="162"/>
      <c r="V343" s="162"/>
      <c r="W343" s="162"/>
      <c r="X343" s="162"/>
      <c r="Y343" s="522"/>
      <c r="AF343" s="224"/>
      <c r="AG343" s="224"/>
      <c r="AH343" s="224"/>
      <c r="AI343" s="224"/>
      <c r="AJ343" s="224"/>
      <c r="AK343" s="224"/>
      <c r="AL343" s="224"/>
      <c r="AM343" s="224"/>
      <c r="AN343" s="224"/>
      <c r="AO343" s="224"/>
      <c r="AP343" s="224"/>
      <c r="AQ343" s="224"/>
      <c r="AR343" s="224"/>
    </row>
    <row r="344" spans="9:48" x14ac:dyDescent="0.25">
      <c r="J344" s="593"/>
      <c r="K344" s="291"/>
      <c r="L344" s="245"/>
      <c r="M344" s="245"/>
      <c r="N344" s="162"/>
      <c r="O344" s="162"/>
      <c r="P344" s="162"/>
      <c r="Q344" s="162"/>
      <c r="R344" s="162"/>
      <c r="S344" s="162"/>
      <c r="T344" s="162"/>
      <c r="U344" s="162"/>
      <c r="V344" s="162"/>
      <c r="W344" s="162"/>
      <c r="X344" s="162"/>
      <c r="Y344" s="522"/>
      <c r="AF344" s="224"/>
      <c r="AG344" s="224"/>
      <c r="AH344" s="224"/>
      <c r="AI344" s="224"/>
      <c r="AJ344" s="224"/>
      <c r="AK344" s="224"/>
      <c r="AL344" s="224"/>
      <c r="AM344" s="224"/>
      <c r="AN344" s="224"/>
      <c r="AO344" s="224"/>
      <c r="AP344" s="224"/>
      <c r="AQ344" s="224"/>
      <c r="AR344" s="224"/>
    </row>
    <row r="345" spans="9:48" x14ac:dyDescent="0.25">
      <c r="I345" s="496"/>
      <c r="J345" s="597"/>
      <c r="K345" s="291"/>
      <c r="L345" s="245"/>
      <c r="M345" s="245"/>
      <c r="N345" s="162"/>
      <c r="O345" s="162"/>
      <c r="P345" s="162"/>
      <c r="Q345" s="162"/>
      <c r="R345" s="162"/>
      <c r="S345" s="162"/>
      <c r="T345" s="162"/>
      <c r="U345" s="162"/>
      <c r="V345" s="162"/>
      <c r="W345" s="162"/>
      <c r="X345" s="162"/>
      <c r="Y345" s="522"/>
      <c r="AF345" s="224"/>
      <c r="AG345" s="224"/>
      <c r="AH345" s="224"/>
      <c r="AI345" s="224"/>
      <c r="AJ345" s="224"/>
      <c r="AK345" s="224"/>
      <c r="AL345" s="224"/>
      <c r="AM345" s="224"/>
      <c r="AN345" s="224"/>
      <c r="AO345" s="224"/>
      <c r="AP345" s="224"/>
      <c r="AQ345" s="224"/>
      <c r="AR345" s="224"/>
    </row>
    <row r="346" spans="9:48" x14ac:dyDescent="0.25">
      <c r="I346" s="496"/>
      <c r="J346" s="597"/>
      <c r="K346" s="291"/>
      <c r="L346" s="245"/>
      <c r="M346" s="245"/>
      <c r="N346" s="162"/>
      <c r="O346" s="162"/>
      <c r="P346" s="162"/>
      <c r="Q346" s="162"/>
      <c r="R346" s="162"/>
      <c r="S346" s="162"/>
      <c r="T346" s="162"/>
      <c r="U346" s="162"/>
      <c r="V346" s="162"/>
      <c r="W346" s="162"/>
      <c r="X346" s="162"/>
      <c r="Y346" s="522"/>
      <c r="AF346" s="224"/>
      <c r="AG346" s="224"/>
      <c r="AH346" s="224"/>
      <c r="AI346" s="224"/>
      <c r="AJ346" s="224"/>
      <c r="AK346" s="224"/>
      <c r="AL346" s="224"/>
      <c r="AM346" s="224"/>
      <c r="AN346" s="224"/>
      <c r="AO346" s="224"/>
      <c r="AP346" s="224"/>
      <c r="AQ346" s="224"/>
      <c r="AR346" s="224"/>
    </row>
    <row r="347" spans="9:48" x14ac:dyDescent="0.25">
      <c r="I347" s="496"/>
      <c r="J347" s="597"/>
      <c r="K347" s="291"/>
      <c r="L347" s="245"/>
      <c r="M347" s="245"/>
      <c r="N347" s="162"/>
      <c r="O347" s="162"/>
      <c r="P347" s="162"/>
      <c r="Q347" s="162"/>
      <c r="R347" s="162"/>
      <c r="S347" s="162"/>
      <c r="T347" s="162"/>
      <c r="U347" s="162"/>
      <c r="V347" s="162"/>
      <c r="W347" s="162"/>
      <c r="X347" s="162"/>
      <c r="Y347" s="522"/>
      <c r="AF347" s="224"/>
      <c r="AG347" s="224"/>
      <c r="AH347" s="224"/>
      <c r="AI347" s="224"/>
      <c r="AJ347" s="224"/>
      <c r="AK347" s="224"/>
      <c r="AL347" s="224"/>
      <c r="AM347" s="224"/>
      <c r="AN347" s="224"/>
      <c r="AO347" s="224"/>
      <c r="AP347" s="224"/>
      <c r="AQ347" s="224"/>
      <c r="AR347" s="224"/>
    </row>
    <row r="348" spans="9:48" x14ac:dyDescent="0.25">
      <c r="I348" s="496"/>
      <c r="J348" s="597"/>
      <c r="K348" s="291"/>
      <c r="L348" s="245"/>
      <c r="M348" s="245"/>
      <c r="N348" s="162"/>
      <c r="O348" s="162"/>
      <c r="P348" s="162"/>
      <c r="Q348" s="162"/>
      <c r="R348" s="162"/>
      <c r="S348" s="162"/>
      <c r="T348" s="162"/>
      <c r="U348" s="162"/>
      <c r="V348" s="162"/>
      <c r="W348" s="162"/>
      <c r="X348" s="162"/>
      <c r="Y348" s="522"/>
      <c r="AF348" s="224"/>
      <c r="AG348" s="224"/>
      <c r="AH348" s="224"/>
      <c r="AI348" s="224"/>
      <c r="AJ348" s="224"/>
      <c r="AK348" s="224"/>
      <c r="AL348" s="224"/>
      <c r="AM348" s="224"/>
      <c r="AN348" s="224"/>
      <c r="AO348" s="224"/>
      <c r="AP348" s="224"/>
      <c r="AQ348" s="224"/>
      <c r="AR348" s="224"/>
    </row>
    <row r="349" spans="9:48" x14ac:dyDescent="0.25">
      <c r="I349" s="496"/>
      <c r="J349" s="597"/>
      <c r="K349" s="291"/>
      <c r="L349" s="245"/>
      <c r="M349" s="245"/>
      <c r="N349" s="162"/>
      <c r="O349" s="162"/>
      <c r="P349" s="162"/>
      <c r="Q349" s="162"/>
      <c r="R349" s="162"/>
      <c r="S349" s="162"/>
      <c r="T349" s="162"/>
      <c r="U349" s="162"/>
      <c r="V349" s="162"/>
      <c r="W349" s="162"/>
      <c r="X349" s="162"/>
      <c r="Y349" s="522"/>
      <c r="AF349" s="224"/>
      <c r="AG349" s="224"/>
      <c r="AH349" s="224"/>
      <c r="AI349" s="224"/>
      <c r="AJ349" s="224"/>
      <c r="AK349" s="224"/>
      <c r="AL349" s="224"/>
      <c r="AM349" s="224"/>
      <c r="AN349" s="224"/>
      <c r="AO349" s="224"/>
      <c r="AP349" s="224"/>
      <c r="AQ349" s="224"/>
      <c r="AR349" s="224"/>
    </row>
    <row r="350" spans="9:48" x14ac:dyDescent="0.25">
      <c r="I350" s="496"/>
      <c r="J350" s="597"/>
      <c r="K350" s="291"/>
      <c r="L350" s="245"/>
      <c r="M350" s="245"/>
      <c r="N350" s="162"/>
      <c r="O350" s="162"/>
      <c r="P350" s="162"/>
      <c r="Q350" s="162"/>
      <c r="R350" s="162"/>
      <c r="S350" s="162"/>
      <c r="T350" s="162"/>
      <c r="U350" s="162"/>
      <c r="V350" s="162"/>
      <c r="W350" s="162"/>
      <c r="X350" s="162"/>
      <c r="Y350" s="522"/>
      <c r="AF350" s="224"/>
      <c r="AG350" s="224"/>
      <c r="AH350" s="224"/>
      <c r="AI350" s="224"/>
      <c r="AJ350" s="224"/>
      <c r="AK350" s="224"/>
      <c r="AL350" s="224"/>
      <c r="AM350" s="224"/>
      <c r="AN350" s="224"/>
      <c r="AO350" s="224"/>
      <c r="AP350" s="224"/>
      <c r="AQ350" s="224"/>
      <c r="AR350" s="224"/>
    </row>
    <row r="351" spans="9:48" x14ac:dyDescent="0.25">
      <c r="I351" s="607"/>
      <c r="J351" s="598"/>
      <c r="K351" s="296"/>
      <c r="L351" s="297"/>
      <c r="M351" s="297"/>
      <c r="N351" s="160"/>
      <c r="O351" s="160"/>
      <c r="P351" s="160"/>
      <c r="Q351" s="160"/>
      <c r="R351" s="160"/>
      <c r="S351" s="160"/>
      <c r="T351" s="160"/>
      <c r="U351" s="160"/>
      <c r="V351" s="160"/>
      <c r="W351" s="160"/>
      <c r="X351" s="160"/>
      <c r="Y351" s="522"/>
      <c r="AF351" s="224"/>
      <c r="AG351" s="224"/>
      <c r="AH351" s="224"/>
      <c r="AI351" s="224"/>
      <c r="AJ351" s="224"/>
      <c r="AK351" s="224"/>
      <c r="AL351" s="224"/>
      <c r="AM351" s="224"/>
      <c r="AN351" s="224"/>
      <c r="AO351" s="224"/>
      <c r="AP351" s="224"/>
      <c r="AQ351" s="224"/>
      <c r="AR351" s="224"/>
    </row>
    <row r="352" spans="9:48" x14ac:dyDescent="0.25">
      <c r="J352" s="593"/>
      <c r="Z352" s="163"/>
      <c r="AA352" s="160"/>
      <c r="AB352" s="354"/>
      <c r="AC352" s="160"/>
      <c r="AD352" s="160"/>
      <c r="AE352" s="160"/>
      <c r="AF352" s="522"/>
      <c r="AG352" s="522"/>
      <c r="AH352" s="522"/>
      <c r="AI352" s="522"/>
      <c r="AJ352" s="522"/>
      <c r="AK352" s="522"/>
      <c r="AL352" s="522"/>
      <c r="AM352" s="522"/>
      <c r="AN352" s="522"/>
      <c r="AO352" s="224"/>
      <c r="AP352" s="224"/>
      <c r="AQ352" s="224"/>
      <c r="AR352" s="224"/>
    </row>
    <row r="353" spans="10:44" x14ac:dyDescent="0.25">
      <c r="J353" s="593"/>
      <c r="Z353" s="155"/>
      <c r="AF353" s="224"/>
      <c r="AG353" s="224"/>
      <c r="AH353" s="224"/>
      <c r="AI353" s="224"/>
      <c r="AJ353" s="224"/>
      <c r="AK353" s="224"/>
      <c r="AL353" s="224"/>
      <c r="AM353" s="224"/>
      <c r="AN353" s="224"/>
      <c r="AO353" s="224"/>
      <c r="AP353" s="224"/>
      <c r="AQ353" s="224"/>
      <c r="AR353" s="224"/>
    </row>
    <row r="354" spans="10:44" x14ac:dyDescent="0.25">
      <c r="J354" s="593"/>
      <c r="Z354" s="155"/>
      <c r="AF354" s="224"/>
      <c r="AG354" s="224"/>
      <c r="AH354" s="224"/>
      <c r="AI354" s="224"/>
      <c r="AJ354" s="224"/>
      <c r="AK354" s="224"/>
      <c r="AL354" s="224"/>
      <c r="AM354" s="224"/>
      <c r="AN354" s="224"/>
      <c r="AO354" s="224"/>
      <c r="AP354" s="224"/>
      <c r="AQ354" s="224"/>
      <c r="AR354" s="224"/>
    </row>
    <row r="355" spans="10:44" x14ac:dyDescent="0.25">
      <c r="J355" s="593"/>
      <c r="Z355" s="155"/>
      <c r="AF355" s="224"/>
      <c r="AG355" s="224"/>
      <c r="AH355" s="224"/>
      <c r="AI355" s="224"/>
      <c r="AJ355" s="224"/>
      <c r="AK355" s="224"/>
      <c r="AL355" s="224"/>
      <c r="AM355" s="224"/>
      <c r="AN355" s="224"/>
      <c r="AO355" s="224"/>
      <c r="AP355" s="224"/>
      <c r="AQ355" s="224"/>
      <c r="AR355" s="224"/>
    </row>
    <row r="356" spans="10:44" x14ac:dyDescent="0.25">
      <c r="J356" s="593"/>
      <c r="Z356" s="155"/>
      <c r="AF356" s="224"/>
      <c r="AG356" s="224"/>
      <c r="AH356" s="224"/>
      <c r="AI356" s="224"/>
      <c r="AJ356" s="224"/>
      <c r="AK356" s="224"/>
      <c r="AL356" s="224"/>
      <c r="AM356" s="224"/>
      <c r="AN356" s="224"/>
      <c r="AO356" s="224"/>
      <c r="AP356" s="224"/>
      <c r="AQ356" s="224"/>
      <c r="AR356" s="224"/>
    </row>
    <row r="357" spans="10:44" x14ac:dyDescent="0.25">
      <c r="J357" s="593"/>
      <c r="Z357" s="155"/>
      <c r="AF357" s="224"/>
      <c r="AG357" s="224"/>
      <c r="AH357" s="224"/>
      <c r="AI357" s="224"/>
      <c r="AJ357" s="224"/>
      <c r="AK357" s="224"/>
      <c r="AL357" s="224"/>
      <c r="AM357" s="224"/>
      <c r="AN357" s="224"/>
      <c r="AO357" s="224"/>
      <c r="AP357" s="224"/>
      <c r="AQ357" s="224"/>
      <c r="AR357" s="224"/>
    </row>
    <row r="358" spans="10:44" x14ac:dyDescent="0.25">
      <c r="J358" s="593"/>
      <c r="Z358" s="155"/>
      <c r="AF358" s="224"/>
      <c r="AG358" s="224"/>
      <c r="AH358" s="224"/>
      <c r="AI358" s="224"/>
      <c r="AJ358" s="224"/>
      <c r="AK358" s="224"/>
      <c r="AL358" s="224"/>
      <c r="AM358" s="224"/>
      <c r="AN358" s="224"/>
      <c r="AO358" s="224"/>
      <c r="AP358" s="224"/>
      <c r="AQ358" s="224"/>
      <c r="AR358" s="224"/>
    </row>
    <row r="359" spans="10:44" x14ac:dyDescent="0.25">
      <c r="J359" s="593"/>
      <c r="Z359" s="155"/>
      <c r="AF359" s="224"/>
      <c r="AG359" s="224"/>
      <c r="AH359" s="224"/>
      <c r="AI359" s="224"/>
      <c r="AJ359" s="224"/>
      <c r="AK359" s="224"/>
      <c r="AL359" s="224"/>
      <c r="AM359" s="224"/>
      <c r="AN359" s="224"/>
      <c r="AO359" s="224"/>
      <c r="AP359" s="224"/>
      <c r="AQ359" s="224"/>
      <c r="AR359" s="224"/>
    </row>
    <row r="360" spans="10:44" x14ac:dyDescent="0.25">
      <c r="J360" s="593"/>
      <c r="Z360" s="155"/>
      <c r="AF360" s="224"/>
      <c r="AG360" s="224"/>
      <c r="AH360" s="224"/>
      <c r="AI360" s="224"/>
      <c r="AJ360" s="224"/>
      <c r="AK360" s="224"/>
      <c r="AL360" s="224"/>
      <c r="AM360" s="224"/>
      <c r="AN360" s="224"/>
      <c r="AO360" s="224"/>
      <c r="AP360" s="224"/>
      <c r="AQ360" s="224"/>
      <c r="AR360" s="224"/>
    </row>
    <row r="361" spans="10:44" x14ac:dyDescent="0.25">
      <c r="J361" s="593"/>
      <c r="Z361" s="155"/>
      <c r="AF361" s="224"/>
      <c r="AG361" s="224"/>
      <c r="AH361" s="224"/>
      <c r="AI361" s="224"/>
      <c r="AJ361" s="224"/>
      <c r="AK361" s="224"/>
      <c r="AL361" s="224"/>
      <c r="AM361" s="224"/>
      <c r="AN361" s="224"/>
      <c r="AO361" s="224"/>
      <c r="AP361" s="224"/>
      <c r="AQ361" s="224"/>
      <c r="AR361" s="224"/>
    </row>
    <row r="362" spans="10:44" x14ac:dyDescent="0.25">
      <c r="J362" s="593"/>
      <c r="Z362" s="155"/>
      <c r="AF362" s="224"/>
      <c r="AG362" s="224"/>
      <c r="AH362" s="224"/>
      <c r="AI362" s="224"/>
      <c r="AJ362" s="224"/>
      <c r="AK362" s="224"/>
      <c r="AL362" s="224"/>
      <c r="AM362" s="224"/>
      <c r="AN362" s="224"/>
      <c r="AO362" s="224"/>
      <c r="AP362" s="224"/>
      <c r="AQ362" s="224"/>
      <c r="AR362" s="224"/>
    </row>
    <row r="363" spans="10:44" x14ac:dyDescent="0.25">
      <c r="J363" s="593"/>
      <c r="Z363" s="155"/>
      <c r="AF363" s="224"/>
      <c r="AG363" s="224"/>
      <c r="AH363" s="224"/>
      <c r="AI363" s="224"/>
      <c r="AJ363" s="224"/>
      <c r="AK363" s="224"/>
      <c r="AL363" s="224"/>
      <c r="AM363" s="224"/>
      <c r="AN363" s="224"/>
      <c r="AO363" s="224"/>
      <c r="AP363" s="224"/>
      <c r="AQ363" s="224"/>
      <c r="AR363" s="224"/>
    </row>
    <row r="364" spans="10:44" x14ac:dyDescent="0.25">
      <c r="J364" s="593"/>
      <c r="Z364" s="155"/>
      <c r="AF364" s="224"/>
      <c r="AG364" s="224"/>
      <c r="AH364" s="224"/>
      <c r="AI364" s="224"/>
      <c r="AJ364" s="224"/>
      <c r="AK364" s="224"/>
      <c r="AL364" s="224"/>
      <c r="AM364" s="224"/>
      <c r="AN364" s="224"/>
      <c r="AO364" s="224"/>
      <c r="AP364" s="224"/>
      <c r="AQ364" s="224"/>
      <c r="AR364" s="224"/>
    </row>
    <row r="365" spans="10:44" x14ac:dyDescent="0.25">
      <c r="J365" s="593"/>
      <c r="Z365" s="155"/>
      <c r="AF365" s="224"/>
      <c r="AG365" s="224"/>
      <c r="AH365" s="224"/>
      <c r="AI365" s="224"/>
      <c r="AJ365" s="224"/>
      <c r="AK365" s="224"/>
      <c r="AL365" s="224"/>
      <c r="AM365" s="224"/>
      <c r="AN365" s="224"/>
      <c r="AO365" s="224"/>
      <c r="AP365" s="224"/>
      <c r="AQ365" s="224"/>
      <c r="AR365" s="224"/>
    </row>
    <row r="366" spans="10:44" x14ac:dyDescent="0.25">
      <c r="J366" s="593"/>
      <c r="Z366" s="155"/>
      <c r="AF366" s="224"/>
      <c r="AG366" s="224"/>
      <c r="AH366" s="224"/>
      <c r="AI366" s="224"/>
      <c r="AJ366" s="224"/>
      <c r="AK366" s="224"/>
      <c r="AL366" s="224"/>
      <c r="AM366" s="224"/>
      <c r="AN366" s="224"/>
      <c r="AO366" s="224"/>
      <c r="AP366" s="224"/>
      <c r="AQ366" s="224"/>
      <c r="AR366" s="224"/>
    </row>
    <row r="367" spans="10:44" x14ac:dyDescent="0.25">
      <c r="J367" s="593"/>
      <c r="Z367" s="155"/>
      <c r="AF367" s="224"/>
      <c r="AG367" s="224"/>
      <c r="AH367" s="224"/>
      <c r="AI367" s="224"/>
      <c r="AJ367" s="224"/>
      <c r="AK367" s="224"/>
      <c r="AL367" s="224"/>
      <c r="AM367" s="224"/>
      <c r="AN367" s="224"/>
      <c r="AO367" s="224"/>
      <c r="AP367" s="224"/>
      <c r="AQ367" s="224"/>
      <c r="AR367" s="224"/>
    </row>
    <row r="368" spans="10:44" x14ac:dyDescent="0.25">
      <c r="J368" s="593"/>
      <c r="Z368" s="155"/>
      <c r="AF368" s="224"/>
      <c r="AG368" s="224"/>
      <c r="AH368" s="224"/>
      <c r="AI368" s="224"/>
      <c r="AJ368" s="224"/>
      <c r="AK368" s="224"/>
      <c r="AL368" s="224"/>
      <c r="AM368" s="224"/>
      <c r="AN368" s="224"/>
      <c r="AO368" s="224"/>
      <c r="AP368" s="224"/>
      <c r="AQ368" s="224"/>
      <c r="AR368" s="224"/>
    </row>
    <row r="369" spans="10:44" x14ac:dyDescent="0.25">
      <c r="J369" s="593"/>
      <c r="Z369" s="155"/>
      <c r="AF369" s="224"/>
      <c r="AG369" s="224"/>
      <c r="AH369" s="224"/>
      <c r="AI369" s="224"/>
      <c r="AJ369" s="224"/>
      <c r="AK369" s="224"/>
      <c r="AL369" s="224"/>
      <c r="AM369" s="224"/>
      <c r="AN369" s="224"/>
      <c r="AO369" s="224"/>
      <c r="AP369" s="224"/>
      <c r="AQ369" s="224"/>
      <c r="AR369" s="224"/>
    </row>
    <row r="370" spans="10:44" x14ac:dyDescent="0.25">
      <c r="J370" s="593"/>
      <c r="Z370" s="155"/>
      <c r="AF370" s="224"/>
      <c r="AG370" s="224"/>
      <c r="AH370" s="224"/>
      <c r="AI370" s="224"/>
      <c r="AJ370" s="224"/>
      <c r="AK370" s="224"/>
      <c r="AL370" s="224"/>
      <c r="AM370" s="224"/>
      <c r="AN370" s="224"/>
      <c r="AO370" s="224"/>
      <c r="AP370" s="224"/>
      <c r="AQ370" s="224"/>
      <c r="AR370" s="224"/>
    </row>
    <row r="371" spans="10:44" x14ac:dyDescent="0.25">
      <c r="J371" s="593"/>
      <c r="Z371" s="155"/>
      <c r="AF371" s="224"/>
      <c r="AG371" s="224"/>
      <c r="AH371" s="224"/>
      <c r="AI371" s="224"/>
      <c r="AJ371" s="224"/>
      <c r="AK371" s="224"/>
      <c r="AL371" s="224"/>
      <c r="AM371" s="224"/>
      <c r="AN371" s="224"/>
      <c r="AO371" s="224"/>
      <c r="AP371" s="224"/>
      <c r="AQ371" s="224"/>
      <c r="AR371" s="224"/>
    </row>
    <row r="372" spans="10:44" x14ac:dyDescent="0.25">
      <c r="J372" s="593"/>
      <c r="Z372" s="155"/>
      <c r="AF372" s="224"/>
      <c r="AG372" s="224"/>
      <c r="AH372" s="224"/>
      <c r="AI372" s="224"/>
      <c r="AJ372" s="224"/>
      <c r="AK372" s="224"/>
      <c r="AL372" s="224"/>
      <c r="AM372" s="224"/>
      <c r="AN372" s="224"/>
      <c r="AO372" s="224"/>
      <c r="AP372" s="224"/>
      <c r="AQ372" s="224"/>
      <c r="AR372" s="224"/>
    </row>
    <row r="373" spans="10:44" x14ac:dyDescent="0.25">
      <c r="J373" s="593"/>
      <c r="Z373" s="152"/>
      <c r="AF373" s="224"/>
      <c r="AG373" s="224"/>
      <c r="AH373" s="224"/>
      <c r="AI373" s="224"/>
      <c r="AJ373" s="224"/>
      <c r="AK373" s="224"/>
      <c r="AL373" s="224"/>
      <c r="AM373" s="224"/>
      <c r="AN373" s="224"/>
      <c r="AO373" s="224"/>
      <c r="AP373" s="224"/>
      <c r="AQ373" s="224"/>
      <c r="AR373" s="224"/>
    </row>
    <row r="374" spans="10:44" x14ac:dyDescent="0.25">
      <c r="J374" s="593"/>
      <c r="Z374" s="152"/>
      <c r="AF374" s="224"/>
      <c r="AG374" s="224"/>
      <c r="AH374" s="224"/>
      <c r="AI374" s="224"/>
      <c r="AJ374" s="224"/>
      <c r="AK374" s="224"/>
      <c r="AL374" s="224"/>
      <c r="AM374" s="224"/>
      <c r="AN374" s="224"/>
      <c r="AO374" s="224"/>
      <c r="AP374" s="224"/>
      <c r="AQ374" s="224"/>
      <c r="AR374" s="224"/>
    </row>
    <row r="375" spans="10:44" x14ac:dyDescent="0.25">
      <c r="J375" s="593"/>
      <c r="Z375" s="152"/>
      <c r="AF375" s="224"/>
      <c r="AG375" s="224"/>
      <c r="AH375" s="224"/>
      <c r="AI375" s="224"/>
      <c r="AJ375" s="224"/>
      <c r="AK375" s="224"/>
      <c r="AL375" s="224"/>
      <c r="AM375" s="224"/>
      <c r="AN375" s="224"/>
      <c r="AO375" s="224"/>
      <c r="AP375" s="224"/>
      <c r="AQ375" s="224"/>
      <c r="AR375" s="224"/>
    </row>
    <row r="376" spans="10:44" x14ac:dyDescent="0.25">
      <c r="J376" s="593"/>
      <c r="Z376" s="152"/>
      <c r="AF376" s="224"/>
      <c r="AG376" s="224"/>
      <c r="AH376" s="224"/>
      <c r="AI376" s="224"/>
      <c r="AJ376" s="224"/>
      <c r="AK376" s="224"/>
      <c r="AL376" s="224"/>
      <c r="AM376" s="224"/>
      <c r="AN376" s="224"/>
      <c r="AO376" s="224"/>
      <c r="AP376" s="224"/>
      <c r="AQ376" s="224"/>
      <c r="AR376" s="224"/>
    </row>
    <row r="377" spans="10:44" x14ac:dyDescent="0.25">
      <c r="J377" s="593"/>
      <c r="Z377" s="152"/>
      <c r="AF377" s="224"/>
      <c r="AG377" s="224"/>
      <c r="AH377" s="224"/>
      <c r="AI377" s="224"/>
      <c r="AJ377" s="224"/>
      <c r="AK377" s="224"/>
      <c r="AL377" s="224"/>
      <c r="AM377" s="224"/>
      <c r="AN377" s="224"/>
      <c r="AO377" s="224"/>
      <c r="AP377" s="224"/>
      <c r="AQ377" s="224"/>
      <c r="AR377" s="224"/>
    </row>
    <row r="378" spans="10:44" x14ac:dyDescent="0.25">
      <c r="J378" s="593"/>
      <c r="Z378" s="152"/>
      <c r="AF378" s="224"/>
      <c r="AG378" s="224"/>
      <c r="AH378" s="224"/>
      <c r="AI378" s="224"/>
      <c r="AJ378" s="224"/>
      <c r="AK378" s="224"/>
      <c r="AL378" s="224"/>
      <c r="AM378" s="224"/>
      <c r="AN378" s="224"/>
      <c r="AO378" s="224"/>
      <c r="AP378" s="224"/>
      <c r="AQ378" s="224"/>
      <c r="AR378" s="224"/>
    </row>
    <row r="379" spans="10:44" x14ac:dyDescent="0.25">
      <c r="J379" s="593"/>
      <c r="Z379" s="152"/>
      <c r="AF379" s="224"/>
      <c r="AG379" s="224"/>
      <c r="AH379" s="224"/>
      <c r="AI379" s="224"/>
      <c r="AJ379" s="224"/>
      <c r="AK379" s="224"/>
      <c r="AL379" s="224"/>
      <c r="AM379" s="224"/>
      <c r="AN379" s="224"/>
      <c r="AO379" s="224"/>
      <c r="AP379" s="224"/>
      <c r="AQ379" s="224"/>
      <c r="AR379" s="224"/>
    </row>
    <row r="380" spans="10:44" x14ac:dyDescent="0.25">
      <c r="J380" s="593"/>
      <c r="Z380" s="152"/>
      <c r="AF380" s="224"/>
      <c r="AG380" s="224"/>
      <c r="AH380" s="224"/>
      <c r="AI380" s="224"/>
      <c r="AJ380" s="224"/>
      <c r="AK380" s="224"/>
      <c r="AL380" s="224"/>
      <c r="AM380" s="224"/>
      <c r="AN380" s="224"/>
      <c r="AO380" s="224"/>
      <c r="AP380" s="224"/>
      <c r="AQ380" s="224"/>
      <c r="AR380" s="224"/>
    </row>
    <row r="381" spans="10:44" x14ac:dyDescent="0.25">
      <c r="J381" s="593"/>
      <c r="Z381" s="152"/>
      <c r="AF381" s="224"/>
      <c r="AG381" s="224"/>
      <c r="AH381" s="224"/>
      <c r="AI381" s="224"/>
      <c r="AJ381" s="224"/>
      <c r="AK381" s="224"/>
      <c r="AL381" s="224"/>
      <c r="AM381" s="224"/>
      <c r="AN381" s="224"/>
      <c r="AO381" s="224"/>
      <c r="AP381" s="224"/>
      <c r="AQ381" s="224"/>
      <c r="AR381" s="224"/>
    </row>
    <row r="382" spans="10:44" x14ac:dyDescent="0.25">
      <c r="J382" s="593"/>
      <c r="Z382" s="152"/>
      <c r="AF382" s="224"/>
      <c r="AG382" s="224"/>
      <c r="AH382" s="224"/>
      <c r="AI382" s="224"/>
      <c r="AJ382" s="224"/>
      <c r="AK382" s="224"/>
      <c r="AL382" s="224"/>
      <c r="AM382" s="224"/>
      <c r="AN382" s="224"/>
      <c r="AO382" s="224"/>
      <c r="AP382" s="224"/>
      <c r="AQ382" s="224"/>
      <c r="AR382" s="224"/>
    </row>
    <row r="383" spans="10:44" x14ac:dyDescent="0.25">
      <c r="J383" s="593"/>
      <c r="Z383" s="152"/>
      <c r="AF383" s="224"/>
      <c r="AG383" s="224"/>
      <c r="AH383" s="224"/>
      <c r="AI383" s="224"/>
      <c r="AJ383" s="224"/>
      <c r="AK383" s="224"/>
      <c r="AL383" s="224"/>
      <c r="AM383" s="224"/>
      <c r="AN383" s="224"/>
      <c r="AO383" s="224"/>
      <c r="AP383" s="224"/>
      <c r="AQ383" s="224"/>
      <c r="AR383" s="224"/>
    </row>
    <row r="384" spans="10:44" x14ac:dyDescent="0.25">
      <c r="J384" s="593"/>
      <c r="Z384" s="152"/>
      <c r="AF384" s="224"/>
      <c r="AG384" s="224"/>
      <c r="AH384" s="224"/>
      <c r="AI384" s="224"/>
      <c r="AJ384" s="224"/>
      <c r="AK384" s="224"/>
      <c r="AL384" s="224"/>
      <c r="AM384" s="224"/>
      <c r="AN384" s="224"/>
      <c r="AO384" s="224"/>
      <c r="AP384" s="224"/>
      <c r="AQ384" s="224"/>
      <c r="AR384" s="224"/>
    </row>
    <row r="385" spans="10:44" x14ac:dyDescent="0.25">
      <c r="J385" s="593"/>
      <c r="Z385" s="152"/>
      <c r="AF385" s="224"/>
      <c r="AG385" s="224"/>
      <c r="AH385" s="224"/>
      <c r="AI385" s="224"/>
      <c r="AJ385" s="224"/>
      <c r="AK385" s="224"/>
      <c r="AL385" s="224"/>
      <c r="AM385" s="224"/>
      <c r="AN385" s="224"/>
      <c r="AO385" s="224"/>
      <c r="AP385" s="224"/>
      <c r="AQ385" s="224"/>
      <c r="AR385" s="224"/>
    </row>
    <row r="386" spans="10:44" x14ac:dyDescent="0.25">
      <c r="J386" s="593"/>
      <c r="Z386" s="152"/>
      <c r="AF386" s="224"/>
      <c r="AG386" s="224"/>
      <c r="AH386" s="224"/>
      <c r="AI386" s="224"/>
      <c r="AJ386" s="224"/>
      <c r="AK386" s="224"/>
      <c r="AL386" s="224"/>
      <c r="AM386" s="224"/>
      <c r="AN386" s="224"/>
      <c r="AO386" s="224"/>
      <c r="AP386" s="224"/>
      <c r="AQ386" s="224"/>
      <c r="AR386" s="224"/>
    </row>
    <row r="387" spans="10:44" x14ac:dyDescent="0.25">
      <c r="J387" s="593"/>
      <c r="Z387" s="152"/>
      <c r="AF387" s="224"/>
      <c r="AG387" s="224"/>
      <c r="AH387" s="224"/>
      <c r="AI387" s="224"/>
      <c r="AJ387" s="224"/>
      <c r="AK387" s="224"/>
      <c r="AL387" s="224"/>
      <c r="AM387" s="224"/>
      <c r="AN387" s="224"/>
      <c r="AO387" s="224"/>
      <c r="AP387" s="224"/>
      <c r="AQ387" s="224"/>
      <c r="AR387" s="224"/>
    </row>
    <row r="388" spans="10:44" x14ac:dyDescent="0.25">
      <c r="J388" s="593"/>
      <c r="Z388" s="152"/>
      <c r="AF388" s="224"/>
      <c r="AG388" s="224"/>
      <c r="AH388" s="224"/>
      <c r="AI388" s="224"/>
      <c r="AJ388" s="224"/>
      <c r="AK388" s="224"/>
      <c r="AL388" s="224"/>
      <c r="AM388" s="224"/>
      <c r="AN388" s="224"/>
      <c r="AO388" s="224"/>
      <c r="AP388" s="224"/>
      <c r="AQ388" s="224"/>
      <c r="AR388" s="224"/>
    </row>
    <row r="389" spans="10:44" x14ac:dyDescent="0.25">
      <c r="J389" s="593"/>
      <c r="Z389" s="152"/>
      <c r="AF389" s="224"/>
      <c r="AG389" s="224"/>
      <c r="AH389" s="224"/>
      <c r="AI389" s="224"/>
      <c r="AJ389" s="224"/>
      <c r="AK389" s="224"/>
      <c r="AL389" s="224"/>
      <c r="AM389" s="224"/>
      <c r="AN389" s="224"/>
      <c r="AO389" s="224"/>
      <c r="AP389" s="224"/>
      <c r="AQ389" s="224"/>
      <c r="AR389" s="224"/>
    </row>
    <row r="390" spans="10:44" x14ac:dyDescent="0.25">
      <c r="J390" s="593"/>
      <c r="Z390" s="152"/>
      <c r="AF390" s="224"/>
      <c r="AG390" s="224"/>
      <c r="AH390" s="224"/>
      <c r="AI390" s="224"/>
      <c r="AJ390" s="224"/>
      <c r="AK390" s="224"/>
      <c r="AL390" s="224"/>
      <c r="AM390" s="224"/>
      <c r="AN390" s="224"/>
      <c r="AO390" s="224"/>
      <c r="AP390" s="224"/>
      <c r="AQ390" s="224"/>
      <c r="AR390" s="224"/>
    </row>
    <row r="391" spans="10:44" x14ac:dyDescent="0.25">
      <c r="J391" s="593"/>
      <c r="Z391" s="152"/>
      <c r="AF391" s="224"/>
      <c r="AG391" s="224"/>
      <c r="AH391" s="224"/>
      <c r="AI391" s="224"/>
      <c r="AJ391" s="224"/>
      <c r="AK391" s="224"/>
      <c r="AL391" s="224"/>
      <c r="AM391" s="224"/>
      <c r="AN391" s="224"/>
      <c r="AO391" s="224"/>
      <c r="AP391" s="224"/>
      <c r="AQ391" s="224"/>
      <c r="AR391" s="224"/>
    </row>
    <row r="392" spans="10:44" x14ac:dyDescent="0.25">
      <c r="J392" s="593"/>
      <c r="Z392" s="152"/>
      <c r="AF392" s="224"/>
      <c r="AG392" s="224"/>
      <c r="AH392" s="224"/>
      <c r="AI392" s="224"/>
      <c r="AJ392" s="224"/>
      <c r="AK392" s="224"/>
      <c r="AL392" s="224"/>
      <c r="AM392" s="224"/>
      <c r="AN392" s="224"/>
      <c r="AO392" s="224"/>
      <c r="AP392" s="224"/>
      <c r="AQ392" s="224"/>
      <c r="AR392" s="224"/>
    </row>
    <row r="393" spans="10:44" x14ac:dyDescent="0.25">
      <c r="J393" s="593"/>
      <c r="Z393" s="152"/>
      <c r="AF393" s="224"/>
      <c r="AG393" s="224"/>
      <c r="AH393" s="224"/>
      <c r="AI393" s="224"/>
      <c r="AJ393" s="224"/>
      <c r="AK393" s="224"/>
      <c r="AL393" s="224"/>
      <c r="AM393" s="224"/>
      <c r="AN393" s="224"/>
      <c r="AO393" s="224"/>
      <c r="AP393" s="224"/>
      <c r="AQ393" s="224"/>
      <c r="AR393" s="224"/>
    </row>
    <row r="394" spans="10:44" x14ac:dyDescent="0.25">
      <c r="J394" s="593"/>
      <c r="Z394" s="152"/>
      <c r="AF394" s="224"/>
      <c r="AG394" s="224"/>
      <c r="AH394" s="224"/>
      <c r="AI394" s="224"/>
      <c r="AJ394" s="224"/>
      <c r="AK394" s="224"/>
      <c r="AL394" s="224"/>
      <c r="AM394" s="224"/>
      <c r="AN394" s="224"/>
      <c r="AO394" s="224"/>
      <c r="AP394" s="224"/>
      <c r="AQ394" s="224"/>
      <c r="AR394" s="224"/>
    </row>
    <row r="395" spans="10:44" x14ac:dyDescent="0.25">
      <c r="J395" s="593"/>
      <c r="Z395" s="152"/>
      <c r="AF395" s="224"/>
      <c r="AG395" s="224"/>
      <c r="AH395" s="224"/>
      <c r="AI395" s="224"/>
      <c r="AJ395" s="224"/>
      <c r="AK395" s="224"/>
      <c r="AL395" s="224"/>
      <c r="AM395" s="224"/>
      <c r="AN395" s="224"/>
      <c r="AO395" s="224"/>
      <c r="AP395" s="224"/>
      <c r="AQ395" s="224"/>
      <c r="AR395" s="224"/>
    </row>
    <row r="396" spans="10:44" x14ac:dyDescent="0.25">
      <c r="J396" s="593"/>
      <c r="Z396" s="152"/>
      <c r="AF396" s="224"/>
      <c r="AG396" s="224"/>
      <c r="AH396" s="224"/>
      <c r="AI396" s="224"/>
      <c r="AJ396" s="224"/>
      <c r="AK396" s="224"/>
      <c r="AL396" s="224"/>
      <c r="AM396" s="224"/>
      <c r="AN396" s="224"/>
      <c r="AO396" s="224"/>
      <c r="AP396" s="224"/>
      <c r="AQ396" s="224"/>
      <c r="AR396" s="224"/>
    </row>
    <row r="397" spans="10:44" x14ac:dyDescent="0.25">
      <c r="J397" s="593"/>
      <c r="Z397" s="152"/>
      <c r="AF397" s="224"/>
      <c r="AG397" s="224"/>
      <c r="AH397" s="224"/>
      <c r="AI397" s="224"/>
      <c r="AJ397" s="224"/>
      <c r="AK397" s="224"/>
      <c r="AL397" s="224"/>
      <c r="AM397" s="224"/>
      <c r="AN397" s="224"/>
      <c r="AO397" s="224"/>
      <c r="AP397" s="224"/>
      <c r="AQ397" s="224"/>
      <c r="AR397" s="224"/>
    </row>
    <row r="398" spans="10:44" x14ac:dyDescent="0.25">
      <c r="J398" s="593"/>
      <c r="Z398" s="152"/>
      <c r="AF398" s="224"/>
      <c r="AG398" s="224"/>
      <c r="AH398" s="224"/>
      <c r="AI398" s="224"/>
      <c r="AJ398" s="224"/>
      <c r="AK398" s="224"/>
      <c r="AL398" s="224"/>
      <c r="AM398" s="224"/>
      <c r="AN398" s="224"/>
      <c r="AO398" s="224"/>
      <c r="AP398" s="224"/>
      <c r="AQ398" s="224"/>
      <c r="AR398" s="224"/>
    </row>
    <row r="399" spans="10:44" x14ac:dyDescent="0.25">
      <c r="J399" s="593"/>
      <c r="Z399" s="152"/>
      <c r="AF399" s="224"/>
      <c r="AG399" s="224"/>
      <c r="AH399" s="224"/>
      <c r="AI399" s="224"/>
      <c r="AJ399" s="224"/>
      <c r="AK399" s="224"/>
      <c r="AL399" s="224"/>
      <c r="AM399" s="224"/>
      <c r="AN399" s="224"/>
      <c r="AO399" s="224"/>
      <c r="AP399" s="224"/>
      <c r="AQ399" s="224"/>
      <c r="AR399" s="224"/>
    </row>
    <row r="400" spans="10:44" x14ac:dyDescent="0.25">
      <c r="J400" s="593"/>
      <c r="Z400" s="152"/>
      <c r="AF400" s="224"/>
      <c r="AG400" s="224"/>
      <c r="AH400" s="224"/>
      <c r="AI400" s="224"/>
      <c r="AJ400" s="224"/>
      <c r="AK400" s="224"/>
      <c r="AL400" s="224"/>
      <c r="AM400" s="224"/>
      <c r="AN400" s="224"/>
      <c r="AO400" s="224"/>
      <c r="AP400" s="224"/>
      <c r="AQ400" s="224"/>
      <c r="AR400" s="224"/>
    </row>
    <row r="401" spans="10:44" x14ac:dyDescent="0.25">
      <c r="J401" s="593"/>
      <c r="Z401" s="152"/>
      <c r="AF401" s="224"/>
      <c r="AG401" s="224"/>
      <c r="AH401" s="224"/>
      <c r="AI401" s="224"/>
      <c r="AJ401" s="224"/>
      <c r="AK401" s="224"/>
      <c r="AL401" s="224"/>
      <c r="AM401" s="224"/>
      <c r="AN401" s="224"/>
      <c r="AO401" s="224"/>
      <c r="AP401" s="224"/>
      <c r="AQ401" s="224"/>
      <c r="AR401" s="224"/>
    </row>
    <row r="402" spans="10:44" x14ac:dyDescent="0.25">
      <c r="J402" s="593"/>
      <c r="Z402" s="152"/>
      <c r="AF402" s="224"/>
      <c r="AG402" s="224"/>
      <c r="AH402" s="224"/>
      <c r="AI402" s="224"/>
      <c r="AJ402" s="224"/>
      <c r="AK402" s="224"/>
      <c r="AL402" s="224"/>
      <c r="AM402" s="224"/>
      <c r="AN402" s="224"/>
      <c r="AO402" s="224"/>
      <c r="AP402" s="224"/>
      <c r="AQ402" s="224"/>
      <c r="AR402" s="224"/>
    </row>
    <row r="403" spans="10:44" x14ac:dyDescent="0.25">
      <c r="J403" s="593"/>
      <c r="Z403" s="152"/>
      <c r="AF403" s="224"/>
      <c r="AG403" s="224"/>
      <c r="AH403" s="224"/>
      <c r="AI403" s="224"/>
      <c r="AJ403" s="224"/>
      <c r="AK403" s="224"/>
      <c r="AL403" s="224"/>
      <c r="AM403" s="224"/>
      <c r="AN403" s="224"/>
      <c r="AO403" s="224"/>
      <c r="AP403" s="224"/>
      <c r="AQ403" s="224"/>
      <c r="AR403" s="224"/>
    </row>
    <row r="404" spans="10:44" x14ac:dyDescent="0.25">
      <c r="J404" s="593"/>
      <c r="Z404" s="152"/>
      <c r="AF404" s="224"/>
      <c r="AG404" s="224"/>
      <c r="AH404" s="224"/>
      <c r="AI404" s="224"/>
      <c r="AJ404" s="224"/>
      <c r="AK404" s="224"/>
      <c r="AL404" s="224"/>
      <c r="AM404" s="224"/>
      <c r="AN404" s="224"/>
      <c r="AO404" s="224"/>
      <c r="AP404" s="224"/>
      <c r="AQ404" s="224"/>
      <c r="AR404" s="224"/>
    </row>
    <row r="405" spans="10:44" x14ac:dyDescent="0.25">
      <c r="J405" s="593"/>
      <c r="Z405" s="152"/>
      <c r="AF405" s="224"/>
      <c r="AG405" s="224"/>
      <c r="AH405" s="224"/>
      <c r="AI405" s="224"/>
      <c r="AJ405" s="224"/>
      <c r="AK405" s="224"/>
      <c r="AL405" s="224"/>
      <c r="AM405" s="224"/>
      <c r="AN405" s="224"/>
      <c r="AO405" s="224"/>
      <c r="AP405" s="224"/>
      <c r="AQ405" s="224"/>
      <c r="AR405" s="224"/>
    </row>
    <row r="406" spans="10:44" x14ac:dyDescent="0.25">
      <c r="J406" s="593"/>
      <c r="Z406" s="152"/>
      <c r="AF406" s="224"/>
      <c r="AG406" s="224"/>
      <c r="AH406" s="224"/>
      <c r="AI406" s="224"/>
      <c r="AJ406" s="224"/>
      <c r="AK406" s="224"/>
      <c r="AL406" s="224"/>
      <c r="AM406" s="224"/>
      <c r="AN406" s="224"/>
      <c r="AO406" s="224"/>
      <c r="AP406" s="224"/>
      <c r="AQ406" s="224"/>
      <c r="AR406" s="224"/>
    </row>
    <row r="407" spans="10:44" x14ac:dyDescent="0.25">
      <c r="J407" s="593"/>
      <c r="Z407" s="152"/>
      <c r="AF407" s="224"/>
      <c r="AG407" s="224"/>
      <c r="AH407" s="224"/>
      <c r="AI407" s="224"/>
      <c r="AJ407" s="224"/>
      <c r="AK407" s="224"/>
      <c r="AL407" s="224"/>
      <c r="AM407" s="224"/>
      <c r="AN407" s="224"/>
      <c r="AO407" s="224"/>
      <c r="AP407" s="224"/>
      <c r="AQ407" s="224"/>
      <c r="AR407" s="224"/>
    </row>
    <row r="408" spans="10:44" x14ac:dyDescent="0.25">
      <c r="J408" s="593"/>
      <c r="Z408" s="152"/>
      <c r="AF408" s="224"/>
      <c r="AG408" s="224"/>
      <c r="AH408" s="224"/>
      <c r="AI408" s="224"/>
      <c r="AJ408" s="224"/>
      <c r="AK408" s="224"/>
      <c r="AL408" s="224"/>
      <c r="AM408" s="224"/>
      <c r="AN408" s="224"/>
      <c r="AO408" s="224"/>
      <c r="AP408" s="224"/>
      <c r="AQ408" s="224"/>
      <c r="AR408" s="224"/>
    </row>
    <row r="409" spans="10:44" x14ac:dyDescent="0.25">
      <c r="J409" s="593"/>
      <c r="Z409" s="152"/>
      <c r="AF409" s="224"/>
      <c r="AG409" s="224"/>
      <c r="AH409" s="224"/>
      <c r="AI409" s="224"/>
      <c r="AJ409" s="224"/>
      <c r="AK409" s="224"/>
      <c r="AL409" s="224"/>
      <c r="AM409" s="224"/>
      <c r="AN409" s="224"/>
      <c r="AO409" s="224"/>
      <c r="AP409" s="224"/>
      <c r="AQ409" s="224"/>
      <c r="AR409" s="224"/>
    </row>
    <row r="410" spans="10:44" x14ac:dyDescent="0.25">
      <c r="J410" s="593"/>
      <c r="Z410" s="152"/>
      <c r="AF410" s="224"/>
      <c r="AG410" s="224"/>
      <c r="AH410" s="224"/>
      <c r="AI410" s="224"/>
      <c r="AJ410" s="224"/>
      <c r="AK410" s="224"/>
      <c r="AL410" s="224"/>
      <c r="AM410" s="224"/>
      <c r="AN410" s="224"/>
      <c r="AO410" s="224"/>
      <c r="AP410" s="224"/>
      <c r="AQ410" s="224"/>
      <c r="AR410" s="224"/>
    </row>
    <row r="411" spans="10:44" x14ac:dyDescent="0.25">
      <c r="J411" s="593"/>
      <c r="Z411" s="152"/>
      <c r="AF411" s="224"/>
      <c r="AG411" s="224"/>
      <c r="AH411" s="224"/>
      <c r="AI411" s="224"/>
      <c r="AJ411" s="224"/>
      <c r="AK411" s="224"/>
      <c r="AL411" s="224"/>
      <c r="AM411" s="224"/>
      <c r="AN411" s="224"/>
      <c r="AO411" s="224"/>
      <c r="AP411" s="224"/>
      <c r="AQ411" s="224"/>
      <c r="AR411" s="224"/>
    </row>
    <row r="412" spans="10:44" x14ac:dyDescent="0.25">
      <c r="J412" s="593"/>
      <c r="Z412" s="152"/>
      <c r="AF412" s="224"/>
      <c r="AG412" s="224"/>
      <c r="AH412" s="224"/>
      <c r="AI412" s="224"/>
      <c r="AJ412" s="224"/>
      <c r="AK412" s="224"/>
      <c r="AL412" s="224"/>
      <c r="AM412" s="224"/>
      <c r="AN412" s="224"/>
      <c r="AO412" s="224"/>
      <c r="AP412" s="224"/>
      <c r="AQ412" s="224"/>
      <c r="AR412" s="224"/>
    </row>
    <row r="413" spans="10:44" x14ac:dyDescent="0.25">
      <c r="J413" s="593"/>
      <c r="Z413" s="152"/>
      <c r="AF413" s="224"/>
      <c r="AG413" s="224"/>
      <c r="AH413" s="224"/>
      <c r="AI413" s="224"/>
      <c r="AJ413" s="224"/>
      <c r="AK413" s="224"/>
      <c r="AL413" s="224"/>
      <c r="AM413" s="224"/>
      <c r="AN413" s="224"/>
      <c r="AO413" s="224"/>
      <c r="AP413" s="224"/>
      <c r="AQ413" s="224"/>
      <c r="AR413" s="224"/>
    </row>
    <row r="414" spans="10:44" x14ac:dyDescent="0.25">
      <c r="J414" s="593"/>
      <c r="Z414" s="152"/>
      <c r="AF414" s="224"/>
      <c r="AG414" s="224"/>
      <c r="AH414" s="224"/>
      <c r="AI414" s="224"/>
      <c r="AJ414" s="224"/>
      <c r="AK414" s="224"/>
      <c r="AL414" s="224"/>
      <c r="AM414" s="224"/>
      <c r="AN414" s="224"/>
      <c r="AO414" s="224"/>
      <c r="AP414" s="224"/>
      <c r="AQ414" s="224"/>
      <c r="AR414" s="224"/>
    </row>
    <row r="415" spans="10:44" x14ac:dyDescent="0.25">
      <c r="J415" s="593"/>
      <c r="Z415" s="152"/>
      <c r="AF415" s="224"/>
      <c r="AG415" s="224"/>
      <c r="AH415" s="224"/>
      <c r="AI415" s="224"/>
      <c r="AJ415" s="224"/>
      <c r="AK415" s="224"/>
      <c r="AL415" s="224"/>
      <c r="AM415" s="224"/>
      <c r="AN415" s="224"/>
      <c r="AO415" s="224"/>
      <c r="AP415" s="224"/>
      <c r="AQ415" s="224"/>
      <c r="AR415" s="224"/>
    </row>
    <row r="416" spans="10:44" x14ac:dyDescent="0.25">
      <c r="J416" s="593"/>
      <c r="Z416" s="152"/>
      <c r="AF416" s="224"/>
      <c r="AG416" s="224"/>
      <c r="AH416" s="224"/>
      <c r="AI416" s="224"/>
      <c r="AJ416" s="224"/>
      <c r="AK416" s="224"/>
      <c r="AL416" s="224"/>
      <c r="AM416" s="224"/>
      <c r="AN416" s="224"/>
      <c r="AO416" s="224"/>
      <c r="AP416" s="224"/>
      <c r="AQ416" s="224"/>
      <c r="AR416" s="224"/>
    </row>
    <row r="417" spans="10:44" x14ac:dyDescent="0.25">
      <c r="J417" s="593"/>
      <c r="Z417" s="152"/>
      <c r="AF417" s="224"/>
      <c r="AG417" s="224"/>
      <c r="AH417" s="224"/>
      <c r="AI417" s="224"/>
      <c r="AJ417" s="224"/>
      <c r="AK417" s="224"/>
      <c r="AL417" s="224"/>
      <c r="AM417" s="224"/>
      <c r="AN417" s="224"/>
      <c r="AO417" s="224"/>
      <c r="AP417" s="224"/>
      <c r="AQ417" s="224"/>
      <c r="AR417" s="224"/>
    </row>
    <row r="418" spans="10:44" x14ac:dyDescent="0.25">
      <c r="J418" s="593"/>
      <c r="Z418" s="152"/>
      <c r="AF418" s="224"/>
      <c r="AG418" s="224"/>
      <c r="AH418" s="224"/>
      <c r="AI418" s="224"/>
      <c r="AJ418" s="224"/>
      <c r="AK418" s="224"/>
      <c r="AL418" s="224"/>
      <c r="AM418" s="224"/>
      <c r="AN418" s="224"/>
      <c r="AO418" s="224"/>
      <c r="AP418" s="224"/>
      <c r="AQ418" s="224"/>
      <c r="AR418" s="224"/>
    </row>
    <row r="419" spans="10:44" x14ac:dyDescent="0.25">
      <c r="J419" s="593"/>
      <c r="Z419" s="152"/>
      <c r="AF419" s="224"/>
      <c r="AG419" s="224"/>
      <c r="AH419" s="224"/>
      <c r="AI419" s="224"/>
      <c r="AJ419" s="224"/>
      <c r="AK419" s="224"/>
      <c r="AL419" s="224"/>
      <c r="AM419" s="224"/>
      <c r="AN419" s="224"/>
      <c r="AO419" s="224"/>
      <c r="AP419" s="224"/>
      <c r="AQ419" s="224"/>
      <c r="AR419" s="224"/>
    </row>
    <row r="420" spans="10:44" x14ac:dyDescent="0.25">
      <c r="J420" s="593"/>
      <c r="Z420" s="152"/>
      <c r="AF420" s="224"/>
      <c r="AG420" s="224"/>
      <c r="AH420" s="224"/>
      <c r="AI420" s="224"/>
      <c r="AJ420" s="224"/>
      <c r="AK420" s="224"/>
      <c r="AL420" s="224"/>
      <c r="AM420" s="224"/>
      <c r="AN420" s="224"/>
      <c r="AO420" s="224"/>
      <c r="AP420" s="224"/>
      <c r="AQ420" s="224"/>
      <c r="AR420" s="224"/>
    </row>
    <row r="421" spans="10:44" x14ac:dyDescent="0.25">
      <c r="J421" s="593"/>
      <c r="Z421" s="152"/>
      <c r="AF421" s="224"/>
      <c r="AG421" s="224"/>
      <c r="AH421" s="224"/>
      <c r="AI421" s="224"/>
      <c r="AJ421" s="224"/>
      <c r="AK421" s="224"/>
      <c r="AL421" s="224"/>
      <c r="AM421" s="224"/>
      <c r="AN421" s="224"/>
      <c r="AO421" s="224"/>
      <c r="AP421" s="224"/>
      <c r="AQ421" s="224"/>
      <c r="AR421" s="224"/>
    </row>
    <row r="422" spans="10:44" x14ac:dyDescent="0.25">
      <c r="J422" s="593"/>
      <c r="Z422" s="152"/>
      <c r="AF422" s="224"/>
      <c r="AG422" s="224"/>
      <c r="AH422" s="224"/>
      <c r="AI422" s="224"/>
      <c r="AJ422" s="224"/>
      <c r="AK422" s="224"/>
      <c r="AL422" s="224"/>
      <c r="AM422" s="224"/>
      <c r="AN422" s="224"/>
      <c r="AO422" s="224"/>
      <c r="AP422" s="224"/>
      <c r="AQ422" s="224"/>
      <c r="AR422" s="224"/>
    </row>
    <row r="423" spans="10:44" x14ac:dyDescent="0.25">
      <c r="J423" s="593"/>
      <c r="Z423" s="152"/>
      <c r="AF423" s="224"/>
      <c r="AG423" s="224"/>
      <c r="AH423" s="224"/>
      <c r="AI423" s="224"/>
      <c r="AJ423" s="224"/>
      <c r="AK423" s="224"/>
      <c r="AL423" s="224"/>
      <c r="AM423" s="224"/>
      <c r="AN423" s="224"/>
      <c r="AO423" s="224"/>
      <c r="AP423" s="224"/>
      <c r="AQ423" s="224"/>
      <c r="AR423" s="224"/>
    </row>
    <row r="424" spans="10:44" x14ac:dyDescent="0.25">
      <c r="J424" s="593"/>
      <c r="Z424" s="152"/>
      <c r="AF424" s="224"/>
      <c r="AG424" s="224"/>
      <c r="AH424" s="224"/>
      <c r="AI424" s="224"/>
      <c r="AJ424" s="224"/>
      <c r="AK424" s="224"/>
      <c r="AL424" s="224"/>
      <c r="AM424" s="224"/>
      <c r="AN424" s="224"/>
      <c r="AO424" s="224"/>
      <c r="AP424" s="224"/>
      <c r="AQ424" s="224"/>
      <c r="AR424" s="224"/>
    </row>
    <row r="425" spans="10:44" x14ac:dyDescent="0.25">
      <c r="J425" s="593"/>
      <c r="Z425" s="152"/>
      <c r="AF425" s="224"/>
      <c r="AG425" s="224"/>
      <c r="AH425" s="224"/>
      <c r="AI425" s="224"/>
      <c r="AJ425" s="224"/>
      <c r="AK425" s="224"/>
      <c r="AL425" s="224"/>
      <c r="AM425" s="224"/>
      <c r="AN425" s="224"/>
      <c r="AO425" s="224"/>
      <c r="AP425" s="224"/>
      <c r="AQ425" s="224"/>
      <c r="AR425" s="224"/>
    </row>
    <row r="426" spans="10:44" x14ac:dyDescent="0.25">
      <c r="J426" s="593"/>
      <c r="Z426" s="152"/>
      <c r="AF426" s="224"/>
      <c r="AG426" s="224"/>
      <c r="AH426" s="224"/>
      <c r="AI426" s="224"/>
      <c r="AJ426" s="224"/>
      <c r="AK426" s="224"/>
      <c r="AL426" s="224"/>
      <c r="AM426" s="224"/>
      <c r="AN426" s="224"/>
      <c r="AO426" s="224"/>
      <c r="AP426" s="224"/>
      <c r="AQ426" s="224"/>
      <c r="AR426" s="224"/>
    </row>
    <row r="427" spans="10:44" x14ac:dyDescent="0.25">
      <c r="J427" s="593"/>
      <c r="Z427" s="152"/>
      <c r="AF427" s="224"/>
      <c r="AG427" s="224"/>
      <c r="AH427" s="224"/>
      <c r="AI427" s="224"/>
      <c r="AJ427" s="224"/>
      <c r="AK427" s="224"/>
      <c r="AL427" s="224"/>
      <c r="AM427" s="224"/>
      <c r="AN427" s="224"/>
      <c r="AO427" s="224"/>
      <c r="AP427" s="224"/>
      <c r="AQ427" s="224"/>
      <c r="AR427" s="224"/>
    </row>
    <row r="428" spans="10:44" x14ac:dyDescent="0.25">
      <c r="J428" s="593"/>
      <c r="Z428" s="152"/>
      <c r="AF428" s="224"/>
      <c r="AG428" s="224"/>
      <c r="AH428" s="224"/>
      <c r="AI428" s="224"/>
      <c r="AJ428" s="224"/>
      <c r="AK428" s="224"/>
      <c r="AL428" s="224"/>
      <c r="AM428" s="224"/>
      <c r="AN428" s="224"/>
      <c r="AO428" s="224"/>
      <c r="AP428" s="224"/>
      <c r="AQ428" s="224"/>
      <c r="AR428" s="224"/>
    </row>
    <row r="429" spans="10:44" x14ac:dyDescent="0.25">
      <c r="J429" s="593"/>
      <c r="Z429" s="152"/>
      <c r="AF429" s="224"/>
      <c r="AG429" s="224"/>
      <c r="AH429" s="224"/>
      <c r="AI429" s="224"/>
      <c r="AJ429" s="224"/>
      <c r="AK429" s="224"/>
      <c r="AL429" s="224"/>
      <c r="AM429" s="224"/>
      <c r="AN429" s="224"/>
      <c r="AO429" s="224"/>
      <c r="AP429" s="224"/>
      <c r="AQ429" s="224"/>
      <c r="AR429" s="224"/>
    </row>
    <row r="430" spans="10:44" x14ac:dyDescent="0.25">
      <c r="J430" s="593"/>
      <c r="Z430" s="152"/>
      <c r="AF430" s="224"/>
      <c r="AG430" s="224"/>
      <c r="AH430" s="224"/>
      <c r="AI430" s="224"/>
      <c r="AJ430" s="224"/>
      <c r="AK430" s="224"/>
      <c r="AL430" s="224"/>
      <c r="AM430" s="224"/>
      <c r="AN430" s="224"/>
      <c r="AO430" s="224"/>
      <c r="AP430" s="224"/>
      <c r="AQ430" s="224"/>
      <c r="AR430" s="224"/>
    </row>
    <row r="431" spans="10:44" x14ac:dyDescent="0.25">
      <c r="J431" s="593"/>
      <c r="Z431" s="152"/>
      <c r="AF431" s="224"/>
      <c r="AG431" s="224"/>
      <c r="AH431" s="224"/>
      <c r="AI431" s="224"/>
      <c r="AJ431" s="224"/>
      <c r="AK431" s="224"/>
      <c r="AL431" s="224"/>
      <c r="AM431" s="224"/>
      <c r="AN431" s="224"/>
      <c r="AO431" s="224"/>
      <c r="AP431" s="224"/>
      <c r="AQ431" s="224"/>
      <c r="AR431" s="224"/>
    </row>
    <row r="432" spans="10:44" x14ac:dyDescent="0.25">
      <c r="J432" s="593"/>
      <c r="Z432" s="152"/>
      <c r="AF432" s="224"/>
      <c r="AG432" s="224"/>
      <c r="AH432" s="224"/>
      <c r="AI432" s="224"/>
      <c r="AJ432" s="224"/>
      <c r="AK432" s="224"/>
      <c r="AL432" s="224"/>
      <c r="AM432" s="224"/>
      <c r="AN432" s="224"/>
      <c r="AO432" s="224"/>
      <c r="AP432" s="224"/>
      <c r="AQ432" s="224"/>
      <c r="AR432" s="224"/>
    </row>
    <row r="433" spans="10:44" x14ac:dyDescent="0.25">
      <c r="J433" s="593"/>
      <c r="Z433" s="152"/>
      <c r="AF433" s="224"/>
      <c r="AG433" s="224"/>
      <c r="AH433" s="224"/>
      <c r="AI433" s="224"/>
      <c r="AJ433" s="224"/>
      <c r="AK433" s="224"/>
      <c r="AL433" s="224"/>
      <c r="AM433" s="224"/>
      <c r="AN433" s="224"/>
      <c r="AO433" s="224"/>
      <c r="AP433" s="224"/>
      <c r="AQ433" s="224"/>
      <c r="AR433" s="224"/>
    </row>
    <row r="434" spans="10:44" x14ac:dyDescent="0.25">
      <c r="J434" s="593"/>
      <c r="Z434" s="152"/>
      <c r="AF434" s="224"/>
      <c r="AG434" s="224"/>
      <c r="AH434" s="224"/>
      <c r="AI434" s="224"/>
      <c r="AJ434" s="224"/>
      <c r="AK434" s="224"/>
      <c r="AL434" s="224"/>
      <c r="AM434" s="224"/>
      <c r="AN434" s="224"/>
      <c r="AO434" s="224"/>
      <c r="AP434" s="224"/>
      <c r="AQ434" s="224"/>
      <c r="AR434" s="224"/>
    </row>
    <row r="435" spans="10:44" x14ac:dyDescent="0.25">
      <c r="J435" s="593"/>
      <c r="Z435" s="152"/>
      <c r="AF435" s="224"/>
      <c r="AG435" s="224"/>
      <c r="AH435" s="224"/>
      <c r="AI435" s="224"/>
      <c r="AJ435" s="224"/>
      <c r="AK435" s="224"/>
      <c r="AL435" s="224"/>
      <c r="AM435" s="224"/>
      <c r="AN435" s="224"/>
      <c r="AO435" s="224"/>
      <c r="AP435" s="224"/>
      <c r="AQ435" s="224"/>
      <c r="AR435" s="224"/>
    </row>
    <row r="436" spans="10:44" x14ac:dyDescent="0.25">
      <c r="J436" s="593"/>
      <c r="Z436" s="152"/>
      <c r="AF436" s="224"/>
      <c r="AG436" s="224"/>
      <c r="AH436" s="224"/>
      <c r="AI436" s="224"/>
      <c r="AJ436" s="224"/>
      <c r="AK436" s="224"/>
      <c r="AL436" s="224"/>
      <c r="AM436" s="224"/>
      <c r="AN436" s="224"/>
      <c r="AO436" s="224"/>
      <c r="AP436" s="224"/>
      <c r="AQ436" s="224"/>
      <c r="AR436" s="224"/>
    </row>
    <row r="437" spans="10:44" x14ac:dyDescent="0.25">
      <c r="J437" s="593"/>
      <c r="Z437" s="152"/>
      <c r="AF437" s="224"/>
      <c r="AG437" s="224"/>
      <c r="AH437" s="224"/>
      <c r="AI437" s="224"/>
      <c r="AJ437" s="224"/>
      <c r="AK437" s="224"/>
      <c r="AL437" s="224"/>
      <c r="AM437" s="224"/>
      <c r="AN437" s="224"/>
      <c r="AO437" s="224"/>
      <c r="AP437" s="224"/>
      <c r="AQ437" s="224"/>
      <c r="AR437" s="224"/>
    </row>
    <row r="438" spans="10:44" x14ac:dyDescent="0.25">
      <c r="J438" s="593"/>
      <c r="Z438" s="152"/>
      <c r="AF438" s="224"/>
      <c r="AG438" s="224"/>
      <c r="AH438" s="224"/>
      <c r="AI438" s="224"/>
      <c r="AJ438" s="224"/>
      <c r="AK438" s="224"/>
      <c r="AL438" s="224"/>
      <c r="AM438" s="224"/>
      <c r="AN438" s="224"/>
      <c r="AO438" s="224"/>
      <c r="AP438" s="224"/>
      <c r="AQ438" s="224"/>
      <c r="AR438" s="224"/>
    </row>
    <row r="439" spans="10:44" x14ac:dyDescent="0.25">
      <c r="J439" s="593"/>
      <c r="Z439" s="152"/>
      <c r="AF439" s="224"/>
      <c r="AG439" s="224"/>
      <c r="AH439" s="224"/>
      <c r="AI439" s="224"/>
      <c r="AJ439" s="224"/>
      <c r="AK439" s="224"/>
      <c r="AL439" s="224"/>
      <c r="AM439" s="224"/>
      <c r="AN439" s="224"/>
      <c r="AO439" s="224"/>
      <c r="AP439" s="224"/>
      <c r="AQ439" s="224"/>
      <c r="AR439" s="224"/>
    </row>
    <row r="440" spans="10:44" x14ac:dyDescent="0.25">
      <c r="J440" s="593"/>
      <c r="Z440" s="152"/>
      <c r="AF440" s="224"/>
      <c r="AG440" s="224"/>
      <c r="AH440" s="224"/>
      <c r="AI440" s="224"/>
      <c r="AJ440" s="224"/>
      <c r="AK440" s="224"/>
      <c r="AL440" s="224"/>
      <c r="AM440" s="224"/>
      <c r="AN440" s="224"/>
      <c r="AO440" s="224"/>
      <c r="AP440" s="224"/>
      <c r="AQ440" s="224"/>
      <c r="AR440" s="224"/>
    </row>
    <row r="441" spans="10:44" x14ac:dyDescent="0.25">
      <c r="J441" s="593"/>
      <c r="Z441" s="152"/>
      <c r="AF441" s="224"/>
      <c r="AG441" s="224"/>
      <c r="AH441" s="224"/>
      <c r="AI441" s="224"/>
      <c r="AJ441" s="224"/>
      <c r="AK441" s="224"/>
      <c r="AL441" s="224"/>
      <c r="AM441" s="224"/>
      <c r="AN441" s="224"/>
      <c r="AO441" s="224"/>
      <c r="AP441" s="224"/>
      <c r="AQ441" s="224"/>
      <c r="AR441" s="224"/>
    </row>
    <row r="442" spans="10:44" x14ac:dyDescent="0.25">
      <c r="Z442" s="152"/>
      <c r="AF442" s="224"/>
      <c r="AG442" s="224"/>
      <c r="AH442" s="224"/>
      <c r="AI442" s="224"/>
      <c r="AJ442" s="224"/>
      <c r="AK442" s="224"/>
      <c r="AL442" s="224"/>
      <c r="AM442" s="224"/>
      <c r="AN442" s="224"/>
      <c r="AO442" s="224"/>
      <c r="AP442" s="224"/>
      <c r="AQ442" s="224"/>
      <c r="AR442" s="224"/>
    </row>
    <row r="443" spans="10:44" x14ac:dyDescent="0.25">
      <c r="Z443" s="152"/>
      <c r="AF443" s="224"/>
      <c r="AG443" s="224"/>
      <c r="AH443" s="224"/>
      <c r="AI443" s="224"/>
      <c r="AJ443" s="224"/>
      <c r="AK443" s="224"/>
      <c r="AL443" s="224"/>
      <c r="AM443" s="224"/>
      <c r="AN443" s="224"/>
      <c r="AO443" s="224"/>
      <c r="AP443" s="224"/>
      <c r="AQ443" s="224"/>
      <c r="AR443" s="224"/>
    </row>
    <row r="444" spans="10:44" x14ac:dyDescent="0.25">
      <c r="Z444" s="152"/>
      <c r="AF444" s="224"/>
      <c r="AG444" s="224"/>
      <c r="AH444" s="224"/>
      <c r="AI444" s="224"/>
      <c r="AJ444" s="224"/>
      <c r="AK444" s="224"/>
      <c r="AL444" s="224"/>
      <c r="AM444" s="224"/>
      <c r="AN444" s="224"/>
      <c r="AO444" s="224"/>
      <c r="AP444" s="224"/>
      <c r="AQ444" s="224"/>
      <c r="AR444" s="224"/>
    </row>
    <row r="445" spans="10:44" x14ac:dyDescent="0.25">
      <c r="Z445" s="152"/>
      <c r="AF445" s="224"/>
      <c r="AG445" s="224"/>
      <c r="AH445" s="224"/>
      <c r="AI445" s="224"/>
      <c r="AJ445" s="224"/>
      <c r="AK445" s="224"/>
      <c r="AL445" s="224"/>
      <c r="AM445" s="224"/>
      <c r="AN445" s="224"/>
      <c r="AO445" s="224"/>
      <c r="AP445" s="224"/>
      <c r="AQ445" s="224"/>
      <c r="AR445" s="224"/>
    </row>
    <row r="446" spans="10:44" x14ac:dyDescent="0.25">
      <c r="Z446" s="152"/>
      <c r="AF446" s="224"/>
      <c r="AG446" s="224"/>
      <c r="AH446" s="224"/>
      <c r="AI446" s="224"/>
      <c r="AJ446" s="224"/>
      <c r="AK446" s="224"/>
      <c r="AL446" s="224"/>
      <c r="AM446" s="224"/>
      <c r="AN446" s="224"/>
      <c r="AO446" s="224"/>
      <c r="AP446" s="224"/>
      <c r="AQ446" s="224"/>
      <c r="AR446" s="224"/>
    </row>
    <row r="447" spans="10:44" x14ac:dyDescent="0.25">
      <c r="Z447" s="152"/>
      <c r="AF447" s="224"/>
      <c r="AG447" s="224"/>
      <c r="AH447" s="224"/>
      <c r="AI447" s="224"/>
      <c r="AJ447" s="224"/>
      <c r="AK447" s="224"/>
      <c r="AL447" s="224"/>
      <c r="AM447" s="224"/>
      <c r="AN447" s="224"/>
      <c r="AO447" s="224"/>
      <c r="AP447" s="224"/>
      <c r="AQ447" s="224"/>
      <c r="AR447" s="224"/>
    </row>
    <row r="448" spans="10:44" x14ac:dyDescent="0.25">
      <c r="Z448" s="152"/>
      <c r="AF448" s="224"/>
      <c r="AG448" s="224"/>
      <c r="AH448" s="224"/>
      <c r="AI448" s="224"/>
      <c r="AJ448" s="224"/>
      <c r="AK448" s="224"/>
      <c r="AL448" s="224"/>
      <c r="AM448" s="224"/>
      <c r="AN448" s="224"/>
      <c r="AO448" s="224"/>
      <c r="AP448" s="224"/>
      <c r="AQ448" s="224"/>
      <c r="AR448" s="224"/>
    </row>
    <row r="449" spans="26:44" x14ac:dyDescent="0.25">
      <c r="Z449" s="152"/>
      <c r="AF449" s="224"/>
      <c r="AG449" s="224"/>
      <c r="AH449" s="224"/>
      <c r="AI449" s="224"/>
      <c r="AJ449" s="224"/>
      <c r="AK449" s="224"/>
      <c r="AL449" s="224"/>
      <c r="AM449" s="224"/>
      <c r="AN449" s="224"/>
      <c r="AO449" s="224"/>
      <c r="AP449" s="224"/>
      <c r="AQ449" s="224"/>
      <c r="AR449" s="224"/>
    </row>
    <row r="450" spans="26:44" x14ac:dyDescent="0.25">
      <c r="Z450" s="152"/>
      <c r="AF450" s="224"/>
      <c r="AG450" s="224"/>
      <c r="AH450" s="224"/>
      <c r="AI450" s="224"/>
      <c r="AJ450" s="224"/>
      <c r="AK450" s="224"/>
      <c r="AL450" s="224"/>
      <c r="AM450" s="224"/>
      <c r="AN450" s="224"/>
      <c r="AO450" s="224"/>
      <c r="AP450" s="224"/>
      <c r="AQ450" s="224"/>
      <c r="AR450" s="224"/>
    </row>
    <row r="451" spans="26:44" x14ac:dyDescent="0.25">
      <c r="Z451" s="152"/>
      <c r="AF451" s="224"/>
      <c r="AG451" s="224"/>
      <c r="AH451" s="224"/>
      <c r="AI451" s="224"/>
      <c r="AJ451" s="224"/>
      <c r="AK451" s="224"/>
      <c r="AL451" s="224"/>
      <c r="AM451" s="224"/>
      <c r="AN451" s="224"/>
      <c r="AO451" s="224"/>
      <c r="AP451" s="224"/>
      <c r="AQ451" s="224"/>
      <c r="AR451" s="224"/>
    </row>
    <row r="452" spans="26:44" x14ac:dyDescent="0.25">
      <c r="Z452" s="152"/>
      <c r="AF452" s="224"/>
      <c r="AG452" s="224"/>
      <c r="AH452" s="224"/>
      <c r="AI452" s="224"/>
      <c r="AJ452" s="224"/>
      <c r="AK452" s="224"/>
      <c r="AL452" s="224"/>
      <c r="AM452" s="224"/>
      <c r="AN452" s="224"/>
      <c r="AO452" s="224"/>
      <c r="AP452" s="224"/>
      <c r="AQ452" s="224"/>
      <c r="AR452" s="224"/>
    </row>
    <row r="453" spans="26:44" x14ac:dyDescent="0.25">
      <c r="Z453" s="152"/>
      <c r="AF453" s="224"/>
      <c r="AG453" s="224"/>
      <c r="AH453" s="224"/>
      <c r="AI453" s="224"/>
      <c r="AJ453" s="224"/>
      <c r="AK453" s="224"/>
      <c r="AL453" s="224"/>
      <c r="AM453" s="224"/>
      <c r="AN453" s="224"/>
      <c r="AO453" s="224"/>
      <c r="AP453" s="224"/>
      <c r="AQ453" s="224"/>
      <c r="AR453" s="224"/>
    </row>
    <row r="454" spans="26:44" x14ac:dyDescent="0.25">
      <c r="Z454" s="152"/>
      <c r="AF454" s="224"/>
      <c r="AG454" s="224"/>
      <c r="AH454" s="224"/>
      <c r="AI454" s="224"/>
      <c r="AJ454" s="224"/>
      <c r="AK454" s="224"/>
      <c r="AL454" s="224"/>
      <c r="AM454" s="224"/>
      <c r="AN454" s="224"/>
      <c r="AO454" s="224"/>
      <c r="AP454" s="224"/>
      <c r="AQ454" s="224"/>
      <c r="AR454" s="224"/>
    </row>
    <row r="455" spans="26:44" x14ac:dyDescent="0.25">
      <c r="Z455" s="152"/>
      <c r="AF455" s="224"/>
      <c r="AG455" s="224"/>
      <c r="AH455" s="224"/>
      <c r="AI455" s="224"/>
      <c r="AJ455" s="224"/>
      <c r="AK455" s="224"/>
      <c r="AL455" s="224"/>
      <c r="AM455" s="224"/>
      <c r="AN455" s="224"/>
      <c r="AO455" s="224"/>
      <c r="AP455" s="224"/>
      <c r="AQ455" s="224"/>
      <c r="AR455" s="224"/>
    </row>
    <row r="456" spans="26:44" x14ac:dyDescent="0.25">
      <c r="Z456" s="152"/>
      <c r="AF456" s="224"/>
      <c r="AG456" s="224"/>
      <c r="AH456" s="224"/>
      <c r="AI456" s="224"/>
      <c r="AJ456" s="224"/>
      <c r="AK456" s="224"/>
      <c r="AL456" s="224"/>
      <c r="AM456" s="224"/>
      <c r="AN456" s="224"/>
      <c r="AO456" s="224"/>
      <c r="AP456" s="224"/>
      <c r="AQ456" s="224"/>
      <c r="AR456" s="224"/>
    </row>
    <row r="457" spans="26:44" x14ac:dyDescent="0.25">
      <c r="Z457" s="152"/>
      <c r="AF457" s="224"/>
      <c r="AG457" s="224"/>
      <c r="AH457" s="224"/>
      <c r="AI457" s="224"/>
      <c r="AJ457" s="224"/>
      <c r="AK457" s="224"/>
      <c r="AL457" s="224"/>
      <c r="AM457" s="224"/>
      <c r="AN457" s="224"/>
      <c r="AO457" s="224"/>
      <c r="AP457" s="224"/>
      <c r="AQ457" s="224"/>
      <c r="AR457" s="224"/>
    </row>
    <row r="458" spans="26:44" x14ac:dyDescent="0.25">
      <c r="Z458" s="152"/>
      <c r="AF458" s="224"/>
      <c r="AG458" s="224"/>
      <c r="AH458" s="224"/>
      <c r="AI458" s="224"/>
      <c r="AJ458" s="224"/>
      <c r="AK458" s="224"/>
      <c r="AL458" s="224"/>
      <c r="AM458" s="224"/>
      <c r="AN458" s="224"/>
      <c r="AO458" s="224"/>
      <c r="AP458" s="224"/>
      <c r="AQ458" s="224"/>
      <c r="AR458" s="224"/>
    </row>
    <row r="459" spans="26:44" x14ac:dyDescent="0.25">
      <c r="Z459" s="152"/>
      <c r="AF459" s="224"/>
      <c r="AG459" s="224"/>
      <c r="AH459" s="224"/>
      <c r="AI459" s="224"/>
      <c r="AJ459" s="224"/>
      <c r="AK459" s="224"/>
      <c r="AL459" s="224"/>
      <c r="AM459" s="224"/>
      <c r="AN459" s="224"/>
      <c r="AO459" s="224"/>
      <c r="AP459" s="224"/>
      <c r="AQ459" s="224"/>
      <c r="AR459" s="224"/>
    </row>
    <row r="460" spans="26:44" x14ac:dyDescent="0.25">
      <c r="Z460" s="152"/>
      <c r="AF460" s="224"/>
      <c r="AG460" s="224"/>
      <c r="AH460" s="224"/>
      <c r="AI460" s="224"/>
      <c r="AJ460" s="224"/>
      <c r="AK460" s="224"/>
      <c r="AL460" s="224"/>
      <c r="AM460" s="224"/>
      <c r="AN460" s="224"/>
      <c r="AO460" s="224"/>
      <c r="AP460" s="224"/>
      <c r="AQ460" s="224"/>
      <c r="AR460" s="224"/>
    </row>
    <row r="461" spans="26:44" x14ac:dyDescent="0.25">
      <c r="Z461" s="152"/>
      <c r="AF461" s="224"/>
      <c r="AG461" s="224"/>
      <c r="AH461" s="224"/>
      <c r="AI461" s="224"/>
      <c r="AJ461" s="224"/>
      <c r="AK461" s="224"/>
      <c r="AL461" s="224"/>
      <c r="AM461" s="224"/>
      <c r="AN461" s="224"/>
      <c r="AO461" s="224"/>
      <c r="AP461" s="224"/>
      <c r="AQ461" s="224"/>
      <c r="AR461" s="224"/>
    </row>
    <row r="462" spans="26:44" x14ac:dyDescent="0.25">
      <c r="Z462" s="152"/>
      <c r="AF462" s="224"/>
      <c r="AG462" s="224"/>
      <c r="AH462" s="224"/>
      <c r="AI462" s="224"/>
      <c r="AJ462" s="224"/>
      <c r="AK462" s="224"/>
      <c r="AL462" s="224"/>
      <c r="AM462" s="224"/>
      <c r="AN462" s="224"/>
      <c r="AO462" s="224"/>
      <c r="AP462" s="224"/>
      <c r="AQ462" s="224"/>
      <c r="AR462" s="224"/>
    </row>
    <row r="463" spans="26:44" x14ac:dyDescent="0.25">
      <c r="Z463" s="152"/>
      <c r="AF463" s="224"/>
      <c r="AG463" s="224"/>
      <c r="AH463" s="224"/>
      <c r="AI463" s="224"/>
      <c r="AJ463" s="224"/>
      <c r="AK463" s="224"/>
      <c r="AL463" s="224"/>
      <c r="AM463" s="224"/>
      <c r="AN463" s="224"/>
      <c r="AO463" s="224"/>
      <c r="AP463" s="224"/>
      <c r="AQ463" s="224"/>
      <c r="AR463" s="224"/>
    </row>
    <row r="464" spans="26:44" x14ac:dyDescent="0.25">
      <c r="Z464" s="152"/>
      <c r="AF464" s="224"/>
      <c r="AG464" s="224"/>
      <c r="AH464" s="224"/>
      <c r="AI464" s="224"/>
      <c r="AJ464" s="224"/>
      <c r="AK464" s="224"/>
      <c r="AL464" s="224"/>
      <c r="AM464" s="224"/>
      <c r="AN464" s="224"/>
      <c r="AO464" s="224"/>
      <c r="AP464" s="224"/>
      <c r="AQ464" s="224"/>
      <c r="AR464" s="224"/>
    </row>
    <row r="465" spans="26:44" x14ac:dyDescent="0.25">
      <c r="Z465" s="152"/>
      <c r="AF465" s="224"/>
      <c r="AG465" s="224"/>
      <c r="AH465" s="224"/>
      <c r="AI465" s="224"/>
      <c r="AJ465" s="224"/>
      <c r="AK465" s="224"/>
      <c r="AL465" s="224"/>
      <c r="AM465" s="224"/>
      <c r="AN465" s="224"/>
      <c r="AO465" s="224"/>
      <c r="AP465" s="224"/>
      <c r="AQ465" s="224"/>
      <c r="AR465" s="224"/>
    </row>
    <row r="466" spans="26:44" x14ac:dyDescent="0.25">
      <c r="Z466" s="152"/>
      <c r="AF466" s="224"/>
      <c r="AG466" s="224"/>
      <c r="AH466" s="224"/>
      <c r="AI466" s="224"/>
      <c r="AJ466" s="224"/>
      <c r="AK466" s="224"/>
      <c r="AL466" s="224"/>
      <c r="AM466" s="224"/>
      <c r="AN466" s="224"/>
      <c r="AO466" s="224"/>
      <c r="AP466" s="224"/>
      <c r="AQ466" s="224"/>
      <c r="AR466" s="224"/>
    </row>
    <row r="467" spans="26:44" x14ac:dyDescent="0.25">
      <c r="Z467" s="152"/>
      <c r="AF467" s="224"/>
      <c r="AG467" s="224"/>
      <c r="AH467" s="224"/>
      <c r="AI467" s="224"/>
      <c r="AJ467" s="224"/>
      <c r="AK467" s="224"/>
      <c r="AL467" s="224"/>
      <c r="AM467" s="224"/>
      <c r="AN467" s="224"/>
      <c r="AO467" s="224"/>
      <c r="AP467" s="224"/>
      <c r="AQ467" s="224"/>
      <c r="AR467" s="224"/>
    </row>
    <row r="468" spans="26:44" x14ac:dyDescent="0.25">
      <c r="Z468" s="152"/>
      <c r="AF468" s="224"/>
      <c r="AG468" s="224"/>
      <c r="AH468" s="224"/>
      <c r="AI468" s="224"/>
      <c r="AJ468" s="224"/>
      <c r="AK468" s="224"/>
      <c r="AL468" s="224"/>
      <c r="AM468" s="224"/>
      <c r="AN468" s="224"/>
      <c r="AO468" s="224"/>
      <c r="AP468" s="224"/>
      <c r="AQ468" s="224"/>
      <c r="AR468" s="224"/>
    </row>
    <row r="469" spans="26:44" x14ac:dyDescent="0.25">
      <c r="Z469" s="152"/>
      <c r="AF469" s="224"/>
      <c r="AG469" s="224"/>
      <c r="AH469" s="224"/>
      <c r="AI469" s="224"/>
      <c r="AJ469" s="224"/>
      <c r="AK469" s="224"/>
      <c r="AL469" s="224"/>
      <c r="AM469" s="224"/>
      <c r="AN469" s="224"/>
      <c r="AO469" s="224"/>
      <c r="AP469" s="224"/>
      <c r="AQ469" s="224"/>
      <c r="AR469" s="224"/>
    </row>
    <row r="470" spans="26:44" x14ac:dyDescent="0.25">
      <c r="Z470" s="152"/>
      <c r="AF470" s="224"/>
      <c r="AG470" s="224"/>
      <c r="AH470" s="224"/>
      <c r="AI470" s="224"/>
      <c r="AJ470" s="224"/>
      <c r="AK470" s="224"/>
      <c r="AL470" s="224"/>
      <c r="AM470" s="224"/>
      <c r="AN470" s="224"/>
      <c r="AO470" s="224"/>
      <c r="AP470" s="224"/>
      <c r="AQ470" s="224"/>
      <c r="AR470" s="224"/>
    </row>
    <row r="471" spans="26:44" x14ac:dyDescent="0.25">
      <c r="Z471" s="152"/>
      <c r="AF471" s="224"/>
      <c r="AG471" s="224"/>
      <c r="AH471" s="224"/>
      <c r="AI471" s="224"/>
      <c r="AJ471" s="224"/>
      <c r="AK471" s="224"/>
      <c r="AL471" s="224"/>
      <c r="AM471" s="224"/>
      <c r="AN471" s="224"/>
      <c r="AO471" s="224"/>
      <c r="AP471" s="224"/>
      <c r="AQ471" s="224"/>
      <c r="AR471" s="224"/>
    </row>
    <row r="472" spans="26:44" x14ac:dyDescent="0.25">
      <c r="Z472" s="152"/>
      <c r="AF472" s="224"/>
      <c r="AG472" s="224"/>
      <c r="AH472" s="224"/>
      <c r="AI472" s="224"/>
      <c r="AJ472" s="224"/>
      <c r="AK472" s="224"/>
      <c r="AL472" s="224"/>
      <c r="AM472" s="224"/>
      <c r="AN472" s="224"/>
      <c r="AO472" s="224"/>
      <c r="AP472" s="224"/>
      <c r="AQ472" s="224"/>
      <c r="AR472" s="224"/>
    </row>
    <row r="473" spans="26:44" x14ac:dyDescent="0.25">
      <c r="Z473" s="152"/>
      <c r="AF473" s="224"/>
      <c r="AG473" s="224"/>
      <c r="AH473" s="224"/>
      <c r="AI473" s="224"/>
      <c r="AJ473" s="224"/>
      <c r="AK473" s="224"/>
      <c r="AL473" s="224"/>
      <c r="AM473" s="224"/>
      <c r="AN473" s="224"/>
      <c r="AO473" s="224"/>
      <c r="AP473" s="224"/>
      <c r="AQ473" s="224"/>
      <c r="AR473" s="224"/>
    </row>
    <row r="474" spans="26:44" x14ac:dyDescent="0.25">
      <c r="Z474" s="152"/>
      <c r="AF474" s="224"/>
      <c r="AG474" s="224"/>
      <c r="AH474" s="224"/>
      <c r="AI474" s="224"/>
      <c r="AJ474" s="224"/>
      <c r="AK474" s="224"/>
      <c r="AL474" s="224"/>
      <c r="AM474" s="224"/>
      <c r="AN474" s="224"/>
      <c r="AO474" s="224"/>
      <c r="AP474" s="224"/>
      <c r="AQ474" s="224"/>
      <c r="AR474" s="224"/>
    </row>
    <row r="475" spans="26:44" x14ac:dyDescent="0.25">
      <c r="Z475" s="152"/>
      <c r="AF475" s="224"/>
      <c r="AG475" s="224"/>
      <c r="AH475" s="224"/>
      <c r="AI475" s="224"/>
      <c r="AJ475" s="224"/>
      <c r="AK475" s="224"/>
      <c r="AL475" s="224"/>
      <c r="AM475" s="224"/>
      <c r="AN475" s="224"/>
      <c r="AO475" s="224"/>
      <c r="AP475" s="224"/>
      <c r="AQ475" s="224"/>
      <c r="AR475" s="224"/>
    </row>
    <row r="476" spans="26:44" x14ac:dyDescent="0.25">
      <c r="Z476" s="152"/>
      <c r="AF476" s="224"/>
      <c r="AG476" s="224"/>
      <c r="AH476" s="224"/>
      <c r="AI476" s="224"/>
      <c r="AJ476" s="224"/>
      <c r="AK476" s="224"/>
      <c r="AL476" s="224"/>
      <c r="AM476" s="224"/>
      <c r="AN476" s="224"/>
      <c r="AO476" s="224"/>
      <c r="AP476" s="224"/>
      <c r="AQ476" s="224"/>
      <c r="AR476" s="224"/>
    </row>
    <row r="477" spans="26:44" x14ac:dyDescent="0.25">
      <c r="Z477" s="152"/>
      <c r="AF477" s="224"/>
      <c r="AG477" s="224"/>
      <c r="AH477" s="224"/>
      <c r="AI477" s="224"/>
      <c r="AJ477" s="224"/>
      <c r="AK477" s="224"/>
      <c r="AL477" s="224"/>
      <c r="AM477" s="224"/>
      <c r="AN477" s="224"/>
      <c r="AO477" s="224"/>
      <c r="AP477" s="224"/>
      <c r="AQ477" s="224"/>
      <c r="AR477" s="224"/>
    </row>
    <row r="478" spans="26:44" x14ac:dyDescent="0.25">
      <c r="Z478" s="152"/>
      <c r="AF478" s="224"/>
      <c r="AG478" s="224"/>
      <c r="AH478" s="224"/>
      <c r="AI478" s="224"/>
      <c r="AJ478" s="224"/>
      <c r="AK478" s="224"/>
      <c r="AL478" s="224"/>
      <c r="AM478" s="224"/>
      <c r="AN478" s="224"/>
      <c r="AO478" s="224"/>
      <c r="AP478" s="224"/>
      <c r="AQ478" s="224"/>
      <c r="AR478" s="224"/>
    </row>
    <row r="479" spans="26:44" x14ac:dyDescent="0.25">
      <c r="Z479" s="152"/>
      <c r="AF479" s="224"/>
      <c r="AG479" s="224"/>
      <c r="AH479" s="224"/>
      <c r="AI479" s="224"/>
      <c r="AJ479" s="224"/>
      <c r="AK479" s="224"/>
      <c r="AL479" s="224"/>
      <c r="AM479" s="224"/>
      <c r="AN479" s="224"/>
      <c r="AO479" s="224"/>
      <c r="AP479" s="224"/>
      <c r="AQ479" s="224"/>
      <c r="AR479" s="224"/>
    </row>
    <row r="480" spans="26:44" x14ac:dyDescent="0.25">
      <c r="Z480" s="152"/>
      <c r="AF480" s="224"/>
      <c r="AG480" s="224"/>
      <c r="AH480" s="224"/>
      <c r="AI480" s="224"/>
      <c r="AJ480" s="224"/>
      <c r="AK480" s="224"/>
      <c r="AL480" s="224"/>
      <c r="AM480" s="224"/>
      <c r="AN480" s="224"/>
      <c r="AO480" s="224"/>
      <c r="AP480" s="224"/>
      <c r="AQ480" s="224"/>
      <c r="AR480" s="224"/>
    </row>
    <row r="481" spans="26:44" x14ac:dyDescent="0.25">
      <c r="Z481" s="152"/>
      <c r="AF481" s="224"/>
      <c r="AG481" s="224"/>
      <c r="AH481" s="224"/>
      <c r="AI481" s="224"/>
      <c r="AJ481" s="224"/>
      <c r="AK481" s="224"/>
      <c r="AL481" s="224"/>
      <c r="AM481" s="224"/>
      <c r="AN481" s="224"/>
      <c r="AO481" s="224"/>
      <c r="AP481" s="224"/>
      <c r="AQ481" s="224"/>
      <c r="AR481" s="224"/>
    </row>
    <row r="482" spans="26:44" x14ac:dyDescent="0.25">
      <c r="Z482" s="152"/>
      <c r="AF482" s="224"/>
      <c r="AG482" s="224"/>
      <c r="AH482" s="224"/>
      <c r="AI482" s="224"/>
      <c r="AJ482" s="224"/>
      <c r="AK482" s="224"/>
      <c r="AL482" s="224"/>
      <c r="AM482" s="224"/>
      <c r="AN482" s="224"/>
      <c r="AO482" s="224"/>
      <c r="AP482" s="224"/>
      <c r="AQ482" s="224"/>
      <c r="AR482" s="224"/>
    </row>
    <row r="483" spans="26:44" x14ac:dyDescent="0.25">
      <c r="Z483" s="152"/>
      <c r="AF483" s="224"/>
      <c r="AG483" s="224"/>
      <c r="AH483" s="224"/>
      <c r="AI483" s="224"/>
      <c r="AJ483" s="224"/>
      <c r="AK483" s="224"/>
      <c r="AL483" s="224"/>
      <c r="AM483" s="224"/>
      <c r="AN483" s="224"/>
      <c r="AO483" s="224"/>
      <c r="AP483" s="224"/>
      <c r="AQ483" s="224"/>
      <c r="AR483" s="224"/>
    </row>
    <row r="484" spans="26:44" x14ac:dyDescent="0.25">
      <c r="Z484" s="152"/>
      <c r="AF484" s="224"/>
      <c r="AG484" s="224"/>
      <c r="AH484" s="224"/>
      <c r="AI484" s="224"/>
      <c r="AJ484" s="224"/>
      <c r="AK484" s="224"/>
      <c r="AL484" s="224"/>
      <c r="AM484" s="224"/>
      <c r="AN484" s="224"/>
      <c r="AO484" s="224"/>
      <c r="AP484" s="224"/>
      <c r="AQ484" s="224"/>
      <c r="AR484" s="224"/>
    </row>
    <row r="485" spans="26:44" x14ac:dyDescent="0.25">
      <c r="Z485" s="152"/>
      <c r="AF485" s="224"/>
      <c r="AG485" s="224"/>
      <c r="AH485" s="224"/>
      <c r="AI485" s="224"/>
      <c r="AJ485" s="224"/>
      <c r="AK485" s="224"/>
      <c r="AL485" s="224"/>
      <c r="AM485" s="224"/>
      <c r="AN485" s="224"/>
      <c r="AO485" s="224"/>
      <c r="AP485" s="224"/>
      <c r="AQ485" s="224"/>
      <c r="AR485" s="224"/>
    </row>
    <row r="486" spans="26:44" x14ac:dyDescent="0.25">
      <c r="Z486" s="152"/>
      <c r="AF486" s="224"/>
      <c r="AG486" s="224"/>
      <c r="AH486" s="224"/>
      <c r="AI486" s="224"/>
      <c r="AJ486" s="224"/>
      <c r="AK486" s="224"/>
      <c r="AL486" s="224"/>
      <c r="AM486" s="224"/>
      <c r="AN486" s="224"/>
      <c r="AO486" s="224"/>
      <c r="AP486" s="224"/>
      <c r="AQ486" s="224"/>
      <c r="AR486" s="224"/>
    </row>
    <row r="487" spans="26:44" x14ac:dyDescent="0.25">
      <c r="Z487" s="152"/>
      <c r="AF487" s="224"/>
      <c r="AG487" s="224"/>
      <c r="AH487" s="224"/>
      <c r="AI487" s="224"/>
      <c r="AJ487" s="224"/>
      <c r="AK487" s="224"/>
      <c r="AL487" s="224"/>
      <c r="AM487" s="224"/>
      <c r="AN487" s="224"/>
      <c r="AO487" s="224"/>
      <c r="AP487" s="224"/>
      <c r="AQ487" s="224"/>
      <c r="AR487" s="224"/>
    </row>
    <row r="488" spans="26:44" x14ac:dyDescent="0.25">
      <c r="Z488" s="152"/>
      <c r="AF488" s="224"/>
      <c r="AG488" s="224"/>
      <c r="AH488" s="224"/>
      <c r="AI488" s="224"/>
      <c r="AJ488" s="224"/>
      <c r="AK488" s="224"/>
      <c r="AL488" s="224"/>
      <c r="AM488" s="224"/>
      <c r="AN488" s="224"/>
      <c r="AO488" s="224"/>
      <c r="AP488" s="224"/>
      <c r="AQ488" s="224"/>
      <c r="AR488" s="224"/>
    </row>
    <row r="489" spans="26:44" x14ac:dyDescent="0.25">
      <c r="Z489" s="152"/>
      <c r="AF489" s="224"/>
      <c r="AG489" s="224"/>
      <c r="AH489" s="224"/>
      <c r="AI489" s="224"/>
      <c r="AJ489" s="224"/>
      <c r="AK489" s="224"/>
      <c r="AL489" s="224"/>
      <c r="AM489" s="224"/>
      <c r="AN489" s="224"/>
      <c r="AO489" s="224"/>
      <c r="AP489" s="224"/>
      <c r="AQ489" s="224"/>
      <c r="AR489" s="224"/>
    </row>
    <row r="490" spans="26:44" x14ac:dyDescent="0.25">
      <c r="Z490" s="152"/>
      <c r="AF490" s="224"/>
      <c r="AG490" s="224"/>
      <c r="AH490" s="224"/>
      <c r="AI490" s="224"/>
      <c r="AJ490" s="224"/>
      <c r="AK490" s="224"/>
      <c r="AL490" s="224"/>
      <c r="AM490" s="224"/>
      <c r="AN490" s="224"/>
      <c r="AO490" s="224"/>
      <c r="AP490" s="224"/>
      <c r="AQ490" s="224"/>
      <c r="AR490" s="224"/>
    </row>
    <row r="491" spans="26:44" x14ac:dyDescent="0.25">
      <c r="Z491" s="152"/>
      <c r="AF491" s="224"/>
      <c r="AG491" s="224"/>
      <c r="AH491" s="224"/>
      <c r="AI491" s="224"/>
      <c r="AJ491" s="224"/>
      <c r="AK491" s="224"/>
      <c r="AL491" s="224"/>
      <c r="AM491" s="224"/>
      <c r="AN491" s="224"/>
      <c r="AO491" s="224"/>
      <c r="AP491" s="224"/>
      <c r="AQ491" s="224"/>
      <c r="AR491" s="224"/>
    </row>
    <row r="492" spans="26:44" x14ac:dyDescent="0.25">
      <c r="Z492" s="152"/>
      <c r="AF492" s="224"/>
      <c r="AG492" s="224"/>
      <c r="AH492" s="224"/>
      <c r="AI492" s="224"/>
      <c r="AJ492" s="224"/>
      <c r="AK492" s="224"/>
      <c r="AL492" s="224"/>
      <c r="AM492" s="224"/>
      <c r="AN492" s="224"/>
      <c r="AO492" s="224"/>
      <c r="AP492" s="224"/>
      <c r="AQ492" s="224"/>
      <c r="AR492" s="224"/>
    </row>
    <row r="493" spans="26:44" x14ac:dyDescent="0.25">
      <c r="Z493" s="152"/>
      <c r="AF493" s="224"/>
      <c r="AG493" s="224"/>
      <c r="AH493" s="224"/>
      <c r="AI493" s="224"/>
      <c r="AJ493" s="224"/>
      <c r="AK493" s="224"/>
      <c r="AL493" s="224"/>
      <c r="AM493" s="224"/>
      <c r="AN493" s="224"/>
      <c r="AO493" s="224"/>
      <c r="AP493" s="224"/>
      <c r="AQ493" s="224"/>
      <c r="AR493" s="224"/>
    </row>
    <row r="494" spans="26:44" x14ac:dyDescent="0.25">
      <c r="Z494" s="152"/>
      <c r="AF494" s="224"/>
      <c r="AG494" s="224"/>
      <c r="AH494" s="224"/>
      <c r="AI494" s="224"/>
      <c r="AJ494" s="224"/>
      <c r="AK494" s="224"/>
      <c r="AL494" s="224"/>
      <c r="AM494" s="224"/>
      <c r="AN494" s="224"/>
      <c r="AO494" s="224"/>
      <c r="AP494" s="224"/>
      <c r="AQ494" s="224"/>
      <c r="AR494" s="224"/>
    </row>
    <row r="495" spans="26:44" x14ac:dyDescent="0.25">
      <c r="Z495" s="152"/>
      <c r="AF495" s="224"/>
      <c r="AG495" s="224"/>
      <c r="AH495" s="224"/>
      <c r="AI495" s="224"/>
      <c r="AJ495" s="224"/>
      <c r="AK495" s="224"/>
      <c r="AL495" s="224"/>
      <c r="AM495" s="224"/>
      <c r="AN495" s="224"/>
      <c r="AO495" s="224"/>
      <c r="AP495" s="224"/>
      <c r="AQ495" s="224"/>
      <c r="AR495" s="224"/>
    </row>
    <row r="496" spans="26:44" x14ac:dyDescent="0.25">
      <c r="Z496" s="152"/>
      <c r="AF496" s="224"/>
      <c r="AG496" s="224"/>
      <c r="AH496" s="224"/>
      <c r="AI496" s="224"/>
      <c r="AJ496" s="224"/>
      <c r="AK496" s="224"/>
      <c r="AL496" s="224"/>
      <c r="AM496" s="224"/>
      <c r="AN496" s="224"/>
      <c r="AO496" s="224"/>
      <c r="AP496" s="224"/>
      <c r="AQ496" s="224"/>
      <c r="AR496" s="224"/>
    </row>
    <row r="497" spans="26:44" x14ac:dyDescent="0.25">
      <c r="Z497" s="152"/>
      <c r="AF497" s="224"/>
      <c r="AG497" s="224"/>
      <c r="AH497" s="224"/>
      <c r="AI497" s="224"/>
      <c r="AJ497" s="224"/>
      <c r="AK497" s="224"/>
      <c r="AL497" s="224"/>
      <c r="AM497" s="224"/>
      <c r="AN497" s="224"/>
      <c r="AO497" s="224"/>
      <c r="AP497" s="224"/>
      <c r="AQ497" s="224"/>
      <c r="AR497" s="224"/>
    </row>
    <row r="498" spans="26:44" x14ac:dyDescent="0.25">
      <c r="Z498" s="152"/>
      <c r="AF498" s="224"/>
      <c r="AG498" s="224"/>
      <c r="AH498" s="224"/>
      <c r="AI498" s="224"/>
      <c r="AJ498" s="224"/>
      <c r="AK498" s="224"/>
      <c r="AL498" s="224"/>
      <c r="AM498" s="224"/>
      <c r="AN498" s="224"/>
      <c r="AO498" s="224"/>
      <c r="AP498" s="224"/>
      <c r="AQ498" s="224"/>
      <c r="AR498" s="224"/>
    </row>
    <row r="499" spans="26:44" x14ac:dyDescent="0.25">
      <c r="Z499" s="152"/>
      <c r="AF499" s="224"/>
      <c r="AG499" s="224"/>
      <c r="AH499" s="224"/>
      <c r="AI499" s="224"/>
      <c r="AJ499" s="224"/>
      <c r="AK499" s="224"/>
      <c r="AL499" s="224"/>
      <c r="AM499" s="224"/>
      <c r="AN499" s="224"/>
      <c r="AO499" s="224"/>
      <c r="AP499" s="224"/>
      <c r="AQ499" s="224"/>
      <c r="AR499" s="224"/>
    </row>
    <row r="500" spans="26:44" x14ac:dyDescent="0.25">
      <c r="Z500" s="152"/>
      <c r="AF500" s="224"/>
      <c r="AG500" s="224"/>
      <c r="AH500" s="224"/>
      <c r="AI500" s="224"/>
      <c r="AJ500" s="224"/>
      <c r="AK500" s="224"/>
      <c r="AL500" s="224"/>
      <c r="AM500" s="224"/>
      <c r="AN500" s="224"/>
      <c r="AO500" s="224"/>
      <c r="AP500" s="224"/>
      <c r="AQ500" s="224"/>
      <c r="AR500" s="224"/>
    </row>
    <row r="501" spans="26:44" x14ac:dyDescent="0.25">
      <c r="Z501" s="152"/>
      <c r="AF501" s="224"/>
      <c r="AG501" s="224"/>
      <c r="AH501" s="224"/>
      <c r="AI501" s="224"/>
      <c r="AJ501" s="224"/>
      <c r="AK501" s="224"/>
      <c r="AL501" s="224"/>
      <c r="AM501" s="224"/>
      <c r="AN501" s="224"/>
      <c r="AO501" s="224"/>
      <c r="AP501" s="224"/>
      <c r="AQ501" s="224"/>
      <c r="AR501" s="224"/>
    </row>
    <row r="502" spans="26:44" x14ac:dyDescent="0.25">
      <c r="Z502" s="152"/>
      <c r="AF502" s="224"/>
      <c r="AG502" s="224"/>
      <c r="AH502" s="224"/>
      <c r="AI502" s="224"/>
      <c r="AJ502" s="224"/>
      <c r="AK502" s="224"/>
      <c r="AL502" s="224"/>
      <c r="AM502" s="224"/>
      <c r="AN502" s="224"/>
      <c r="AO502" s="224"/>
      <c r="AP502" s="224"/>
      <c r="AQ502" s="224"/>
      <c r="AR502" s="224"/>
    </row>
    <row r="503" spans="26:44" x14ac:dyDescent="0.25">
      <c r="Z503" s="152"/>
      <c r="AF503" s="224"/>
      <c r="AG503" s="224"/>
      <c r="AH503" s="224"/>
      <c r="AI503" s="224"/>
      <c r="AJ503" s="224"/>
      <c r="AK503" s="224"/>
      <c r="AL503" s="224"/>
      <c r="AM503" s="224"/>
      <c r="AN503" s="224"/>
      <c r="AO503" s="224"/>
      <c r="AP503" s="224"/>
      <c r="AQ503" s="224"/>
      <c r="AR503" s="224"/>
    </row>
    <row r="504" spans="26:44" x14ac:dyDescent="0.25">
      <c r="Z504" s="152"/>
      <c r="AF504" s="224"/>
      <c r="AG504" s="224"/>
      <c r="AH504" s="224"/>
      <c r="AI504" s="224"/>
      <c r="AJ504" s="224"/>
      <c r="AK504" s="224"/>
      <c r="AL504" s="224"/>
      <c r="AM504" s="224"/>
      <c r="AN504" s="224"/>
      <c r="AO504" s="224"/>
      <c r="AP504" s="224"/>
      <c r="AQ504" s="224"/>
      <c r="AR504" s="224"/>
    </row>
    <row r="505" spans="26:44" x14ac:dyDescent="0.25">
      <c r="Z505" s="152"/>
      <c r="AF505" s="224"/>
      <c r="AG505" s="224"/>
      <c r="AH505" s="224"/>
      <c r="AI505" s="224"/>
      <c r="AJ505" s="224"/>
      <c r="AK505" s="224"/>
      <c r="AL505" s="224"/>
      <c r="AM505" s="224"/>
      <c r="AN505" s="224"/>
      <c r="AO505" s="224"/>
      <c r="AP505" s="224"/>
      <c r="AQ505" s="224"/>
      <c r="AR505" s="224"/>
    </row>
    <row r="506" spans="26:44" x14ac:dyDescent="0.25">
      <c r="Z506" s="152"/>
      <c r="AF506" s="224"/>
      <c r="AG506" s="224"/>
      <c r="AH506" s="224"/>
      <c r="AI506" s="224"/>
      <c r="AJ506" s="224"/>
      <c r="AK506" s="224"/>
      <c r="AL506" s="224"/>
      <c r="AM506" s="224"/>
      <c r="AN506" s="224"/>
      <c r="AO506" s="224"/>
      <c r="AP506" s="224"/>
      <c r="AQ506" s="224"/>
      <c r="AR506" s="224"/>
    </row>
    <row r="507" spans="26:44" x14ac:dyDescent="0.25">
      <c r="Z507" s="152"/>
      <c r="AF507" s="224"/>
      <c r="AG507" s="224"/>
      <c r="AH507" s="224"/>
      <c r="AI507" s="224"/>
      <c r="AJ507" s="224"/>
      <c r="AK507" s="224"/>
      <c r="AL507" s="224"/>
      <c r="AM507" s="224"/>
      <c r="AN507" s="224"/>
      <c r="AO507" s="224"/>
      <c r="AP507" s="224"/>
      <c r="AQ507" s="224"/>
      <c r="AR507" s="224"/>
    </row>
    <row r="508" spans="26:44" x14ac:dyDescent="0.25">
      <c r="Z508" s="152"/>
      <c r="AF508" s="224"/>
      <c r="AG508" s="224"/>
      <c r="AH508" s="224"/>
      <c r="AI508" s="224"/>
      <c r="AJ508" s="224"/>
      <c r="AK508" s="224"/>
      <c r="AL508" s="224"/>
      <c r="AM508" s="224"/>
      <c r="AN508" s="224"/>
      <c r="AO508" s="224"/>
      <c r="AP508" s="224"/>
      <c r="AQ508" s="224"/>
      <c r="AR508" s="224"/>
    </row>
    <row r="509" spans="26:44" x14ac:dyDescent="0.25">
      <c r="Z509" s="152"/>
      <c r="AF509" s="224"/>
      <c r="AG509" s="224"/>
      <c r="AH509" s="224"/>
      <c r="AI509" s="224"/>
      <c r="AJ509" s="224"/>
      <c r="AK509" s="224"/>
      <c r="AL509" s="224"/>
      <c r="AM509" s="224"/>
      <c r="AN509" s="224"/>
      <c r="AO509" s="224"/>
      <c r="AP509" s="224"/>
      <c r="AQ509" s="224"/>
      <c r="AR509" s="224"/>
    </row>
    <row r="510" spans="26:44" x14ac:dyDescent="0.25">
      <c r="Z510" s="152"/>
      <c r="AF510" s="224"/>
      <c r="AG510" s="224"/>
      <c r="AH510" s="224"/>
      <c r="AI510" s="224"/>
      <c r="AJ510" s="224"/>
      <c r="AK510" s="224"/>
      <c r="AL510" s="224"/>
      <c r="AM510" s="224"/>
      <c r="AN510" s="224"/>
      <c r="AO510" s="224"/>
      <c r="AP510" s="224"/>
      <c r="AQ510" s="224"/>
      <c r="AR510" s="224"/>
    </row>
    <row r="511" spans="26:44" x14ac:dyDescent="0.25">
      <c r="Z511" s="152"/>
      <c r="AF511" s="224"/>
      <c r="AG511" s="224"/>
      <c r="AH511" s="224"/>
      <c r="AI511" s="224"/>
      <c r="AJ511" s="224"/>
      <c r="AK511" s="224"/>
      <c r="AL511" s="224"/>
      <c r="AM511" s="224"/>
      <c r="AN511" s="224"/>
      <c r="AO511" s="224"/>
      <c r="AP511" s="224"/>
      <c r="AQ511" s="224"/>
      <c r="AR511" s="224"/>
    </row>
    <row r="512" spans="26:44" x14ac:dyDescent="0.25">
      <c r="Z512" s="152"/>
      <c r="AF512" s="224"/>
      <c r="AG512" s="224"/>
      <c r="AH512" s="224"/>
      <c r="AI512" s="224"/>
      <c r="AJ512" s="224"/>
      <c r="AK512" s="224"/>
      <c r="AL512" s="224"/>
      <c r="AM512" s="224"/>
      <c r="AN512" s="224"/>
      <c r="AO512" s="224"/>
      <c r="AP512" s="224"/>
      <c r="AQ512" s="224"/>
      <c r="AR512" s="224"/>
    </row>
    <row r="513" spans="26:44" x14ac:dyDescent="0.25">
      <c r="Z513" s="152"/>
      <c r="AF513" s="224"/>
      <c r="AG513" s="224"/>
      <c r="AH513" s="224"/>
      <c r="AI513" s="224"/>
      <c r="AJ513" s="224"/>
      <c r="AK513" s="224"/>
      <c r="AL513" s="224"/>
      <c r="AM513" s="224"/>
      <c r="AN513" s="224"/>
      <c r="AO513" s="224"/>
      <c r="AP513" s="224"/>
      <c r="AQ513" s="224"/>
      <c r="AR513" s="224"/>
    </row>
    <row r="514" spans="26:44" x14ac:dyDescent="0.25">
      <c r="Z514" s="152"/>
      <c r="AF514" s="224"/>
      <c r="AG514" s="224"/>
      <c r="AH514" s="224"/>
      <c r="AI514" s="224"/>
      <c r="AJ514" s="224"/>
      <c r="AK514" s="224"/>
      <c r="AL514" s="224"/>
      <c r="AM514" s="224"/>
      <c r="AN514" s="224"/>
      <c r="AO514" s="224"/>
      <c r="AP514" s="224"/>
      <c r="AQ514" s="224"/>
      <c r="AR514" s="224"/>
    </row>
    <row r="515" spans="26:44" x14ac:dyDescent="0.25">
      <c r="Z515" s="152"/>
      <c r="AF515" s="224"/>
      <c r="AG515" s="224"/>
      <c r="AH515" s="224"/>
      <c r="AI515" s="224"/>
      <c r="AJ515" s="224"/>
      <c r="AK515" s="224"/>
      <c r="AL515" s="224"/>
      <c r="AM515" s="224"/>
      <c r="AN515" s="224"/>
      <c r="AO515" s="224"/>
      <c r="AP515" s="224"/>
      <c r="AQ515" s="224"/>
      <c r="AR515" s="224"/>
    </row>
    <row r="516" spans="26:44" x14ac:dyDescent="0.25">
      <c r="Z516" s="152"/>
      <c r="AF516" s="224"/>
      <c r="AG516" s="224"/>
      <c r="AH516" s="224"/>
      <c r="AI516" s="224"/>
      <c r="AJ516" s="224"/>
      <c r="AK516" s="224"/>
      <c r="AL516" s="224"/>
      <c r="AM516" s="224"/>
      <c r="AN516" s="224"/>
      <c r="AO516" s="224"/>
      <c r="AP516" s="224"/>
      <c r="AQ516" s="224"/>
      <c r="AR516" s="224"/>
    </row>
    <row r="517" spans="26:44" x14ac:dyDescent="0.25">
      <c r="Z517" s="152"/>
      <c r="AF517" s="224"/>
      <c r="AG517" s="224"/>
      <c r="AH517" s="224"/>
      <c r="AI517" s="224"/>
      <c r="AJ517" s="224"/>
      <c r="AK517" s="224"/>
      <c r="AL517" s="224"/>
      <c r="AM517" s="224"/>
      <c r="AN517" s="224"/>
      <c r="AO517" s="224"/>
      <c r="AP517" s="224"/>
      <c r="AQ517" s="224"/>
      <c r="AR517" s="224"/>
    </row>
    <row r="518" spans="26:44" x14ac:dyDescent="0.25">
      <c r="Z518" s="152"/>
      <c r="AF518" s="224"/>
      <c r="AG518" s="224"/>
      <c r="AH518" s="224"/>
      <c r="AI518" s="224"/>
      <c r="AJ518" s="224"/>
      <c r="AK518" s="224"/>
      <c r="AL518" s="224"/>
      <c r="AM518" s="224"/>
      <c r="AN518" s="224"/>
      <c r="AO518" s="224"/>
      <c r="AP518" s="224"/>
      <c r="AQ518" s="224"/>
      <c r="AR518" s="224"/>
    </row>
    <row r="519" spans="26:44" x14ac:dyDescent="0.25">
      <c r="Z519" s="152"/>
      <c r="AF519" s="224"/>
      <c r="AG519" s="224"/>
      <c r="AH519" s="224"/>
      <c r="AI519" s="224"/>
      <c r="AJ519" s="224"/>
      <c r="AK519" s="224"/>
      <c r="AL519" s="224"/>
      <c r="AM519" s="224"/>
      <c r="AN519" s="224"/>
      <c r="AO519" s="224"/>
      <c r="AP519" s="224"/>
      <c r="AQ519" s="224"/>
      <c r="AR519" s="224"/>
    </row>
    <row r="520" spans="26:44" x14ac:dyDescent="0.25">
      <c r="Z520" s="152"/>
      <c r="AF520" s="224"/>
      <c r="AG520" s="224"/>
      <c r="AH520" s="224"/>
      <c r="AI520" s="224"/>
      <c r="AJ520" s="224"/>
      <c r="AK520" s="224"/>
      <c r="AL520" s="224"/>
      <c r="AM520" s="224"/>
      <c r="AN520" s="224"/>
      <c r="AO520" s="224"/>
      <c r="AP520" s="224"/>
      <c r="AQ520" s="224"/>
      <c r="AR520" s="224"/>
    </row>
    <row r="521" spans="26:44" x14ac:dyDescent="0.25">
      <c r="Z521" s="152"/>
      <c r="AF521" s="224"/>
      <c r="AG521" s="224"/>
      <c r="AH521" s="224"/>
      <c r="AI521" s="224"/>
      <c r="AJ521" s="224"/>
      <c r="AK521" s="224"/>
      <c r="AL521" s="224"/>
      <c r="AM521" s="224"/>
      <c r="AN521" s="224"/>
      <c r="AO521" s="224"/>
      <c r="AP521" s="224"/>
      <c r="AQ521" s="224"/>
      <c r="AR521" s="224"/>
    </row>
    <row r="522" spans="26:44" x14ac:dyDescent="0.25">
      <c r="Z522" s="152"/>
      <c r="AF522" s="224"/>
      <c r="AG522" s="224"/>
      <c r="AH522" s="224"/>
      <c r="AI522" s="224"/>
      <c r="AJ522" s="224"/>
      <c r="AK522" s="224"/>
      <c r="AL522" s="224"/>
      <c r="AM522" s="224"/>
      <c r="AN522" s="224"/>
      <c r="AO522" s="224"/>
      <c r="AP522" s="224"/>
      <c r="AQ522" s="224"/>
      <c r="AR522" s="224"/>
    </row>
    <row r="523" spans="26:44" x14ac:dyDescent="0.25">
      <c r="Z523" s="152"/>
      <c r="AF523" s="224"/>
      <c r="AG523" s="224"/>
      <c r="AH523" s="224"/>
      <c r="AI523" s="224"/>
      <c r="AJ523" s="224"/>
      <c r="AK523" s="224"/>
      <c r="AL523" s="224"/>
      <c r="AM523" s="224"/>
      <c r="AN523" s="224"/>
      <c r="AO523" s="224"/>
      <c r="AP523" s="224"/>
      <c r="AQ523" s="224"/>
      <c r="AR523" s="224"/>
    </row>
    <row r="524" spans="26:44" x14ac:dyDescent="0.25">
      <c r="Z524" s="152"/>
      <c r="AF524" s="224"/>
      <c r="AG524" s="224"/>
      <c r="AH524" s="224"/>
      <c r="AI524" s="224"/>
      <c r="AJ524" s="224"/>
      <c r="AK524" s="224"/>
      <c r="AL524" s="224"/>
      <c r="AM524" s="224"/>
      <c r="AN524" s="224"/>
      <c r="AO524" s="224"/>
      <c r="AP524" s="224"/>
      <c r="AQ524" s="224"/>
      <c r="AR524" s="224"/>
    </row>
    <row r="525" spans="26:44" x14ac:dyDescent="0.25">
      <c r="Z525" s="152"/>
      <c r="AF525" s="224"/>
      <c r="AG525" s="224"/>
      <c r="AH525" s="224"/>
      <c r="AI525" s="224"/>
      <c r="AJ525" s="224"/>
      <c r="AK525" s="224"/>
      <c r="AL525" s="224"/>
      <c r="AM525" s="224"/>
      <c r="AN525" s="224"/>
      <c r="AO525" s="224"/>
      <c r="AP525" s="224"/>
      <c r="AQ525" s="224"/>
      <c r="AR525" s="224"/>
    </row>
    <row r="526" spans="26:44" x14ac:dyDescent="0.25">
      <c r="Z526" s="152"/>
      <c r="AF526" s="224"/>
      <c r="AG526" s="224"/>
      <c r="AH526" s="224"/>
      <c r="AI526" s="224"/>
      <c r="AJ526" s="224"/>
      <c r="AK526" s="224"/>
      <c r="AL526" s="224"/>
      <c r="AM526" s="224"/>
      <c r="AN526" s="224"/>
      <c r="AO526" s="224"/>
      <c r="AP526" s="224"/>
      <c r="AQ526" s="224"/>
      <c r="AR526" s="224"/>
    </row>
    <row r="527" spans="26:44" x14ac:dyDescent="0.25">
      <c r="Z527" s="152"/>
      <c r="AF527" s="224"/>
      <c r="AG527" s="224"/>
      <c r="AH527" s="224"/>
      <c r="AI527" s="224"/>
      <c r="AJ527" s="224"/>
      <c r="AK527" s="224"/>
      <c r="AL527" s="224"/>
      <c r="AM527" s="224"/>
      <c r="AN527" s="224"/>
      <c r="AO527" s="224"/>
      <c r="AP527" s="224"/>
      <c r="AQ527" s="224"/>
      <c r="AR527" s="224"/>
    </row>
    <row r="528" spans="26:44" x14ac:dyDescent="0.25">
      <c r="Z528" s="152"/>
      <c r="AF528" s="224"/>
      <c r="AG528" s="224"/>
      <c r="AH528" s="224"/>
      <c r="AI528" s="224"/>
      <c r="AJ528" s="224"/>
      <c r="AK528" s="224"/>
      <c r="AL528" s="224"/>
      <c r="AM528" s="224"/>
      <c r="AN528" s="224"/>
      <c r="AO528" s="224"/>
      <c r="AP528" s="224"/>
      <c r="AQ528" s="224"/>
      <c r="AR528" s="224"/>
    </row>
    <row r="529" spans="26:44" x14ac:dyDescent="0.25">
      <c r="Z529" s="152"/>
      <c r="AF529" s="224"/>
      <c r="AG529" s="224"/>
      <c r="AH529" s="224"/>
      <c r="AI529" s="224"/>
      <c r="AJ529" s="224"/>
      <c r="AK529" s="224"/>
      <c r="AL529" s="224"/>
      <c r="AM529" s="224"/>
      <c r="AN529" s="224"/>
      <c r="AO529" s="224"/>
      <c r="AP529" s="224"/>
      <c r="AQ529" s="224"/>
      <c r="AR529" s="224"/>
    </row>
    <row r="530" spans="26:44" x14ac:dyDescent="0.25">
      <c r="Z530" s="152"/>
      <c r="AF530" s="224"/>
      <c r="AG530" s="224"/>
      <c r="AH530" s="224"/>
      <c r="AI530" s="224"/>
      <c r="AJ530" s="224"/>
      <c r="AK530" s="224"/>
      <c r="AL530" s="224"/>
      <c r="AM530" s="224"/>
      <c r="AN530" s="224"/>
      <c r="AO530" s="224"/>
      <c r="AP530" s="224"/>
      <c r="AQ530" s="224"/>
      <c r="AR530" s="224"/>
    </row>
    <row r="531" spans="26:44" x14ac:dyDescent="0.25">
      <c r="Z531" s="152"/>
      <c r="AF531" s="224"/>
      <c r="AG531" s="224"/>
      <c r="AH531" s="224"/>
      <c r="AI531" s="224"/>
      <c r="AJ531" s="224"/>
      <c r="AK531" s="224"/>
      <c r="AL531" s="224"/>
      <c r="AM531" s="224"/>
      <c r="AN531" s="224"/>
      <c r="AO531" s="224"/>
      <c r="AP531" s="224"/>
      <c r="AQ531" s="224"/>
      <c r="AR531" s="224"/>
    </row>
    <row r="532" spans="26:44" x14ac:dyDescent="0.25">
      <c r="Z532" s="152"/>
      <c r="AF532" s="224"/>
      <c r="AG532" s="224"/>
      <c r="AH532" s="224"/>
      <c r="AI532" s="224"/>
      <c r="AJ532" s="224"/>
      <c r="AK532" s="224"/>
      <c r="AL532" s="224"/>
      <c r="AM532" s="224"/>
      <c r="AN532" s="224"/>
      <c r="AO532" s="224"/>
      <c r="AP532" s="224"/>
      <c r="AQ532" s="224"/>
      <c r="AR532" s="224"/>
    </row>
    <row r="533" spans="26:44" x14ac:dyDescent="0.25">
      <c r="Z533" s="152"/>
      <c r="AF533" s="224"/>
      <c r="AG533" s="224"/>
      <c r="AH533" s="224"/>
      <c r="AI533" s="224"/>
      <c r="AJ533" s="224"/>
      <c r="AK533" s="224"/>
      <c r="AL533" s="224"/>
      <c r="AM533" s="224"/>
      <c r="AN533" s="224"/>
      <c r="AO533" s="224"/>
      <c r="AP533" s="224"/>
      <c r="AQ533" s="224"/>
      <c r="AR533" s="224"/>
    </row>
    <row r="534" spans="26:44" x14ac:dyDescent="0.25">
      <c r="Z534" s="152"/>
      <c r="AF534" s="224"/>
      <c r="AG534" s="224"/>
      <c r="AH534" s="224"/>
      <c r="AI534" s="224"/>
      <c r="AJ534" s="224"/>
      <c r="AK534" s="224"/>
      <c r="AL534" s="224"/>
      <c r="AM534" s="224"/>
      <c r="AN534" s="224"/>
      <c r="AO534" s="224"/>
      <c r="AP534" s="224"/>
      <c r="AQ534" s="224"/>
      <c r="AR534" s="224"/>
    </row>
    <row r="535" spans="26:44" x14ac:dyDescent="0.25">
      <c r="Z535" s="152"/>
      <c r="AF535" s="224"/>
      <c r="AG535" s="224"/>
      <c r="AH535" s="224"/>
      <c r="AI535" s="224"/>
      <c r="AJ535" s="224"/>
      <c r="AK535" s="224"/>
      <c r="AL535" s="224"/>
      <c r="AM535" s="224"/>
      <c r="AN535" s="224"/>
      <c r="AO535" s="224"/>
      <c r="AP535" s="224"/>
      <c r="AQ535" s="224"/>
      <c r="AR535" s="224"/>
    </row>
    <row r="536" spans="26:44" x14ac:dyDescent="0.25">
      <c r="Z536" s="152"/>
      <c r="AF536" s="224"/>
      <c r="AG536" s="224"/>
      <c r="AH536" s="224"/>
      <c r="AI536" s="224"/>
      <c r="AJ536" s="224"/>
      <c r="AK536" s="224"/>
      <c r="AL536" s="224"/>
      <c r="AM536" s="224"/>
      <c r="AN536" s="224"/>
      <c r="AO536" s="224"/>
      <c r="AP536" s="224"/>
      <c r="AQ536" s="224"/>
      <c r="AR536" s="224"/>
    </row>
    <row r="537" spans="26:44" x14ac:dyDescent="0.25">
      <c r="Z537" s="152"/>
      <c r="AF537" s="224"/>
      <c r="AG537" s="224"/>
      <c r="AH537" s="224"/>
      <c r="AI537" s="224"/>
      <c r="AJ537" s="224"/>
      <c r="AK537" s="224"/>
      <c r="AL537" s="224"/>
      <c r="AM537" s="224"/>
      <c r="AN537" s="224"/>
      <c r="AO537" s="224"/>
      <c r="AP537" s="224"/>
      <c r="AQ537" s="224"/>
      <c r="AR537" s="224"/>
    </row>
    <row r="538" spans="26:44" x14ac:dyDescent="0.25">
      <c r="Z538" s="152"/>
      <c r="AF538" s="224"/>
      <c r="AG538" s="224"/>
      <c r="AH538" s="224"/>
      <c r="AI538" s="224"/>
      <c r="AJ538" s="224"/>
      <c r="AK538" s="224"/>
      <c r="AL538" s="224"/>
      <c r="AM538" s="224"/>
      <c r="AN538" s="224"/>
      <c r="AO538" s="224"/>
      <c r="AP538" s="224"/>
      <c r="AQ538" s="224"/>
      <c r="AR538" s="224"/>
    </row>
    <row r="539" spans="26:44" x14ac:dyDescent="0.25">
      <c r="Z539" s="152"/>
      <c r="AF539" s="224"/>
      <c r="AG539" s="224"/>
      <c r="AH539" s="224"/>
      <c r="AI539" s="224"/>
      <c r="AJ539" s="224"/>
      <c r="AK539" s="224"/>
      <c r="AL539" s="224"/>
      <c r="AM539" s="224"/>
      <c r="AN539" s="224"/>
      <c r="AO539" s="224"/>
      <c r="AP539" s="224"/>
      <c r="AQ539" s="224"/>
      <c r="AR539" s="224"/>
    </row>
    <row r="540" spans="26:44" x14ac:dyDescent="0.25">
      <c r="Z540" s="152"/>
      <c r="AF540" s="224"/>
      <c r="AG540" s="224"/>
      <c r="AH540" s="224"/>
      <c r="AI540" s="224"/>
      <c r="AJ540" s="224"/>
      <c r="AK540" s="224"/>
      <c r="AL540" s="224"/>
      <c r="AM540" s="224"/>
      <c r="AN540" s="224"/>
      <c r="AO540" s="224"/>
      <c r="AP540" s="224"/>
      <c r="AQ540" s="224"/>
      <c r="AR540" s="224"/>
    </row>
    <row r="541" spans="26:44" x14ac:dyDescent="0.25">
      <c r="Z541" s="152"/>
      <c r="AF541" s="224"/>
      <c r="AG541" s="224"/>
      <c r="AH541" s="224"/>
      <c r="AI541" s="224"/>
      <c r="AJ541" s="224"/>
      <c r="AK541" s="224"/>
      <c r="AL541" s="224"/>
      <c r="AM541" s="224"/>
      <c r="AN541" s="224"/>
      <c r="AO541" s="224"/>
      <c r="AP541" s="224"/>
      <c r="AQ541" s="224"/>
      <c r="AR541" s="224"/>
    </row>
    <row r="542" spans="26:44" x14ac:dyDescent="0.25">
      <c r="Z542" s="152"/>
      <c r="AF542" s="224"/>
      <c r="AG542" s="224"/>
      <c r="AH542" s="224"/>
      <c r="AI542" s="224"/>
      <c r="AJ542" s="224"/>
      <c r="AK542" s="224"/>
      <c r="AL542" s="224"/>
      <c r="AM542" s="224"/>
      <c r="AN542" s="224"/>
      <c r="AO542" s="224"/>
      <c r="AP542" s="224"/>
      <c r="AQ542" s="224"/>
      <c r="AR542" s="224"/>
    </row>
    <row r="543" spans="26:44" x14ac:dyDescent="0.25">
      <c r="Z543" s="152"/>
      <c r="AF543" s="224"/>
      <c r="AG543" s="224"/>
      <c r="AH543" s="224"/>
      <c r="AI543" s="224"/>
      <c r="AJ543" s="224"/>
      <c r="AK543" s="224"/>
      <c r="AL543" s="224"/>
      <c r="AM543" s="224"/>
      <c r="AN543" s="224"/>
      <c r="AO543" s="224"/>
      <c r="AP543" s="224"/>
      <c r="AQ543" s="224"/>
      <c r="AR543" s="224"/>
    </row>
    <row r="544" spans="26:44" x14ac:dyDescent="0.25">
      <c r="Z544" s="152"/>
      <c r="AF544" s="224"/>
      <c r="AG544" s="224"/>
      <c r="AH544" s="224"/>
      <c r="AI544" s="224"/>
      <c r="AJ544" s="224"/>
      <c r="AK544" s="224"/>
      <c r="AL544" s="224"/>
      <c r="AM544" s="224"/>
      <c r="AN544" s="224"/>
      <c r="AO544" s="224"/>
      <c r="AP544" s="224"/>
      <c r="AQ544" s="224"/>
      <c r="AR544" s="224"/>
    </row>
    <row r="545" spans="26:44" x14ac:dyDescent="0.25">
      <c r="Z545" s="152"/>
      <c r="AF545" s="224"/>
      <c r="AG545" s="224"/>
      <c r="AH545" s="224"/>
      <c r="AI545" s="224"/>
      <c r="AJ545" s="224"/>
      <c r="AK545" s="224"/>
      <c r="AL545" s="224"/>
      <c r="AM545" s="224"/>
      <c r="AN545" s="224"/>
      <c r="AO545" s="224"/>
      <c r="AP545" s="224"/>
      <c r="AQ545" s="224"/>
      <c r="AR545" s="224"/>
    </row>
    <row r="546" spans="26:44" x14ac:dyDescent="0.25">
      <c r="Z546" s="152"/>
      <c r="AF546" s="224"/>
      <c r="AG546" s="224"/>
      <c r="AH546" s="224"/>
      <c r="AI546" s="224"/>
      <c r="AJ546" s="224"/>
      <c r="AK546" s="224"/>
      <c r="AL546" s="224"/>
      <c r="AM546" s="224"/>
      <c r="AN546" s="224"/>
      <c r="AO546" s="224"/>
      <c r="AP546" s="224"/>
      <c r="AQ546" s="224"/>
      <c r="AR546" s="224"/>
    </row>
    <row r="547" spans="26:44" x14ac:dyDescent="0.25">
      <c r="Z547" s="152"/>
      <c r="AF547" s="224"/>
      <c r="AG547" s="224"/>
      <c r="AH547" s="224"/>
      <c r="AI547" s="224"/>
      <c r="AJ547" s="224"/>
      <c r="AK547" s="224"/>
      <c r="AL547" s="224"/>
      <c r="AM547" s="224"/>
      <c r="AN547" s="224"/>
      <c r="AO547" s="224"/>
      <c r="AP547" s="224"/>
      <c r="AQ547" s="224"/>
      <c r="AR547" s="224"/>
    </row>
    <row r="548" spans="26:44" x14ac:dyDescent="0.25">
      <c r="Z548" s="152"/>
      <c r="AF548" s="224"/>
      <c r="AG548" s="224"/>
      <c r="AH548" s="224"/>
      <c r="AI548" s="224"/>
      <c r="AJ548" s="224"/>
      <c r="AK548" s="224"/>
      <c r="AL548" s="224"/>
      <c r="AM548" s="224"/>
      <c r="AN548" s="224"/>
      <c r="AO548" s="224"/>
      <c r="AP548" s="224"/>
      <c r="AQ548" s="224"/>
      <c r="AR548" s="224"/>
    </row>
    <row r="549" spans="26:44" x14ac:dyDescent="0.25">
      <c r="Z549" s="152"/>
      <c r="AF549" s="224"/>
      <c r="AG549" s="224"/>
      <c r="AH549" s="224"/>
      <c r="AI549" s="224"/>
      <c r="AJ549" s="224"/>
      <c r="AK549" s="224"/>
      <c r="AL549" s="224"/>
      <c r="AM549" s="224"/>
      <c r="AN549" s="224"/>
      <c r="AO549" s="224"/>
      <c r="AP549" s="224"/>
      <c r="AQ549" s="224"/>
      <c r="AR549" s="224"/>
    </row>
    <row r="550" spans="26:44" x14ac:dyDescent="0.25">
      <c r="Z550" s="152"/>
      <c r="AF550" s="224"/>
      <c r="AG550" s="224"/>
      <c r="AH550" s="224"/>
      <c r="AI550" s="224"/>
      <c r="AJ550" s="224"/>
      <c r="AK550" s="224"/>
      <c r="AL550" s="224"/>
      <c r="AM550" s="224"/>
      <c r="AN550" s="224"/>
      <c r="AO550" s="224"/>
      <c r="AP550" s="224"/>
      <c r="AQ550" s="224"/>
      <c r="AR550" s="224"/>
    </row>
    <row r="551" spans="26:44" x14ac:dyDescent="0.25">
      <c r="Z551" s="152"/>
      <c r="AF551" s="224"/>
      <c r="AG551" s="224"/>
      <c r="AH551" s="224"/>
      <c r="AI551" s="224"/>
      <c r="AJ551" s="224"/>
      <c r="AK551" s="224"/>
      <c r="AL551" s="224"/>
      <c r="AM551" s="224"/>
      <c r="AN551" s="224"/>
      <c r="AO551" s="224"/>
      <c r="AP551" s="224"/>
      <c r="AQ551" s="224"/>
      <c r="AR551" s="224"/>
    </row>
    <row r="552" spans="26:44" x14ac:dyDescent="0.25">
      <c r="Z552" s="152"/>
      <c r="AF552" s="224"/>
      <c r="AG552" s="224"/>
      <c r="AH552" s="224"/>
      <c r="AI552" s="224"/>
      <c r="AJ552" s="224"/>
      <c r="AK552" s="224"/>
      <c r="AL552" s="224"/>
      <c r="AM552" s="224"/>
      <c r="AN552" s="224"/>
      <c r="AO552" s="224"/>
      <c r="AP552" s="224"/>
      <c r="AQ552" s="224"/>
      <c r="AR552" s="224"/>
    </row>
    <row r="553" spans="26:44" x14ac:dyDescent="0.25">
      <c r="Z553" s="152"/>
      <c r="AF553" s="224"/>
      <c r="AG553" s="224"/>
      <c r="AH553" s="224"/>
      <c r="AI553" s="224"/>
      <c r="AJ553" s="224"/>
      <c r="AK553" s="224"/>
      <c r="AL553" s="224"/>
      <c r="AM553" s="224"/>
      <c r="AN553" s="224"/>
      <c r="AO553" s="224"/>
      <c r="AP553" s="224"/>
      <c r="AQ553" s="224"/>
      <c r="AR553" s="224"/>
    </row>
    <row r="554" spans="26:44" x14ac:dyDescent="0.25">
      <c r="Z554" s="152"/>
      <c r="AF554" s="224"/>
      <c r="AG554" s="224"/>
      <c r="AH554" s="224"/>
      <c r="AI554" s="224"/>
      <c r="AJ554" s="224"/>
      <c r="AK554" s="224"/>
      <c r="AL554" s="224"/>
      <c r="AM554" s="224"/>
      <c r="AN554" s="224"/>
      <c r="AO554" s="224"/>
      <c r="AP554" s="224"/>
      <c r="AQ554" s="224"/>
      <c r="AR554" s="224"/>
    </row>
    <row r="555" spans="26:44" x14ac:dyDescent="0.25">
      <c r="Z555" s="152"/>
      <c r="AF555" s="224"/>
      <c r="AG555" s="224"/>
      <c r="AH555" s="224"/>
      <c r="AI555" s="224"/>
      <c r="AJ555" s="224"/>
      <c r="AK555" s="224"/>
      <c r="AL555" s="224"/>
      <c r="AM555" s="224"/>
      <c r="AN555" s="224"/>
      <c r="AO555" s="224"/>
      <c r="AP555" s="224"/>
      <c r="AQ555" s="224"/>
      <c r="AR555" s="224"/>
    </row>
    <row r="556" spans="26:44" x14ac:dyDescent="0.25">
      <c r="Z556" s="152"/>
      <c r="AF556" s="224"/>
      <c r="AG556" s="224"/>
      <c r="AH556" s="224"/>
      <c r="AI556" s="224"/>
      <c r="AJ556" s="224"/>
      <c r="AK556" s="224"/>
      <c r="AL556" s="224"/>
      <c r="AM556" s="224"/>
      <c r="AN556" s="224"/>
      <c r="AO556" s="224"/>
      <c r="AP556" s="224"/>
      <c r="AQ556" s="224"/>
      <c r="AR556" s="224"/>
    </row>
    <row r="557" spans="26:44" x14ac:dyDescent="0.25">
      <c r="Z557" s="152"/>
      <c r="AF557" s="224"/>
      <c r="AG557" s="224"/>
      <c r="AH557" s="224"/>
      <c r="AI557" s="224"/>
      <c r="AJ557" s="224"/>
      <c r="AK557" s="224"/>
      <c r="AL557" s="224"/>
      <c r="AM557" s="224"/>
      <c r="AN557" s="224"/>
      <c r="AO557" s="224"/>
      <c r="AP557" s="224"/>
      <c r="AQ557" s="224"/>
      <c r="AR557" s="224"/>
    </row>
    <row r="558" spans="26:44" x14ac:dyDescent="0.25">
      <c r="Z558" s="152"/>
      <c r="AF558" s="224"/>
      <c r="AG558" s="224"/>
      <c r="AH558" s="224"/>
      <c r="AI558" s="224"/>
      <c r="AJ558" s="224"/>
      <c r="AK558" s="224"/>
      <c r="AL558" s="224"/>
      <c r="AM558" s="224"/>
      <c r="AN558" s="224"/>
      <c r="AO558" s="224"/>
      <c r="AP558" s="224"/>
      <c r="AQ558" s="224"/>
      <c r="AR558" s="224"/>
    </row>
    <row r="559" spans="26:44" x14ac:dyDescent="0.25">
      <c r="Z559" s="152"/>
      <c r="AF559" s="224"/>
      <c r="AG559" s="224"/>
      <c r="AH559" s="224"/>
      <c r="AI559" s="224"/>
      <c r="AJ559" s="224"/>
      <c r="AK559" s="224"/>
      <c r="AL559" s="224"/>
      <c r="AM559" s="224"/>
      <c r="AN559" s="224"/>
      <c r="AO559" s="224"/>
      <c r="AP559" s="224"/>
      <c r="AQ559" s="224"/>
      <c r="AR559" s="224"/>
    </row>
    <row r="560" spans="26:44" x14ac:dyDescent="0.25">
      <c r="Z560" s="152"/>
      <c r="AF560" s="224"/>
      <c r="AG560" s="224"/>
      <c r="AH560" s="224"/>
      <c r="AI560" s="224"/>
      <c r="AJ560" s="224"/>
      <c r="AK560" s="224"/>
      <c r="AL560" s="224"/>
      <c r="AM560" s="224"/>
      <c r="AN560" s="224"/>
      <c r="AO560" s="224"/>
      <c r="AP560" s="224"/>
      <c r="AQ560" s="224"/>
      <c r="AR560" s="224"/>
    </row>
    <row r="561" spans="26:44" x14ac:dyDescent="0.25">
      <c r="Z561" s="152"/>
      <c r="AF561" s="224"/>
      <c r="AG561" s="224"/>
      <c r="AH561" s="224"/>
      <c r="AI561" s="224"/>
      <c r="AJ561" s="224"/>
      <c r="AK561" s="224"/>
      <c r="AL561" s="224"/>
      <c r="AM561" s="224"/>
      <c r="AN561" s="224"/>
      <c r="AO561" s="224"/>
      <c r="AP561" s="224"/>
      <c r="AQ561" s="224"/>
      <c r="AR561" s="224"/>
    </row>
    <row r="562" spans="26:44" x14ac:dyDescent="0.25">
      <c r="Z562" s="152"/>
      <c r="AF562" s="224"/>
      <c r="AG562" s="224"/>
      <c r="AH562" s="224"/>
      <c r="AI562" s="224"/>
      <c r="AJ562" s="224"/>
      <c r="AK562" s="224"/>
      <c r="AL562" s="224"/>
      <c r="AM562" s="224"/>
      <c r="AN562" s="224"/>
      <c r="AO562" s="224"/>
      <c r="AP562" s="224"/>
      <c r="AQ562" s="224"/>
      <c r="AR562" s="224"/>
    </row>
    <row r="563" spans="26:44" x14ac:dyDescent="0.25">
      <c r="Z563" s="152"/>
      <c r="AF563" s="224"/>
      <c r="AG563" s="224"/>
      <c r="AH563" s="224"/>
      <c r="AI563" s="224"/>
      <c r="AJ563" s="224"/>
      <c r="AK563" s="224"/>
      <c r="AL563" s="224"/>
      <c r="AM563" s="224"/>
      <c r="AN563" s="224"/>
      <c r="AO563" s="224"/>
      <c r="AP563" s="224"/>
      <c r="AQ563" s="224"/>
      <c r="AR563" s="224"/>
    </row>
    <row r="564" spans="26:44" x14ac:dyDescent="0.25">
      <c r="Z564" s="152"/>
      <c r="AF564" s="224"/>
      <c r="AG564" s="224"/>
      <c r="AH564" s="224"/>
      <c r="AI564" s="224"/>
      <c r="AJ564" s="224"/>
      <c r="AK564" s="224"/>
      <c r="AL564" s="224"/>
      <c r="AM564" s="224"/>
      <c r="AN564" s="224"/>
      <c r="AO564" s="224"/>
      <c r="AP564" s="224"/>
      <c r="AQ564" s="224"/>
      <c r="AR564" s="224"/>
    </row>
    <row r="565" spans="26:44" x14ac:dyDescent="0.25">
      <c r="Z565" s="152"/>
      <c r="AF565" s="224"/>
      <c r="AG565" s="224"/>
      <c r="AH565" s="224"/>
      <c r="AI565" s="224"/>
      <c r="AJ565" s="224"/>
      <c r="AK565" s="224"/>
      <c r="AL565" s="224"/>
      <c r="AM565" s="224"/>
      <c r="AN565" s="224"/>
      <c r="AO565" s="224"/>
      <c r="AP565" s="224"/>
      <c r="AQ565" s="224"/>
      <c r="AR565" s="224"/>
    </row>
    <row r="566" spans="26:44" x14ac:dyDescent="0.25">
      <c r="Z566" s="152"/>
      <c r="AF566" s="224"/>
      <c r="AG566" s="224"/>
      <c r="AH566" s="224"/>
      <c r="AI566" s="224"/>
      <c r="AJ566" s="224"/>
      <c r="AK566" s="224"/>
      <c r="AL566" s="224"/>
      <c r="AM566" s="224"/>
      <c r="AN566" s="224"/>
      <c r="AO566" s="224"/>
      <c r="AP566" s="224"/>
      <c r="AQ566" s="224"/>
      <c r="AR566" s="224"/>
    </row>
    <row r="567" spans="26:44" x14ac:dyDescent="0.25">
      <c r="Z567" s="152"/>
      <c r="AF567" s="224"/>
      <c r="AG567" s="224"/>
      <c r="AH567" s="224"/>
      <c r="AI567" s="224"/>
      <c r="AJ567" s="224"/>
      <c r="AK567" s="224"/>
      <c r="AL567" s="224"/>
      <c r="AM567" s="224"/>
      <c r="AN567" s="224"/>
      <c r="AO567" s="224"/>
      <c r="AP567" s="224"/>
      <c r="AQ567" s="224"/>
      <c r="AR567" s="224"/>
    </row>
    <row r="568" spans="26:44" x14ac:dyDescent="0.25">
      <c r="Z568" s="152"/>
      <c r="AF568" s="224"/>
      <c r="AG568" s="224"/>
      <c r="AH568" s="224"/>
      <c r="AI568" s="224"/>
      <c r="AJ568" s="224"/>
      <c r="AK568" s="224"/>
      <c r="AL568" s="224"/>
      <c r="AM568" s="224"/>
      <c r="AN568" s="224"/>
      <c r="AO568" s="224"/>
      <c r="AP568" s="224"/>
      <c r="AQ568" s="224"/>
      <c r="AR568" s="224"/>
    </row>
    <row r="569" spans="26:44" x14ac:dyDescent="0.25">
      <c r="Z569" s="152"/>
      <c r="AF569" s="224"/>
      <c r="AG569" s="224"/>
      <c r="AH569" s="224"/>
      <c r="AI569" s="224"/>
      <c r="AJ569" s="224"/>
      <c r="AK569" s="224"/>
      <c r="AL569" s="224"/>
      <c r="AM569" s="224"/>
      <c r="AN569" s="224"/>
      <c r="AO569" s="224"/>
      <c r="AP569" s="224"/>
      <c r="AQ569" s="224"/>
      <c r="AR569" s="224"/>
    </row>
    <row r="570" spans="26:44" x14ac:dyDescent="0.25">
      <c r="Z570" s="152"/>
      <c r="AF570" s="224"/>
      <c r="AG570" s="224"/>
      <c r="AH570" s="224"/>
      <c r="AI570" s="224"/>
      <c r="AJ570" s="224"/>
      <c r="AK570" s="224"/>
      <c r="AL570" s="224"/>
      <c r="AM570" s="224"/>
      <c r="AN570" s="224"/>
      <c r="AO570" s="224"/>
      <c r="AP570" s="224"/>
      <c r="AQ570" s="224"/>
      <c r="AR570" s="224"/>
    </row>
    <row r="571" spans="26:44" x14ac:dyDescent="0.25">
      <c r="Z571" s="152"/>
      <c r="AF571" s="224"/>
      <c r="AG571" s="224"/>
      <c r="AH571" s="224"/>
      <c r="AI571" s="224"/>
      <c r="AJ571" s="224"/>
      <c r="AK571" s="224"/>
      <c r="AL571" s="224"/>
      <c r="AM571" s="224"/>
      <c r="AN571" s="224"/>
      <c r="AO571" s="224"/>
      <c r="AP571" s="224"/>
      <c r="AQ571" s="224"/>
      <c r="AR571" s="224"/>
    </row>
    <row r="572" spans="26:44" x14ac:dyDescent="0.25">
      <c r="Z572" s="152"/>
      <c r="AF572" s="224"/>
      <c r="AG572" s="224"/>
      <c r="AH572" s="224"/>
      <c r="AI572" s="224"/>
      <c r="AJ572" s="224"/>
      <c r="AK572" s="224"/>
      <c r="AL572" s="224"/>
      <c r="AM572" s="224"/>
      <c r="AN572" s="224"/>
      <c r="AO572" s="224"/>
      <c r="AP572" s="224"/>
      <c r="AQ572" s="224"/>
      <c r="AR572" s="224"/>
    </row>
    <row r="573" spans="26:44" x14ac:dyDescent="0.25">
      <c r="Z573" s="152"/>
      <c r="AF573" s="224"/>
      <c r="AG573" s="224"/>
      <c r="AH573" s="224"/>
      <c r="AI573" s="224"/>
      <c r="AJ573" s="224"/>
      <c r="AK573" s="224"/>
      <c r="AL573" s="224"/>
      <c r="AM573" s="224"/>
      <c r="AN573" s="224"/>
      <c r="AO573" s="224"/>
      <c r="AP573" s="224"/>
      <c r="AQ573" s="224"/>
      <c r="AR573" s="224"/>
    </row>
    <row r="574" spans="26:44" x14ac:dyDescent="0.25">
      <c r="Z574" s="152"/>
      <c r="AF574" s="224"/>
      <c r="AG574" s="224"/>
      <c r="AH574" s="224"/>
      <c r="AI574" s="224"/>
      <c r="AJ574" s="224"/>
      <c r="AK574" s="224"/>
      <c r="AL574" s="224"/>
      <c r="AM574" s="224"/>
      <c r="AN574" s="224"/>
      <c r="AO574" s="224"/>
      <c r="AP574" s="224"/>
      <c r="AQ574" s="224"/>
      <c r="AR574" s="224"/>
    </row>
    <row r="575" spans="26:44" x14ac:dyDescent="0.25">
      <c r="Z575" s="152"/>
      <c r="AF575" s="224"/>
      <c r="AG575" s="224"/>
      <c r="AH575" s="224"/>
      <c r="AI575" s="224"/>
      <c r="AJ575" s="224"/>
      <c r="AK575" s="224"/>
      <c r="AL575" s="224"/>
      <c r="AM575" s="224"/>
      <c r="AN575" s="224"/>
      <c r="AO575" s="224"/>
      <c r="AP575" s="224"/>
      <c r="AQ575" s="224"/>
      <c r="AR575" s="224"/>
    </row>
    <row r="576" spans="26:44" x14ac:dyDescent="0.25">
      <c r="Z576" s="152"/>
      <c r="AF576" s="224"/>
      <c r="AG576" s="224"/>
      <c r="AH576" s="224"/>
      <c r="AI576" s="224"/>
      <c r="AJ576" s="224"/>
      <c r="AK576" s="224"/>
      <c r="AL576" s="224"/>
      <c r="AM576" s="224"/>
      <c r="AN576" s="224"/>
      <c r="AO576" s="224"/>
      <c r="AP576" s="224"/>
      <c r="AQ576" s="224"/>
      <c r="AR576" s="224"/>
    </row>
    <row r="577" spans="26:44" x14ac:dyDescent="0.25">
      <c r="Z577" s="152"/>
      <c r="AF577" s="224"/>
      <c r="AG577" s="224"/>
      <c r="AH577" s="224"/>
      <c r="AI577" s="224"/>
      <c r="AJ577" s="224"/>
      <c r="AK577" s="224"/>
      <c r="AL577" s="224"/>
      <c r="AM577" s="224"/>
      <c r="AN577" s="224"/>
      <c r="AO577" s="224"/>
      <c r="AP577" s="224"/>
      <c r="AQ577" s="224"/>
      <c r="AR577" s="224"/>
    </row>
    <row r="578" spans="26:44" x14ac:dyDescent="0.25">
      <c r="Z578" s="152"/>
      <c r="AF578" s="224"/>
      <c r="AG578" s="224"/>
      <c r="AH578" s="224"/>
      <c r="AI578" s="224"/>
      <c r="AJ578" s="224"/>
      <c r="AK578" s="224"/>
      <c r="AL578" s="224"/>
      <c r="AM578" s="224"/>
      <c r="AN578" s="224"/>
      <c r="AO578" s="224"/>
      <c r="AP578" s="224"/>
      <c r="AQ578" s="224"/>
      <c r="AR578" s="224"/>
    </row>
    <row r="579" spans="26:44" x14ac:dyDescent="0.25">
      <c r="Z579" s="152"/>
      <c r="AF579" s="224"/>
      <c r="AG579" s="224"/>
      <c r="AH579" s="224"/>
      <c r="AI579" s="224"/>
      <c r="AJ579" s="224"/>
      <c r="AK579" s="224"/>
      <c r="AL579" s="224"/>
      <c r="AM579" s="224"/>
      <c r="AN579" s="224"/>
      <c r="AO579" s="224"/>
      <c r="AP579" s="224"/>
      <c r="AQ579" s="224"/>
      <c r="AR579" s="224"/>
    </row>
    <row r="580" spans="26:44" x14ac:dyDescent="0.25">
      <c r="Z580" s="152"/>
      <c r="AF580" s="224"/>
      <c r="AG580" s="224"/>
      <c r="AH580" s="224"/>
      <c r="AI580" s="224"/>
      <c r="AJ580" s="224"/>
      <c r="AK580" s="224"/>
      <c r="AL580" s="224"/>
      <c r="AM580" s="224"/>
      <c r="AN580" s="224"/>
      <c r="AO580" s="224"/>
      <c r="AP580" s="224"/>
      <c r="AQ580" s="224"/>
      <c r="AR580" s="224"/>
    </row>
    <row r="581" spans="26:44" x14ac:dyDescent="0.25">
      <c r="Z581" s="152"/>
      <c r="AF581" s="224"/>
      <c r="AG581" s="224"/>
      <c r="AH581" s="224"/>
      <c r="AI581" s="224"/>
      <c r="AJ581" s="224"/>
      <c r="AK581" s="224"/>
      <c r="AL581" s="224"/>
      <c r="AM581" s="224"/>
      <c r="AN581" s="224"/>
      <c r="AO581" s="224"/>
      <c r="AP581" s="224"/>
      <c r="AQ581" s="224"/>
      <c r="AR581" s="224"/>
    </row>
    <row r="582" spans="26:44" x14ac:dyDescent="0.25">
      <c r="Z582" s="152"/>
      <c r="AF582" s="224"/>
      <c r="AG582" s="224"/>
      <c r="AH582" s="224"/>
      <c r="AI582" s="224"/>
      <c r="AJ582" s="224"/>
      <c r="AK582" s="224"/>
      <c r="AL582" s="224"/>
      <c r="AM582" s="224"/>
      <c r="AN582" s="224"/>
      <c r="AO582" s="224"/>
      <c r="AP582" s="224"/>
      <c r="AQ582" s="224"/>
      <c r="AR582" s="224"/>
    </row>
    <row r="583" spans="26:44" x14ac:dyDescent="0.25">
      <c r="Z583" s="152"/>
      <c r="AF583" s="224"/>
      <c r="AG583" s="224"/>
      <c r="AH583" s="224"/>
      <c r="AI583" s="224"/>
      <c r="AJ583" s="224"/>
      <c r="AK583" s="224"/>
      <c r="AL583" s="224"/>
      <c r="AM583" s="224"/>
      <c r="AN583" s="224"/>
      <c r="AO583" s="224"/>
      <c r="AP583" s="224"/>
      <c r="AQ583" s="224"/>
      <c r="AR583" s="224"/>
    </row>
    <row r="584" spans="26:44" x14ac:dyDescent="0.25">
      <c r="Z584" s="152"/>
      <c r="AF584" s="224"/>
      <c r="AG584" s="224"/>
      <c r="AH584" s="224"/>
      <c r="AI584" s="224"/>
      <c r="AJ584" s="224"/>
      <c r="AK584" s="224"/>
      <c r="AL584" s="224"/>
      <c r="AM584" s="224"/>
      <c r="AN584" s="224"/>
      <c r="AO584" s="224"/>
      <c r="AP584" s="224"/>
      <c r="AQ584" s="224"/>
      <c r="AR584" s="224"/>
    </row>
    <row r="585" spans="26:44" x14ac:dyDescent="0.25">
      <c r="Z585" s="152"/>
      <c r="AF585" s="224"/>
      <c r="AG585" s="224"/>
      <c r="AH585" s="224"/>
      <c r="AI585" s="224"/>
      <c r="AJ585" s="224"/>
      <c r="AK585" s="224"/>
      <c r="AL585" s="224"/>
      <c r="AM585" s="224"/>
      <c r="AN585" s="224"/>
      <c r="AO585" s="224"/>
      <c r="AP585" s="224"/>
      <c r="AQ585" s="224"/>
      <c r="AR585" s="224"/>
    </row>
    <row r="586" spans="26:44" x14ac:dyDescent="0.25">
      <c r="Z586" s="152"/>
      <c r="AF586" s="224"/>
      <c r="AG586" s="224"/>
      <c r="AH586" s="224"/>
      <c r="AI586" s="224"/>
      <c r="AJ586" s="224"/>
      <c r="AK586" s="224"/>
      <c r="AL586" s="224"/>
      <c r="AM586" s="224"/>
      <c r="AN586" s="224"/>
      <c r="AO586" s="224"/>
      <c r="AP586" s="224"/>
      <c r="AQ586" s="224"/>
      <c r="AR586" s="224"/>
    </row>
    <row r="587" spans="26:44" x14ac:dyDescent="0.25">
      <c r="Z587" s="152"/>
      <c r="AF587" s="224"/>
      <c r="AG587" s="224"/>
      <c r="AH587" s="224"/>
      <c r="AI587" s="224"/>
      <c r="AJ587" s="224"/>
      <c r="AK587" s="224"/>
      <c r="AL587" s="224"/>
      <c r="AM587" s="224"/>
      <c r="AN587" s="224"/>
      <c r="AO587" s="224"/>
      <c r="AP587" s="224"/>
      <c r="AQ587" s="224"/>
      <c r="AR587" s="224"/>
    </row>
    <row r="588" spans="26:44" x14ac:dyDescent="0.25">
      <c r="Z588" s="152"/>
      <c r="AF588" s="224"/>
      <c r="AG588" s="224"/>
      <c r="AH588" s="224"/>
      <c r="AI588" s="224"/>
      <c r="AJ588" s="224"/>
      <c r="AK588" s="224"/>
      <c r="AL588" s="224"/>
      <c r="AM588" s="224"/>
      <c r="AN588" s="224"/>
      <c r="AO588" s="224"/>
      <c r="AP588" s="224"/>
      <c r="AQ588" s="224"/>
      <c r="AR588" s="224"/>
    </row>
    <row r="589" spans="26:44" x14ac:dyDescent="0.25">
      <c r="Z589" s="152"/>
      <c r="AF589" s="224"/>
      <c r="AG589" s="224"/>
      <c r="AH589" s="224"/>
      <c r="AI589" s="224"/>
      <c r="AJ589" s="224"/>
      <c r="AK589" s="224"/>
      <c r="AL589" s="224"/>
      <c r="AM589" s="224"/>
      <c r="AN589" s="224"/>
      <c r="AO589" s="224"/>
      <c r="AP589" s="224"/>
      <c r="AQ589" s="224"/>
      <c r="AR589" s="224"/>
    </row>
    <row r="590" spans="26:44" x14ac:dyDescent="0.25">
      <c r="Z590" s="152"/>
      <c r="AF590" s="224"/>
      <c r="AG590" s="224"/>
      <c r="AH590" s="224"/>
      <c r="AI590" s="224"/>
      <c r="AJ590" s="224"/>
      <c r="AK590" s="224"/>
      <c r="AL590" s="224"/>
      <c r="AM590" s="224"/>
      <c r="AN590" s="224"/>
      <c r="AO590" s="224"/>
      <c r="AP590" s="224"/>
      <c r="AQ590" s="224"/>
      <c r="AR590" s="224"/>
    </row>
    <row r="591" spans="26:44" x14ac:dyDescent="0.25">
      <c r="Z591" s="152"/>
      <c r="AF591" s="224"/>
      <c r="AG591" s="224"/>
      <c r="AH591" s="224"/>
      <c r="AI591" s="224"/>
      <c r="AJ591" s="224"/>
      <c r="AK591" s="224"/>
      <c r="AL591" s="224"/>
      <c r="AM591" s="224"/>
      <c r="AN591" s="224"/>
      <c r="AO591" s="224"/>
      <c r="AP591" s="224"/>
      <c r="AQ591" s="224"/>
      <c r="AR591" s="224"/>
    </row>
    <row r="592" spans="26:44" x14ac:dyDescent="0.25">
      <c r="Z592" s="152"/>
      <c r="AF592" s="224"/>
      <c r="AG592" s="224"/>
      <c r="AH592" s="224"/>
      <c r="AI592" s="224"/>
      <c r="AJ592" s="224"/>
      <c r="AK592" s="224"/>
      <c r="AL592" s="224"/>
      <c r="AM592" s="224"/>
      <c r="AN592" s="224"/>
      <c r="AO592" s="224"/>
      <c r="AP592" s="224"/>
      <c r="AQ592" s="224"/>
      <c r="AR592" s="224"/>
    </row>
    <row r="593" spans="26:44" x14ac:dyDescent="0.25">
      <c r="Z593" s="152"/>
      <c r="AF593" s="224"/>
      <c r="AG593" s="224"/>
      <c r="AH593" s="224"/>
      <c r="AI593" s="224"/>
      <c r="AJ593" s="224"/>
      <c r="AK593" s="224"/>
      <c r="AL593" s="224"/>
      <c r="AM593" s="224"/>
      <c r="AN593" s="224"/>
      <c r="AO593" s="224"/>
      <c r="AP593" s="224"/>
      <c r="AQ593" s="224"/>
      <c r="AR593" s="224"/>
    </row>
    <row r="594" spans="26:44" x14ac:dyDescent="0.25">
      <c r="Z594" s="152"/>
      <c r="AF594" s="224"/>
      <c r="AG594" s="224"/>
      <c r="AH594" s="224"/>
      <c r="AI594" s="224"/>
      <c r="AJ594" s="224"/>
      <c r="AK594" s="224"/>
      <c r="AL594" s="224"/>
      <c r="AM594" s="224"/>
      <c r="AN594" s="224"/>
      <c r="AO594" s="224"/>
      <c r="AP594" s="224"/>
      <c r="AQ594" s="224"/>
      <c r="AR594" s="224"/>
    </row>
    <row r="595" spans="26:44" x14ac:dyDescent="0.25">
      <c r="Z595" s="152"/>
      <c r="AF595" s="224"/>
      <c r="AG595" s="224"/>
      <c r="AH595" s="224"/>
      <c r="AI595" s="224"/>
      <c r="AJ595" s="224"/>
      <c r="AK595" s="224"/>
      <c r="AL595" s="224"/>
      <c r="AM595" s="224"/>
      <c r="AN595" s="224"/>
      <c r="AO595" s="224"/>
      <c r="AP595" s="224"/>
      <c r="AQ595" s="224"/>
      <c r="AR595" s="224"/>
    </row>
    <row r="596" spans="26:44" x14ac:dyDescent="0.25">
      <c r="Z596" s="152"/>
      <c r="AF596" s="224"/>
      <c r="AG596" s="224"/>
      <c r="AH596" s="224"/>
      <c r="AI596" s="224"/>
      <c r="AJ596" s="224"/>
      <c r="AK596" s="224"/>
      <c r="AL596" s="224"/>
      <c r="AM596" s="224"/>
      <c r="AN596" s="224"/>
      <c r="AO596" s="224"/>
      <c r="AP596" s="224"/>
      <c r="AQ596" s="224"/>
      <c r="AR596" s="224"/>
    </row>
    <row r="597" spans="26:44" x14ac:dyDescent="0.25">
      <c r="Z597" s="152"/>
      <c r="AF597" s="224"/>
      <c r="AG597" s="224"/>
      <c r="AH597" s="224"/>
      <c r="AI597" s="224"/>
      <c r="AJ597" s="224"/>
      <c r="AK597" s="224"/>
      <c r="AL597" s="224"/>
      <c r="AM597" s="224"/>
      <c r="AN597" s="224"/>
      <c r="AO597" s="224"/>
      <c r="AP597" s="224"/>
      <c r="AQ597" s="224"/>
      <c r="AR597" s="224"/>
    </row>
    <row r="598" spans="26:44" x14ac:dyDescent="0.25">
      <c r="Z598" s="152"/>
      <c r="AF598" s="224"/>
      <c r="AG598" s="224"/>
      <c r="AH598" s="224"/>
      <c r="AI598" s="224"/>
      <c r="AJ598" s="224"/>
      <c r="AK598" s="224"/>
      <c r="AL598" s="224"/>
      <c r="AM598" s="224"/>
      <c r="AN598" s="224"/>
      <c r="AO598" s="224"/>
      <c r="AP598" s="224"/>
      <c r="AQ598" s="224"/>
      <c r="AR598" s="224"/>
    </row>
    <row r="599" spans="26:44" x14ac:dyDescent="0.25">
      <c r="Z599" s="152"/>
      <c r="AF599" s="224"/>
      <c r="AG599" s="224"/>
      <c r="AH599" s="224"/>
      <c r="AI599" s="224"/>
      <c r="AJ599" s="224"/>
      <c r="AK599" s="224"/>
      <c r="AL599" s="224"/>
      <c r="AM599" s="224"/>
      <c r="AN599" s="224"/>
      <c r="AO599" s="224"/>
      <c r="AP599" s="224"/>
      <c r="AQ599" s="224"/>
      <c r="AR599" s="224"/>
    </row>
    <row r="600" spans="26:44" x14ac:dyDescent="0.25">
      <c r="Z600" s="152"/>
      <c r="AF600" s="224"/>
      <c r="AG600" s="224"/>
      <c r="AH600" s="224"/>
      <c r="AI600" s="224"/>
      <c r="AJ600" s="224"/>
      <c r="AK600" s="224"/>
      <c r="AL600" s="224"/>
      <c r="AM600" s="224"/>
      <c r="AN600" s="224"/>
      <c r="AO600" s="224"/>
      <c r="AP600" s="224"/>
      <c r="AQ600" s="224"/>
      <c r="AR600" s="224"/>
    </row>
    <row r="601" spans="26:44" x14ac:dyDescent="0.25">
      <c r="Z601" s="152"/>
      <c r="AF601" s="224"/>
      <c r="AG601" s="224"/>
      <c r="AH601" s="224"/>
      <c r="AI601" s="224"/>
      <c r="AJ601" s="224"/>
      <c r="AK601" s="224"/>
      <c r="AL601" s="224"/>
      <c r="AM601" s="224"/>
      <c r="AN601" s="224"/>
      <c r="AO601" s="224"/>
      <c r="AP601" s="224"/>
      <c r="AQ601" s="224"/>
      <c r="AR601" s="224"/>
    </row>
    <row r="602" spans="26:44" x14ac:dyDescent="0.25">
      <c r="Z602" s="152"/>
      <c r="AF602" s="224"/>
      <c r="AG602" s="224"/>
      <c r="AH602" s="224"/>
      <c r="AI602" s="224"/>
      <c r="AJ602" s="224"/>
      <c r="AK602" s="224"/>
      <c r="AL602" s="224"/>
      <c r="AM602" s="224"/>
      <c r="AN602" s="224"/>
      <c r="AO602" s="224"/>
      <c r="AP602" s="224"/>
      <c r="AQ602" s="224"/>
      <c r="AR602" s="224"/>
    </row>
    <row r="603" spans="26:44" x14ac:dyDescent="0.25">
      <c r="Z603" s="152"/>
      <c r="AF603" s="224"/>
      <c r="AG603" s="224"/>
      <c r="AH603" s="224"/>
      <c r="AI603" s="224"/>
      <c r="AJ603" s="224"/>
      <c r="AK603" s="224"/>
      <c r="AL603" s="224"/>
      <c r="AM603" s="224"/>
      <c r="AN603" s="224"/>
      <c r="AO603" s="224"/>
      <c r="AP603" s="224"/>
      <c r="AQ603" s="224"/>
      <c r="AR603" s="224"/>
    </row>
    <row r="604" spans="26:44" x14ac:dyDescent="0.25">
      <c r="Z604" s="152"/>
      <c r="AF604" s="224"/>
      <c r="AG604" s="224"/>
      <c r="AH604" s="224"/>
      <c r="AI604" s="224"/>
      <c r="AJ604" s="224"/>
      <c r="AK604" s="224"/>
      <c r="AL604" s="224"/>
      <c r="AM604" s="224"/>
      <c r="AN604" s="224"/>
      <c r="AO604" s="224"/>
      <c r="AP604" s="224"/>
      <c r="AQ604" s="224"/>
      <c r="AR604" s="224"/>
    </row>
    <row r="605" spans="26:44" x14ac:dyDescent="0.25">
      <c r="Z605" s="152"/>
      <c r="AF605" s="224"/>
      <c r="AG605" s="224"/>
      <c r="AH605" s="224"/>
      <c r="AI605" s="224"/>
      <c r="AJ605" s="224"/>
      <c r="AK605" s="224"/>
      <c r="AL605" s="224"/>
      <c r="AM605" s="224"/>
      <c r="AN605" s="224"/>
      <c r="AO605" s="224"/>
      <c r="AP605" s="224"/>
      <c r="AQ605" s="224"/>
      <c r="AR605" s="224"/>
    </row>
    <row r="606" spans="26:44" x14ac:dyDescent="0.25">
      <c r="Z606" s="152"/>
      <c r="AF606" s="224"/>
      <c r="AG606" s="224"/>
      <c r="AH606" s="224"/>
      <c r="AI606" s="224"/>
      <c r="AJ606" s="224"/>
      <c r="AK606" s="224"/>
      <c r="AL606" s="224"/>
      <c r="AM606" s="224"/>
      <c r="AN606" s="224"/>
      <c r="AO606" s="224"/>
      <c r="AP606" s="224"/>
      <c r="AQ606" s="224"/>
      <c r="AR606" s="224"/>
    </row>
    <row r="607" spans="26:44" x14ac:dyDescent="0.25">
      <c r="Z607" s="152"/>
      <c r="AF607" s="224"/>
      <c r="AG607" s="224"/>
      <c r="AH607" s="224"/>
      <c r="AI607" s="224"/>
      <c r="AJ607" s="224"/>
      <c r="AK607" s="224"/>
      <c r="AL607" s="224"/>
      <c r="AM607" s="224"/>
      <c r="AN607" s="224"/>
      <c r="AO607" s="224"/>
      <c r="AP607" s="224"/>
      <c r="AQ607" s="224"/>
      <c r="AR607" s="224"/>
    </row>
    <row r="608" spans="26:44" x14ac:dyDescent="0.25">
      <c r="Z608" s="152"/>
      <c r="AF608" s="224"/>
      <c r="AG608" s="224"/>
      <c r="AH608" s="224"/>
      <c r="AI608" s="224"/>
      <c r="AJ608" s="224"/>
      <c r="AK608" s="224"/>
      <c r="AL608" s="224"/>
      <c r="AM608" s="224"/>
      <c r="AN608" s="224"/>
      <c r="AO608" s="224"/>
      <c r="AP608" s="224"/>
      <c r="AQ608" s="224"/>
      <c r="AR608" s="224"/>
    </row>
    <row r="609" spans="26:44" x14ac:dyDescent="0.25">
      <c r="Z609" s="152"/>
      <c r="AF609" s="224"/>
      <c r="AG609" s="224"/>
      <c r="AH609" s="224"/>
      <c r="AI609" s="224"/>
      <c r="AJ609" s="224"/>
      <c r="AK609" s="224"/>
      <c r="AL609" s="224"/>
      <c r="AM609" s="224"/>
      <c r="AN609" s="224"/>
      <c r="AO609" s="224"/>
      <c r="AP609" s="224"/>
      <c r="AQ609" s="224"/>
      <c r="AR609" s="224"/>
    </row>
    <row r="610" spans="26:44" x14ac:dyDescent="0.25">
      <c r="Z610" s="152"/>
      <c r="AF610" s="224"/>
      <c r="AG610" s="224"/>
      <c r="AH610" s="224"/>
      <c r="AI610" s="224"/>
      <c r="AJ610" s="224"/>
      <c r="AK610" s="224"/>
      <c r="AL610" s="224"/>
      <c r="AM610" s="224"/>
      <c r="AN610" s="224"/>
      <c r="AO610" s="224"/>
      <c r="AP610" s="224"/>
      <c r="AQ610" s="224"/>
      <c r="AR610" s="224"/>
    </row>
    <row r="611" spans="26:44" x14ac:dyDescent="0.25">
      <c r="Z611" s="152"/>
      <c r="AF611" s="224"/>
      <c r="AG611" s="224"/>
      <c r="AH611" s="224"/>
      <c r="AI611" s="224"/>
      <c r="AJ611" s="224"/>
      <c r="AK611" s="224"/>
      <c r="AL611" s="224"/>
      <c r="AM611" s="224"/>
      <c r="AN611" s="224"/>
      <c r="AO611" s="224"/>
      <c r="AP611" s="224"/>
      <c r="AQ611" s="224"/>
      <c r="AR611" s="224"/>
    </row>
    <row r="612" spans="26:44" x14ac:dyDescent="0.25">
      <c r="Z612" s="152"/>
      <c r="AF612" s="224"/>
      <c r="AG612" s="224"/>
      <c r="AH612" s="224"/>
      <c r="AI612" s="224"/>
      <c r="AJ612" s="224"/>
      <c r="AK612" s="224"/>
      <c r="AL612" s="224"/>
      <c r="AM612" s="224"/>
      <c r="AN612" s="224"/>
      <c r="AO612" s="224"/>
      <c r="AP612" s="224"/>
      <c r="AQ612" s="224"/>
      <c r="AR612" s="224"/>
    </row>
    <row r="613" spans="26:44" x14ac:dyDescent="0.25">
      <c r="Z613" s="152"/>
      <c r="AF613" s="224"/>
      <c r="AG613" s="224"/>
      <c r="AH613" s="224"/>
      <c r="AI613" s="224"/>
      <c r="AJ613" s="224"/>
      <c r="AK613" s="224"/>
      <c r="AL613" s="224"/>
      <c r="AM613" s="224"/>
      <c r="AN613" s="224"/>
      <c r="AO613" s="224"/>
      <c r="AP613" s="224"/>
      <c r="AQ613" s="224"/>
      <c r="AR613" s="224"/>
    </row>
    <row r="614" spans="26:44" x14ac:dyDescent="0.25">
      <c r="Z614" s="152"/>
      <c r="AF614" s="224"/>
      <c r="AG614" s="224"/>
      <c r="AH614" s="224"/>
      <c r="AI614" s="224"/>
      <c r="AJ614" s="224"/>
      <c r="AK614" s="224"/>
      <c r="AL614" s="224"/>
      <c r="AM614" s="224"/>
      <c r="AN614" s="224"/>
      <c r="AO614" s="224"/>
      <c r="AP614" s="224"/>
      <c r="AQ614" s="224"/>
      <c r="AR614" s="224"/>
    </row>
    <row r="615" spans="26:44" x14ac:dyDescent="0.25">
      <c r="Z615" s="152"/>
      <c r="AF615" s="224"/>
      <c r="AG615" s="224"/>
      <c r="AH615" s="224"/>
      <c r="AI615" s="224"/>
      <c r="AJ615" s="224"/>
      <c r="AK615" s="224"/>
      <c r="AL615" s="224"/>
      <c r="AM615" s="224"/>
      <c r="AN615" s="224"/>
      <c r="AO615" s="224"/>
      <c r="AP615" s="224"/>
      <c r="AQ615" s="224"/>
      <c r="AR615" s="224"/>
    </row>
    <row r="616" spans="26:44" x14ac:dyDescent="0.25">
      <c r="Z616" s="152"/>
      <c r="AF616" s="224"/>
      <c r="AG616" s="224"/>
      <c r="AH616" s="224"/>
      <c r="AI616" s="224"/>
      <c r="AJ616" s="224"/>
      <c r="AK616" s="224"/>
      <c r="AL616" s="224"/>
      <c r="AM616" s="224"/>
      <c r="AN616" s="224"/>
      <c r="AO616" s="224"/>
      <c r="AP616" s="224"/>
      <c r="AQ616" s="224"/>
      <c r="AR616" s="224"/>
    </row>
    <row r="617" spans="26:44" x14ac:dyDescent="0.25">
      <c r="Z617" s="152"/>
      <c r="AF617" s="224"/>
      <c r="AG617" s="224"/>
      <c r="AH617" s="224"/>
      <c r="AI617" s="224"/>
      <c r="AJ617" s="224"/>
      <c r="AK617" s="224"/>
      <c r="AL617" s="224"/>
      <c r="AM617" s="224"/>
      <c r="AN617" s="224"/>
      <c r="AO617" s="224"/>
      <c r="AP617" s="224"/>
      <c r="AQ617" s="224"/>
      <c r="AR617" s="224"/>
    </row>
    <row r="618" spans="26:44" x14ac:dyDescent="0.25">
      <c r="Z618" s="152"/>
      <c r="AF618" s="224"/>
      <c r="AG618" s="224"/>
      <c r="AH618" s="224"/>
      <c r="AI618" s="224"/>
      <c r="AJ618" s="224"/>
      <c r="AK618" s="224"/>
      <c r="AL618" s="224"/>
      <c r="AM618" s="224"/>
      <c r="AN618" s="224"/>
      <c r="AO618" s="224"/>
      <c r="AP618" s="224"/>
      <c r="AQ618" s="224"/>
      <c r="AR618" s="224"/>
    </row>
    <row r="619" spans="26:44" x14ac:dyDescent="0.25">
      <c r="Z619" s="152"/>
      <c r="AF619" s="224"/>
      <c r="AG619" s="224"/>
      <c r="AH619" s="224"/>
      <c r="AI619" s="224"/>
      <c r="AJ619" s="224"/>
      <c r="AK619" s="224"/>
      <c r="AL619" s="224"/>
      <c r="AM619" s="224"/>
      <c r="AN619" s="224"/>
      <c r="AO619" s="224"/>
      <c r="AP619" s="224"/>
      <c r="AQ619" s="224"/>
      <c r="AR619" s="224"/>
    </row>
    <row r="620" spans="26:44" x14ac:dyDescent="0.25">
      <c r="Z620" s="152"/>
      <c r="AF620" s="224"/>
      <c r="AG620" s="224"/>
      <c r="AH620" s="224"/>
      <c r="AI620" s="224"/>
      <c r="AJ620" s="224"/>
      <c r="AK620" s="224"/>
      <c r="AL620" s="224"/>
      <c r="AM620" s="224"/>
      <c r="AN620" s="224"/>
      <c r="AO620" s="224"/>
      <c r="AP620" s="224"/>
      <c r="AQ620" s="224"/>
      <c r="AR620" s="224"/>
    </row>
    <row r="621" spans="26:44" x14ac:dyDescent="0.25">
      <c r="Z621" s="152"/>
      <c r="AF621" s="224"/>
      <c r="AG621" s="224"/>
      <c r="AH621" s="224"/>
      <c r="AI621" s="224"/>
      <c r="AJ621" s="224"/>
      <c r="AK621" s="224"/>
      <c r="AL621" s="224"/>
      <c r="AM621" s="224"/>
      <c r="AN621" s="224"/>
      <c r="AO621" s="224"/>
      <c r="AP621" s="224"/>
      <c r="AQ621" s="224"/>
      <c r="AR621" s="224"/>
    </row>
    <row r="622" spans="26:44" x14ac:dyDescent="0.25">
      <c r="Z622" s="152"/>
      <c r="AF622" s="224"/>
      <c r="AG622" s="224"/>
      <c r="AH622" s="224"/>
      <c r="AI622" s="224"/>
      <c r="AJ622" s="224"/>
      <c r="AK622" s="224"/>
      <c r="AL622" s="224"/>
      <c r="AM622" s="224"/>
      <c r="AN622" s="224"/>
      <c r="AO622" s="224"/>
      <c r="AP622" s="224"/>
      <c r="AQ622" s="224"/>
      <c r="AR622" s="224"/>
    </row>
    <row r="623" spans="26:44" x14ac:dyDescent="0.25">
      <c r="Z623" s="152"/>
      <c r="AF623" s="224"/>
      <c r="AG623" s="224"/>
      <c r="AH623" s="224"/>
      <c r="AI623" s="224"/>
      <c r="AJ623" s="224"/>
      <c r="AK623" s="224"/>
      <c r="AL623" s="224"/>
      <c r="AM623" s="224"/>
      <c r="AN623" s="224"/>
      <c r="AO623" s="224"/>
      <c r="AP623" s="224"/>
      <c r="AQ623" s="224"/>
      <c r="AR623" s="224"/>
    </row>
    <row r="624" spans="26:44" x14ac:dyDescent="0.25">
      <c r="Z624" s="152"/>
      <c r="AF624" s="224"/>
      <c r="AG624" s="224"/>
      <c r="AH624" s="224"/>
      <c r="AI624" s="224"/>
      <c r="AJ624" s="224"/>
      <c r="AK624" s="224"/>
      <c r="AL624" s="224"/>
      <c r="AM624" s="224"/>
      <c r="AN624" s="224"/>
      <c r="AO624" s="224"/>
      <c r="AP624" s="224"/>
      <c r="AQ624" s="224"/>
      <c r="AR624" s="224"/>
    </row>
    <row r="625" spans="26:44" x14ac:dyDescent="0.25">
      <c r="Z625" s="152"/>
      <c r="AF625" s="224"/>
      <c r="AG625" s="224"/>
      <c r="AH625" s="224"/>
      <c r="AI625" s="224"/>
      <c r="AJ625" s="224"/>
      <c r="AK625" s="224"/>
      <c r="AL625" s="224"/>
      <c r="AM625" s="224"/>
      <c r="AN625" s="224"/>
      <c r="AO625" s="224"/>
      <c r="AP625" s="224"/>
      <c r="AQ625" s="224"/>
      <c r="AR625" s="224"/>
    </row>
    <row r="626" spans="26:44" x14ac:dyDescent="0.25">
      <c r="Z626" s="152"/>
      <c r="AF626" s="224"/>
      <c r="AG626" s="224"/>
      <c r="AH626" s="224"/>
      <c r="AI626" s="224"/>
      <c r="AJ626" s="224"/>
      <c r="AK626" s="224"/>
      <c r="AL626" s="224"/>
      <c r="AM626" s="224"/>
      <c r="AN626" s="224"/>
      <c r="AO626" s="224"/>
      <c r="AP626" s="224"/>
      <c r="AQ626" s="224"/>
      <c r="AR626" s="224"/>
    </row>
    <row r="627" spans="26:44" x14ac:dyDescent="0.25">
      <c r="Z627" s="152"/>
      <c r="AF627" s="224"/>
      <c r="AG627" s="224"/>
      <c r="AH627" s="224"/>
      <c r="AI627" s="224"/>
      <c r="AJ627" s="224"/>
      <c r="AK627" s="224"/>
      <c r="AL627" s="224"/>
      <c r="AM627" s="224"/>
      <c r="AN627" s="224"/>
      <c r="AO627" s="224"/>
      <c r="AP627" s="224"/>
      <c r="AQ627" s="224"/>
      <c r="AR627" s="224"/>
    </row>
    <row r="628" spans="26:44" x14ac:dyDescent="0.25">
      <c r="Z628" s="152"/>
      <c r="AF628" s="224"/>
      <c r="AG628" s="224"/>
      <c r="AH628" s="224"/>
      <c r="AI628" s="224"/>
      <c r="AJ628" s="224"/>
      <c r="AK628" s="224"/>
      <c r="AL628" s="224"/>
      <c r="AM628" s="224"/>
      <c r="AN628" s="224"/>
      <c r="AO628" s="224"/>
      <c r="AP628" s="224"/>
      <c r="AQ628" s="224"/>
      <c r="AR628" s="224"/>
    </row>
    <row r="629" spans="26:44" x14ac:dyDescent="0.25">
      <c r="Z629" s="152"/>
      <c r="AF629" s="224"/>
      <c r="AG629" s="224"/>
      <c r="AH629" s="224"/>
      <c r="AI629" s="224"/>
      <c r="AJ629" s="224"/>
      <c r="AK629" s="224"/>
      <c r="AL629" s="224"/>
      <c r="AM629" s="224"/>
      <c r="AN629" s="224"/>
      <c r="AO629" s="224"/>
      <c r="AP629" s="224"/>
      <c r="AQ629" s="224"/>
      <c r="AR629" s="224"/>
    </row>
    <row r="630" spans="26:44" x14ac:dyDescent="0.25">
      <c r="Z630" s="152"/>
      <c r="AF630" s="224"/>
      <c r="AG630" s="224"/>
      <c r="AH630" s="224"/>
      <c r="AI630" s="224"/>
      <c r="AJ630" s="224"/>
      <c r="AK630" s="224"/>
      <c r="AL630" s="224"/>
      <c r="AM630" s="224"/>
      <c r="AN630" s="224"/>
      <c r="AO630" s="224"/>
      <c r="AP630" s="224"/>
      <c r="AQ630" s="224"/>
      <c r="AR630" s="224"/>
    </row>
    <row r="631" spans="26:44" x14ac:dyDescent="0.25">
      <c r="Z631" s="152"/>
      <c r="AF631" s="224"/>
      <c r="AG631" s="224"/>
      <c r="AH631" s="224"/>
      <c r="AI631" s="224"/>
      <c r="AJ631" s="224"/>
      <c r="AK631" s="224"/>
      <c r="AL631" s="224"/>
      <c r="AM631" s="224"/>
      <c r="AN631" s="224"/>
      <c r="AO631" s="224"/>
      <c r="AP631" s="224"/>
      <c r="AQ631" s="224"/>
      <c r="AR631" s="224"/>
    </row>
    <row r="632" spans="26:44" x14ac:dyDescent="0.25">
      <c r="Z632" s="152"/>
      <c r="AF632" s="224"/>
      <c r="AG632" s="224"/>
      <c r="AH632" s="224"/>
      <c r="AI632" s="224"/>
      <c r="AJ632" s="224"/>
      <c r="AK632" s="224"/>
      <c r="AL632" s="224"/>
      <c r="AM632" s="224"/>
      <c r="AN632" s="224"/>
      <c r="AO632" s="224"/>
      <c r="AP632" s="224"/>
      <c r="AQ632" s="224"/>
      <c r="AR632" s="224"/>
    </row>
    <row r="633" spans="26:44" x14ac:dyDescent="0.25">
      <c r="Z633" s="152"/>
      <c r="AF633" s="224"/>
      <c r="AG633" s="224"/>
      <c r="AH633" s="224"/>
      <c r="AI633" s="224"/>
      <c r="AJ633" s="224"/>
      <c r="AK633" s="224"/>
      <c r="AL633" s="224"/>
      <c r="AM633" s="224"/>
      <c r="AN633" s="224"/>
      <c r="AO633" s="224"/>
      <c r="AP633" s="224"/>
      <c r="AQ633" s="224"/>
      <c r="AR633" s="224"/>
    </row>
    <row r="634" spans="26:44" x14ac:dyDescent="0.25">
      <c r="Z634" s="152"/>
      <c r="AF634" s="224"/>
      <c r="AG634" s="224"/>
      <c r="AH634" s="224"/>
      <c r="AI634" s="224"/>
      <c r="AJ634" s="224"/>
      <c r="AK634" s="224"/>
      <c r="AL634" s="224"/>
      <c r="AM634" s="224"/>
      <c r="AN634" s="224"/>
      <c r="AO634" s="224"/>
      <c r="AP634" s="224"/>
      <c r="AQ634" s="224"/>
      <c r="AR634" s="224"/>
    </row>
    <row r="635" spans="26:44" x14ac:dyDescent="0.25">
      <c r="Z635" s="152"/>
      <c r="AF635" s="224"/>
      <c r="AG635" s="224"/>
      <c r="AH635" s="224"/>
      <c r="AI635" s="224"/>
      <c r="AJ635" s="224"/>
      <c r="AK635" s="224"/>
      <c r="AL635" s="224"/>
      <c r="AM635" s="224"/>
      <c r="AN635" s="224"/>
      <c r="AO635" s="224"/>
      <c r="AP635" s="224"/>
      <c r="AQ635" s="224"/>
      <c r="AR635" s="224"/>
    </row>
    <row r="636" spans="26:44" x14ac:dyDescent="0.25">
      <c r="Z636" s="152"/>
      <c r="AF636" s="224"/>
      <c r="AG636" s="224"/>
      <c r="AH636" s="224"/>
      <c r="AI636" s="224"/>
      <c r="AJ636" s="224"/>
      <c r="AK636" s="224"/>
      <c r="AL636" s="224"/>
      <c r="AM636" s="224"/>
      <c r="AN636" s="224"/>
      <c r="AO636" s="224"/>
      <c r="AP636" s="224"/>
      <c r="AQ636" s="224"/>
      <c r="AR636" s="224"/>
    </row>
    <row r="637" spans="26:44" x14ac:dyDescent="0.25">
      <c r="Z637" s="152"/>
      <c r="AF637" s="224"/>
      <c r="AG637" s="224"/>
      <c r="AH637" s="224"/>
      <c r="AI637" s="224"/>
      <c r="AJ637" s="224"/>
      <c r="AK637" s="224"/>
      <c r="AL637" s="224"/>
      <c r="AM637" s="224"/>
      <c r="AN637" s="224"/>
      <c r="AO637" s="224"/>
      <c r="AP637" s="224"/>
      <c r="AQ637" s="224"/>
      <c r="AR637" s="224"/>
    </row>
    <row r="638" spans="26:44" x14ac:dyDescent="0.25">
      <c r="Z638" s="152"/>
    </row>
    <row r="639" spans="26:44" x14ac:dyDescent="0.25">
      <c r="Z639" s="152"/>
    </row>
    <row r="640" spans="26:44" x14ac:dyDescent="0.25">
      <c r="Z640" s="152"/>
    </row>
    <row r="641" spans="26:26" x14ac:dyDescent="0.25">
      <c r="Z641" s="152"/>
    </row>
    <row r="642" spans="26:26" x14ac:dyDescent="0.25">
      <c r="Z642" s="152"/>
    </row>
    <row r="643" spans="26:26" x14ac:dyDescent="0.25">
      <c r="Z643" s="152"/>
    </row>
    <row r="644" spans="26:26" x14ac:dyDescent="0.25">
      <c r="Z644" s="152"/>
    </row>
    <row r="645" spans="26:26" x14ac:dyDescent="0.25">
      <c r="Z645" s="152"/>
    </row>
    <row r="646" spans="26:26" x14ac:dyDescent="0.25">
      <c r="Z646" s="152"/>
    </row>
    <row r="647" spans="26:26" x14ac:dyDescent="0.25">
      <c r="Z647" s="152"/>
    </row>
    <row r="648" spans="26:26" x14ac:dyDescent="0.25">
      <c r="Z648" s="152"/>
    </row>
    <row r="649" spans="26:26" x14ac:dyDescent="0.25">
      <c r="Z649" s="152"/>
    </row>
    <row r="650" spans="26:26" x14ac:dyDescent="0.25">
      <c r="Z650" s="152"/>
    </row>
    <row r="651" spans="26:26" x14ac:dyDescent="0.25">
      <c r="Z651" s="152"/>
    </row>
    <row r="652" spans="26:26" x14ac:dyDescent="0.25">
      <c r="Z652" s="152"/>
    </row>
    <row r="653" spans="26:26" x14ac:dyDescent="0.25">
      <c r="Z653" s="152"/>
    </row>
    <row r="654" spans="26:26" x14ac:dyDescent="0.25">
      <c r="Z654" s="152"/>
    </row>
    <row r="655" spans="26:26" x14ac:dyDescent="0.25">
      <c r="Z655" s="152"/>
    </row>
    <row r="656" spans="26:26" x14ac:dyDescent="0.25">
      <c r="Z656" s="152"/>
    </row>
    <row r="657" spans="26:26" x14ac:dyDescent="0.25">
      <c r="Z657" s="152"/>
    </row>
    <row r="658" spans="26:26" x14ac:dyDescent="0.25">
      <c r="Z658" s="152"/>
    </row>
    <row r="659" spans="26:26" x14ac:dyDescent="0.25">
      <c r="Z659" s="152"/>
    </row>
    <row r="660" spans="26:26" x14ac:dyDescent="0.25">
      <c r="Z660" s="152"/>
    </row>
    <row r="661" spans="26:26" x14ac:dyDescent="0.25">
      <c r="Z661" s="152"/>
    </row>
    <row r="662" spans="26:26" x14ac:dyDescent="0.25">
      <c r="Z662" s="152"/>
    </row>
    <row r="663" spans="26:26" x14ac:dyDescent="0.25">
      <c r="Z663" s="152"/>
    </row>
    <row r="664" spans="26:26" x14ac:dyDescent="0.25">
      <c r="Z664" s="152"/>
    </row>
    <row r="665" spans="26:26" x14ac:dyDescent="0.25">
      <c r="Z665" s="152"/>
    </row>
    <row r="666" spans="26:26" x14ac:dyDescent="0.25">
      <c r="Z666" s="152"/>
    </row>
    <row r="667" spans="26:26" x14ac:dyDescent="0.25">
      <c r="Z667" s="152"/>
    </row>
    <row r="668" spans="26:26" x14ac:dyDescent="0.25">
      <c r="Z668" s="152"/>
    </row>
    <row r="669" spans="26:26" x14ac:dyDescent="0.25">
      <c r="Z669" s="152"/>
    </row>
    <row r="670" spans="26:26" x14ac:dyDescent="0.25">
      <c r="Z670" s="152"/>
    </row>
    <row r="671" spans="26:26" x14ac:dyDescent="0.25">
      <c r="Z671" s="152"/>
    </row>
    <row r="672" spans="26:26" x14ac:dyDescent="0.25">
      <c r="Z672" s="152"/>
    </row>
    <row r="673" spans="26:26" x14ac:dyDescent="0.25">
      <c r="Z673" s="152"/>
    </row>
    <row r="674" spans="26:26" x14ac:dyDescent="0.25">
      <c r="Z674" s="152"/>
    </row>
    <row r="675" spans="26:26" x14ac:dyDescent="0.25">
      <c r="Z675" s="152"/>
    </row>
    <row r="676" spans="26:26" x14ac:dyDescent="0.25">
      <c r="Z676" s="152"/>
    </row>
    <row r="677" spans="26:26" x14ac:dyDescent="0.25">
      <c r="Z677" s="152"/>
    </row>
    <row r="678" spans="26:26" x14ac:dyDescent="0.25">
      <c r="Z678" s="152"/>
    </row>
    <row r="679" spans="26:26" x14ac:dyDescent="0.25">
      <c r="Z679" s="152"/>
    </row>
    <row r="680" spans="26:26" x14ac:dyDescent="0.25">
      <c r="Z680" s="152"/>
    </row>
    <row r="681" spans="26:26" x14ac:dyDescent="0.25">
      <c r="Z681" s="152"/>
    </row>
    <row r="682" spans="26:26" x14ac:dyDescent="0.25">
      <c r="Z682" s="152"/>
    </row>
    <row r="683" spans="26:26" x14ac:dyDescent="0.25">
      <c r="Z683" s="152"/>
    </row>
    <row r="684" spans="26:26" x14ac:dyDescent="0.25">
      <c r="Z684" s="152"/>
    </row>
    <row r="685" spans="26:26" x14ac:dyDescent="0.25">
      <c r="Z685" s="152"/>
    </row>
    <row r="686" spans="26:26" x14ac:dyDescent="0.25">
      <c r="Z686" s="152"/>
    </row>
    <row r="687" spans="26:26" x14ac:dyDescent="0.25">
      <c r="Z687" s="152"/>
    </row>
    <row r="688" spans="26:26" x14ac:dyDescent="0.25">
      <c r="Z688" s="152"/>
    </row>
    <row r="689" spans="26:26" x14ac:dyDescent="0.25">
      <c r="Z689" s="152"/>
    </row>
    <row r="690" spans="26:26" x14ac:dyDescent="0.25">
      <c r="Z690" s="152"/>
    </row>
    <row r="691" spans="26:26" x14ac:dyDescent="0.25">
      <c r="Z691" s="152"/>
    </row>
    <row r="692" spans="26:26" x14ac:dyDescent="0.25">
      <c r="Z692" s="152"/>
    </row>
    <row r="693" spans="26:26" x14ac:dyDescent="0.25">
      <c r="Z693" s="152"/>
    </row>
    <row r="694" spans="26:26" x14ac:dyDescent="0.25">
      <c r="Z694" s="152"/>
    </row>
    <row r="695" spans="26:26" x14ac:dyDescent="0.25">
      <c r="Z695" s="152"/>
    </row>
    <row r="696" spans="26:26" x14ac:dyDescent="0.25">
      <c r="Z696" s="152"/>
    </row>
    <row r="697" spans="26:26" x14ac:dyDescent="0.25">
      <c r="Z697" s="152"/>
    </row>
    <row r="698" spans="26:26" x14ac:dyDescent="0.25">
      <c r="Z698" s="152"/>
    </row>
    <row r="699" spans="26:26" x14ac:dyDescent="0.25">
      <c r="Z699" s="152"/>
    </row>
    <row r="700" spans="26:26" x14ac:dyDescent="0.25">
      <c r="Z700" s="152"/>
    </row>
    <row r="701" spans="26:26" x14ac:dyDescent="0.25">
      <c r="Z701" s="152"/>
    </row>
    <row r="702" spans="26:26" x14ac:dyDescent="0.25">
      <c r="Z702" s="152"/>
    </row>
    <row r="703" spans="26:26" x14ac:dyDescent="0.25">
      <c r="Z703" s="152"/>
    </row>
    <row r="704" spans="26:26" x14ac:dyDescent="0.25">
      <c r="Z704" s="152"/>
    </row>
    <row r="705" spans="26:26" x14ac:dyDescent="0.25">
      <c r="Z705" s="152"/>
    </row>
    <row r="706" spans="26:26" x14ac:dyDescent="0.25">
      <c r="Z706" s="152"/>
    </row>
    <row r="707" spans="26:26" x14ac:dyDescent="0.25">
      <c r="Z707" s="152"/>
    </row>
    <row r="708" spans="26:26" x14ac:dyDescent="0.25">
      <c r="Z708" s="152"/>
    </row>
    <row r="709" spans="26:26" x14ac:dyDescent="0.25">
      <c r="Z709" s="152"/>
    </row>
    <row r="710" spans="26:26" x14ac:dyDescent="0.25">
      <c r="Z710" s="152"/>
    </row>
    <row r="711" spans="26:26" x14ac:dyDescent="0.25">
      <c r="Z711" s="152"/>
    </row>
    <row r="712" spans="26:26" x14ac:dyDescent="0.25">
      <c r="Z712" s="152"/>
    </row>
    <row r="713" spans="26:26" x14ac:dyDescent="0.25">
      <c r="Z713" s="152"/>
    </row>
    <row r="714" spans="26:26" x14ac:dyDescent="0.25">
      <c r="Z714" s="152"/>
    </row>
    <row r="715" spans="26:26" x14ac:dyDescent="0.25">
      <c r="Z715" s="152"/>
    </row>
    <row r="716" spans="26:26" x14ac:dyDescent="0.25">
      <c r="Z716" s="152"/>
    </row>
    <row r="717" spans="26:26" x14ac:dyDescent="0.25">
      <c r="Z717" s="152"/>
    </row>
    <row r="718" spans="26:26" x14ac:dyDescent="0.25">
      <c r="Z718" s="152"/>
    </row>
    <row r="719" spans="26:26" x14ac:dyDescent="0.25">
      <c r="Z719" s="152"/>
    </row>
    <row r="720" spans="26:26" x14ac:dyDescent="0.25">
      <c r="Z720" s="152"/>
    </row>
    <row r="721" spans="26:26" x14ac:dyDescent="0.25">
      <c r="Z721" s="152"/>
    </row>
    <row r="722" spans="26:26" x14ac:dyDescent="0.25">
      <c r="Z722" s="152"/>
    </row>
    <row r="723" spans="26:26" x14ac:dyDescent="0.25">
      <c r="Z723" s="152"/>
    </row>
    <row r="724" spans="26:26" x14ac:dyDescent="0.25">
      <c r="Z724" s="152"/>
    </row>
    <row r="725" spans="26:26" x14ac:dyDescent="0.25">
      <c r="Z725" s="152"/>
    </row>
    <row r="726" spans="26:26" x14ac:dyDescent="0.25">
      <c r="Z726" s="152"/>
    </row>
    <row r="727" spans="26:26" x14ac:dyDescent="0.25">
      <c r="Z727" s="152"/>
    </row>
    <row r="728" spans="26:26" x14ac:dyDescent="0.25">
      <c r="Z728" s="152"/>
    </row>
    <row r="729" spans="26:26" x14ac:dyDescent="0.25">
      <c r="Z729" s="152"/>
    </row>
    <row r="730" spans="26:26" x14ac:dyDescent="0.25">
      <c r="Z730" s="152"/>
    </row>
    <row r="731" spans="26:26" x14ac:dyDescent="0.25">
      <c r="Z731" s="152"/>
    </row>
    <row r="732" spans="26:26" x14ac:dyDescent="0.25">
      <c r="Z732" s="152"/>
    </row>
    <row r="733" spans="26:26" x14ac:dyDescent="0.25">
      <c r="Z733" s="152"/>
    </row>
    <row r="734" spans="26:26" x14ac:dyDescent="0.25">
      <c r="Z734" s="152"/>
    </row>
    <row r="735" spans="26:26" x14ac:dyDescent="0.25">
      <c r="Z735" s="152"/>
    </row>
    <row r="736" spans="26:26" x14ac:dyDescent="0.25">
      <c r="Z736" s="152"/>
    </row>
    <row r="737" spans="26:26" x14ac:dyDescent="0.25">
      <c r="Z737" s="152"/>
    </row>
    <row r="738" spans="26:26" x14ac:dyDescent="0.25">
      <c r="Z738" s="152"/>
    </row>
    <row r="739" spans="26:26" x14ac:dyDescent="0.25">
      <c r="Z739" s="152"/>
    </row>
    <row r="740" spans="26:26" x14ac:dyDescent="0.25">
      <c r="Z740" s="152"/>
    </row>
    <row r="741" spans="26:26" x14ac:dyDescent="0.25">
      <c r="Z741" s="152"/>
    </row>
    <row r="742" spans="26:26" x14ac:dyDescent="0.25">
      <c r="Z742" s="152"/>
    </row>
    <row r="743" spans="26:26" x14ac:dyDescent="0.25">
      <c r="Z743" s="152"/>
    </row>
    <row r="744" spans="26:26" x14ac:dyDescent="0.25">
      <c r="Z744" s="152"/>
    </row>
    <row r="745" spans="26:26" x14ac:dyDescent="0.25">
      <c r="Z745" s="152"/>
    </row>
    <row r="746" spans="26:26" x14ac:dyDescent="0.25">
      <c r="Z746" s="152"/>
    </row>
    <row r="747" spans="26:26" x14ac:dyDescent="0.25">
      <c r="Z747" s="152"/>
    </row>
    <row r="748" spans="26:26" x14ac:dyDescent="0.25">
      <c r="Z748" s="152"/>
    </row>
    <row r="749" spans="26:26" x14ac:dyDescent="0.25">
      <c r="Z749" s="152"/>
    </row>
    <row r="750" spans="26:26" x14ac:dyDescent="0.25">
      <c r="Z750" s="152"/>
    </row>
    <row r="751" spans="26:26" x14ac:dyDescent="0.25">
      <c r="Z751" s="152"/>
    </row>
    <row r="752" spans="26:26" x14ac:dyDescent="0.25">
      <c r="Z752" s="152"/>
    </row>
    <row r="753" spans="26:26" x14ac:dyDescent="0.25">
      <c r="Z753" s="152"/>
    </row>
    <row r="754" spans="26:26" x14ac:dyDescent="0.25">
      <c r="Z754" s="152"/>
    </row>
    <row r="755" spans="26:26" x14ac:dyDescent="0.25">
      <c r="Z755" s="152"/>
    </row>
    <row r="756" spans="26:26" x14ac:dyDescent="0.25">
      <c r="Z756" s="152"/>
    </row>
    <row r="757" spans="26:26" x14ac:dyDescent="0.25">
      <c r="Z757" s="152"/>
    </row>
    <row r="758" spans="26:26" x14ac:dyDescent="0.25">
      <c r="Z758" s="152"/>
    </row>
    <row r="759" spans="26:26" x14ac:dyDescent="0.25">
      <c r="Z759" s="152"/>
    </row>
    <row r="760" spans="26:26" x14ac:dyDescent="0.25">
      <c r="Z760" s="152"/>
    </row>
    <row r="761" spans="26:26" x14ac:dyDescent="0.25">
      <c r="Z761" s="184"/>
    </row>
    <row r="762" spans="26:26" x14ac:dyDescent="0.25">
      <c r="Z762" s="184"/>
    </row>
    <row r="763" spans="26:26" x14ac:dyDescent="0.25">
      <c r="Z763" s="184"/>
    </row>
    <row r="764" spans="26:26" x14ac:dyDescent="0.25">
      <c r="Z764" s="184"/>
    </row>
    <row r="765" spans="26:26" x14ac:dyDescent="0.25">
      <c r="Z765" s="184"/>
    </row>
    <row r="766" spans="26:26" x14ac:dyDescent="0.25">
      <c r="Z766" s="184"/>
    </row>
    <row r="767" spans="26:26" x14ac:dyDescent="0.25">
      <c r="Z767" s="184"/>
    </row>
    <row r="768" spans="26:26" x14ac:dyDescent="0.25">
      <c r="Z768" s="184"/>
    </row>
    <row r="769" spans="26:26" x14ac:dyDescent="0.25">
      <c r="Z769" s="184"/>
    </row>
    <row r="770" spans="26:26" x14ac:dyDescent="0.25">
      <c r="Z770" s="184"/>
    </row>
    <row r="771" spans="26:26" x14ac:dyDescent="0.25">
      <c r="Z771" s="184"/>
    </row>
    <row r="772" spans="26:26" x14ac:dyDescent="0.25">
      <c r="Z772" s="184"/>
    </row>
    <row r="773" spans="26:26" x14ac:dyDescent="0.25">
      <c r="Z773" s="184"/>
    </row>
    <row r="774" spans="26:26" x14ac:dyDescent="0.25">
      <c r="Z774" s="184"/>
    </row>
    <row r="775" spans="26:26" x14ac:dyDescent="0.25">
      <c r="Z775" s="184"/>
    </row>
    <row r="776" spans="26:26" x14ac:dyDescent="0.25">
      <c r="Z776" s="184"/>
    </row>
    <row r="777" spans="26:26" x14ac:dyDescent="0.25">
      <c r="Z777" s="184"/>
    </row>
    <row r="778" spans="26:26" x14ac:dyDescent="0.25">
      <c r="Z778" s="184"/>
    </row>
    <row r="779" spans="26:26" x14ac:dyDescent="0.25">
      <c r="Z779" s="184"/>
    </row>
    <row r="780" spans="26:26" x14ac:dyDescent="0.25">
      <c r="Z780" s="184"/>
    </row>
    <row r="781" spans="26:26" x14ac:dyDescent="0.25">
      <c r="Z781" s="184"/>
    </row>
    <row r="782" spans="26:26" x14ac:dyDescent="0.25">
      <c r="Z782" s="184"/>
    </row>
    <row r="783" spans="26:26" x14ac:dyDescent="0.25">
      <c r="Z783" s="184"/>
    </row>
    <row r="784" spans="26:26" x14ac:dyDescent="0.25">
      <c r="Z784" s="184"/>
    </row>
    <row r="785" spans="26:26" x14ac:dyDescent="0.25">
      <c r="Z785" s="184"/>
    </row>
    <row r="786" spans="26:26" x14ac:dyDescent="0.25">
      <c r="Z786" s="184"/>
    </row>
    <row r="787" spans="26:26" x14ac:dyDescent="0.25">
      <c r="Z787" s="184"/>
    </row>
    <row r="788" spans="26:26" x14ac:dyDescent="0.25">
      <c r="Z788" s="184"/>
    </row>
    <row r="789" spans="26:26" x14ac:dyDescent="0.25">
      <c r="Z789" s="184"/>
    </row>
    <row r="790" spans="26:26" x14ac:dyDescent="0.25">
      <c r="Z790" s="184"/>
    </row>
    <row r="791" spans="26:26" x14ac:dyDescent="0.25">
      <c r="Z791" s="184"/>
    </row>
    <row r="792" spans="26:26" x14ac:dyDescent="0.25">
      <c r="Z792" s="184"/>
    </row>
    <row r="793" spans="26:26" x14ac:dyDescent="0.25">
      <c r="Z793" s="184"/>
    </row>
    <row r="794" spans="26:26" x14ac:dyDescent="0.25">
      <c r="Z794" s="184"/>
    </row>
    <row r="795" spans="26:26" x14ac:dyDescent="0.25">
      <c r="Z795" s="184"/>
    </row>
    <row r="796" spans="26:26" x14ac:dyDescent="0.25">
      <c r="Z796" s="184"/>
    </row>
    <row r="797" spans="26:26" x14ac:dyDescent="0.25">
      <c r="Z797" s="184"/>
    </row>
    <row r="798" spans="26:26" x14ac:dyDescent="0.25">
      <c r="Z798" s="184"/>
    </row>
    <row r="799" spans="26:26" x14ac:dyDescent="0.25">
      <c r="Z799" s="184"/>
    </row>
    <row r="800" spans="26:26" x14ac:dyDescent="0.25">
      <c r="Z800" s="184"/>
    </row>
    <row r="801" spans="26:26" x14ac:dyDescent="0.25">
      <c r="Z801" s="184"/>
    </row>
    <row r="802" spans="26:26" x14ac:dyDescent="0.25">
      <c r="Z802" s="184"/>
    </row>
    <row r="803" spans="26:26" x14ac:dyDescent="0.25">
      <c r="Z803" s="184"/>
    </row>
    <row r="804" spans="26:26" x14ac:dyDescent="0.25">
      <c r="Z804" s="184"/>
    </row>
    <row r="805" spans="26:26" x14ac:dyDescent="0.25">
      <c r="Z805" s="184"/>
    </row>
    <row r="806" spans="26:26" x14ac:dyDescent="0.25">
      <c r="Z806" s="184"/>
    </row>
    <row r="807" spans="26:26" x14ac:dyDescent="0.25">
      <c r="Z807" s="184"/>
    </row>
    <row r="808" spans="26:26" x14ac:dyDescent="0.25">
      <c r="Z808" s="184"/>
    </row>
    <row r="809" spans="26:26" x14ac:dyDescent="0.25">
      <c r="Z809" s="184"/>
    </row>
    <row r="810" spans="26:26" x14ac:dyDescent="0.25">
      <c r="Z810" s="184"/>
    </row>
    <row r="811" spans="26:26" x14ac:dyDescent="0.25">
      <c r="Z811" s="184"/>
    </row>
    <row r="812" spans="26:26" x14ac:dyDescent="0.25">
      <c r="Z812" s="184"/>
    </row>
    <row r="813" spans="26:26" x14ac:dyDescent="0.25">
      <c r="Z813" s="184"/>
    </row>
    <row r="814" spans="26:26" x14ac:dyDescent="0.25">
      <c r="Z814" s="184"/>
    </row>
    <row r="815" spans="26:26" x14ac:dyDescent="0.25">
      <c r="Z815" s="184"/>
    </row>
    <row r="816" spans="26:26" x14ac:dyDescent="0.25">
      <c r="Z816" s="184"/>
    </row>
    <row r="817" spans="26:26" x14ac:dyDescent="0.25">
      <c r="Z817" s="184"/>
    </row>
    <row r="818" spans="26:26" x14ac:dyDescent="0.25">
      <c r="Z818" s="184"/>
    </row>
    <row r="819" spans="26:26" x14ac:dyDescent="0.25">
      <c r="Z819" s="184"/>
    </row>
    <row r="820" spans="26:26" x14ac:dyDescent="0.25">
      <c r="Z820" s="184"/>
    </row>
    <row r="821" spans="26:26" x14ac:dyDescent="0.25">
      <c r="Z821" s="184"/>
    </row>
    <row r="822" spans="26:26" x14ac:dyDescent="0.25">
      <c r="Z822" s="184"/>
    </row>
    <row r="823" spans="26:26" x14ac:dyDescent="0.25">
      <c r="Z823" s="184"/>
    </row>
  </sheetData>
  <mergeCells count="6">
    <mergeCell ref="E1:W1"/>
    <mergeCell ref="E3:W3"/>
    <mergeCell ref="E2:W2"/>
    <mergeCell ref="AB1:AT1"/>
    <mergeCell ref="AB2:AT2"/>
    <mergeCell ref="AB3:AT3"/>
  </mergeCells>
  <phoneticPr fontId="13" type="noConversion"/>
  <printOptions horizontalCentered="1"/>
  <pageMargins left="0.5" right="0.5" top="1" bottom="0.5" header="0.5" footer="0.5"/>
  <pageSetup scale="70" fitToHeight="0" orientation="landscape" r:id="rId1"/>
  <headerFooter alignWithMargins="0"/>
  <rowBreaks count="12" manualBreakCount="12">
    <brk id="56" min="2" max="22" man="1"/>
    <brk id="56" min="25" max="45" man="1"/>
    <brk id="104" min="2" max="22" man="1"/>
    <brk id="104" min="25" max="45" man="1"/>
    <brk id="131" min="2" max="22" man="1"/>
    <brk id="131" min="25" max="45" man="1"/>
    <brk id="171" min="2" max="22" man="1"/>
    <brk id="171" min="25" max="45" man="1"/>
    <brk id="217" min="2" max="22" man="1"/>
    <brk id="217" min="25" max="45" man="1"/>
    <brk id="263" min="2" max="22" man="1"/>
    <brk id="275" min="25" max="4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AB1597"/>
  <sheetViews>
    <sheetView zoomScaleNormal="100" workbookViewId="0">
      <selection activeCell="K21" sqref="K21"/>
    </sheetView>
  </sheetViews>
  <sheetFormatPr defaultColWidth="9.81640625" defaultRowHeight="15" x14ac:dyDescent="0.25"/>
  <cols>
    <col min="1" max="1" width="9.6328125" style="37" bestFit="1" customWidth="1"/>
    <col min="2" max="3" width="7.81640625" style="37" customWidth="1"/>
    <col min="4" max="4" width="2" style="37" customWidth="1"/>
    <col min="5" max="5" width="8.6328125" style="37" customWidth="1"/>
    <col min="6" max="6" width="1.90625" style="37" customWidth="1"/>
    <col min="7" max="7" width="8.6328125" style="37" customWidth="1"/>
    <col min="8" max="8" width="2" style="37" customWidth="1"/>
    <col min="9" max="9" width="8.6328125" style="37" customWidth="1"/>
    <col min="10" max="10" width="2" style="37" customWidth="1"/>
    <col min="11" max="11" width="8.6328125" style="37" customWidth="1"/>
    <col min="12" max="12" width="2" style="37" customWidth="1"/>
    <col min="13" max="13" width="8.6328125" style="37" customWidth="1"/>
    <col min="14" max="14" width="4.81640625" style="37" customWidth="1"/>
    <col min="15" max="15" width="9.81640625" style="37" customWidth="1"/>
    <col min="16" max="16" width="8.453125" style="37" bestFit="1" customWidth="1"/>
    <col min="17" max="17" width="15.08984375" style="37" bestFit="1" customWidth="1"/>
    <col min="18" max="19" width="15.08984375" style="37" customWidth="1"/>
    <col min="20" max="20" width="13.453125" style="37" bestFit="1" customWidth="1"/>
    <col min="21" max="21" width="10.81640625" style="37" customWidth="1"/>
    <col min="22" max="22" width="7.81640625" style="37" customWidth="1"/>
    <col min="23" max="23" width="8.81640625" style="37" customWidth="1"/>
    <col min="24" max="24" width="2.81640625" style="37" customWidth="1"/>
    <col min="25" max="25" width="9.81640625" style="37" customWidth="1"/>
    <col min="26" max="26" width="2.81640625" style="37" customWidth="1"/>
    <col min="27" max="27" width="7.81640625" style="37" customWidth="1"/>
    <col min="28" max="16384" width="9.81640625" style="37"/>
  </cols>
  <sheetData>
    <row r="1" spans="1:28" x14ac:dyDescent="0.25">
      <c r="B1" s="36" t="s">
        <v>51</v>
      </c>
      <c r="C1" s="36"/>
      <c r="D1" s="36"/>
      <c r="E1" s="36"/>
      <c r="F1" s="36"/>
      <c r="G1" s="36"/>
      <c r="H1" s="36"/>
      <c r="I1" s="36"/>
      <c r="J1" s="36"/>
      <c r="K1" s="36"/>
      <c r="L1" s="36"/>
      <c r="M1" s="36"/>
    </row>
    <row r="2" spans="1:28" x14ac:dyDescent="0.25">
      <c r="B2" s="36"/>
      <c r="C2" s="36"/>
      <c r="D2" s="36"/>
      <c r="E2" s="36"/>
      <c r="F2" s="36"/>
      <c r="G2" s="36"/>
      <c r="H2" s="36"/>
      <c r="I2" s="36"/>
      <c r="J2" s="36"/>
      <c r="K2" s="36"/>
      <c r="L2" s="36"/>
      <c r="M2" s="36"/>
    </row>
    <row r="3" spans="1:28" ht="13.35" customHeight="1" x14ac:dyDescent="0.25">
      <c r="B3" s="36"/>
      <c r="C3" s="36"/>
      <c r="D3" s="36"/>
      <c r="E3" s="36"/>
      <c r="F3" s="36"/>
      <c r="G3" s="36"/>
      <c r="H3" s="36"/>
      <c r="I3" s="36"/>
      <c r="J3" s="36"/>
      <c r="K3" s="36"/>
      <c r="L3" s="36"/>
      <c r="M3" s="36"/>
    </row>
    <row r="4" spans="1:28" ht="13.35" customHeight="1" x14ac:dyDescent="0.25">
      <c r="B4" s="1" t="s">
        <v>180</v>
      </c>
      <c r="C4" s="1"/>
      <c r="D4" s="1"/>
      <c r="E4" s="1"/>
      <c r="F4" s="1"/>
      <c r="G4" s="1"/>
      <c r="H4" s="1"/>
      <c r="I4" s="1"/>
      <c r="J4" s="1"/>
      <c r="K4" s="1"/>
      <c r="L4" s="1"/>
      <c r="M4" s="1"/>
      <c r="N4" s="2"/>
      <c r="O4" s="2"/>
      <c r="P4" s="2"/>
      <c r="Q4" s="2"/>
      <c r="R4" s="2"/>
      <c r="S4" s="2"/>
      <c r="T4" s="2"/>
      <c r="U4" s="2"/>
      <c r="V4" s="2"/>
      <c r="W4" s="2"/>
      <c r="X4" s="2"/>
      <c r="Y4" s="2"/>
      <c r="Z4" s="2"/>
      <c r="AA4" s="2"/>
      <c r="AB4" s="2"/>
    </row>
    <row r="5" spans="1:28" ht="13.35" customHeight="1" x14ac:dyDescent="0.25">
      <c r="B5" s="2"/>
      <c r="C5" s="2"/>
      <c r="D5" s="2"/>
      <c r="E5" s="2"/>
      <c r="F5" s="2"/>
      <c r="G5" s="2"/>
      <c r="H5" s="2"/>
      <c r="I5" s="2"/>
      <c r="J5" s="2"/>
      <c r="K5" s="2"/>
      <c r="L5" s="2"/>
      <c r="M5" s="2"/>
      <c r="N5" s="2"/>
      <c r="O5" s="2"/>
      <c r="P5" s="2"/>
      <c r="Q5" s="2"/>
      <c r="R5" s="2"/>
      <c r="S5" s="2"/>
      <c r="T5" s="2"/>
      <c r="U5" s="2"/>
      <c r="V5" s="2"/>
      <c r="W5" s="2"/>
      <c r="X5" s="2"/>
      <c r="Y5" s="2"/>
      <c r="Z5" s="2"/>
      <c r="AA5" s="2"/>
      <c r="AB5" s="2"/>
    </row>
    <row r="6" spans="1:28" ht="13.35" customHeight="1" x14ac:dyDescent="0.25">
      <c r="B6" s="2"/>
      <c r="C6" s="2"/>
      <c r="D6" s="2"/>
      <c r="E6" s="2"/>
      <c r="F6" s="2"/>
      <c r="G6" s="2"/>
      <c r="H6" s="2"/>
      <c r="I6" s="2"/>
      <c r="J6" s="2"/>
      <c r="K6" s="2"/>
      <c r="L6" s="2"/>
      <c r="M6" s="2"/>
      <c r="N6" s="2"/>
      <c r="O6" s="2"/>
      <c r="P6" s="2"/>
      <c r="Q6" s="2"/>
      <c r="R6" s="2"/>
      <c r="S6" s="2"/>
      <c r="T6" s="2"/>
      <c r="U6" s="2"/>
      <c r="V6" s="2"/>
      <c r="W6" s="2"/>
      <c r="X6" s="2"/>
      <c r="Y6" s="2"/>
      <c r="Z6" s="2"/>
      <c r="AA6" s="2"/>
      <c r="AB6" s="2"/>
    </row>
    <row r="7" spans="1:28" ht="13.35" customHeight="1" x14ac:dyDescent="0.25">
      <c r="B7" s="2" t="s">
        <v>181</v>
      </c>
      <c r="C7" s="2"/>
      <c r="D7" s="2"/>
      <c r="E7" s="2"/>
      <c r="F7" s="2"/>
      <c r="G7" s="2"/>
      <c r="H7" s="2"/>
      <c r="I7" s="2"/>
      <c r="J7" s="2"/>
      <c r="K7" s="2"/>
      <c r="L7" s="2"/>
      <c r="M7" s="2"/>
      <c r="N7" s="2"/>
      <c r="O7" s="2"/>
      <c r="P7" s="2"/>
      <c r="Q7" s="2"/>
      <c r="R7" s="2"/>
      <c r="S7" s="2"/>
      <c r="T7" s="2"/>
      <c r="U7" s="2"/>
      <c r="V7" s="2"/>
      <c r="W7" s="2"/>
      <c r="X7" s="2"/>
      <c r="Y7" s="2"/>
      <c r="Z7" s="2"/>
      <c r="AA7" s="2"/>
      <c r="AB7" s="2"/>
    </row>
    <row r="8" spans="1:28" ht="13.35" customHeight="1" x14ac:dyDescent="0.25">
      <c r="B8" s="2"/>
      <c r="C8" s="2"/>
      <c r="D8" s="2"/>
      <c r="E8" s="2"/>
      <c r="F8" s="2"/>
      <c r="G8" s="2"/>
      <c r="H8" s="2"/>
      <c r="I8" s="2"/>
      <c r="J8" s="2"/>
      <c r="K8" s="2"/>
      <c r="L8" s="2"/>
      <c r="M8" s="2"/>
      <c r="N8" s="2"/>
      <c r="O8" s="2"/>
      <c r="P8" s="2"/>
      <c r="Q8" s="2"/>
      <c r="R8" s="2"/>
      <c r="S8" s="2"/>
      <c r="T8" s="2"/>
      <c r="U8" s="2"/>
      <c r="V8" s="2"/>
      <c r="W8" s="2"/>
      <c r="X8" s="2"/>
      <c r="Y8" s="2"/>
      <c r="Z8" s="2"/>
      <c r="AA8" s="2"/>
      <c r="AB8" s="2"/>
    </row>
    <row r="9" spans="1:28" ht="25.2" customHeight="1" x14ac:dyDescent="0.25">
      <c r="B9" s="744" t="s">
        <v>182</v>
      </c>
      <c r="C9" s="744"/>
      <c r="D9" s="744"/>
      <c r="E9" s="744"/>
      <c r="F9" s="744"/>
      <c r="G9" s="744"/>
      <c r="H9" s="744"/>
      <c r="I9" s="744"/>
      <c r="J9" s="744"/>
      <c r="K9" s="744"/>
      <c r="L9" s="744"/>
      <c r="M9" s="744"/>
      <c r="N9" s="2"/>
      <c r="O9" s="2"/>
      <c r="P9" s="2"/>
      <c r="Q9" s="2"/>
      <c r="R9" s="2"/>
      <c r="S9" s="2"/>
      <c r="T9" s="2"/>
      <c r="U9" s="2"/>
      <c r="V9" s="2"/>
      <c r="W9" s="2"/>
      <c r="X9" s="2"/>
      <c r="Y9" s="2"/>
      <c r="Z9" s="2"/>
      <c r="AA9" s="2"/>
      <c r="AB9" s="2"/>
    </row>
    <row r="10" spans="1:28" ht="10.65" customHeight="1" x14ac:dyDescent="0.25">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ht="13.35" customHeight="1" x14ac:dyDescent="0.25">
      <c r="B11" s="2"/>
      <c r="C11" s="2"/>
      <c r="D11" s="2"/>
      <c r="E11" s="2"/>
      <c r="F11" s="1" t="s">
        <v>183</v>
      </c>
      <c r="G11" s="36"/>
      <c r="H11" s="1"/>
      <c r="I11" s="2"/>
      <c r="J11" s="2"/>
      <c r="K11" s="2"/>
      <c r="L11" s="2"/>
      <c r="M11" s="2"/>
      <c r="N11" s="2"/>
      <c r="O11" s="2"/>
      <c r="P11" s="2"/>
      <c r="Q11" s="712"/>
      <c r="R11" s="712"/>
      <c r="S11" s="712"/>
      <c r="T11" s="712"/>
      <c r="U11" s="712"/>
      <c r="V11" s="2"/>
      <c r="W11" s="2"/>
      <c r="X11" s="2"/>
      <c r="Y11" s="2"/>
      <c r="Z11" s="2"/>
      <c r="AA11" s="2"/>
      <c r="AB11" s="2"/>
    </row>
    <row r="12" spans="1:28" ht="13.35" customHeight="1" x14ac:dyDescent="0.25">
      <c r="B12" s="1" t="s">
        <v>184</v>
      </c>
      <c r="C12" s="1"/>
      <c r="D12" s="2"/>
      <c r="E12" s="2"/>
      <c r="F12" s="1" t="s">
        <v>185</v>
      </c>
      <c r="G12" s="36"/>
      <c r="H12" s="1"/>
      <c r="I12" s="2"/>
      <c r="J12" s="1" t="s">
        <v>186</v>
      </c>
      <c r="K12" s="36"/>
      <c r="L12" s="1"/>
      <c r="M12" s="2"/>
      <c r="N12" s="2"/>
      <c r="O12" s="2"/>
      <c r="P12" s="2"/>
      <c r="Q12" s="712"/>
      <c r="R12" s="712"/>
      <c r="S12" s="712"/>
      <c r="T12" s="712"/>
      <c r="U12" s="712"/>
      <c r="V12" s="2"/>
      <c r="W12" s="2"/>
      <c r="X12" s="2"/>
      <c r="Y12" s="2"/>
      <c r="Z12" s="2"/>
      <c r="AA12" s="2"/>
      <c r="AB12" s="2"/>
    </row>
    <row r="13" spans="1:28" ht="13.35" customHeight="1" x14ac:dyDescent="0.25">
      <c r="B13" s="1" t="s">
        <v>187</v>
      </c>
      <c r="C13" s="1"/>
      <c r="D13" s="2"/>
      <c r="E13" s="2"/>
      <c r="F13" s="1" t="s">
        <v>328</v>
      </c>
      <c r="G13" s="36"/>
      <c r="H13" s="1"/>
      <c r="I13" s="2"/>
      <c r="J13" s="1" t="s">
        <v>188</v>
      </c>
      <c r="K13" s="36"/>
      <c r="L13" s="1"/>
      <c r="M13" s="2"/>
      <c r="N13" s="2"/>
      <c r="O13" s="2"/>
      <c r="P13" s="2"/>
      <c r="Q13" s="712"/>
      <c r="R13" s="712"/>
      <c r="S13" s="712"/>
      <c r="T13" s="712"/>
      <c r="U13" s="712"/>
      <c r="V13" s="2"/>
      <c r="W13" s="2"/>
      <c r="X13" s="2"/>
      <c r="Y13" s="2"/>
      <c r="Z13" s="2"/>
      <c r="AA13" s="2"/>
      <c r="AB13" s="2"/>
    </row>
    <row r="14" spans="1:28" ht="13.35" customHeight="1" x14ac:dyDescent="0.25">
      <c r="B14" s="3" t="s">
        <v>189</v>
      </c>
      <c r="C14" s="3"/>
      <c r="D14" s="2"/>
      <c r="E14" s="2"/>
      <c r="F14" s="3" t="s">
        <v>190</v>
      </c>
      <c r="G14" s="125"/>
      <c r="H14" s="3"/>
      <c r="I14" s="2"/>
      <c r="J14" s="3" t="s">
        <v>191</v>
      </c>
      <c r="K14" s="125"/>
      <c r="L14" s="3"/>
      <c r="M14" s="2"/>
      <c r="N14" s="2"/>
      <c r="O14" s="2"/>
      <c r="P14" s="2"/>
      <c r="Q14" s="712"/>
      <c r="R14" s="713"/>
      <c r="S14" s="712"/>
      <c r="T14" s="712"/>
      <c r="U14" s="712"/>
      <c r="V14" s="2"/>
      <c r="W14" s="2"/>
      <c r="X14" s="2"/>
      <c r="Y14" s="2"/>
      <c r="Z14" s="2"/>
      <c r="AA14" s="2"/>
      <c r="AB14" s="2"/>
    </row>
    <row r="15" spans="1:28" ht="8.4" customHeight="1" x14ac:dyDescent="0.25">
      <c r="B15" s="2"/>
      <c r="C15" s="2"/>
      <c r="D15" s="2"/>
      <c r="E15" s="2"/>
      <c r="F15" s="2"/>
      <c r="G15" s="2"/>
      <c r="H15" s="2"/>
      <c r="I15" s="2"/>
      <c r="J15" s="2"/>
      <c r="K15" s="2"/>
      <c r="L15" s="2"/>
      <c r="M15" s="2"/>
      <c r="N15" s="2"/>
      <c r="O15" s="2"/>
      <c r="P15" s="2"/>
      <c r="Q15" s="712"/>
      <c r="R15" s="712"/>
      <c r="S15" s="714"/>
      <c r="T15" s="712"/>
      <c r="U15" s="712"/>
      <c r="V15" s="2"/>
      <c r="W15" s="2"/>
      <c r="X15" s="2"/>
      <c r="Y15" s="2"/>
      <c r="Z15" s="2"/>
      <c r="AA15" s="2"/>
      <c r="AB15" s="2"/>
    </row>
    <row r="16" spans="1:28" ht="13.35" customHeight="1" x14ac:dyDescent="0.25">
      <c r="A16" s="301"/>
      <c r="B16" s="2" t="s">
        <v>192</v>
      </c>
      <c r="C16" s="2"/>
      <c r="D16" s="2"/>
      <c r="E16" s="2"/>
      <c r="F16" s="2"/>
      <c r="G16" s="302">
        <v>13737</v>
      </c>
      <c r="I16" s="2"/>
      <c r="J16" s="2"/>
      <c r="K16" s="4">
        <f>ROUND(G16/G$23,4)+0.0001</f>
        <v>0.497</v>
      </c>
      <c r="L16" s="2"/>
      <c r="M16" s="302"/>
      <c r="N16" s="2"/>
      <c r="O16" s="9"/>
      <c r="P16" s="301"/>
      <c r="Q16" s="712"/>
      <c r="R16" s="715"/>
      <c r="S16" s="714"/>
      <c r="T16" s="715"/>
      <c r="U16" s="712"/>
      <c r="V16" s="2"/>
      <c r="W16" s="2"/>
      <c r="X16" s="2"/>
      <c r="Y16" s="2"/>
      <c r="Z16" s="2"/>
      <c r="AA16" s="2"/>
      <c r="AB16" s="2"/>
    </row>
    <row r="17" spans="1:28" ht="13.35" customHeight="1" x14ac:dyDescent="0.25">
      <c r="A17" s="301"/>
      <c r="B17" s="2" t="s">
        <v>325</v>
      </c>
      <c r="C17" s="2"/>
      <c r="D17" s="2"/>
      <c r="E17" s="2"/>
      <c r="F17" s="2"/>
      <c r="G17" s="302">
        <v>7552</v>
      </c>
      <c r="I17" s="2"/>
      <c r="J17" s="2"/>
      <c r="K17" s="4">
        <f>ROUND(G17/G$23,4)</f>
        <v>0.2732</v>
      </c>
      <c r="L17" s="2"/>
      <c r="M17" s="302"/>
      <c r="N17" s="2"/>
      <c r="O17" s="9"/>
      <c r="P17" s="301"/>
      <c r="Q17" s="712"/>
      <c r="R17" s="715"/>
      <c r="S17" s="714"/>
      <c r="T17" s="715"/>
      <c r="U17" s="712"/>
      <c r="V17" s="2"/>
      <c r="W17" s="2"/>
      <c r="X17" s="2"/>
      <c r="Y17" s="2"/>
      <c r="Z17" s="2"/>
      <c r="AA17" s="2"/>
      <c r="AB17" s="2"/>
    </row>
    <row r="18" spans="1:28" ht="13.35" customHeight="1" x14ac:dyDescent="0.25">
      <c r="A18" s="301"/>
      <c r="B18" s="2" t="s">
        <v>194</v>
      </c>
      <c r="C18" s="2"/>
      <c r="D18" s="2"/>
      <c r="E18" s="2"/>
      <c r="F18" s="2"/>
      <c r="G18" s="302">
        <v>2914</v>
      </c>
      <c r="I18" s="2"/>
      <c r="J18" s="2"/>
      <c r="K18" s="4">
        <f>ROUND(G18/G$23,4)</f>
        <v>0.10539999999999999</v>
      </c>
      <c r="L18" s="2"/>
      <c r="M18" s="302"/>
      <c r="N18" s="2"/>
      <c r="O18" s="9"/>
      <c r="P18" s="301"/>
      <c r="Q18" s="712"/>
      <c r="R18" s="715"/>
      <c r="S18" s="714"/>
      <c r="T18" s="715"/>
      <c r="U18" s="712"/>
      <c r="V18" s="2"/>
      <c r="W18" s="2"/>
      <c r="X18" s="2"/>
      <c r="Y18" s="2"/>
      <c r="Z18" s="2"/>
      <c r="AA18" s="2"/>
      <c r="AB18" s="2"/>
    </row>
    <row r="19" spans="1:28" ht="13.35" customHeight="1" x14ac:dyDescent="0.25">
      <c r="A19" s="301"/>
      <c r="B19" s="2" t="s">
        <v>195</v>
      </c>
      <c r="C19" s="2"/>
      <c r="D19" s="2"/>
      <c r="E19" s="2"/>
      <c r="F19" s="2"/>
      <c r="G19" s="302">
        <v>1410</v>
      </c>
      <c r="I19" s="2"/>
      <c r="J19" s="2"/>
      <c r="K19" s="4">
        <f>ROUND(G19/G$23,4)</f>
        <v>5.0999999999999997E-2</v>
      </c>
      <c r="L19" s="2"/>
      <c r="M19" s="302"/>
      <c r="N19" s="2"/>
      <c r="O19" s="9"/>
      <c r="P19" s="301"/>
      <c r="Q19" s="712"/>
      <c r="R19" s="715"/>
      <c r="S19" s="714"/>
      <c r="T19" s="715"/>
      <c r="U19" s="712"/>
      <c r="V19" s="2"/>
      <c r="W19" s="2"/>
      <c r="X19" s="2"/>
      <c r="Y19" s="2"/>
      <c r="Z19" s="2"/>
      <c r="AA19" s="2"/>
      <c r="AB19" s="2"/>
    </row>
    <row r="20" spans="1:28" ht="13.35" customHeight="1" x14ac:dyDescent="0.25">
      <c r="A20" s="301"/>
      <c r="B20" s="2" t="s">
        <v>103</v>
      </c>
      <c r="C20" s="2"/>
      <c r="D20" s="2"/>
      <c r="E20" s="2"/>
      <c r="F20" s="2"/>
      <c r="G20" s="302">
        <v>1852</v>
      </c>
      <c r="I20" s="2"/>
      <c r="J20" s="2"/>
      <c r="K20" s="4">
        <f>ROUND(G20/G$23,4)</f>
        <v>6.7000000000000004E-2</v>
      </c>
      <c r="L20" s="2"/>
      <c r="M20" s="302"/>
      <c r="N20" s="2"/>
      <c r="O20" s="9"/>
      <c r="P20" s="301"/>
      <c r="Q20" s="712"/>
      <c r="R20" s="715"/>
      <c r="S20" s="714"/>
      <c r="T20" s="715"/>
      <c r="U20" s="712"/>
      <c r="V20" s="2"/>
      <c r="W20" s="2"/>
      <c r="X20" s="2"/>
      <c r="Y20" s="2"/>
      <c r="Z20" s="2"/>
      <c r="AA20" s="2"/>
      <c r="AB20" s="2"/>
    </row>
    <row r="21" spans="1:28" ht="13.35" customHeight="1" x14ac:dyDescent="0.25">
      <c r="B21" s="2" t="s">
        <v>232</v>
      </c>
      <c r="C21" s="127"/>
      <c r="D21" s="127"/>
      <c r="E21" s="127"/>
      <c r="F21" s="127"/>
      <c r="G21" s="302">
        <v>178</v>
      </c>
      <c r="H21" s="335"/>
      <c r="I21" s="127"/>
      <c r="J21" s="127"/>
      <c r="K21" s="4">
        <f>ROUND(G21/G$23,4)</f>
        <v>6.4000000000000003E-3</v>
      </c>
      <c r="L21" s="2"/>
      <c r="M21" s="302"/>
      <c r="N21" s="2"/>
      <c r="O21" s="2"/>
      <c r="P21" s="301"/>
      <c r="Q21" s="712"/>
      <c r="R21" s="715"/>
      <c r="S21" s="715"/>
      <c r="T21" s="715"/>
      <c r="U21" s="712"/>
      <c r="V21" s="2"/>
      <c r="W21" s="2"/>
      <c r="X21" s="2"/>
      <c r="Y21" s="2"/>
      <c r="Z21" s="2"/>
      <c r="AA21" s="2"/>
      <c r="AB21" s="2"/>
    </row>
    <row r="22" spans="1:28" ht="13.35" customHeight="1" x14ac:dyDescent="0.25">
      <c r="B22" s="2"/>
      <c r="C22" s="2"/>
      <c r="D22" s="2"/>
      <c r="E22" s="2"/>
      <c r="F22" s="2"/>
      <c r="G22" s="497"/>
      <c r="I22" s="2"/>
      <c r="J22" s="2"/>
      <c r="K22" s="6"/>
      <c r="L22" s="2"/>
      <c r="M22" s="2"/>
      <c r="N22" s="2"/>
      <c r="O22" s="2"/>
      <c r="P22" s="301"/>
      <c r="Q22" s="712"/>
      <c r="R22" s="712"/>
      <c r="S22" s="712"/>
      <c r="T22" s="716"/>
      <c r="U22" s="712"/>
      <c r="V22" s="2"/>
      <c r="W22" s="2"/>
      <c r="X22" s="2"/>
      <c r="Y22" s="2"/>
      <c r="Z22" s="2"/>
      <c r="AA22" s="2"/>
      <c r="AB22" s="2"/>
    </row>
    <row r="23" spans="1:28" ht="13.35" customHeight="1" thickBot="1" x14ac:dyDescent="0.3">
      <c r="B23" s="2" t="s">
        <v>199</v>
      </c>
      <c r="C23" s="2"/>
      <c r="D23" s="2"/>
      <c r="E23" s="2"/>
      <c r="F23" s="2"/>
      <c r="G23" s="174">
        <f>SUM(G16:G22)</f>
        <v>27643</v>
      </c>
      <c r="I23" s="2"/>
      <c r="J23" s="2"/>
      <c r="K23" s="4">
        <f>SUM(K16:K22)</f>
        <v>1</v>
      </c>
      <c r="L23" s="2"/>
      <c r="M23" s="2"/>
      <c r="N23" s="2"/>
      <c r="O23" s="2"/>
      <c r="P23" s="301"/>
      <c r="Q23" s="712"/>
      <c r="R23" s="712"/>
      <c r="S23" s="712"/>
      <c r="T23" s="717"/>
      <c r="U23" s="712"/>
      <c r="V23" s="2"/>
      <c r="W23" s="2"/>
      <c r="X23" s="2"/>
      <c r="Y23" s="2"/>
      <c r="Z23" s="2"/>
      <c r="AA23" s="2"/>
      <c r="AB23" s="2"/>
    </row>
    <row r="24" spans="1:28" ht="13.35" customHeight="1" thickTop="1" x14ac:dyDescent="0.25">
      <c r="B24" s="2"/>
      <c r="C24" s="2"/>
      <c r="D24" s="2"/>
      <c r="E24" s="2"/>
      <c r="F24" s="2"/>
      <c r="G24" s="161"/>
      <c r="H24" s="2"/>
      <c r="I24" s="2"/>
      <c r="J24" s="2"/>
      <c r="K24" s="8"/>
      <c r="L24" s="2"/>
      <c r="M24" s="2"/>
      <c r="N24" s="2"/>
      <c r="O24" s="2"/>
      <c r="P24" s="301"/>
      <c r="Q24" s="712"/>
      <c r="R24" s="712"/>
      <c r="S24" s="712"/>
      <c r="T24" s="718"/>
      <c r="U24" s="712"/>
      <c r="V24" s="2"/>
      <c r="W24" s="2"/>
      <c r="X24" s="2"/>
      <c r="Y24" s="2"/>
      <c r="Z24" s="2"/>
      <c r="AA24" s="2"/>
      <c r="AB24" s="2"/>
    </row>
    <row r="25" spans="1:28" ht="13.35" customHeight="1" x14ac:dyDescent="0.25">
      <c r="B25" s="2"/>
      <c r="C25" s="2"/>
      <c r="D25" s="2"/>
      <c r="E25" s="2"/>
      <c r="F25" s="2"/>
      <c r="G25" s="9"/>
      <c r="H25" s="2"/>
      <c r="I25" s="2"/>
      <c r="J25" s="2"/>
      <c r="K25" s="2"/>
      <c r="L25" s="2"/>
      <c r="M25" s="2"/>
      <c r="N25" s="2"/>
      <c r="O25" s="2"/>
      <c r="P25" s="301"/>
      <c r="Q25" s="712"/>
      <c r="R25" s="712"/>
      <c r="S25" s="712"/>
      <c r="T25" s="719"/>
      <c r="U25" s="712"/>
      <c r="V25" s="2"/>
      <c r="W25" s="2"/>
      <c r="X25" s="2"/>
      <c r="Y25" s="2"/>
      <c r="Z25" s="2"/>
      <c r="AA25" s="2"/>
      <c r="AB25" s="2"/>
    </row>
    <row r="26" spans="1:28" ht="13.35" customHeight="1" x14ac:dyDescent="0.25">
      <c r="B26" s="2" t="s">
        <v>200</v>
      </c>
      <c r="C26" s="2"/>
      <c r="D26" s="2"/>
      <c r="E26" s="2"/>
      <c r="F26" s="2"/>
      <c r="G26" s="2"/>
      <c r="H26" s="2"/>
      <c r="I26" s="2"/>
      <c r="J26" s="2"/>
      <c r="K26" s="2"/>
      <c r="L26" s="2"/>
      <c r="M26" s="2"/>
      <c r="N26" s="2"/>
      <c r="O26" s="2"/>
      <c r="P26" s="2"/>
      <c r="Q26" s="712"/>
      <c r="R26" s="712"/>
      <c r="S26" s="712"/>
      <c r="T26" s="719"/>
      <c r="U26" s="712"/>
      <c r="V26" s="2"/>
      <c r="W26" s="2"/>
      <c r="X26" s="2"/>
      <c r="Y26" s="2"/>
      <c r="Z26" s="2"/>
      <c r="AA26" s="2"/>
      <c r="AB26" s="2"/>
    </row>
    <row r="27" spans="1:28" ht="13.35" customHeight="1" x14ac:dyDescent="0.25">
      <c r="B27" s="2" t="s">
        <v>201</v>
      </c>
      <c r="C27" s="2"/>
      <c r="D27" s="2"/>
      <c r="E27" s="2"/>
      <c r="F27" s="2"/>
      <c r="G27" s="2"/>
      <c r="H27" s="2"/>
      <c r="I27" s="2"/>
      <c r="J27" s="2"/>
      <c r="K27" s="2"/>
      <c r="L27" s="2"/>
      <c r="M27" s="2"/>
      <c r="N27" s="2"/>
      <c r="O27" s="2"/>
      <c r="P27" s="2"/>
      <c r="Q27" s="712"/>
      <c r="R27" s="712"/>
      <c r="S27" s="712"/>
      <c r="T27" s="718"/>
      <c r="U27" s="712"/>
      <c r="V27" s="2"/>
      <c r="W27" s="2"/>
      <c r="X27" s="2"/>
      <c r="Y27" s="2"/>
      <c r="Z27" s="2"/>
      <c r="AA27" s="2"/>
      <c r="AB27" s="2"/>
    </row>
    <row r="28" spans="1:28" ht="9.15" customHeight="1" x14ac:dyDescent="0.25">
      <c r="B28" s="2"/>
      <c r="C28" s="2"/>
      <c r="D28" s="2"/>
      <c r="E28" s="2"/>
      <c r="F28" s="2"/>
      <c r="G28" s="2"/>
      <c r="H28" s="2"/>
      <c r="I28" s="2"/>
      <c r="J28" s="2"/>
      <c r="K28" s="2"/>
      <c r="L28" s="2"/>
      <c r="M28" s="2"/>
      <c r="N28" s="2"/>
      <c r="O28" s="2"/>
      <c r="P28" s="2"/>
      <c r="Q28" s="712"/>
      <c r="R28" s="712"/>
      <c r="S28" s="712"/>
      <c r="T28" s="718"/>
      <c r="U28" s="712"/>
      <c r="V28" s="2"/>
      <c r="W28" s="2"/>
      <c r="X28" s="2"/>
      <c r="Y28" s="2"/>
      <c r="Z28" s="2"/>
      <c r="AA28" s="2"/>
      <c r="AB28" s="2"/>
    </row>
    <row r="29" spans="1:28" ht="27.6" customHeight="1" x14ac:dyDescent="0.25">
      <c r="B29" s="744" t="s">
        <v>202</v>
      </c>
      <c r="C29" s="744"/>
      <c r="D29" s="744"/>
      <c r="E29" s="744"/>
      <c r="F29" s="744"/>
      <c r="G29" s="744"/>
      <c r="H29" s="744"/>
      <c r="I29" s="744"/>
      <c r="J29" s="744"/>
      <c r="K29" s="744"/>
      <c r="L29" s="744"/>
      <c r="M29" s="744"/>
      <c r="N29" s="2"/>
      <c r="O29" s="2"/>
      <c r="P29" s="2"/>
      <c r="Q29" s="712"/>
      <c r="R29" s="712"/>
      <c r="S29" s="712"/>
      <c r="T29" s="718"/>
      <c r="U29" s="712"/>
      <c r="V29" s="2"/>
      <c r="W29" s="2"/>
      <c r="X29" s="2"/>
      <c r="Y29" s="2"/>
      <c r="Z29" s="2"/>
      <c r="AA29" s="2"/>
      <c r="AB29" s="2"/>
    </row>
    <row r="30" spans="1:28" ht="7.95" customHeight="1" x14ac:dyDescent="0.25">
      <c r="B30" s="2"/>
      <c r="C30" s="2"/>
      <c r="D30" s="2"/>
      <c r="E30" s="2"/>
      <c r="F30" s="2"/>
      <c r="G30" s="2"/>
      <c r="H30" s="2"/>
      <c r="I30" s="2"/>
      <c r="J30" s="2"/>
      <c r="K30" s="2"/>
      <c r="L30" s="2"/>
      <c r="M30" s="2"/>
      <c r="N30" s="2"/>
      <c r="O30" s="2"/>
      <c r="P30" s="2"/>
      <c r="Q30" s="712"/>
      <c r="R30" s="712"/>
      <c r="S30" s="712"/>
      <c r="T30" s="712"/>
      <c r="U30" s="712"/>
      <c r="V30" s="2"/>
      <c r="W30" s="2"/>
      <c r="X30" s="2"/>
      <c r="Y30" s="2"/>
      <c r="Z30" s="2"/>
      <c r="AA30" s="2"/>
      <c r="AB30" s="2"/>
    </row>
    <row r="31" spans="1:28" ht="13.35" customHeight="1" x14ac:dyDescent="0.25">
      <c r="B31" s="2"/>
      <c r="C31" s="2"/>
      <c r="D31" s="2"/>
      <c r="E31" s="1" t="s">
        <v>183</v>
      </c>
      <c r="F31" s="1"/>
      <c r="G31" s="1"/>
      <c r="H31" s="2"/>
      <c r="I31" s="1" t="s">
        <v>203</v>
      </c>
      <c r="J31" s="1"/>
      <c r="K31" s="1"/>
      <c r="L31" s="2"/>
      <c r="M31" s="2"/>
      <c r="N31" s="2"/>
      <c r="O31" s="2"/>
      <c r="P31" s="2"/>
      <c r="Q31" s="712"/>
      <c r="R31" s="712"/>
      <c r="S31" s="712"/>
      <c r="T31" s="712"/>
      <c r="U31" s="712"/>
      <c r="V31" s="2"/>
      <c r="W31" s="2"/>
      <c r="X31" s="2"/>
      <c r="Y31" s="2"/>
      <c r="Z31" s="2"/>
      <c r="AA31" s="2"/>
      <c r="AB31" s="2"/>
    </row>
    <row r="32" spans="1:28" ht="13.35" customHeight="1" x14ac:dyDescent="0.25">
      <c r="B32" s="2"/>
      <c r="C32" s="2"/>
      <c r="D32" s="2"/>
      <c r="E32" s="1" t="s">
        <v>204</v>
      </c>
      <c r="F32" s="1"/>
      <c r="G32" s="1"/>
      <c r="H32" s="2"/>
      <c r="I32" s="1" t="s">
        <v>205</v>
      </c>
      <c r="J32" s="1"/>
      <c r="K32" s="1"/>
      <c r="L32" s="2"/>
      <c r="M32" s="2"/>
      <c r="N32" s="2"/>
      <c r="O32" s="2"/>
      <c r="P32" s="2"/>
      <c r="Q32" s="712"/>
      <c r="R32" s="712"/>
      <c r="S32" s="712"/>
      <c r="T32" s="712"/>
      <c r="U32" s="712"/>
      <c r="V32" s="2"/>
      <c r="W32" s="2"/>
      <c r="X32" s="2"/>
      <c r="Y32" s="2"/>
      <c r="Z32" s="2"/>
      <c r="AA32" s="2"/>
      <c r="AB32" s="2"/>
    </row>
    <row r="33" spans="2:28" ht="13.35" customHeight="1" x14ac:dyDescent="0.25">
      <c r="B33" s="1" t="s">
        <v>184</v>
      </c>
      <c r="C33" s="1"/>
      <c r="D33" s="2"/>
      <c r="E33" s="10" t="s">
        <v>186</v>
      </c>
      <c r="F33" s="10"/>
      <c r="G33" s="10" t="s">
        <v>206</v>
      </c>
      <c r="H33" s="11"/>
      <c r="I33" s="10" t="s">
        <v>186</v>
      </c>
      <c r="J33" s="10"/>
      <c r="K33" s="10" t="s">
        <v>206</v>
      </c>
      <c r="L33" s="11"/>
      <c r="M33" s="11" t="s">
        <v>186</v>
      </c>
      <c r="N33" s="2"/>
      <c r="O33" s="2"/>
      <c r="P33" s="2"/>
      <c r="Q33" s="2"/>
      <c r="R33" s="2"/>
      <c r="S33" s="2"/>
      <c r="T33" s="2"/>
      <c r="U33" s="2"/>
      <c r="V33" s="2"/>
      <c r="W33" s="2"/>
      <c r="X33" s="2"/>
      <c r="Y33" s="2"/>
      <c r="Z33" s="2"/>
      <c r="AA33" s="2"/>
      <c r="AB33" s="2"/>
    </row>
    <row r="34" spans="2:28" ht="13.35" customHeight="1" x14ac:dyDescent="0.25">
      <c r="B34" s="1" t="s">
        <v>187</v>
      </c>
      <c r="C34" s="1"/>
      <c r="D34" s="2"/>
      <c r="E34" s="11" t="s">
        <v>207</v>
      </c>
      <c r="F34" s="11"/>
      <c r="G34" s="11" t="s">
        <v>188</v>
      </c>
      <c r="H34" s="11"/>
      <c r="I34" s="11" t="s">
        <v>188</v>
      </c>
      <c r="J34" s="11"/>
      <c r="K34" s="11" t="s">
        <v>188</v>
      </c>
      <c r="L34" s="11"/>
      <c r="M34" s="11" t="s">
        <v>188</v>
      </c>
      <c r="N34" s="2"/>
      <c r="O34" s="2"/>
      <c r="P34" s="2"/>
      <c r="Q34" s="2"/>
      <c r="R34" s="2"/>
      <c r="S34" s="2"/>
      <c r="T34" s="2"/>
      <c r="U34" s="2"/>
      <c r="V34" s="2"/>
      <c r="W34" s="2"/>
      <c r="X34" s="2"/>
      <c r="Y34" s="2"/>
      <c r="Z34" s="2"/>
      <c r="AA34" s="2"/>
      <c r="AB34" s="2"/>
    </row>
    <row r="35" spans="2:28" ht="13.35" customHeight="1" x14ac:dyDescent="0.25">
      <c r="B35" s="3" t="s">
        <v>189</v>
      </c>
      <c r="C35" s="3"/>
      <c r="D35" s="2"/>
      <c r="E35" s="10" t="s">
        <v>208</v>
      </c>
      <c r="F35" s="2"/>
      <c r="G35" s="12" t="s">
        <v>209</v>
      </c>
      <c r="H35" s="2"/>
      <c r="I35" s="10" t="s">
        <v>210</v>
      </c>
      <c r="J35" s="2"/>
      <c r="K35" s="12" t="s">
        <v>211</v>
      </c>
      <c r="L35" s="2"/>
      <c r="M35" s="10" t="s">
        <v>212</v>
      </c>
      <c r="N35" s="2"/>
      <c r="O35" s="2"/>
      <c r="P35" s="2"/>
      <c r="Q35" s="2"/>
      <c r="R35" s="2"/>
      <c r="S35" s="2"/>
      <c r="T35" s="2"/>
      <c r="U35" s="2"/>
      <c r="V35" s="2"/>
      <c r="W35" s="2"/>
      <c r="X35" s="2"/>
      <c r="Y35" s="2"/>
      <c r="Z35" s="2"/>
      <c r="AA35" s="2"/>
      <c r="AB35" s="2"/>
    </row>
    <row r="36" spans="2:28" ht="13.35" customHeight="1" x14ac:dyDescent="0.25">
      <c r="B36" s="2"/>
      <c r="C36" s="2"/>
      <c r="D36" s="2"/>
      <c r="E36" s="2"/>
      <c r="F36" s="2"/>
      <c r="G36" s="4">
        <f>'SCH-C - F 2 B'!$H$33</f>
        <v>0.625</v>
      </c>
      <c r="H36" s="2"/>
      <c r="I36" s="2"/>
      <c r="J36" s="2"/>
      <c r="K36" s="4">
        <f>'SCH-C - F 2 B'!$H$35</f>
        <v>0.375</v>
      </c>
      <c r="L36" s="2"/>
      <c r="M36" s="2"/>
      <c r="N36" s="2"/>
      <c r="O36" s="2"/>
      <c r="P36" s="2"/>
      <c r="Q36" s="2"/>
      <c r="R36" s="2"/>
      <c r="S36" s="2"/>
      <c r="T36" s="2"/>
      <c r="U36" s="2"/>
      <c r="V36" s="2"/>
      <c r="W36" s="2"/>
      <c r="X36" s="2"/>
      <c r="Y36" s="2"/>
      <c r="Z36" s="2"/>
      <c r="AA36" s="2"/>
      <c r="AB36" s="2"/>
    </row>
    <row r="37" spans="2:28" ht="8.4" customHeight="1" x14ac:dyDescent="0.25">
      <c r="B37" s="2"/>
      <c r="C37" s="2"/>
      <c r="D37" s="2"/>
      <c r="E37" s="2"/>
      <c r="F37" s="2"/>
      <c r="G37" s="2"/>
      <c r="H37" s="2"/>
      <c r="I37" s="2"/>
      <c r="J37" s="2"/>
      <c r="K37" s="2"/>
      <c r="L37" s="2"/>
      <c r="M37" s="2"/>
      <c r="N37" s="2"/>
      <c r="O37" s="2"/>
      <c r="P37" s="2"/>
      <c r="Q37" s="2"/>
      <c r="R37" s="2"/>
      <c r="S37" s="2"/>
      <c r="T37" s="2"/>
      <c r="U37" s="2"/>
      <c r="V37" s="2"/>
      <c r="W37" s="2"/>
      <c r="X37" s="2"/>
      <c r="Y37" s="2"/>
      <c r="Z37" s="2"/>
      <c r="AA37" s="2"/>
      <c r="AB37" s="2"/>
    </row>
    <row r="38" spans="2:28" ht="13.35" customHeight="1" x14ac:dyDescent="0.25">
      <c r="B38" s="2" t="s">
        <v>192</v>
      </c>
      <c r="C38" s="2"/>
      <c r="D38" s="2"/>
      <c r="E38" s="4">
        <f t="shared" ref="E38:E43" si="0">K16</f>
        <v>0.497</v>
      </c>
      <c r="F38" s="2"/>
      <c r="G38" s="4">
        <f>ROUND(E38*G$36,4)-0.0001</f>
        <v>0.3105</v>
      </c>
      <c r="H38" s="2"/>
      <c r="I38" s="4">
        <f>'SCH-C - F 2 B'!$J$17</f>
        <v>0.5605</v>
      </c>
      <c r="J38" s="2"/>
      <c r="K38" s="4">
        <f>ROUND(I38*K$36,4)-0.0001</f>
        <v>0.21010000000000001</v>
      </c>
      <c r="L38" s="2"/>
      <c r="M38" s="4">
        <f t="shared" ref="M38:M43" si="1">G38+K38</f>
        <v>0.52059999999999995</v>
      </c>
      <c r="N38" s="2"/>
      <c r="O38" s="4"/>
      <c r="P38" s="2"/>
      <c r="Q38" s="2"/>
      <c r="R38" s="2"/>
      <c r="S38" s="2"/>
      <c r="T38" s="2"/>
      <c r="U38" s="2"/>
      <c r="V38" s="2"/>
      <c r="W38" s="2"/>
      <c r="X38" s="2"/>
      <c r="Y38" s="2"/>
      <c r="Z38" s="2"/>
      <c r="AA38" s="2"/>
      <c r="AB38" s="2"/>
    </row>
    <row r="39" spans="2:28" ht="13.35" customHeight="1" x14ac:dyDescent="0.25">
      <c r="B39" s="2" t="s">
        <v>325</v>
      </c>
      <c r="C39" s="2"/>
      <c r="D39" s="2"/>
      <c r="E39" s="4">
        <f t="shared" si="0"/>
        <v>0.2732</v>
      </c>
      <c r="F39" s="2"/>
      <c r="G39" s="4">
        <f t="shared" ref="G39:G42" si="2">ROUND(E39*G$36,4)</f>
        <v>0.17080000000000001</v>
      </c>
      <c r="H39" s="2"/>
      <c r="I39" s="4">
        <f>'SCH-C - F 2 B'!$J$18</f>
        <v>0.25040000000000001</v>
      </c>
      <c r="J39" s="2"/>
      <c r="K39" s="4">
        <f>ROUND(I39*K$36,4)</f>
        <v>9.3899999999999997E-2</v>
      </c>
      <c r="L39" s="2"/>
      <c r="M39" s="4">
        <f t="shared" si="1"/>
        <v>0.26469999999999999</v>
      </c>
      <c r="N39" s="2"/>
      <c r="O39" s="4"/>
      <c r="P39" s="2"/>
      <c r="R39" s="2"/>
      <c r="S39" s="2"/>
      <c r="T39" s="2"/>
      <c r="U39" s="2"/>
      <c r="V39" s="2"/>
      <c r="W39" s="2"/>
      <c r="X39" s="2"/>
      <c r="Y39" s="2"/>
      <c r="Z39" s="2"/>
      <c r="AA39" s="2"/>
      <c r="AB39" s="2"/>
    </row>
    <row r="40" spans="2:28" ht="13.35" customHeight="1" x14ac:dyDescent="0.25">
      <c r="B40" s="2" t="s">
        <v>194</v>
      </c>
      <c r="C40" s="2"/>
      <c r="D40" s="2"/>
      <c r="E40" s="4">
        <f t="shared" si="0"/>
        <v>0.10539999999999999</v>
      </c>
      <c r="F40" s="2"/>
      <c r="G40" s="4">
        <f t="shared" si="2"/>
        <v>6.59E-2</v>
      </c>
      <c r="H40" s="2"/>
      <c r="I40" s="4">
        <f>'SCH-C - F 2 B'!$J$19</f>
        <v>8.9200000000000002E-2</v>
      </c>
      <c r="J40" s="2"/>
      <c r="K40" s="4">
        <f>ROUND(I40*K$36,4)</f>
        <v>3.3500000000000002E-2</v>
      </c>
      <c r="L40" s="2"/>
      <c r="M40" s="4">
        <f t="shared" si="1"/>
        <v>9.9400000000000002E-2</v>
      </c>
      <c r="N40" s="2"/>
      <c r="O40" s="4"/>
      <c r="P40" s="2"/>
      <c r="Q40" s="2"/>
      <c r="R40" s="2"/>
      <c r="S40" s="2"/>
      <c r="T40" s="2"/>
      <c r="U40" s="2"/>
      <c r="V40" s="2"/>
      <c r="W40" s="2"/>
      <c r="X40" s="2"/>
      <c r="Y40" s="2"/>
      <c r="Z40" s="2"/>
      <c r="AA40" s="2"/>
      <c r="AB40" s="2"/>
    </row>
    <row r="41" spans="2:28" ht="13.35" customHeight="1" x14ac:dyDescent="0.25">
      <c r="B41" s="2" t="s">
        <v>195</v>
      </c>
      <c r="C41" s="2"/>
      <c r="D41" s="2"/>
      <c r="E41" s="4">
        <f t="shared" si="0"/>
        <v>5.0999999999999997E-2</v>
      </c>
      <c r="F41" s="2"/>
      <c r="G41" s="4">
        <f t="shared" si="2"/>
        <v>3.1899999999999998E-2</v>
      </c>
      <c r="H41" s="2"/>
      <c r="I41" s="4">
        <f>'SCH-C - F 2 B'!$J$20</f>
        <v>4.3200000000000002E-2</v>
      </c>
      <c r="J41" s="2"/>
      <c r="K41" s="4">
        <f>ROUND(I41*K$36,4)</f>
        <v>1.6199999999999999E-2</v>
      </c>
      <c r="L41" s="2"/>
      <c r="M41" s="4">
        <f t="shared" si="1"/>
        <v>4.8099999999999997E-2</v>
      </c>
      <c r="N41" s="2"/>
      <c r="O41" s="4"/>
      <c r="P41" s="2"/>
      <c r="Q41" s="2"/>
      <c r="R41" s="2"/>
      <c r="S41" s="2"/>
      <c r="T41" s="2"/>
      <c r="U41" s="2"/>
      <c r="V41" s="2"/>
      <c r="W41" s="2"/>
      <c r="X41" s="2"/>
      <c r="Y41" s="2"/>
      <c r="Z41" s="2"/>
      <c r="AA41" s="2"/>
      <c r="AB41" s="2"/>
    </row>
    <row r="42" spans="2:28" ht="13.35" customHeight="1" x14ac:dyDescent="0.25">
      <c r="B42" s="2" t="s">
        <v>103</v>
      </c>
      <c r="C42" s="2"/>
      <c r="D42" s="2"/>
      <c r="E42" s="4">
        <f t="shared" si="0"/>
        <v>6.7000000000000004E-2</v>
      </c>
      <c r="F42" s="2"/>
      <c r="G42" s="4">
        <f t="shared" si="2"/>
        <v>4.19E-2</v>
      </c>
      <c r="H42" s="2"/>
      <c r="I42" s="4">
        <f>'SCH-C - F 2 B'!$J$21</f>
        <v>5.67E-2</v>
      </c>
      <c r="J42" s="2"/>
      <c r="K42" s="4">
        <f>ROUND(I42*K$36,4)</f>
        <v>2.1299999999999999E-2</v>
      </c>
      <c r="L42" s="2"/>
      <c r="M42" s="4">
        <f t="shared" si="1"/>
        <v>6.3200000000000006E-2</v>
      </c>
      <c r="N42" s="2"/>
      <c r="O42" s="4"/>
      <c r="P42" s="2"/>
      <c r="Q42" s="2"/>
      <c r="R42" s="2"/>
      <c r="S42" s="2"/>
      <c r="T42" s="2"/>
      <c r="U42" s="2"/>
      <c r="V42" s="2"/>
      <c r="W42" s="2"/>
      <c r="X42" s="2"/>
      <c r="Y42" s="2"/>
      <c r="Z42" s="2"/>
      <c r="AA42" s="2"/>
      <c r="AB42" s="2"/>
    </row>
    <row r="43" spans="2:28" ht="13.35" customHeight="1" x14ac:dyDescent="0.25">
      <c r="B43" s="2" t="s">
        <v>232</v>
      </c>
      <c r="C43" s="2"/>
      <c r="D43" s="2"/>
      <c r="E43" s="4">
        <f t="shared" si="0"/>
        <v>6.4000000000000003E-3</v>
      </c>
      <c r="F43" s="2"/>
      <c r="G43" s="303">
        <f>ROUND(E43*G$36,4)+0</f>
        <v>4.0000000000000001E-3</v>
      </c>
      <c r="H43" s="2"/>
      <c r="I43" s="2"/>
      <c r="J43" s="2"/>
      <c r="K43" s="2"/>
      <c r="L43" s="2"/>
      <c r="M43" s="4">
        <f t="shared" si="1"/>
        <v>4.0000000000000001E-3</v>
      </c>
      <c r="N43" s="2"/>
      <c r="O43" s="4"/>
      <c r="P43" s="2"/>
      <c r="Q43" s="2"/>
      <c r="R43" s="2"/>
      <c r="S43" s="2"/>
      <c r="T43" s="2"/>
      <c r="U43" s="2"/>
      <c r="V43" s="2"/>
      <c r="W43" s="2"/>
      <c r="X43" s="2"/>
      <c r="Y43" s="2"/>
      <c r="Z43" s="2"/>
      <c r="AA43" s="2"/>
      <c r="AB43" s="2"/>
    </row>
    <row r="44" spans="2:28" ht="8.4" customHeight="1" x14ac:dyDescent="0.25">
      <c r="B44" s="2"/>
      <c r="C44" s="2"/>
      <c r="D44" s="2"/>
      <c r="E44" s="6"/>
      <c r="F44" s="2"/>
      <c r="G44" s="6"/>
      <c r="H44" s="2"/>
      <c r="I44" s="6"/>
      <c r="J44" s="2"/>
      <c r="K44" s="6"/>
      <c r="L44" s="2"/>
      <c r="M44" s="6"/>
      <c r="N44" s="2"/>
      <c r="O44" s="13"/>
      <c r="P44" s="2"/>
      <c r="Q44" s="2"/>
      <c r="R44" s="2"/>
      <c r="S44" s="2"/>
      <c r="T44" s="2"/>
      <c r="U44" s="2"/>
      <c r="V44" s="2"/>
      <c r="W44" s="2"/>
      <c r="X44" s="2"/>
      <c r="Y44" s="2"/>
      <c r="Z44" s="2"/>
      <c r="AA44" s="2"/>
      <c r="AB44" s="2"/>
    </row>
    <row r="45" spans="2:28" ht="13.35" customHeight="1" thickBot="1" x14ac:dyDescent="0.3">
      <c r="B45" s="2" t="s">
        <v>199</v>
      </c>
      <c r="C45" s="2"/>
      <c r="D45" s="2"/>
      <c r="E45" s="4">
        <f>SUM(E38:E44)</f>
        <v>1</v>
      </c>
      <c r="F45" s="2"/>
      <c r="G45" s="157">
        <f>SUM(G38:G44)</f>
        <v>0.62500000000000011</v>
      </c>
      <c r="H45" s="2"/>
      <c r="I45" s="4">
        <f>SUM(I38:I44)</f>
        <v>0.99999999999999989</v>
      </c>
      <c r="J45" s="2"/>
      <c r="K45" s="4">
        <f>SUM(K38:K44)</f>
        <v>0.375</v>
      </c>
      <c r="L45" s="2"/>
      <c r="M45" s="4">
        <f>SUM(M38:M44)</f>
        <v>1</v>
      </c>
      <c r="N45" s="2"/>
      <c r="O45" s="4"/>
      <c r="P45" s="2"/>
      <c r="Q45" s="2"/>
      <c r="R45" s="2"/>
      <c r="S45" s="2"/>
      <c r="T45" s="2"/>
      <c r="U45" s="2"/>
      <c r="V45" s="2"/>
      <c r="W45" s="2"/>
      <c r="X45" s="2"/>
      <c r="Y45" s="2"/>
      <c r="Z45" s="2"/>
      <c r="AA45" s="2"/>
      <c r="AB45" s="2"/>
    </row>
    <row r="46" spans="2:28" ht="13.35" customHeight="1" thickTop="1" x14ac:dyDescent="0.25">
      <c r="E46" s="304"/>
      <c r="G46" s="305"/>
      <c r="I46" s="304"/>
      <c r="K46" s="304"/>
      <c r="M46" s="304"/>
      <c r="N46" s="2"/>
      <c r="O46" s="2"/>
      <c r="P46" s="2"/>
      <c r="Q46" s="2"/>
      <c r="R46" s="2"/>
      <c r="S46" s="2"/>
      <c r="T46" s="2"/>
      <c r="U46" s="2"/>
      <c r="V46" s="2"/>
      <c r="W46" s="2"/>
      <c r="X46" s="2"/>
      <c r="Y46" s="2"/>
      <c r="Z46" s="2"/>
      <c r="AA46" s="2"/>
      <c r="AB46" s="2"/>
    </row>
    <row r="47" spans="2:28" ht="25.95" customHeight="1" x14ac:dyDescent="0.25">
      <c r="B47" s="745" t="s">
        <v>213</v>
      </c>
      <c r="C47" s="745"/>
      <c r="D47" s="745"/>
      <c r="E47" s="745"/>
      <c r="F47" s="745"/>
      <c r="G47" s="745"/>
      <c r="H47" s="745"/>
      <c r="I47" s="745"/>
      <c r="J47" s="745"/>
      <c r="K47" s="745"/>
      <c r="L47" s="745"/>
      <c r="M47" s="745"/>
      <c r="N47" s="2"/>
      <c r="O47" s="2"/>
      <c r="P47" s="2"/>
      <c r="Q47" s="2"/>
      <c r="R47" s="2"/>
      <c r="S47" s="2"/>
      <c r="T47" s="2"/>
      <c r="U47" s="2"/>
      <c r="V47" s="2"/>
      <c r="W47" s="2"/>
      <c r="X47" s="2"/>
      <c r="Y47" s="2"/>
      <c r="Z47" s="2"/>
      <c r="AA47" s="2"/>
      <c r="AB47" s="2"/>
    </row>
    <row r="48" spans="2:28" ht="13.35" customHeight="1" x14ac:dyDescent="0.25">
      <c r="N48" s="2"/>
      <c r="O48" s="2"/>
      <c r="P48" s="2"/>
      <c r="Q48" s="2"/>
      <c r="R48" s="2"/>
      <c r="S48" s="2"/>
      <c r="T48" s="2"/>
      <c r="U48" s="2"/>
      <c r="V48" s="2"/>
      <c r="W48" s="2"/>
      <c r="X48" s="2"/>
      <c r="Y48" s="2"/>
      <c r="Z48" s="2"/>
      <c r="AA48" s="2"/>
      <c r="AB48" s="2"/>
    </row>
    <row r="49" spans="2:28" ht="13.35" customHeight="1" x14ac:dyDescent="0.25">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2:28"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2:28"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2:28" x14ac:dyDescent="0.25">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2:28" x14ac:dyDescent="0.25">
      <c r="B53" s="2"/>
      <c r="C53" s="2"/>
      <c r="D53" s="2"/>
      <c r="E53" s="2"/>
      <c r="F53" s="2"/>
      <c r="G53" s="2"/>
      <c r="H53" s="2"/>
      <c r="I53" s="2"/>
      <c r="J53" s="2"/>
      <c r="K53" s="2"/>
      <c r="L53" s="2"/>
      <c r="M53" s="2"/>
      <c r="N53" s="2"/>
      <c r="O53" s="2"/>
      <c r="P53" s="2"/>
      <c r="Q53" s="2"/>
      <c r="R53" s="2"/>
      <c r="S53" s="2"/>
      <c r="T53" s="2"/>
      <c r="U53" s="2"/>
      <c r="V53" s="2"/>
      <c r="W53" s="2"/>
      <c r="X53" s="2"/>
      <c r="Y53" s="2"/>
      <c r="Z53" s="2"/>
      <c r="AA53" s="2"/>
      <c r="AB53" s="2"/>
    </row>
    <row r="54" spans="2:28" x14ac:dyDescent="0.25">
      <c r="B54" s="2"/>
      <c r="C54" s="2"/>
      <c r="D54" s="2"/>
      <c r="E54" s="2"/>
      <c r="F54" s="2"/>
      <c r="G54" s="2"/>
      <c r="H54" s="2"/>
      <c r="I54" s="2"/>
      <c r="J54" s="2"/>
      <c r="K54" s="2"/>
      <c r="L54" s="2"/>
      <c r="M54" s="2"/>
      <c r="N54" s="2"/>
      <c r="O54" s="2"/>
      <c r="P54" s="2"/>
      <c r="Q54" s="2"/>
      <c r="R54" s="2"/>
      <c r="S54" s="2"/>
      <c r="T54" s="2"/>
      <c r="U54" s="2"/>
      <c r="V54" s="2"/>
      <c r="W54" s="2"/>
      <c r="X54" s="2"/>
      <c r="Y54" s="2"/>
      <c r="Z54" s="2"/>
      <c r="AA54" s="2"/>
      <c r="AB54" s="2"/>
    </row>
    <row r="55" spans="2:28" x14ac:dyDescent="0.25">
      <c r="B55" s="2"/>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2:28" x14ac:dyDescent="0.25">
      <c r="B56" s="2"/>
      <c r="C56" s="2"/>
      <c r="D56" s="2"/>
      <c r="E56" s="2"/>
      <c r="F56" s="2"/>
      <c r="G56" s="2"/>
      <c r="H56" s="2"/>
      <c r="I56" s="2"/>
      <c r="J56" s="2"/>
      <c r="K56" s="2"/>
      <c r="L56" s="2"/>
      <c r="M56" s="2"/>
      <c r="N56" s="2"/>
      <c r="O56" s="2"/>
      <c r="P56" s="2"/>
      <c r="Q56" s="2"/>
      <c r="R56" s="2"/>
      <c r="S56" s="2"/>
      <c r="T56" s="2"/>
      <c r="U56" s="2"/>
      <c r="V56" s="2"/>
      <c r="W56" s="2"/>
      <c r="X56" s="2"/>
      <c r="Y56" s="2"/>
      <c r="Z56" s="2"/>
      <c r="AA56" s="2"/>
      <c r="AB56" s="2"/>
    </row>
    <row r="57" spans="2:28" x14ac:dyDescent="0.25">
      <c r="B57" s="2"/>
      <c r="C57" s="2"/>
      <c r="D57" s="2"/>
      <c r="E57" s="2"/>
      <c r="F57" s="2"/>
      <c r="G57" s="2"/>
      <c r="H57" s="2"/>
      <c r="I57" s="2"/>
      <c r="J57" s="2"/>
      <c r="K57" s="2"/>
      <c r="L57" s="2"/>
      <c r="M57" s="2"/>
      <c r="N57" s="2"/>
      <c r="O57" s="2"/>
      <c r="P57" s="2"/>
      <c r="Q57" s="2"/>
      <c r="R57" s="2"/>
      <c r="S57" s="2"/>
      <c r="T57" s="2"/>
      <c r="U57" s="2"/>
      <c r="V57" s="2"/>
      <c r="W57" s="2"/>
      <c r="X57" s="2"/>
      <c r="Y57" s="2"/>
      <c r="Z57" s="2"/>
      <c r="AA57" s="2"/>
      <c r="AB57" s="2"/>
    </row>
    <row r="58" spans="2:28" x14ac:dyDescent="0.25">
      <c r="B58" s="2"/>
      <c r="C58" s="2"/>
      <c r="D58" s="2"/>
      <c r="E58" s="2"/>
      <c r="F58" s="2"/>
      <c r="G58" s="2"/>
      <c r="H58" s="2"/>
      <c r="I58" s="2"/>
      <c r="J58" s="2"/>
      <c r="K58" s="2"/>
      <c r="L58" s="2"/>
      <c r="M58" s="2"/>
      <c r="N58" s="2"/>
      <c r="O58" s="2"/>
      <c r="P58" s="2"/>
      <c r="Q58" s="2"/>
      <c r="R58" s="2"/>
      <c r="S58" s="2"/>
      <c r="T58" s="2"/>
      <c r="U58" s="2"/>
      <c r="V58" s="2"/>
      <c r="W58" s="2"/>
      <c r="X58" s="2"/>
      <c r="Y58" s="2"/>
      <c r="Z58" s="2"/>
      <c r="AA58" s="2"/>
      <c r="AB58" s="2"/>
    </row>
    <row r="59" spans="2:28" x14ac:dyDescent="0.25">
      <c r="B59" s="2"/>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2:28" x14ac:dyDescent="0.25">
      <c r="B60" s="2"/>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2:28" x14ac:dyDescent="0.25">
      <c r="B61" s="2"/>
      <c r="C61" s="2"/>
      <c r="D61" s="2"/>
      <c r="E61" s="2"/>
      <c r="F61" s="2"/>
      <c r="G61" s="2"/>
      <c r="H61" s="2"/>
      <c r="I61" s="2"/>
      <c r="J61" s="2"/>
      <c r="K61" s="2"/>
      <c r="L61" s="2"/>
      <c r="M61" s="2"/>
      <c r="N61" s="2"/>
      <c r="O61" s="2"/>
      <c r="P61" s="2"/>
      <c r="Q61" s="2"/>
      <c r="R61" s="2"/>
      <c r="S61" s="2"/>
      <c r="T61" s="2"/>
      <c r="U61" s="2"/>
      <c r="V61" s="2"/>
      <c r="W61" s="2"/>
      <c r="X61" s="2"/>
      <c r="Y61" s="2"/>
      <c r="Z61" s="2"/>
      <c r="AA61" s="2"/>
      <c r="AB61" s="2"/>
    </row>
    <row r="62" spans="2:28" x14ac:dyDescent="0.25">
      <c r="B62" s="2"/>
      <c r="C62" s="2"/>
      <c r="D62" s="2"/>
      <c r="E62" s="2"/>
      <c r="F62" s="2"/>
      <c r="G62" s="2"/>
      <c r="H62" s="2"/>
      <c r="I62" s="2"/>
      <c r="J62" s="2"/>
      <c r="K62" s="2"/>
      <c r="L62" s="2"/>
      <c r="M62" s="2"/>
      <c r="N62" s="2"/>
      <c r="O62" s="2"/>
      <c r="AB62" s="2"/>
    </row>
    <row r="63" spans="2:28" x14ac:dyDescent="0.25">
      <c r="B63" s="2"/>
      <c r="C63" s="2"/>
      <c r="D63" s="2"/>
      <c r="E63" s="2"/>
      <c r="F63" s="2"/>
      <c r="G63" s="2"/>
      <c r="H63" s="2"/>
      <c r="I63" s="2"/>
      <c r="J63" s="2"/>
      <c r="K63" s="2"/>
      <c r="L63" s="2"/>
      <c r="M63" s="2"/>
      <c r="N63" s="2"/>
      <c r="O63" s="2"/>
      <c r="AB63" s="2"/>
    </row>
    <row r="64" spans="2:28" x14ac:dyDescent="0.25">
      <c r="B64" s="2"/>
      <c r="C64" s="2"/>
      <c r="D64" s="2"/>
      <c r="E64" s="2"/>
      <c r="F64" s="2"/>
      <c r="G64" s="2"/>
      <c r="H64" s="2"/>
      <c r="I64" s="2"/>
      <c r="J64" s="2"/>
      <c r="K64" s="2"/>
      <c r="L64" s="2"/>
      <c r="M64" s="2"/>
      <c r="N64" s="2"/>
      <c r="O64" s="2"/>
      <c r="AB64" s="2"/>
    </row>
    <row r="65" spans="2:28" x14ac:dyDescent="0.25">
      <c r="B65" s="2"/>
      <c r="C65" s="2"/>
      <c r="D65" s="2"/>
      <c r="E65" s="2"/>
      <c r="F65" s="2"/>
      <c r="G65" s="2"/>
      <c r="H65" s="2"/>
      <c r="I65" s="2"/>
      <c r="J65" s="2"/>
      <c r="K65" s="2"/>
      <c r="L65" s="2"/>
      <c r="M65" s="2"/>
      <c r="N65" s="2"/>
      <c r="O65" s="2"/>
      <c r="AB65" s="2"/>
    </row>
    <row r="66" spans="2:28" x14ac:dyDescent="0.25">
      <c r="B66" s="2"/>
      <c r="C66" s="2"/>
      <c r="D66" s="2"/>
      <c r="E66" s="2"/>
      <c r="F66" s="2"/>
      <c r="G66" s="2"/>
      <c r="H66" s="2"/>
      <c r="I66" s="2"/>
      <c r="J66" s="2"/>
      <c r="K66" s="2"/>
      <c r="L66" s="2"/>
      <c r="M66" s="2"/>
      <c r="N66" s="2"/>
      <c r="O66" s="2"/>
      <c r="AB66" s="2"/>
    </row>
    <row r="67" spans="2:28" x14ac:dyDescent="0.25">
      <c r="B67" s="2"/>
      <c r="C67" s="2"/>
      <c r="D67" s="2"/>
      <c r="E67" s="2"/>
      <c r="F67" s="2"/>
      <c r="G67" s="2"/>
      <c r="H67" s="2"/>
      <c r="I67" s="2"/>
      <c r="J67" s="2"/>
      <c r="K67" s="2"/>
      <c r="L67" s="2"/>
      <c r="M67" s="2"/>
      <c r="N67" s="2"/>
      <c r="O67" s="2"/>
      <c r="AB67" s="2"/>
    </row>
    <row r="68" spans="2:28" x14ac:dyDescent="0.25">
      <c r="B68" s="2"/>
      <c r="C68" s="2"/>
      <c r="D68" s="2"/>
      <c r="E68" s="2"/>
      <c r="F68" s="2"/>
      <c r="G68" s="2"/>
      <c r="H68" s="2"/>
      <c r="I68" s="2"/>
      <c r="J68" s="2"/>
      <c r="K68" s="2"/>
      <c r="L68" s="2"/>
      <c r="M68" s="2"/>
      <c r="N68" s="2"/>
      <c r="O68" s="2"/>
      <c r="AB68" s="2"/>
    </row>
    <row r="69" spans="2:28" x14ac:dyDescent="0.25">
      <c r="B69" s="2"/>
      <c r="C69" s="2"/>
      <c r="D69" s="2"/>
      <c r="E69" s="2"/>
      <c r="F69" s="2"/>
      <c r="G69" s="2"/>
      <c r="H69" s="2"/>
      <c r="I69" s="2"/>
      <c r="J69" s="2"/>
      <c r="K69" s="2"/>
      <c r="L69" s="2"/>
      <c r="M69" s="2"/>
      <c r="N69" s="2"/>
      <c r="O69" s="2"/>
      <c r="AB69" s="2"/>
    </row>
    <row r="70" spans="2:28" x14ac:dyDescent="0.25">
      <c r="B70" s="2"/>
      <c r="C70" s="2"/>
      <c r="D70" s="2"/>
      <c r="E70" s="2"/>
      <c r="F70" s="2"/>
      <c r="G70" s="2"/>
      <c r="H70" s="2"/>
      <c r="I70" s="2"/>
      <c r="J70" s="2"/>
      <c r="K70" s="2"/>
      <c r="L70" s="2"/>
      <c r="M70" s="2"/>
      <c r="N70" s="2"/>
      <c r="O70" s="2"/>
      <c r="AB70" s="2"/>
    </row>
    <row r="71" spans="2:28" x14ac:dyDescent="0.25">
      <c r="B71" s="2"/>
      <c r="C71" s="2"/>
      <c r="D71" s="2"/>
      <c r="E71" s="2"/>
      <c r="F71" s="2"/>
      <c r="G71" s="2"/>
      <c r="H71" s="2"/>
      <c r="I71" s="2"/>
      <c r="J71" s="2"/>
      <c r="K71" s="2"/>
      <c r="L71" s="2"/>
      <c r="M71" s="2"/>
      <c r="N71" s="2"/>
      <c r="O71" s="2"/>
      <c r="AB71" s="2"/>
    </row>
    <row r="72" spans="2:28" x14ac:dyDescent="0.25">
      <c r="B72" s="2"/>
      <c r="C72" s="2"/>
      <c r="D72" s="2"/>
      <c r="E72" s="2"/>
      <c r="F72" s="2"/>
      <c r="G72" s="2"/>
      <c r="H72" s="2"/>
      <c r="I72" s="2"/>
      <c r="J72" s="2"/>
      <c r="K72" s="2"/>
      <c r="L72" s="2"/>
      <c r="M72" s="2"/>
      <c r="N72" s="2"/>
      <c r="O72" s="2"/>
      <c r="AB72" s="2"/>
    </row>
    <row r="73" spans="2:28" x14ac:dyDescent="0.25">
      <c r="B73" s="2"/>
      <c r="C73" s="2"/>
      <c r="D73" s="2"/>
      <c r="E73" s="2"/>
      <c r="F73" s="2"/>
      <c r="G73" s="2"/>
      <c r="H73" s="2"/>
      <c r="I73" s="2"/>
      <c r="J73" s="2"/>
      <c r="K73" s="2"/>
      <c r="L73" s="2"/>
      <c r="M73" s="2"/>
      <c r="N73" s="2"/>
      <c r="O73" s="2"/>
      <c r="AB73" s="2"/>
    </row>
    <row r="74" spans="2:28" x14ac:dyDescent="0.25">
      <c r="B74" s="2"/>
      <c r="C74" s="2"/>
      <c r="D74" s="2"/>
      <c r="E74" s="2"/>
      <c r="F74" s="2"/>
      <c r="G74" s="2"/>
      <c r="H74" s="2"/>
      <c r="I74" s="2"/>
      <c r="J74" s="2"/>
      <c r="K74" s="2"/>
      <c r="L74" s="2"/>
      <c r="M74" s="2"/>
      <c r="N74" s="2"/>
      <c r="O74" s="2"/>
      <c r="AB74" s="2"/>
    </row>
    <row r="75" spans="2:28" x14ac:dyDescent="0.25">
      <c r="B75" s="2"/>
      <c r="C75" s="2"/>
      <c r="D75" s="2"/>
      <c r="E75" s="2"/>
      <c r="F75" s="2"/>
      <c r="G75" s="2"/>
      <c r="H75" s="2"/>
      <c r="I75" s="2"/>
      <c r="J75" s="2"/>
      <c r="K75" s="2"/>
      <c r="L75" s="2"/>
      <c r="M75" s="2"/>
      <c r="N75" s="2"/>
      <c r="O75" s="2"/>
      <c r="AB75" s="2"/>
    </row>
    <row r="76" spans="2:28" ht="12.75" customHeight="1" x14ac:dyDescent="0.25">
      <c r="B76" s="2"/>
      <c r="C76" s="2"/>
      <c r="D76" s="2"/>
      <c r="E76" s="2"/>
      <c r="F76" s="2"/>
      <c r="G76" s="2"/>
      <c r="H76" s="2"/>
      <c r="I76" s="2"/>
      <c r="J76" s="2"/>
      <c r="K76" s="2"/>
      <c r="L76" s="2"/>
      <c r="M76" s="2"/>
      <c r="N76" s="2"/>
      <c r="O76" s="2"/>
      <c r="AB76" s="2"/>
    </row>
    <row r="77" spans="2:28" x14ac:dyDescent="0.25">
      <c r="B77" s="2"/>
      <c r="C77" s="2"/>
      <c r="D77" s="2"/>
      <c r="E77" s="2"/>
      <c r="F77" s="2"/>
      <c r="G77" s="2"/>
      <c r="H77" s="2"/>
      <c r="I77" s="2"/>
      <c r="J77" s="2"/>
      <c r="K77" s="2"/>
      <c r="L77" s="2"/>
      <c r="M77" s="2"/>
      <c r="N77" s="2"/>
      <c r="O77" s="2"/>
      <c r="AB77" s="2"/>
    </row>
    <row r="78" spans="2:28" x14ac:dyDescent="0.25">
      <c r="B78" s="2"/>
      <c r="C78" s="2"/>
      <c r="D78" s="2"/>
      <c r="E78" s="2"/>
      <c r="F78" s="2"/>
      <c r="G78" s="2"/>
      <c r="H78" s="2"/>
      <c r="I78" s="2"/>
      <c r="J78" s="2"/>
      <c r="K78" s="2"/>
      <c r="L78" s="2"/>
      <c r="M78" s="2"/>
      <c r="N78" s="2"/>
      <c r="O78" s="2"/>
      <c r="AB78" s="2"/>
    </row>
    <row r="79" spans="2:28" x14ac:dyDescent="0.25">
      <c r="B79" s="2"/>
      <c r="C79" s="2"/>
      <c r="D79" s="2"/>
      <c r="E79" s="2"/>
      <c r="F79" s="2"/>
      <c r="G79" s="2"/>
      <c r="H79" s="2"/>
      <c r="I79" s="2"/>
      <c r="J79" s="2"/>
      <c r="K79" s="2"/>
      <c r="L79" s="2"/>
      <c r="M79" s="2"/>
      <c r="N79" s="2"/>
      <c r="O79" s="2"/>
      <c r="AB79" s="2"/>
    </row>
    <row r="80" spans="2:28" x14ac:dyDescent="0.25">
      <c r="B80" s="2"/>
      <c r="C80" s="2"/>
      <c r="D80" s="2"/>
      <c r="E80" s="2"/>
      <c r="F80" s="2"/>
      <c r="G80" s="2"/>
      <c r="H80" s="2"/>
      <c r="I80" s="2"/>
      <c r="J80" s="2"/>
      <c r="K80" s="2"/>
      <c r="L80" s="2"/>
      <c r="M80" s="2"/>
      <c r="N80" s="2"/>
      <c r="O80" s="2"/>
      <c r="AB80" s="2"/>
    </row>
    <row r="81" spans="2:28" x14ac:dyDescent="0.25">
      <c r="B81" s="2"/>
      <c r="C81" s="2"/>
      <c r="D81" s="2"/>
      <c r="E81" s="2"/>
      <c r="F81" s="2"/>
      <c r="G81" s="2"/>
      <c r="H81" s="2"/>
      <c r="I81" s="2"/>
      <c r="J81" s="2"/>
      <c r="K81" s="2"/>
      <c r="L81" s="2"/>
      <c r="M81" s="2"/>
      <c r="N81" s="2"/>
      <c r="O81" s="2"/>
      <c r="AB81" s="2"/>
    </row>
    <row r="82" spans="2:28" x14ac:dyDescent="0.25">
      <c r="B82" s="2"/>
      <c r="C82" s="2"/>
      <c r="D82" s="2"/>
      <c r="E82" s="2"/>
      <c r="F82" s="2"/>
      <c r="G82" s="2"/>
      <c r="H82" s="2"/>
      <c r="I82" s="2"/>
      <c r="J82" s="2"/>
      <c r="K82" s="2"/>
      <c r="L82" s="2"/>
      <c r="M82" s="2"/>
      <c r="N82" s="2"/>
      <c r="O82" s="2"/>
      <c r="AB82" s="2"/>
    </row>
    <row r="83" spans="2:28" x14ac:dyDescent="0.25">
      <c r="B83" s="2"/>
      <c r="C83" s="2"/>
      <c r="D83" s="2"/>
      <c r="E83" s="2"/>
      <c r="F83" s="2"/>
      <c r="G83" s="2"/>
      <c r="H83" s="2"/>
      <c r="I83" s="2"/>
      <c r="J83" s="2"/>
      <c r="K83" s="2"/>
      <c r="L83" s="2"/>
      <c r="M83" s="2"/>
      <c r="N83" s="2"/>
      <c r="O83" s="2"/>
      <c r="AA83" s="306"/>
      <c r="AB83" s="2"/>
    </row>
    <row r="84" spans="2:28" x14ac:dyDescent="0.25">
      <c r="B84" s="2"/>
      <c r="C84" s="2"/>
      <c r="D84" s="2"/>
      <c r="E84" s="2"/>
      <c r="F84" s="2"/>
      <c r="G84" s="2"/>
      <c r="H84" s="2"/>
      <c r="I84" s="2"/>
      <c r="J84" s="2"/>
      <c r="K84" s="2"/>
      <c r="L84" s="2"/>
      <c r="M84" s="2"/>
      <c r="N84" s="2"/>
      <c r="O84" s="2"/>
      <c r="AA84" s="306"/>
      <c r="AB84" s="2"/>
    </row>
    <row r="85" spans="2:28" x14ac:dyDescent="0.25">
      <c r="B85" s="2"/>
      <c r="C85" s="2"/>
      <c r="D85" s="2"/>
      <c r="E85" s="2"/>
      <c r="F85" s="2"/>
      <c r="G85" s="2"/>
      <c r="H85" s="2"/>
      <c r="I85" s="2"/>
      <c r="J85" s="2"/>
      <c r="K85" s="2"/>
      <c r="L85" s="2"/>
      <c r="M85" s="2"/>
      <c r="N85" s="2"/>
      <c r="O85" s="2"/>
      <c r="AB85" s="2"/>
    </row>
    <row r="86" spans="2:28" x14ac:dyDescent="0.25">
      <c r="B86" s="2"/>
      <c r="C86" s="2"/>
      <c r="D86" s="2"/>
      <c r="E86" s="2"/>
      <c r="F86" s="2"/>
      <c r="G86" s="2"/>
      <c r="H86" s="2"/>
      <c r="I86" s="2"/>
      <c r="J86" s="2"/>
      <c r="K86" s="2"/>
      <c r="L86" s="2"/>
      <c r="M86" s="2"/>
      <c r="N86" s="2"/>
      <c r="O86" s="2"/>
      <c r="AB86" s="2"/>
    </row>
    <row r="87" spans="2:28" x14ac:dyDescent="0.25">
      <c r="B87" s="2"/>
      <c r="C87" s="2"/>
      <c r="D87" s="2"/>
      <c r="E87" s="2"/>
      <c r="F87" s="2"/>
      <c r="G87" s="2"/>
      <c r="H87" s="2"/>
      <c r="I87" s="2"/>
      <c r="J87" s="2"/>
      <c r="K87" s="2"/>
      <c r="L87" s="2"/>
      <c r="M87" s="2"/>
      <c r="N87" s="2"/>
      <c r="O87" s="2"/>
      <c r="AB87" s="2"/>
    </row>
    <row r="88" spans="2:28" x14ac:dyDescent="0.25">
      <c r="B88" s="2"/>
      <c r="C88" s="2"/>
      <c r="D88" s="2"/>
      <c r="E88" s="2"/>
      <c r="F88" s="2"/>
      <c r="G88" s="2"/>
      <c r="H88" s="2"/>
      <c r="I88" s="2"/>
      <c r="J88" s="2"/>
      <c r="K88" s="2"/>
      <c r="L88" s="2"/>
      <c r="M88" s="2"/>
      <c r="N88" s="2"/>
      <c r="O88" s="2"/>
      <c r="AB88" s="2"/>
    </row>
    <row r="89" spans="2:28" x14ac:dyDescent="0.25">
      <c r="B89" s="2"/>
      <c r="C89" s="2"/>
      <c r="D89" s="2"/>
      <c r="E89" s="2"/>
      <c r="F89" s="2"/>
      <c r="G89" s="2"/>
      <c r="H89" s="2"/>
      <c r="I89" s="2"/>
      <c r="J89" s="2"/>
      <c r="K89" s="2"/>
      <c r="L89" s="2"/>
      <c r="M89" s="2"/>
      <c r="N89" s="2"/>
      <c r="O89" s="2"/>
      <c r="AB89" s="2"/>
    </row>
    <row r="90" spans="2:28" x14ac:dyDescent="0.25">
      <c r="B90" s="2"/>
      <c r="C90" s="2"/>
      <c r="D90" s="2"/>
      <c r="E90" s="2"/>
      <c r="F90" s="2"/>
      <c r="G90" s="2"/>
      <c r="H90" s="2"/>
      <c r="I90" s="2"/>
      <c r="J90" s="2"/>
      <c r="K90" s="2"/>
      <c r="L90" s="2"/>
      <c r="M90" s="2"/>
      <c r="N90" s="2"/>
      <c r="O90" s="2"/>
      <c r="AB90" s="2"/>
    </row>
    <row r="91" spans="2:28" x14ac:dyDescent="0.25">
      <c r="B91" s="2"/>
      <c r="C91" s="2"/>
      <c r="D91" s="2"/>
      <c r="E91" s="2"/>
      <c r="F91" s="2"/>
      <c r="G91" s="2"/>
      <c r="H91" s="2"/>
      <c r="I91" s="2"/>
      <c r="J91" s="2"/>
      <c r="K91" s="2"/>
      <c r="L91" s="2"/>
      <c r="M91" s="2"/>
      <c r="N91" s="2"/>
      <c r="O91" s="2"/>
      <c r="AB91" s="2"/>
    </row>
    <row r="92" spans="2:28" x14ac:dyDescent="0.25">
      <c r="B92" s="2"/>
      <c r="C92" s="2"/>
      <c r="D92" s="2"/>
      <c r="E92" s="2"/>
      <c r="F92" s="2"/>
      <c r="G92" s="2"/>
      <c r="H92" s="2"/>
      <c r="I92" s="2"/>
      <c r="J92" s="2"/>
      <c r="K92" s="2"/>
      <c r="L92" s="2"/>
      <c r="M92" s="2"/>
      <c r="N92" s="2"/>
      <c r="O92" s="2"/>
      <c r="AB92" s="2"/>
    </row>
    <row r="93" spans="2:28" x14ac:dyDescent="0.25">
      <c r="B93" s="2"/>
      <c r="C93" s="2"/>
      <c r="D93" s="2"/>
      <c r="E93" s="2"/>
      <c r="F93" s="2"/>
      <c r="G93" s="2"/>
      <c r="H93" s="2"/>
      <c r="I93" s="2"/>
      <c r="J93" s="2"/>
      <c r="K93" s="2"/>
      <c r="L93" s="2"/>
      <c r="M93" s="2"/>
      <c r="N93" s="2"/>
      <c r="O93" s="2"/>
      <c r="AB93" s="2"/>
    </row>
    <row r="94" spans="2:28" x14ac:dyDescent="0.25">
      <c r="B94" s="2"/>
      <c r="C94" s="2"/>
      <c r="D94" s="2"/>
      <c r="E94" s="2"/>
      <c r="F94" s="2"/>
      <c r="G94" s="2"/>
      <c r="H94" s="2"/>
      <c r="I94" s="2"/>
      <c r="J94" s="2"/>
      <c r="K94" s="2"/>
      <c r="L94" s="2"/>
      <c r="M94" s="2"/>
      <c r="N94" s="2"/>
      <c r="O94" s="2"/>
      <c r="AB94" s="2"/>
    </row>
    <row r="95" spans="2:28" x14ac:dyDescent="0.25">
      <c r="B95" s="2"/>
      <c r="C95" s="2"/>
      <c r="D95" s="2"/>
      <c r="E95" s="2"/>
      <c r="F95" s="2"/>
      <c r="G95" s="2"/>
      <c r="H95" s="2"/>
      <c r="I95" s="2"/>
      <c r="J95" s="2"/>
      <c r="K95" s="2"/>
      <c r="L95" s="2"/>
      <c r="M95" s="2"/>
      <c r="N95" s="2"/>
      <c r="O95" s="2"/>
      <c r="AB95" s="2"/>
    </row>
    <row r="96" spans="2:28" x14ac:dyDescent="0.25">
      <c r="B96" s="2"/>
      <c r="C96" s="2"/>
      <c r="D96" s="2"/>
      <c r="E96" s="2"/>
      <c r="F96" s="2"/>
      <c r="G96" s="2"/>
      <c r="H96" s="2"/>
      <c r="I96" s="2"/>
      <c r="J96" s="2"/>
      <c r="K96" s="2"/>
      <c r="L96" s="2"/>
      <c r="M96" s="2"/>
      <c r="N96" s="2"/>
      <c r="O96" s="2"/>
      <c r="AB96" s="2"/>
    </row>
    <row r="97" spans="2:28" x14ac:dyDescent="0.25">
      <c r="B97" s="2"/>
      <c r="C97" s="2"/>
      <c r="D97" s="2"/>
      <c r="E97" s="2"/>
      <c r="F97" s="2"/>
      <c r="G97" s="2"/>
      <c r="H97" s="2"/>
      <c r="I97" s="2"/>
      <c r="J97" s="2"/>
      <c r="K97" s="2"/>
      <c r="L97" s="2"/>
      <c r="M97" s="2"/>
      <c r="N97" s="2"/>
      <c r="O97" s="2"/>
      <c r="AB97" s="2"/>
    </row>
    <row r="98" spans="2:28" x14ac:dyDescent="0.25">
      <c r="B98" s="2"/>
      <c r="C98" s="2"/>
      <c r="D98" s="2"/>
      <c r="E98" s="2"/>
      <c r="F98" s="2"/>
      <c r="G98" s="2"/>
      <c r="H98" s="2"/>
      <c r="I98" s="2"/>
      <c r="J98" s="2"/>
      <c r="K98" s="2"/>
      <c r="L98" s="2"/>
      <c r="M98" s="2"/>
      <c r="N98" s="2"/>
      <c r="O98" s="2"/>
      <c r="AB98" s="2"/>
    </row>
    <row r="99" spans="2:28" x14ac:dyDescent="0.25">
      <c r="B99" s="2"/>
      <c r="C99" s="2"/>
      <c r="D99" s="2"/>
      <c r="E99" s="2"/>
      <c r="F99" s="2"/>
      <c r="G99" s="2"/>
      <c r="H99" s="2"/>
      <c r="I99" s="2"/>
      <c r="J99" s="2"/>
      <c r="K99" s="2"/>
      <c r="L99" s="2"/>
      <c r="M99" s="2"/>
      <c r="N99" s="2"/>
      <c r="O99" s="2"/>
      <c r="AB99" s="2"/>
    </row>
    <row r="100" spans="2:28" x14ac:dyDescent="0.25">
      <c r="B100" s="2"/>
      <c r="C100" s="2"/>
      <c r="D100" s="2"/>
      <c r="E100" s="2"/>
      <c r="F100" s="2"/>
      <c r="G100" s="2"/>
      <c r="H100" s="2"/>
      <c r="I100" s="2"/>
      <c r="J100" s="2"/>
      <c r="K100" s="2"/>
      <c r="L100" s="2"/>
      <c r="M100" s="2"/>
      <c r="N100" s="2"/>
      <c r="O100" s="2"/>
      <c r="AB100" s="2"/>
    </row>
    <row r="101" spans="2:28" x14ac:dyDescent="0.25">
      <c r="B101" s="2"/>
      <c r="C101" s="2"/>
      <c r="D101" s="2"/>
      <c r="E101" s="2"/>
      <c r="F101" s="2"/>
      <c r="G101" s="2"/>
      <c r="H101" s="2"/>
      <c r="I101" s="2"/>
      <c r="J101" s="2"/>
      <c r="K101" s="2"/>
      <c r="L101" s="2"/>
      <c r="M101" s="2"/>
      <c r="N101" s="2"/>
      <c r="O101" s="2"/>
      <c r="AB101" s="2"/>
    </row>
    <row r="102" spans="2:28" x14ac:dyDescent="0.25">
      <c r="B102" s="2"/>
      <c r="C102" s="2"/>
      <c r="D102" s="2"/>
      <c r="E102" s="2"/>
      <c r="F102" s="2"/>
      <c r="G102" s="2"/>
      <c r="H102" s="2"/>
      <c r="I102" s="2"/>
      <c r="J102" s="2"/>
      <c r="K102" s="2"/>
      <c r="L102" s="2"/>
      <c r="M102" s="2"/>
      <c r="N102" s="2"/>
      <c r="O102" s="2"/>
      <c r="AB102" s="2"/>
    </row>
    <row r="103" spans="2:28" x14ac:dyDescent="0.25">
      <c r="B103" s="2"/>
      <c r="C103" s="2"/>
      <c r="D103" s="2"/>
      <c r="E103" s="2"/>
      <c r="F103" s="2"/>
      <c r="G103" s="2"/>
      <c r="H103" s="2"/>
      <c r="I103" s="2"/>
      <c r="J103" s="2"/>
      <c r="K103" s="2"/>
      <c r="L103" s="2"/>
      <c r="M103" s="2"/>
      <c r="N103" s="2"/>
      <c r="O103" s="2"/>
      <c r="AB103" s="2"/>
    </row>
    <row r="104" spans="2:28" x14ac:dyDescent="0.25">
      <c r="B104" s="2"/>
      <c r="C104" s="2"/>
      <c r="D104" s="2"/>
      <c r="E104" s="2"/>
      <c r="F104" s="2"/>
      <c r="G104" s="2"/>
      <c r="H104" s="2"/>
      <c r="I104" s="2"/>
      <c r="J104" s="2"/>
      <c r="K104" s="2"/>
      <c r="L104" s="2"/>
      <c r="M104" s="2"/>
      <c r="N104" s="2"/>
      <c r="O104" s="2"/>
      <c r="AB104" s="2"/>
    </row>
    <row r="105" spans="2:28" x14ac:dyDescent="0.25">
      <c r="B105" s="2"/>
      <c r="C105" s="2"/>
      <c r="D105" s="2"/>
      <c r="E105" s="2"/>
      <c r="F105" s="2"/>
      <c r="G105" s="2"/>
      <c r="H105" s="2"/>
      <c r="I105" s="2"/>
      <c r="J105" s="2"/>
      <c r="K105" s="2"/>
      <c r="L105" s="2"/>
      <c r="M105" s="2"/>
      <c r="N105" s="2"/>
      <c r="O105" s="2"/>
      <c r="AB105" s="2"/>
    </row>
    <row r="106" spans="2:28" x14ac:dyDescent="0.25">
      <c r="B106" s="2"/>
      <c r="C106" s="2"/>
      <c r="D106" s="2"/>
      <c r="E106" s="2"/>
      <c r="F106" s="2"/>
      <c r="G106" s="2"/>
      <c r="H106" s="2"/>
      <c r="I106" s="2"/>
      <c r="J106" s="2"/>
      <c r="K106" s="2"/>
      <c r="L106" s="2"/>
      <c r="M106" s="2"/>
      <c r="N106" s="2"/>
      <c r="O106" s="2"/>
      <c r="P106" s="2" t="s">
        <v>214</v>
      </c>
      <c r="Q106" s="2"/>
      <c r="R106" s="2"/>
      <c r="S106" s="2"/>
      <c r="T106" s="2"/>
      <c r="U106" s="2"/>
      <c r="V106" s="2"/>
      <c r="W106" s="2"/>
      <c r="X106" s="2"/>
      <c r="Y106" s="2"/>
      <c r="Z106" s="2"/>
      <c r="AA106" s="2"/>
      <c r="AB106" s="2"/>
    </row>
    <row r="107" spans="2:28" x14ac:dyDescent="0.25">
      <c r="B107" s="2"/>
      <c r="C107" s="2"/>
      <c r="D107" s="2"/>
      <c r="E107" s="2"/>
      <c r="F107" s="2"/>
      <c r="G107" s="2"/>
      <c r="H107" s="2"/>
      <c r="I107" s="2"/>
      <c r="J107" s="2"/>
      <c r="K107" s="2"/>
      <c r="L107" s="2"/>
      <c r="M107" s="2"/>
      <c r="N107" s="2"/>
      <c r="O107" s="2"/>
      <c r="P107" s="2"/>
      <c r="Q107" s="2"/>
      <c r="R107" s="2"/>
      <c r="S107" s="2"/>
      <c r="T107" s="2"/>
      <c r="U107" s="2"/>
      <c r="V107" s="2"/>
      <c r="W107" s="13"/>
      <c r="X107" s="2"/>
      <c r="Y107" s="2"/>
      <c r="Z107" s="2"/>
      <c r="AA107" s="2"/>
      <c r="AB107" s="2"/>
    </row>
    <row r="108" spans="2:28" x14ac:dyDescent="0.2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2:28" x14ac:dyDescent="0.2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2:28" x14ac:dyDescent="0.2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2:28" x14ac:dyDescent="0.2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2:28" x14ac:dyDescent="0.2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2:28" x14ac:dyDescent="0.2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2:28" x14ac:dyDescent="0.2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2:28" x14ac:dyDescent="0.2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2:28" x14ac:dyDescent="0.2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2:28" x14ac:dyDescent="0.2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2:28" x14ac:dyDescent="0.2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2:28" x14ac:dyDescent="0.2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2:28" x14ac:dyDescent="0.2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2:28" x14ac:dyDescent="0.2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2:28" x14ac:dyDescent="0.2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2:28" x14ac:dyDescent="0.2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2:28" x14ac:dyDescent="0.2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2:28" x14ac:dyDescent="0.2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2:28" x14ac:dyDescent="0.2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2:28" x14ac:dyDescent="0.2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2:28" x14ac:dyDescent="0.2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2:28" x14ac:dyDescent="0.2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2:28" x14ac:dyDescent="0.2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2:28" x14ac:dyDescent="0.2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2:28" x14ac:dyDescent="0.2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2:28" x14ac:dyDescent="0.2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2:28" x14ac:dyDescent="0.2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2:28" x14ac:dyDescent="0.2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2:28" x14ac:dyDescent="0.2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2:28" x14ac:dyDescent="0.2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2:28" x14ac:dyDescent="0.2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2:28" x14ac:dyDescent="0.2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2:28" x14ac:dyDescent="0.2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2:28" x14ac:dyDescent="0.2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2:28" x14ac:dyDescent="0.2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2:28" x14ac:dyDescent="0.2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2:28" x14ac:dyDescent="0.2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2:28" x14ac:dyDescent="0.2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2:28" x14ac:dyDescent="0.2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2:28" x14ac:dyDescent="0.2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2:28" x14ac:dyDescent="0.2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2:28" x14ac:dyDescent="0.2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2:28" x14ac:dyDescent="0.2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2:28" x14ac:dyDescent="0.2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2:28" x14ac:dyDescent="0.2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2:28" x14ac:dyDescent="0.2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2:28" x14ac:dyDescent="0.2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2:28" x14ac:dyDescent="0.2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2:28" x14ac:dyDescent="0.2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2:28" x14ac:dyDescent="0.2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2:28" x14ac:dyDescent="0.2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2:28" x14ac:dyDescent="0.2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2:28" x14ac:dyDescent="0.2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2:28" x14ac:dyDescent="0.2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2:28" x14ac:dyDescent="0.2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2:28" x14ac:dyDescent="0.2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2:28" x14ac:dyDescent="0.2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2:28" x14ac:dyDescent="0.2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2:28" x14ac:dyDescent="0.2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2:28" x14ac:dyDescent="0.2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2:28" x14ac:dyDescent="0.2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2:28" x14ac:dyDescent="0.2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2:28" x14ac:dyDescent="0.2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2:28" x14ac:dyDescent="0.2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2:28" x14ac:dyDescent="0.2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2:28" x14ac:dyDescent="0.2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2:28" x14ac:dyDescent="0.2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2:28" x14ac:dyDescent="0.2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2:28" x14ac:dyDescent="0.2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2:28" x14ac:dyDescent="0.2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2:28" x14ac:dyDescent="0.2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2:28" x14ac:dyDescent="0.2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2:28" x14ac:dyDescent="0.2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2:28" x14ac:dyDescent="0.2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2:28" x14ac:dyDescent="0.2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2:28" x14ac:dyDescent="0.2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2:28" x14ac:dyDescent="0.2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2:28" x14ac:dyDescent="0.2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2:28" x14ac:dyDescent="0.2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2:28" x14ac:dyDescent="0.2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2:28" x14ac:dyDescent="0.2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2:28" x14ac:dyDescent="0.2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2:28" x14ac:dyDescent="0.2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2:28" x14ac:dyDescent="0.2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2:28" x14ac:dyDescent="0.2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2:28" x14ac:dyDescent="0.2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2:28" x14ac:dyDescent="0.2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2:28" x14ac:dyDescent="0.2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2:28" x14ac:dyDescent="0.2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2:28" x14ac:dyDescent="0.2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2:28" x14ac:dyDescent="0.2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2:28" x14ac:dyDescent="0.2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2:28" x14ac:dyDescent="0.2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2:28" x14ac:dyDescent="0.2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2:28" x14ac:dyDescent="0.2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2:28" x14ac:dyDescent="0.2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2:28" x14ac:dyDescent="0.2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2:28" x14ac:dyDescent="0.2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2:28" x14ac:dyDescent="0.2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2:28" x14ac:dyDescent="0.2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2:28" x14ac:dyDescent="0.2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2:28" x14ac:dyDescent="0.2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2:28" x14ac:dyDescent="0.2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2:28" x14ac:dyDescent="0.2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2:28" x14ac:dyDescent="0.2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2:28" x14ac:dyDescent="0.2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2:28" x14ac:dyDescent="0.2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2:28" x14ac:dyDescent="0.2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2:28" x14ac:dyDescent="0.2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2:28" x14ac:dyDescent="0.2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2:28" x14ac:dyDescent="0.2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2:28" x14ac:dyDescent="0.2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2:28" x14ac:dyDescent="0.2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2:28" x14ac:dyDescent="0.2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2:28" x14ac:dyDescent="0.2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2:28" x14ac:dyDescent="0.2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2:28" x14ac:dyDescent="0.2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2:28" x14ac:dyDescent="0.2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2:28" x14ac:dyDescent="0.2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2:28" x14ac:dyDescent="0.2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2:28" x14ac:dyDescent="0.2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2:28" x14ac:dyDescent="0.2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2:28" x14ac:dyDescent="0.2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2:28" x14ac:dyDescent="0.2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2:28" x14ac:dyDescent="0.2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2:28" x14ac:dyDescent="0.2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2:28" x14ac:dyDescent="0.2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2:28" x14ac:dyDescent="0.2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2:28" x14ac:dyDescent="0.2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2:28" x14ac:dyDescent="0.2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2:28" x14ac:dyDescent="0.2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2:28" x14ac:dyDescent="0.2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2:28" x14ac:dyDescent="0.2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2:28" x14ac:dyDescent="0.2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2:28" x14ac:dyDescent="0.2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2:28" x14ac:dyDescent="0.2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2:28" x14ac:dyDescent="0.2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2:28" x14ac:dyDescent="0.2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2:28" x14ac:dyDescent="0.2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2:28" x14ac:dyDescent="0.2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2:28" x14ac:dyDescent="0.2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2:28" x14ac:dyDescent="0.2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2:28" x14ac:dyDescent="0.2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2:28" x14ac:dyDescent="0.2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2:28" x14ac:dyDescent="0.2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2:28" x14ac:dyDescent="0.2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2:28" x14ac:dyDescent="0.2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2:28" x14ac:dyDescent="0.2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2:28" x14ac:dyDescent="0.2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2:28" x14ac:dyDescent="0.2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2:28" x14ac:dyDescent="0.2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2:28" x14ac:dyDescent="0.2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2:28" x14ac:dyDescent="0.2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2:28" x14ac:dyDescent="0.2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2:28" x14ac:dyDescent="0.2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2:28" x14ac:dyDescent="0.2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2:28" x14ac:dyDescent="0.2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2:28" x14ac:dyDescent="0.2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2:28" x14ac:dyDescent="0.2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2:28" x14ac:dyDescent="0.2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2:28" x14ac:dyDescent="0.2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2:28" x14ac:dyDescent="0.2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2:28" x14ac:dyDescent="0.2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2:28" x14ac:dyDescent="0.2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2:28" x14ac:dyDescent="0.2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2:28" x14ac:dyDescent="0.2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2:28" x14ac:dyDescent="0.2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2:28" x14ac:dyDescent="0.2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2:28" x14ac:dyDescent="0.2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2:28" x14ac:dyDescent="0.2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2:28" x14ac:dyDescent="0.2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2:28" x14ac:dyDescent="0.2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2:28" x14ac:dyDescent="0.2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2:28" x14ac:dyDescent="0.2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2:28" x14ac:dyDescent="0.2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2:28" x14ac:dyDescent="0.2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2:28" x14ac:dyDescent="0.2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2:28" x14ac:dyDescent="0.2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2:28" x14ac:dyDescent="0.2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2:28" x14ac:dyDescent="0.2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2:28" x14ac:dyDescent="0.2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2:28" x14ac:dyDescent="0.2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2:28" x14ac:dyDescent="0.2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2:28" x14ac:dyDescent="0.2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2:28" x14ac:dyDescent="0.2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2:28" x14ac:dyDescent="0.2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2:28" x14ac:dyDescent="0.2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2:28" x14ac:dyDescent="0.2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2:28" x14ac:dyDescent="0.2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2:28" x14ac:dyDescent="0.2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2:28" x14ac:dyDescent="0.2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2:28" x14ac:dyDescent="0.2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2:28" x14ac:dyDescent="0.2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2:28" x14ac:dyDescent="0.2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2:28" x14ac:dyDescent="0.2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2:28" x14ac:dyDescent="0.2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2:28" x14ac:dyDescent="0.2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2:28" x14ac:dyDescent="0.2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2:28" x14ac:dyDescent="0.2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2:28" x14ac:dyDescent="0.2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2:28" x14ac:dyDescent="0.2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2:28" x14ac:dyDescent="0.2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2:28" x14ac:dyDescent="0.2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2:28" x14ac:dyDescent="0.2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2:28" x14ac:dyDescent="0.2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2:28" x14ac:dyDescent="0.2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2:28" x14ac:dyDescent="0.2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2:28" x14ac:dyDescent="0.2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2:28" x14ac:dyDescent="0.2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2:28" x14ac:dyDescent="0.2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2:28" x14ac:dyDescent="0.2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2:28" x14ac:dyDescent="0.2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2:28" x14ac:dyDescent="0.2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2:28" x14ac:dyDescent="0.2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2:28" x14ac:dyDescent="0.2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2:28" x14ac:dyDescent="0.2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2:28" x14ac:dyDescent="0.2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2:28" x14ac:dyDescent="0.2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2:28" x14ac:dyDescent="0.2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2:28" x14ac:dyDescent="0.2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2:28" x14ac:dyDescent="0.2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2:28" x14ac:dyDescent="0.2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2:28" x14ac:dyDescent="0.2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2:28" x14ac:dyDescent="0.2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2:28" x14ac:dyDescent="0.2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2:28" x14ac:dyDescent="0.2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2:28" x14ac:dyDescent="0.2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2:28" x14ac:dyDescent="0.2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2:28" x14ac:dyDescent="0.2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2:28" x14ac:dyDescent="0.2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2:28" x14ac:dyDescent="0.2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2:28" x14ac:dyDescent="0.2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2:28" x14ac:dyDescent="0.2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2:28" x14ac:dyDescent="0.2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2:28" x14ac:dyDescent="0.2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2:28" x14ac:dyDescent="0.2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2:28" x14ac:dyDescent="0.2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2:28" x14ac:dyDescent="0.2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2:28" x14ac:dyDescent="0.2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2:28" x14ac:dyDescent="0.2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2:28" x14ac:dyDescent="0.2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2:28" x14ac:dyDescent="0.2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2:28" x14ac:dyDescent="0.2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2:28" x14ac:dyDescent="0.2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2:28" x14ac:dyDescent="0.2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2:28" x14ac:dyDescent="0.2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2:28" x14ac:dyDescent="0.2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2:28" x14ac:dyDescent="0.2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2:28" x14ac:dyDescent="0.2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2:28" x14ac:dyDescent="0.2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2:28" x14ac:dyDescent="0.2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2:28" x14ac:dyDescent="0.2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2:28" x14ac:dyDescent="0.2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2:28" x14ac:dyDescent="0.2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2:28" x14ac:dyDescent="0.2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2:28" x14ac:dyDescent="0.2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2:28" x14ac:dyDescent="0.2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2:28" x14ac:dyDescent="0.2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2:28" x14ac:dyDescent="0.2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2:28" x14ac:dyDescent="0.2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2:28" x14ac:dyDescent="0.2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2:28" x14ac:dyDescent="0.2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2:28" x14ac:dyDescent="0.2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2:28" x14ac:dyDescent="0.2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2:28" x14ac:dyDescent="0.2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2:28" x14ac:dyDescent="0.2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2:28" x14ac:dyDescent="0.2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2:28" x14ac:dyDescent="0.2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2:28" x14ac:dyDescent="0.2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2:28" x14ac:dyDescent="0.2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2:28" x14ac:dyDescent="0.2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2:28" x14ac:dyDescent="0.2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2:28" x14ac:dyDescent="0.2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2:28" x14ac:dyDescent="0.2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2:28" x14ac:dyDescent="0.2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2:28" x14ac:dyDescent="0.2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2:28" x14ac:dyDescent="0.2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2:28" x14ac:dyDescent="0.2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2:28" x14ac:dyDescent="0.2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2:28" x14ac:dyDescent="0.2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2:28" x14ac:dyDescent="0.2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2:28" x14ac:dyDescent="0.2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2:28" x14ac:dyDescent="0.2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2:28" x14ac:dyDescent="0.2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2:28" x14ac:dyDescent="0.2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2:28" x14ac:dyDescent="0.2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2:28" x14ac:dyDescent="0.2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2:28" x14ac:dyDescent="0.2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2:28" x14ac:dyDescent="0.2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2:28" x14ac:dyDescent="0.2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2:28" x14ac:dyDescent="0.2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2:28" x14ac:dyDescent="0.2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2:28" x14ac:dyDescent="0.2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2:28" x14ac:dyDescent="0.2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2:28" x14ac:dyDescent="0.2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2:28" x14ac:dyDescent="0.2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2:28" x14ac:dyDescent="0.2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2:28" x14ac:dyDescent="0.2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2:28" x14ac:dyDescent="0.2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2:28" x14ac:dyDescent="0.2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2:28" x14ac:dyDescent="0.2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2:28" x14ac:dyDescent="0.2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2:28" x14ac:dyDescent="0.25">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2:28" x14ac:dyDescent="0.2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2:28" x14ac:dyDescent="0.2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2:28" x14ac:dyDescent="0.2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2:28" x14ac:dyDescent="0.25">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2:28" x14ac:dyDescent="0.25">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2:28" x14ac:dyDescent="0.25">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2:28" x14ac:dyDescent="0.25">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2:28" x14ac:dyDescent="0.25">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2:28" x14ac:dyDescent="0.25">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2:28" x14ac:dyDescent="0.25">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2:28" x14ac:dyDescent="0.25">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2:28" x14ac:dyDescent="0.25">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2:28" x14ac:dyDescent="0.25">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2:28" x14ac:dyDescent="0.25">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2:28" x14ac:dyDescent="0.25">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2:28" x14ac:dyDescent="0.25">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2:28" x14ac:dyDescent="0.25">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2:28" x14ac:dyDescent="0.25">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2:28" x14ac:dyDescent="0.25">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2:28" x14ac:dyDescent="0.25">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2:28" x14ac:dyDescent="0.25">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2:28" x14ac:dyDescent="0.25">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2:28" x14ac:dyDescent="0.25">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2:28" x14ac:dyDescent="0.25">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2:28" x14ac:dyDescent="0.25">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2:28" x14ac:dyDescent="0.25">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2:28" x14ac:dyDescent="0.25">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2:28" x14ac:dyDescent="0.25">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2:28" x14ac:dyDescent="0.25">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2:28" x14ac:dyDescent="0.25">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2:28" x14ac:dyDescent="0.25">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2:28" x14ac:dyDescent="0.25">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2:28" x14ac:dyDescent="0.25">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2:28" x14ac:dyDescent="0.25">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2:28" x14ac:dyDescent="0.25">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2:28" x14ac:dyDescent="0.25">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2:28" x14ac:dyDescent="0.25">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2:28" x14ac:dyDescent="0.25">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2:28" x14ac:dyDescent="0.25">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2:28" x14ac:dyDescent="0.25">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2:28" x14ac:dyDescent="0.25">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2:28" x14ac:dyDescent="0.25">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2:28" x14ac:dyDescent="0.25">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2:28" x14ac:dyDescent="0.25">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2:28" x14ac:dyDescent="0.25">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2:28" x14ac:dyDescent="0.25">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2:28" x14ac:dyDescent="0.25">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2:28" x14ac:dyDescent="0.25">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2:28" x14ac:dyDescent="0.25">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2:28" x14ac:dyDescent="0.25">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2:28" x14ac:dyDescent="0.25">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2:28" x14ac:dyDescent="0.25">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2:28" x14ac:dyDescent="0.25">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2:28" x14ac:dyDescent="0.25">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2:28" x14ac:dyDescent="0.25">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2:28" x14ac:dyDescent="0.25">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2:28" x14ac:dyDescent="0.25">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2:28" x14ac:dyDescent="0.25">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2:28" x14ac:dyDescent="0.25">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2:28" x14ac:dyDescent="0.25">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2:28" x14ac:dyDescent="0.25">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2:28" x14ac:dyDescent="0.25">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2:28" x14ac:dyDescent="0.25">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2:28" x14ac:dyDescent="0.25">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2:28" x14ac:dyDescent="0.25">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2:28" x14ac:dyDescent="0.25">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2:28" x14ac:dyDescent="0.25">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2:28" x14ac:dyDescent="0.25">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2:28" x14ac:dyDescent="0.25">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2:28" x14ac:dyDescent="0.25">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2:28" x14ac:dyDescent="0.25">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2:28" x14ac:dyDescent="0.25">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2:28" x14ac:dyDescent="0.25">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2:28" x14ac:dyDescent="0.25">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2:28" x14ac:dyDescent="0.25">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2:28" x14ac:dyDescent="0.25">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2:28" x14ac:dyDescent="0.25">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2:28" x14ac:dyDescent="0.25">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2:28" x14ac:dyDescent="0.25">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2:28" x14ac:dyDescent="0.25">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2:28" x14ac:dyDescent="0.25">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2:28" x14ac:dyDescent="0.25">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2:28" x14ac:dyDescent="0.25">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2:28" x14ac:dyDescent="0.25">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2:28" x14ac:dyDescent="0.25">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2:28" x14ac:dyDescent="0.25">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2:28" x14ac:dyDescent="0.25">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2:28" x14ac:dyDescent="0.25">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2:28" x14ac:dyDescent="0.25">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2:28" x14ac:dyDescent="0.25">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2:28" x14ac:dyDescent="0.25">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2:28" x14ac:dyDescent="0.25">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2:28" x14ac:dyDescent="0.25">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2:28" x14ac:dyDescent="0.25">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2:28" x14ac:dyDescent="0.25">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2:28" x14ac:dyDescent="0.25">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2:28" x14ac:dyDescent="0.25">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2:28" x14ac:dyDescent="0.25">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2:28" x14ac:dyDescent="0.25">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2:28" x14ac:dyDescent="0.25">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2:28" x14ac:dyDescent="0.25">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2:28" x14ac:dyDescent="0.25">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2:28" x14ac:dyDescent="0.25">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2:28" x14ac:dyDescent="0.25">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2:28" x14ac:dyDescent="0.25">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2:28" x14ac:dyDescent="0.25">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2:28" x14ac:dyDescent="0.25">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2:28" x14ac:dyDescent="0.25">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2:28" x14ac:dyDescent="0.25">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2:28" x14ac:dyDescent="0.25">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2:28" x14ac:dyDescent="0.25">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2:28" x14ac:dyDescent="0.25">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2:28" x14ac:dyDescent="0.25">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2:28" x14ac:dyDescent="0.25">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2:28" x14ac:dyDescent="0.25">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2:28" x14ac:dyDescent="0.25">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2:28" x14ac:dyDescent="0.25">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2:28" x14ac:dyDescent="0.25">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2:28" x14ac:dyDescent="0.25">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2:28" x14ac:dyDescent="0.25">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2:28" x14ac:dyDescent="0.25">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2:28" x14ac:dyDescent="0.25">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2:28" x14ac:dyDescent="0.25">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2:28" x14ac:dyDescent="0.25">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2:28" x14ac:dyDescent="0.25">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2:28" x14ac:dyDescent="0.25">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2:28" x14ac:dyDescent="0.25">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2:28" x14ac:dyDescent="0.25">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2:28" x14ac:dyDescent="0.25">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2:28" x14ac:dyDescent="0.25">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2:28" x14ac:dyDescent="0.25">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2:28" x14ac:dyDescent="0.25">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2:28" x14ac:dyDescent="0.25">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2:28" x14ac:dyDescent="0.25">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2:28" x14ac:dyDescent="0.25">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2:28" x14ac:dyDescent="0.25">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2:28" x14ac:dyDescent="0.25">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2:28" x14ac:dyDescent="0.25">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2:28" x14ac:dyDescent="0.25">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2:28" x14ac:dyDescent="0.25">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2:28" x14ac:dyDescent="0.25">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2:28" x14ac:dyDescent="0.25">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2:28" x14ac:dyDescent="0.25">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2:28" x14ac:dyDescent="0.25">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2:28" x14ac:dyDescent="0.25">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2:28" x14ac:dyDescent="0.25">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2:28" x14ac:dyDescent="0.25">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2:28" x14ac:dyDescent="0.25">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2:28" x14ac:dyDescent="0.25">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2:28" x14ac:dyDescent="0.25">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2:28" x14ac:dyDescent="0.25">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2:28" x14ac:dyDescent="0.25">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2:28" x14ac:dyDescent="0.25">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2:28" x14ac:dyDescent="0.25">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2:28" x14ac:dyDescent="0.25">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2:28" x14ac:dyDescent="0.25">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2:28" x14ac:dyDescent="0.25">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2:28" x14ac:dyDescent="0.25">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2:28" x14ac:dyDescent="0.25">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2:28" x14ac:dyDescent="0.25">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2:28" x14ac:dyDescent="0.25">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2:28" x14ac:dyDescent="0.25">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2:28" x14ac:dyDescent="0.25">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2:28" x14ac:dyDescent="0.25">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2:28" x14ac:dyDescent="0.25">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2:28" x14ac:dyDescent="0.25">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2:28" x14ac:dyDescent="0.25">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2:28" x14ac:dyDescent="0.25">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2:28" x14ac:dyDescent="0.25">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2:28" x14ac:dyDescent="0.25">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2:28" x14ac:dyDescent="0.25">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2:28" x14ac:dyDescent="0.25">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2:28" x14ac:dyDescent="0.25">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2:28" x14ac:dyDescent="0.25">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2:28" x14ac:dyDescent="0.25">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2:28" x14ac:dyDescent="0.25">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2:28" x14ac:dyDescent="0.25">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2:28" x14ac:dyDescent="0.25">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2:28" x14ac:dyDescent="0.25">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2:28" x14ac:dyDescent="0.25">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2:28" x14ac:dyDescent="0.25">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2:28" x14ac:dyDescent="0.25">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2:28" x14ac:dyDescent="0.25">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2:28" x14ac:dyDescent="0.25">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2:28" x14ac:dyDescent="0.25">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2:28" x14ac:dyDescent="0.25">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2:28" x14ac:dyDescent="0.25">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2:28" x14ac:dyDescent="0.25">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2:28" x14ac:dyDescent="0.25">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2:28" x14ac:dyDescent="0.25">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2:28" x14ac:dyDescent="0.25">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2:28" x14ac:dyDescent="0.25">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2:28" x14ac:dyDescent="0.25">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2:28" x14ac:dyDescent="0.25">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2:28" x14ac:dyDescent="0.25">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2:28" x14ac:dyDescent="0.25">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2:28" x14ac:dyDescent="0.25">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2:28" x14ac:dyDescent="0.25">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2:28" x14ac:dyDescent="0.25">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2:28" x14ac:dyDescent="0.25">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2:28" x14ac:dyDescent="0.25">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2:28" x14ac:dyDescent="0.25">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2:28" x14ac:dyDescent="0.25">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2:28" x14ac:dyDescent="0.25">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2:28" x14ac:dyDescent="0.25">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2:28" x14ac:dyDescent="0.25">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2:28" x14ac:dyDescent="0.25">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2:28" x14ac:dyDescent="0.25">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2:28" x14ac:dyDescent="0.25">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2:28" x14ac:dyDescent="0.25">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2:28" x14ac:dyDescent="0.25">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2:28" x14ac:dyDescent="0.25">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2:28" x14ac:dyDescent="0.25">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2:28" x14ac:dyDescent="0.25">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2:28" x14ac:dyDescent="0.25">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2:28" x14ac:dyDescent="0.25">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2:28" x14ac:dyDescent="0.25">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2:28" x14ac:dyDescent="0.25">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2:28" x14ac:dyDescent="0.25">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2:28" x14ac:dyDescent="0.25">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2:28" x14ac:dyDescent="0.25">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2:28" x14ac:dyDescent="0.25">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2:28" x14ac:dyDescent="0.25">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2:28" x14ac:dyDescent="0.25">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2:28" x14ac:dyDescent="0.25">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2:28" x14ac:dyDescent="0.25">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2:28" x14ac:dyDescent="0.25">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2:28" x14ac:dyDescent="0.25">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2:28" x14ac:dyDescent="0.25">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2:28" x14ac:dyDescent="0.25">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2:28" x14ac:dyDescent="0.25">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2:28" x14ac:dyDescent="0.25">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2:28" x14ac:dyDescent="0.25">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2:28" x14ac:dyDescent="0.25">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2:28" x14ac:dyDescent="0.25">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2:28" x14ac:dyDescent="0.25">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2:28" x14ac:dyDescent="0.25">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2:28" x14ac:dyDescent="0.25">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2:28" x14ac:dyDescent="0.25">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2:28" x14ac:dyDescent="0.25">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2:28" x14ac:dyDescent="0.25">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2:28" x14ac:dyDescent="0.25">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2:28" x14ac:dyDescent="0.25">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2:28" x14ac:dyDescent="0.25">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2:28" x14ac:dyDescent="0.25">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2:28" x14ac:dyDescent="0.25">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2:28" x14ac:dyDescent="0.25">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2:28" x14ac:dyDescent="0.25">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2:28" x14ac:dyDescent="0.25">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2:28" x14ac:dyDescent="0.25">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2:28" x14ac:dyDescent="0.25">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2:28" x14ac:dyDescent="0.25">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2:28" x14ac:dyDescent="0.25">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2:28" x14ac:dyDescent="0.25">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2:28" x14ac:dyDescent="0.25">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2:28" x14ac:dyDescent="0.25">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2:28" x14ac:dyDescent="0.25">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2:28" x14ac:dyDescent="0.25">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2:28" x14ac:dyDescent="0.25">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2:28" x14ac:dyDescent="0.25">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2:28" x14ac:dyDescent="0.25">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2:28" x14ac:dyDescent="0.25">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2:28" x14ac:dyDescent="0.25">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2:28" x14ac:dyDescent="0.25">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2:28" x14ac:dyDescent="0.25">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2:28" x14ac:dyDescent="0.25">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2:28" x14ac:dyDescent="0.25">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2:28" x14ac:dyDescent="0.25">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2:28" x14ac:dyDescent="0.25">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2:28" x14ac:dyDescent="0.25">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2:28" x14ac:dyDescent="0.25">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2:28" x14ac:dyDescent="0.25">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2:28" x14ac:dyDescent="0.25">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2:28" x14ac:dyDescent="0.25">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2:28" x14ac:dyDescent="0.25">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2:28" x14ac:dyDescent="0.25">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2:28" x14ac:dyDescent="0.25">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2:28" x14ac:dyDescent="0.25">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2:28" x14ac:dyDescent="0.25">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2:28" x14ac:dyDescent="0.25">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2:28" x14ac:dyDescent="0.25">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2:28" x14ac:dyDescent="0.25">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2:28" x14ac:dyDescent="0.25">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2:28" x14ac:dyDescent="0.25">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2:28" x14ac:dyDescent="0.25">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2:28" x14ac:dyDescent="0.25">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2:28" x14ac:dyDescent="0.25">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2:28" x14ac:dyDescent="0.25">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2:28" x14ac:dyDescent="0.25">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2:28" x14ac:dyDescent="0.25">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2:28" x14ac:dyDescent="0.25">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2:28" x14ac:dyDescent="0.25">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2:28" x14ac:dyDescent="0.25">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2:28" x14ac:dyDescent="0.25">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2:28" x14ac:dyDescent="0.25">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2:28" x14ac:dyDescent="0.25">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2:28" x14ac:dyDescent="0.25">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2:28" x14ac:dyDescent="0.25">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2:28" x14ac:dyDescent="0.25">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2:28" x14ac:dyDescent="0.25">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2:28" x14ac:dyDescent="0.25">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2:28" x14ac:dyDescent="0.25">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2:28" x14ac:dyDescent="0.25">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2:28" x14ac:dyDescent="0.25">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2:28" x14ac:dyDescent="0.25">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2:28" x14ac:dyDescent="0.25">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2:28" x14ac:dyDescent="0.25">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2:28" x14ac:dyDescent="0.25">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2:28" x14ac:dyDescent="0.25">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2:28" x14ac:dyDescent="0.25">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2:28" x14ac:dyDescent="0.25">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2:28" x14ac:dyDescent="0.25">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2:28" x14ac:dyDescent="0.25">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2:28" x14ac:dyDescent="0.25">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2:28" x14ac:dyDescent="0.25">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2:28" x14ac:dyDescent="0.25">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2:28" x14ac:dyDescent="0.25">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2:28" x14ac:dyDescent="0.25">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2:28" x14ac:dyDescent="0.25">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2:28" x14ac:dyDescent="0.25">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2:28" x14ac:dyDescent="0.25">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2:28" x14ac:dyDescent="0.25">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2:28" x14ac:dyDescent="0.25">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2:28" x14ac:dyDescent="0.25">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2:28" x14ac:dyDescent="0.25">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2:28" x14ac:dyDescent="0.25">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2:28" x14ac:dyDescent="0.25">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2:28" x14ac:dyDescent="0.25">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2:28" x14ac:dyDescent="0.25">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2:28" x14ac:dyDescent="0.25">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2:28" x14ac:dyDescent="0.25">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2:28" x14ac:dyDescent="0.25">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2:28" x14ac:dyDescent="0.25">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2:28" x14ac:dyDescent="0.25">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2:28" x14ac:dyDescent="0.25">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2:28" x14ac:dyDescent="0.25">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2:28" x14ac:dyDescent="0.25">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2:28" x14ac:dyDescent="0.25">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2:28" x14ac:dyDescent="0.25">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2:28" x14ac:dyDescent="0.25">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2:28" x14ac:dyDescent="0.25">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2:28" x14ac:dyDescent="0.25">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2:28" x14ac:dyDescent="0.25">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2:28" x14ac:dyDescent="0.25">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2:28" x14ac:dyDescent="0.25">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2:28" x14ac:dyDescent="0.25">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2:28" x14ac:dyDescent="0.25">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2:28" x14ac:dyDescent="0.25">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2:28" x14ac:dyDescent="0.25">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2:28" x14ac:dyDescent="0.25">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2:28" x14ac:dyDescent="0.25">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2:28" x14ac:dyDescent="0.25">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2:28" x14ac:dyDescent="0.25">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2:28" x14ac:dyDescent="0.25">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2:28" x14ac:dyDescent="0.25">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2:28" x14ac:dyDescent="0.25">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2:28" x14ac:dyDescent="0.25">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2:28" x14ac:dyDescent="0.25">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2:28" x14ac:dyDescent="0.25">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2:28" x14ac:dyDescent="0.25">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2:28" x14ac:dyDescent="0.25">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2:28" x14ac:dyDescent="0.25">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2:28" x14ac:dyDescent="0.25">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2:28" x14ac:dyDescent="0.25">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2:28" x14ac:dyDescent="0.25">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2:28" x14ac:dyDescent="0.25">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2:28" x14ac:dyDescent="0.25">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2:28" x14ac:dyDescent="0.25">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2:28" x14ac:dyDescent="0.25">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2:28" x14ac:dyDescent="0.25">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2:28" x14ac:dyDescent="0.25">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2:28" x14ac:dyDescent="0.25">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2:28" x14ac:dyDescent="0.25">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2:28" x14ac:dyDescent="0.25">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2:28" x14ac:dyDescent="0.25">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2:28" x14ac:dyDescent="0.25">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2:28" x14ac:dyDescent="0.25">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2:28" x14ac:dyDescent="0.25">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2:28" x14ac:dyDescent="0.25">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2:28" x14ac:dyDescent="0.25">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2:28" x14ac:dyDescent="0.25">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2:28" x14ac:dyDescent="0.25">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2:28" x14ac:dyDescent="0.25">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2:28" x14ac:dyDescent="0.25">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2:28" x14ac:dyDescent="0.25">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2:28" x14ac:dyDescent="0.25">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2:28" x14ac:dyDescent="0.25">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2:28" x14ac:dyDescent="0.25">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2:28" x14ac:dyDescent="0.25">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2:28" x14ac:dyDescent="0.25">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2:28" x14ac:dyDescent="0.25">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2:28" x14ac:dyDescent="0.25">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2:28" x14ac:dyDescent="0.25">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2:28" x14ac:dyDescent="0.25">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2:28" x14ac:dyDescent="0.25">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2:28" x14ac:dyDescent="0.25">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2:28" x14ac:dyDescent="0.25">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2:28" x14ac:dyDescent="0.25">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2:28" x14ac:dyDescent="0.25">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2:28" x14ac:dyDescent="0.25">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2:28" x14ac:dyDescent="0.25">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2:28" x14ac:dyDescent="0.25">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2:28" x14ac:dyDescent="0.25">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2:28" x14ac:dyDescent="0.25">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2:28" x14ac:dyDescent="0.25">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2:28" x14ac:dyDescent="0.25">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2:28" x14ac:dyDescent="0.25">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2:28" x14ac:dyDescent="0.25">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2:28" x14ac:dyDescent="0.25">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2:28" x14ac:dyDescent="0.25">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2:28" x14ac:dyDescent="0.25">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2:28" x14ac:dyDescent="0.25">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2:28" x14ac:dyDescent="0.25">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2:28" x14ac:dyDescent="0.25">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2:28" x14ac:dyDescent="0.25">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2:28" x14ac:dyDescent="0.25">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2:28" x14ac:dyDescent="0.25">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2:28" x14ac:dyDescent="0.25">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2:28" x14ac:dyDescent="0.25">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2:28" x14ac:dyDescent="0.25">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2:28" x14ac:dyDescent="0.25">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2:28" x14ac:dyDescent="0.25">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2:28" x14ac:dyDescent="0.25">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2:28" x14ac:dyDescent="0.25">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2:28" x14ac:dyDescent="0.25">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2:28" x14ac:dyDescent="0.25">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2:28" x14ac:dyDescent="0.25">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2:28" x14ac:dyDescent="0.25">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2:28" x14ac:dyDescent="0.25">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2:28" x14ac:dyDescent="0.25">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2:28" x14ac:dyDescent="0.25">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2:28" x14ac:dyDescent="0.25">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2:28" x14ac:dyDescent="0.25">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2:28" x14ac:dyDescent="0.25">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2:28" x14ac:dyDescent="0.25">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2:28" x14ac:dyDescent="0.25">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2:28" x14ac:dyDescent="0.25">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2:28" x14ac:dyDescent="0.25">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2:28" x14ac:dyDescent="0.25">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2:28" x14ac:dyDescent="0.25">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2:28" x14ac:dyDescent="0.25">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2:28" x14ac:dyDescent="0.25">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2:28" x14ac:dyDescent="0.25">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2:28" x14ac:dyDescent="0.25">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2:28" x14ac:dyDescent="0.25">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2:28" x14ac:dyDescent="0.25">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2:28" x14ac:dyDescent="0.25">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2:28" x14ac:dyDescent="0.25">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2:28" x14ac:dyDescent="0.25">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2:28" x14ac:dyDescent="0.25">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2:28" x14ac:dyDescent="0.25">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2:28" x14ac:dyDescent="0.25">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2:28" x14ac:dyDescent="0.25">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2:28" x14ac:dyDescent="0.25">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2:28" x14ac:dyDescent="0.25">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2:28" x14ac:dyDescent="0.25">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2:28" x14ac:dyDescent="0.25">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2:28" x14ac:dyDescent="0.25">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2:28" x14ac:dyDescent="0.25">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2:28" x14ac:dyDescent="0.25">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2:28" x14ac:dyDescent="0.25">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2:28" x14ac:dyDescent="0.25">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2:28" x14ac:dyDescent="0.25">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2:28" x14ac:dyDescent="0.25">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2:28" x14ac:dyDescent="0.25">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2:28" x14ac:dyDescent="0.25">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2:28" x14ac:dyDescent="0.25">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2:28" x14ac:dyDescent="0.25">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2:28" x14ac:dyDescent="0.25">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2:28" x14ac:dyDescent="0.25">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2:28" x14ac:dyDescent="0.25">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2:28" x14ac:dyDescent="0.25">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2:28" x14ac:dyDescent="0.25">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2:28" x14ac:dyDescent="0.25">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2:28" x14ac:dyDescent="0.25">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2:28" x14ac:dyDescent="0.25">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2:28" x14ac:dyDescent="0.25">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2:28" x14ac:dyDescent="0.25">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2:28" x14ac:dyDescent="0.25">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2:28" x14ac:dyDescent="0.25">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2:28" x14ac:dyDescent="0.25">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2:28" x14ac:dyDescent="0.25">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2:28" x14ac:dyDescent="0.25">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2:28" x14ac:dyDescent="0.25">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2:28" x14ac:dyDescent="0.25">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2:28" x14ac:dyDescent="0.25">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2:28" x14ac:dyDescent="0.25">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2:28" x14ac:dyDescent="0.25">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2:28" x14ac:dyDescent="0.25">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2:28" x14ac:dyDescent="0.25">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2:28" x14ac:dyDescent="0.25">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2:28" x14ac:dyDescent="0.25">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2:28" x14ac:dyDescent="0.25">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2:28" x14ac:dyDescent="0.25">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2:28" x14ac:dyDescent="0.25">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2:28" x14ac:dyDescent="0.25">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2:28" x14ac:dyDescent="0.25">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2:28" x14ac:dyDescent="0.25">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2:28" x14ac:dyDescent="0.25">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2:28" x14ac:dyDescent="0.25">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2:28" x14ac:dyDescent="0.25">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2:28" x14ac:dyDescent="0.25">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2:28" x14ac:dyDescent="0.25">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2:28" x14ac:dyDescent="0.25">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2:28" x14ac:dyDescent="0.25">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2:28" x14ac:dyDescent="0.25">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2:28" x14ac:dyDescent="0.25">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2:28" x14ac:dyDescent="0.25">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2:28" x14ac:dyDescent="0.25">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2:28" x14ac:dyDescent="0.25">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2:28" x14ac:dyDescent="0.25">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2:28" x14ac:dyDescent="0.25">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2:28" x14ac:dyDescent="0.25">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2:28" x14ac:dyDescent="0.25">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2:28" x14ac:dyDescent="0.25">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2:28" x14ac:dyDescent="0.25">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2:28" x14ac:dyDescent="0.25">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2:28" x14ac:dyDescent="0.25">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2:28" x14ac:dyDescent="0.25">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2:28" x14ac:dyDescent="0.25">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2:28" x14ac:dyDescent="0.25">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2:28" x14ac:dyDescent="0.25">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2:28" x14ac:dyDescent="0.25">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2:28" x14ac:dyDescent="0.25">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2:28" x14ac:dyDescent="0.25">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2:28" x14ac:dyDescent="0.25">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2:28" x14ac:dyDescent="0.25">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2:28" x14ac:dyDescent="0.25">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2:28" x14ac:dyDescent="0.25">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2:28" x14ac:dyDescent="0.25">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2:28" x14ac:dyDescent="0.25">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2:28" x14ac:dyDescent="0.25">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2:28" x14ac:dyDescent="0.25">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2:28" x14ac:dyDescent="0.25">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2:28" x14ac:dyDescent="0.25">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2:28" x14ac:dyDescent="0.25">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2:28" x14ac:dyDescent="0.25">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2:28" x14ac:dyDescent="0.25">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2:28" x14ac:dyDescent="0.25">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2:28" x14ac:dyDescent="0.25">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2:28" x14ac:dyDescent="0.25">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2:28" x14ac:dyDescent="0.25">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2:28" x14ac:dyDescent="0.25">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2:28" x14ac:dyDescent="0.25">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2:28" x14ac:dyDescent="0.25">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2:28" x14ac:dyDescent="0.25">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2:28" x14ac:dyDescent="0.25">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2:28" x14ac:dyDescent="0.25">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2:28" x14ac:dyDescent="0.25">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2:28" x14ac:dyDescent="0.25">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2:28" x14ac:dyDescent="0.25">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2:28" x14ac:dyDescent="0.25">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2:28" x14ac:dyDescent="0.25">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2:28" x14ac:dyDescent="0.25">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2:28" x14ac:dyDescent="0.25">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2:28" x14ac:dyDescent="0.25">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2:28" x14ac:dyDescent="0.25">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2:28" x14ac:dyDescent="0.25">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2:28" x14ac:dyDescent="0.25">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2:28" x14ac:dyDescent="0.25">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2:28" x14ac:dyDescent="0.25">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2:28" x14ac:dyDescent="0.25">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2:28" x14ac:dyDescent="0.25">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2:28" x14ac:dyDescent="0.25">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2:28" x14ac:dyDescent="0.25">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2:28" x14ac:dyDescent="0.25">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2:28" x14ac:dyDescent="0.25">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spans="2:28" x14ac:dyDescent="0.25">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row>
    <row r="979" spans="2:28" x14ac:dyDescent="0.25">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row>
    <row r="980" spans="2:28" x14ac:dyDescent="0.25">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row>
    <row r="981" spans="2:28" x14ac:dyDescent="0.25">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row>
    <row r="982" spans="2:28" x14ac:dyDescent="0.25">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row>
    <row r="983" spans="2:28" x14ac:dyDescent="0.25">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row>
    <row r="984" spans="2:28" x14ac:dyDescent="0.25">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row>
    <row r="985" spans="2:28" x14ac:dyDescent="0.25">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row>
    <row r="986" spans="2:28" x14ac:dyDescent="0.25">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row>
    <row r="987" spans="2:28" x14ac:dyDescent="0.25">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row>
    <row r="988" spans="2:28" x14ac:dyDescent="0.25">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row>
    <row r="989" spans="2:28" x14ac:dyDescent="0.25">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row>
    <row r="990" spans="2:28" x14ac:dyDescent="0.25">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row>
    <row r="991" spans="2:28" x14ac:dyDescent="0.25">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row>
    <row r="992" spans="2:28" x14ac:dyDescent="0.25">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row>
    <row r="993" spans="2:28" x14ac:dyDescent="0.25">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row>
    <row r="994" spans="2:28" x14ac:dyDescent="0.25">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row>
    <row r="995" spans="2:28" x14ac:dyDescent="0.25">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row>
    <row r="996" spans="2:28" x14ac:dyDescent="0.25">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row>
    <row r="997" spans="2:28" x14ac:dyDescent="0.25">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row>
    <row r="998" spans="2:28" x14ac:dyDescent="0.25">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row>
    <row r="999" spans="2:28" x14ac:dyDescent="0.25">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row>
    <row r="1000" spans="2:28" x14ac:dyDescent="0.25">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row>
    <row r="1001" spans="2:28" x14ac:dyDescent="0.25">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row>
    <row r="1002" spans="2:28" x14ac:dyDescent="0.25">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row>
    <row r="1003" spans="2:28" x14ac:dyDescent="0.25">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row>
    <row r="1004" spans="2:28" x14ac:dyDescent="0.25">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row>
    <row r="1005" spans="2:28" x14ac:dyDescent="0.25">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row>
    <row r="1006" spans="2:28" x14ac:dyDescent="0.25">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row>
    <row r="1007" spans="2:28" x14ac:dyDescent="0.25">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row>
    <row r="1008" spans="2:28" x14ac:dyDescent="0.25">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row>
    <row r="1009" spans="2:28" x14ac:dyDescent="0.25">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row>
    <row r="1010" spans="2:28" x14ac:dyDescent="0.25">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row>
    <row r="1011" spans="2:28" x14ac:dyDescent="0.25">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row>
    <row r="1012" spans="2:28" x14ac:dyDescent="0.25">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row>
    <row r="1013" spans="2:28" x14ac:dyDescent="0.25">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row>
    <row r="1014" spans="2:28" x14ac:dyDescent="0.25">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row>
    <row r="1015" spans="2:28" x14ac:dyDescent="0.25">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row>
    <row r="1016" spans="2:28" x14ac:dyDescent="0.25">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row>
    <row r="1017" spans="2:28" x14ac:dyDescent="0.25">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row>
    <row r="1018" spans="2:28" x14ac:dyDescent="0.25">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row>
    <row r="1019" spans="2:28" x14ac:dyDescent="0.25">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row>
    <row r="1020" spans="2:28" x14ac:dyDescent="0.25">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row>
    <row r="1021" spans="2:28" x14ac:dyDescent="0.25">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row>
    <row r="1022" spans="2:28" x14ac:dyDescent="0.25">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row>
    <row r="1023" spans="2:28" x14ac:dyDescent="0.25">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row>
    <row r="1024" spans="2:28" x14ac:dyDescent="0.25">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row>
    <row r="1025" spans="2:28" x14ac:dyDescent="0.25">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row>
    <row r="1026" spans="2:28" x14ac:dyDescent="0.25">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row>
    <row r="1027" spans="2:28" x14ac:dyDescent="0.25">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row>
    <row r="1028" spans="2:28" x14ac:dyDescent="0.25">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row>
    <row r="1029" spans="2:28" x14ac:dyDescent="0.25">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row>
    <row r="1030" spans="2:28" x14ac:dyDescent="0.25">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row>
    <row r="1031" spans="2:28" x14ac:dyDescent="0.25">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row>
    <row r="1032" spans="2:28" x14ac:dyDescent="0.25">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row>
    <row r="1033" spans="2:28" x14ac:dyDescent="0.25">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row>
    <row r="1034" spans="2:28" x14ac:dyDescent="0.25">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row>
    <row r="1035" spans="2:28" x14ac:dyDescent="0.25">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row>
    <row r="1036" spans="2:28" x14ac:dyDescent="0.25">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row>
    <row r="1037" spans="2:28" x14ac:dyDescent="0.25">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row>
    <row r="1038" spans="2:28" x14ac:dyDescent="0.25">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2:28" x14ac:dyDescent="0.25">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row>
    <row r="1040" spans="2:28" x14ac:dyDescent="0.25">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row>
    <row r="1041" spans="2:28" x14ac:dyDescent="0.25">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row>
    <row r="1042" spans="2:28" x14ac:dyDescent="0.25">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row>
    <row r="1043" spans="2:28" x14ac:dyDescent="0.25">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row>
    <row r="1044" spans="2:28" x14ac:dyDescent="0.25">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row>
    <row r="1045" spans="2:28" x14ac:dyDescent="0.25">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row>
    <row r="1046" spans="2:28" x14ac:dyDescent="0.25">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row>
    <row r="1047" spans="2:28" x14ac:dyDescent="0.25">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row>
    <row r="1048" spans="2:28" x14ac:dyDescent="0.25">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row>
    <row r="1049" spans="2:28" x14ac:dyDescent="0.25">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row>
    <row r="1050" spans="2:28" x14ac:dyDescent="0.25">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row>
    <row r="1051" spans="2:28" x14ac:dyDescent="0.25">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row>
    <row r="1052" spans="2:28" x14ac:dyDescent="0.25">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row>
    <row r="1053" spans="2:28" x14ac:dyDescent="0.25">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row>
    <row r="1054" spans="2:28" x14ac:dyDescent="0.25">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row>
    <row r="1055" spans="2:28" x14ac:dyDescent="0.25">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row>
    <row r="1056" spans="2:28" x14ac:dyDescent="0.25">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row>
    <row r="1057" spans="2:28" x14ac:dyDescent="0.25">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row>
    <row r="1058" spans="2:28" x14ac:dyDescent="0.25">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row>
    <row r="1059" spans="2:28" x14ac:dyDescent="0.25">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row>
    <row r="1060" spans="2:28" x14ac:dyDescent="0.25">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row>
    <row r="1061" spans="2:28" x14ac:dyDescent="0.25">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row>
    <row r="1062" spans="2:28" x14ac:dyDescent="0.25">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row>
    <row r="1063" spans="2:28" x14ac:dyDescent="0.25">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row>
    <row r="1064" spans="2:28" x14ac:dyDescent="0.25">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row>
    <row r="1065" spans="2:28" x14ac:dyDescent="0.25">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row>
    <row r="1066" spans="2:28" x14ac:dyDescent="0.25">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row>
    <row r="1067" spans="2:28" x14ac:dyDescent="0.25">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row>
    <row r="1068" spans="2:28" x14ac:dyDescent="0.25">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row>
    <row r="1069" spans="2:28" x14ac:dyDescent="0.25">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row>
    <row r="1070" spans="2:28" x14ac:dyDescent="0.25">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row>
    <row r="1071" spans="2:28" x14ac:dyDescent="0.25">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row>
    <row r="1072" spans="2:28" x14ac:dyDescent="0.25">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row>
    <row r="1073" spans="2:28" x14ac:dyDescent="0.25">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row>
    <row r="1074" spans="2:28" x14ac:dyDescent="0.25">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row>
    <row r="1075" spans="2:28" x14ac:dyDescent="0.25">
      <c r="B1075" s="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row>
    <row r="1076" spans="2:28" x14ac:dyDescent="0.25">
      <c r="B1076" s="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row>
    <row r="1077" spans="2:28" x14ac:dyDescent="0.25">
      <c r="B1077" s="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row>
    <row r="1078" spans="2:28" x14ac:dyDescent="0.25">
      <c r="B1078" s="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row>
    <row r="1079" spans="2:28" x14ac:dyDescent="0.25">
      <c r="B1079" s="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row>
    <row r="1080" spans="2:28" x14ac:dyDescent="0.25">
      <c r="B1080" s="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row>
    <row r="1081" spans="2:28" x14ac:dyDescent="0.25">
      <c r="B1081" s="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row>
    <row r="1082" spans="2:28" x14ac:dyDescent="0.25">
      <c r="B1082" s="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row>
    <row r="1083" spans="2:28" x14ac:dyDescent="0.25">
      <c r="B1083" s="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row>
    <row r="1084" spans="2:28" x14ac:dyDescent="0.25">
      <c r="B1084" s="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row>
    <row r="1085" spans="2:28" x14ac:dyDescent="0.25">
      <c r="B1085" s="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row>
    <row r="1086" spans="2:28" x14ac:dyDescent="0.25">
      <c r="B1086" s="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row>
    <row r="1087" spans="2:28" x14ac:dyDescent="0.25">
      <c r="B1087" s="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row>
    <row r="1088" spans="2:28" x14ac:dyDescent="0.25">
      <c r="B1088" s="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row>
    <row r="1089" spans="2:28" x14ac:dyDescent="0.25">
      <c r="B1089" s="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row>
    <row r="1090" spans="2:28" x14ac:dyDescent="0.25">
      <c r="B1090" s="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row>
    <row r="1091" spans="2:28" x14ac:dyDescent="0.25">
      <c r="B1091" s="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row>
    <row r="1092" spans="2:28" x14ac:dyDescent="0.25">
      <c r="B1092" s="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row>
    <row r="1093" spans="2:28" x14ac:dyDescent="0.25">
      <c r="B1093" s="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row>
    <row r="1094" spans="2:28" x14ac:dyDescent="0.25">
      <c r="B1094" s="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row>
    <row r="1095" spans="2:28" x14ac:dyDescent="0.25">
      <c r="B1095" s="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row>
    <row r="1096" spans="2:28" x14ac:dyDescent="0.25">
      <c r="B1096" s="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row>
    <row r="1097" spans="2:28" x14ac:dyDescent="0.25">
      <c r="B1097" s="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row>
    <row r="1098" spans="2:28" x14ac:dyDescent="0.25">
      <c r="B1098" s="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row>
    <row r="1099" spans="2:28" x14ac:dyDescent="0.25">
      <c r="B1099" s="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row>
    <row r="1100" spans="2:28" x14ac:dyDescent="0.25">
      <c r="B1100" s="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row>
    <row r="1101" spans="2:28" x14ac:dyDescent="0.25">
      <c r="B1101" s="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row>
    <row r="1102" spans="2:28" x14ac:dyDescent="0.25">
      <c r="B1102" s="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row>
    <row r="1103" spans="2:28" x14ac:dyDescent="0.25">
      <c r="B1103" s="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row>
    <row r="1104" spans="2:28" x14ac:dyDescent="0.25">
      <c r="B1104" s="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row>
    <row r="1105" spans="2:28" x14ac:dyDescent="0.25">
      <c r="B1105" s="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row>
    <row r="1106" spans="2:28" x14ac:dyDescent="0.25">
      <c r="B1106" s="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row>
    <row r="1107" spans="2:28" x14ac:dyDescent="0.25">
      <c r="B1107" s="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row>
    <row r="1108" spans="2:28" x14ac:dyDescent="0.25">
      <c r="B1108" s="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row>
    <row r="1109" spans="2:28" x14ac:dyDescent="0.25">
      <c r="B1109" s="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row>
    <row r="1110" spans="2:28" x14ac:dyDescent="0.25">
      <c r="B1110" s="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row>
    <row r="1111" spans="2:28" x14ac:dyDescent="0.25">
      <c r="B1111" s="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row>
    <row r="1112" spans="2:28" x14ac:dyDescent="0.25">
      <c r="B1112" s="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row>
    <row r="1113" spans="2:28" x14ac:dyDescent="0.25">
      <c r="B1113" s="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row>
    <row r="1114" spans="2:28" x14ac:dyDescent="0.25">
      <c r="B1114" s="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row>
    <row r="1115" spans="2:28" x14ac:dyDescent="0.25">
      <c r="B1115" s="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row>
    <row r="1116" spans="2:28" x14ac:dyDescent="0.25">
      <c r="B1116" s="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row>
    <row r="1117" spans="2:28" x14ac:dyDescent="0.25">
      <c r="B1117" s="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row>
    <row r="1118" spans="2:28" x14ac:dyDescent="0.25">
      <c r="B1118" s="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row>
    <row r="1119" spans="2:28" x14ac:dyDescent="0.25">
      <c r="B1119" s="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row>
    <row r="1120" spans="2:28" x14ac:dyDescent="0.25">
      <c r="B1120" s="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row>
    <row r="1121" spans="2:28" x14ac:dyDescent="0.25">
      <c r="B1121" s="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row>
    <row r="1122" spans="2:28" x14ac:dyDescent="0.25">
      <c r="B1122" s="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row>
    <row r="1123" spans="2:28" x14ac:dyDescent="0.25">
      <c r="B1123" s="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row>
    <row r="1124" spans="2:28" x14ac:dyDescent="0.25">
      <c r="B1124" s="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row>
    <row r="1125" spans="2:28" x14ac:dyDescent="0.25">
      <c r="B1125" s="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row>
    <row r="1126" spans="2:28" x14ac:dyDescent="0.25">
      <c r="B1126" s="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row>
    <row r="1127" spans="2:28" x14ac:dyDescent="0.25">
      <c r="B1127" s="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row>
    <row r="1128" spans="2:28" x14ac:dyDescent="0.25">
      <c r="B1128" s="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row>
    <row r="1129" spans="2:28" x14ac:dyDescent="0.25">
      <c r="B1129" s="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row>
    <row r="1130" spans="2:28" x14ac:dyDescent="0.25">
      <c r="B1130" s="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row>
    <row r="1131" spans="2:28" x14ac:dyDescent="0.25">
      <c r="B1131" s="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row>
    <row r="1132" spans="2:28" x14ac:dyDescent="0.25">
      <c r="B1132" s="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row>
    <row r="1133" spans="2:28" x14ac:dyDescent="0.25">
      <c r="B1133" s="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row>
    <row r="1134" spans="2:28" x14ac:dyDescent="0.25">
      <c r="B1134" s="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row>
    <row r="1135" spans="2:28" x14ac:dyDescent="0.25">
      <c r="B1135" s="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row>
    <row r="1136" spans="2:28" x14ac:dyDescent="0.25">
      <c r="B1136" s="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row>
    <row r="1137" spans="2:28" x14ac:dyDescent="0.25">
      <c r="B1137" s="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row>
    <row r="1138" spans="2:28" x14ac:dyDescent="0.25">
      <c r="B1138" s="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row>
    <row r="1139" spans="2:28" x14ac:dyDescent="0.25">
      <c r="B1139" s="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row>
    <row r="1140" spans="2:28" x14ac:dyDescent="0.25">
      <c r="B1140" s="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row>
    <row r="1141" spans="2:28" x14ac:dyDescent="0.25">
      <c r="B1141" s="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row>
    <row r="1142" spans="2:28" x14ac:dyDescent="0.25">
      <c r="B1142" s="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row>
    <row r="1143" spans="2:28" x14ac:dyDescent="0.25">
      <c r="B1143" s="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row>
    <row r="1144" spans="2:28" x14ac:dyDescent="0.25">
      <c r="B1144" s="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row>
    <row r="1145" spans="2:28" x14ac:dyDescent="0.25">
      <c r="B1145" s="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row>
    <row r="1146" spans="2:28" x14ac:dyDescent="0.25">
      <c r="B1146" s="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row>
    <row r="1147" spans="2:28" x14ac:dyDescent="0.25">
      <c r="B1147" s="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row>
    <row r="1148" spans="2:28" x14ac:dyDescent="0.25">
      <c r="B1148" s="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row>
    <row r="1149" spans="2:28" x14ac:dyDescent="0.25">
      <c r="B1149" s="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row>
    <row r="1150" spans="2:28" x14ac:dyDescent="0.25">
      <c r="B1150" s="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row>
    <row r="1151" spans="2:28" x14ac:dyDescent="0.25">
      <c r="B1151" s="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row>
    <row r="1152" spans="2:28" x14ac:dyDescent="0.25">
      <c r="B1152" s="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row>
    <row r="1153" spans="2:28" x14ac:dyDescent="0.25">
      <c r="B1153" s="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row>
    <row r="1154" spans="2:28" x14ac:dyDescent="0.25">
      <c r="B1154" s="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row>
    <row r="1155" spans="2:28" x14ac:dyDescent="0.25">
      <c r="B1155" s="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row>
    <row r="1156" spans="2:28" x14ac:dyDescent="0.25">
      <c r="B1156" s="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row>
    <row r="1157" spans="2:28" x14ac:dyDescent="0.25">
      <c r="B1157" s="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row>
    <row r="1158" spans="2:28" x14ac:dyDescent="0.25">
      <c r="B1158" s="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row>
    <row r="1159" spans="2:28" x14ac:dyDescent="0.25">
      <c r="B1159" s="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row>
    <row r="1160" spans="2:28" x14ac:dyDescent="0.25">
      <c r="B1160" s="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row>
    <row r="1161" spans="2:28" x14ac:dyDescent="0.25">
      <c r="B1161" s="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row>
    <row r="1162" spans="2:28" x14ac:dyDescent="0.25">
      <c r="B1162" s="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row>
    <row r="1163" spans="2:28" x14ac:dyDescent="0.25">
      <c r="B1163" s="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row>
    <row r="1164" spans="2:28" x14ac:dyDescent="0.25">
      <c r="B1164" s="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row>
    <row r="1165" spans="2:28" x14ac:dyDescent="0.25">
      <c r="B1165" s="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row>
    <row r="1166" spans="2:28" x14ac:dyDescent="0.25">
      <c r="B1166" s="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row>
    <row r="1167" spans="2:28" x14ac:dyDescent="0.25">
      <c r="B1167" s="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row>
    <row r="1168" spans="2:28" x14ac:dyDescent="0.25">
      <c r="B1168" s="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row>
    <row r="1169" spans="2:28" x14ac:dyDescent="0.25">
      <c r="B1169" s="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row>
    <row r="1170" spans="2:28" x14ac:dyDescent="0.25">
      <c r="B1170" s="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row>
    <row r="1171" spans="2:28" x14ac:dyDescent="0.25">
      <c r="B1171" s="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row>
    <row r="1172" spans="2:28" x14ac:dyDescent="0.25">
      <c r="B1172" s="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row>
    <row r="1173" spans="2:28" x14ac:dyDescent="0.25">
      <c r="B1173" s="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row>
    <row r="1174" spans="2:28" x14ac:dyDescent="0.25">
      <c r="B1174" s="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row>
    <row r="1175" spans="2:28" x14ac:dyDescent="0.25">
      <c r="B1175" s="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row>
    <row r="1176" spans="2:28" x14ac:dyDescent="0.25">
      <c r="B1176" s="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row>
    <row r="1177" spans="2:28" x14ac:dyDescent="0.25">
      <c r="B1177" s="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row>
    <row r="1178" spans="2:28" x14ac:dyDescent="0.25">
      <c r="B1178" s="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row>
    <row r="1179" spans="2:28" x14ac:dyDescent="0.25">
      <c r="B1179" s="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row>
    <row r="1180" spans="2:28" x14ac:dyDescent="0.25">
      <c r="B1180" s="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row>
    <row r="1181" spans="2:28" x14ac:dyDescent="0.25">
      <c r="B1181" s="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row>
    <row r="1182" spans="2:28" x14ac:dyDescent="0.25">
      <c r="B1182" s="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row>
    <row r="1183" spans="2:28" x14ac:dyDescent="0.25">
      <c r="B1183" s="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row>
    <row r="1184" spans="2:28" x14ac:dyDescent="0.25">
      <c r="B1184" s="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row>
    <row r="1185" spans="2:28" x14ac:dyDescent="0.25">
      <c r="B1185" s="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row>
    <row r="1186" spans="2:28" x14ac:dyDescent="0.25">
      <c r="B1186" s="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row>
    <row r="1187" spans="2:28" x14ac:dyDescent="0.25">
      <c r="B1187" s="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row>
    <row r="1188" spans="2:28" x14ac:dyDescent="0.25">
      <c r="B1188" s="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row>
    <row r="1189" spans="2:28" x14ac:dyDescent="0.25">
      <c r="B1189" s="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row>
    <row r="1190" spans="2:28" x14ac:dyDescent="0.25">
      <c r="B1190" s="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row>
    <row r="1191" spans="2:28" x14ac:dyDescent="0.25">
      <c r="B1191" s="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row>
    <row r="1192" spans="2:28" x14ac:dyDescent="0.25">
      <c r="B1192" s="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row>
    <row r="1193" spans="2:28" x14ac:dyDescent="0.25">
      <c r="B1193" s="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row>
    <row r="1194" spans="2:28" x14ac:dyDescent="0.25">
      <c r="B1194" s="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row>
    <row r="1195" spans="2:28" x14ac:dyDescent="0.25">
      <c r="B1195" s="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row>
    <row r="1196" spans="2:28" x14ac:dyDescent="0.25">
      <c r="B1196" s="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row>
    <row r="1197" spans="2:28" x14ac:dyDescent="0.25">
      <c r="B1197" s="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row>
    <row r="1198" spans="2:28" x14ac:dyDescent="0.25">
      <c r="B1198" s="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row>
    <row r="1199" spans="2:28" x14ac:dyDescent="0.25">
      <c r="B1199" s="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row>
    <row r="1200" spans="2:28" x14ac:dyDescent="0.25">
      <c r="B1200" s="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row>
    <row r="1201" spans="2:28" x14ac:dyDescent="0.25">
      <c r="B1201" s="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row>
    <row r="1202" spans="2:28" x14ac:dyDescent="0.25">
      <c r="B1202" s="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row>
    <row r="1203" spans="2:28" x14ac:dyDescent="0.25">
      <c r="B1203" s="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row>
    <row r="1204" spans="2:28" x14ac:dyDescent="0.25">
      <c r="B1204" s="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row>
    <row r="1205" spans="2:28" x14ac:dyDescent="0.25">
      <c r="B1205" s="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row>
    <row r="1206" spans="2:28" x14ac:dyDescent="0.25">
      <c r="B1206" s="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row>
    <row r="1207" spans="2:28" x14ac:dyDescent="0.25">
      <c r="B1207" s="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row>
    <row r="1208" spans="2:28" x14ac:dyDescent="0.25">
      <c r="B1208" s="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row>
    <row r="1209" spans="2:28" x14ac:dyDescent="0.25">
      <c r="B1209" s="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row>
    <row r="1210" spans="2:28" x14ac:dyDescent="0.25">
      <c r="B1210" s="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row>
    <row r="1211" spans="2:28" x14ac:dyDescent="0.25">
      <c r="B1211" s="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row>
    <row r="1212" spans="2:28" x14ac:dyDescent="0.25">
      <c r="B1212" s="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row>
    <row r="1213" spans="2:28" x14ac:dyDescent="0.25">
      <c r="B1213" s="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row>
    <row r="1214" spans="2:28" x14ac:dyDescent="0.25">
      <c r="B1214" s="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row>
    <row r="1215" spans="2:28" x14ac:dyDescent="0.25">
      <c r="B1215" s="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row>
    <row r="1216" spans="2:28" x14ac:dyDescent="0.25">
      <c r="B1216" s="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row>
    <row r="1217" spans="2:28" x14ac:dyDescent="0.25">
      <c r="B1217" s="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row>
    <row r="1218" spans="2:28" x14ac:dyDescent="0.25">
      <c r="B1218" s="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row>
    <row r="1219" spans="2:28" x14ac:dyDescent="0.25">
      <c r="B1219" s="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row>
    <row r="1220" spans="2:28" x14ac:dyDescent="0.25">
      <c r="B1220" s="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row>
    <row r="1221" spans="2:28" x14ac:dyDescent="0.25">
      <c r="B1221" s="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row>
    <row r="1222" spans="2:28" x14ac:dyDescent="0.25">
      <c r="B1222" s="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row>
    <row r="1223" spans="2:28" x14ac:dyDescent="0.25">
      <c r="B1223" s="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row>
    <row r="1224" spans="2:28" x14ac:dyDescent="0.25">
      <c r="B1224" s="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row>
    <row r="1225" spans="2:28" x14ac:dyDescent="0.25">
      <c r="B1225" s="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row>
    <row r="1226" spans="2:28" x14ac:dyDescent="0.25">
      <c r="B1226" s="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row>
    <row r="1227" spans="2:28" x14ac:dyDescent="0.25">
      <c r="B1227" s="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row>
    <row r="1228" spans="2:28" x14ac:dyDescent="0.25">
      <c r="B1228" s="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row>
    <row r="1229" spans="2:28" x14ac:dyDescent="0.25">
      <c r="B1229" s="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row>
    <row r="1230" spans="2:28" x14ac:dyDescent="0.25">
      <c r="B1230" s="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row>
    <row r="1231" spans="2:28" x14ac:dyDescent="0.25">
      <c r="B1231" s="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row>
    <row r="1232" spans="2:28" x14ac:dyDescent="0.25">
      <c r="B1232" s="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row>
    <row r="1233" spans="2:28" x14ac:dyDescent="0.25">
      <c r="B1233" s="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row>
    <row r="1234" spans="2:28" x14ac:dyDescent="0.25">
      <c r="B1234" s="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row>
    <row r="1235" spans="2:28" x14ac:dyDescent="0.25">
      <c r="B1235" s="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row>
    <row r="1236" spans="2:28" x14ac:dyDescent="0.25">
      <c r="B1236" s="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row>
    <row r="1237" spans="2:28" x14ac:dyDescent="0.25">
      <c r="B1237" s="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row>
    <row r="1238" spans="2:28" x14ac:dyDescent="0.25">
      <c r="B1238" s="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row>
    <row r="1239" spans="2:28" x14ac:dyDescent="0.25">
      <c r="B1239" s="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row>
    <row r="1240" spans="2:28" x14ac:dyDescent="0.25">
      <c r="B1240" s="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row>
    <row r="1241" spans="2:28" x14ac:dyDescent="0.25">
      <c r="B1241" s="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row>
    <row r="1242" spans="2:28" x14ac:dyDescent="0.25">
      <c r="B1242" s="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row>
    <row r="1243" spans="2:28" x14ac:dyDescent="0.25">
      <c r="B1243" s="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row>
    <row r="1244" spans="2:28" x14ac:dyDescent="0.25">
      <c r="B1244" s="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row>
    <row r="1245" spans="2:28" x14ac:dyDescent="0.25">
      <c r="B1245" s="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row>
    <row r="1246" spans="2:28" x14ac:dyDescent="0.25">
      <c r="B1246" s="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row>
    <row r="1247" spans="2:28" x14ac:dyDescent="0.25">
      <c r="B1247" s="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row>
    <row r="1248" spans="2:28" x14ac:dyDescent="0.25">
      <c r="B1248" s="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row>
    <row r="1249" spans="2:28" x14ac:dyDescent="0.25">
      <c r="B1249" s="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row>
    <row r="1250" spans="2:28" x14ac:dyDescent="0.25">
      <c r="B1250" s="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row>
    <row r="1251" spans="2:28" x14ac:dyDescent="0.25">
      <c r="B1251" s="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row>
    <row r="1252" spans="2:28" x14ac:dyDescent="0.25">
      <c r="B1252" s="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row>
    <row r="1253" spans="2:28" x14ac:dyDescent="0.25">
      <c r="B1253" s="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row>
    <row r="1254" spans="2:28" x14ac:dyDescent="0.25">
      <c r="B1254" s="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row>
    <row r="1255" spans="2:28" x14ac:dyDescent="0.25">
      <c r="B1255" s="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row>
    <row r="1256" spans="2:28" x14ac:dyDescent="0.25">
      <c r="B1256" s="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row>
    <row r="1257" spans="2:28" x14ac:dyDescent="0.25">
      <c r="B1257" s="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row>
    <row r="1258" spans="2:28" x14ac:dyDescent="0.25">
      <c r="B1258" s="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row>
    <row r="1259" spans="2:28" x14ac:dyDescent="0.25">
      <c r="B1259" s="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row>
    <row r="1260" spans="2:28" x14ac:dyDescent="0.25">
      <c r="B1260" s="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row>
    <row r="1261" spans="2:28" x14ac:dyDescent="0.25">
      <c r="B1261" s="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row>
    <row r="1262" spans="2:28" x14ac:dyDescent="0.25">
      <c r="B1262" s="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row>
    <row r="1263" spans="2:28" x14ac:dyDescent="0.25">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row>
    <row r="1264" spans="2:28" x14ac:dyDescent="0.25">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row>
    <row r="1265" spans="2:28" x14ac:dyDescent="0.25">
      <c r="B1265" s="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row>
    <row r="1266" spans="2:28" x14ac:dyDescent="0.25">
      <c r="B1266" s="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row>
    <row r="1267" spans="2:28" x14ac:dyDescent="0.25">
      <c r="B1267" s="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row>
    <row r="1268" spans="2:28" x14ac:dyDescent="0.25">
      <c r="B1268" s="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row>
    <row r="1269" spans="2:28" x14ac:dyDescent="0.25">
      <c r="B1269" s="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row>
    <row r="1270" spans="2:28" x14ac:dyDescent="0.25">
      <c r="B1270" s="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row>
    <row r="1271" spans="2:28" x14ac:dyDescent="0.25">
      <c r="B1271" s="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row>
    <row r="1272" spans="2:28" x14ac:dyDescent="0.25">
      <c r="B1272" s="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row>
    <row r="1273" spans="2:28" x14ac:dyDescent="0.25">
      <c r="B1273" s="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row>
    <row r="1274" spans="2:28" x14ac:dyDescent="0.25">
      <c r="B1274" s="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row>
    <row r="1275" spans="2:28" x14ac:dyDescent="0.25">
      <c r="B1275" s="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row>
    <row r="1276" spans="2:28" x14ac:dyDescent="0.25">
      <c r="B1276" s="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row>
    <row r="1277" spans="2:28" x14ac:dyDescent="0.25">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row>
    <row r="1278" spans="2:28" x14ac:dyDescent="0.25">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row>
    <row r="1279" spans="2:28" x14ac:dyDescent="0.25">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row>
    <row r="1280" spans="2:28" x14ac:dyDescent="0.25">
      <c r="B1280" s="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row>
    <row r="1281" spans="2:28" x14ac:dyDescent="0.25">
      <c r="B1281" s="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row>
    <row r="1282" spans="2:28" x14ac:dyDescent="0.25">
      <c r="B1282" s="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row>
    <row r="1283" spans="2:28" x14ac:dyDescent="0.25">
      <c r="B1283" s="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row>
    <row r="1284" spans="2:28" x14ac:dyDescent="0.25">
      <c r="B1284" s="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row>
    <row r="1285" spans="2:28" x14ac:dyDescent="0.25">
      <c r="B1285" s="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row>
    <row r="1286" spans="2:28" x14ac:dyDescent="0.25">
      <c r="B1286" s="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row>
    <row r="1287" spans="2:28" x14ac:dyDescent="0.25">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row>
    <row r="1288" spans="2:28" x14ac:dyDescent="0.25">
      <c r="B1288" s="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row>
    <row r="1289" spans="2:28" x14ac:dyDescent="0.25">
      <c r="B1289" s="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row>
    <row r="1290" spans="2:28" x14ac:dyDescent="0.25">
      <c r="B1290" s="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row>
    <row r="1291" spans="2:28" x14ac:dyDescent="0.25">
      <c r="B1291" s="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row>
    <row r="1292" spans="2:28" x14ac:dyDescent="0.25">
      <c r="B1292" s="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row>
    <row r="1293" spans="2:28" x14ac:dyDescent="0.25">
      <c r="B1293" s="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row>
    <row r="1294" spans="2:28" x14ac:dyDescent="0.25">
      <c r="B1294" s="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row>
    <row r="1295" spans="2:28" x14ac:dyDescent="0.25">
      <c r="B1295" s="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row>
    <row r="1296" spans="2:28" x14ac:dyDescent="0.25">
      <c r="B1296" s="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row>
    <row r="1297" spans="2:28" x14ac:dyDescent="0.25">
      <c r="B1297" s="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row>
    <row r="1298" spans="2:28" x14ac:dyDescent="0.25">
      <c r="B1298" s="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row>
    <row r="1299" spans="2:28" x14ac:dyDescent="0.25">
      <c r="B1299" s="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row>
    <row r="1300" spans="2:28" x14ac:dyDescent="0.25">
      <c r="B1300" s="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row>
    <row r="1301" spans="2:28" x14ac:dyDescent="0.25">
      <c r="B1301" s="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row>
    <row r="1302" spans="2:28" x14ac:dyDescent="0.25">
      <c r="B1302" s="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row>
    <row r="1303" spans="2:28" x14ac:dyDescent="0.25">
      <c r="B1303" s="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row>
    <row r="1304" spans="2:28" x14ac:dyDescent="0.25">
      <c r="B1304" s="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row>
    <row r="1305" spans="2:28" x14ac:dyDescent="0.25">
      <c r="B1305" s="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row>
    <row r="1306" spans="2:28" x14ac:dyDescent="0.25">
      <c r="B1306" s="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row>
    <row r="1307" spans="2:28" x14ac:dyDescent="0.25">
      <c r="B1307" s="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row>
    <row r="1308" spans="2:28" x14ac:dyDescent="0.25">
      <c r="B1308" s="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row>
    <row r="1309" spans="2:28" x14ac:dyDescent="0.25">
      <c r="B1309" s="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row>
    <row r="1310" spans="2:28" x14ac:dyDescent="0.25">
      <c r="B1310" s="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row>
    <row r="1311" spans="2:28" x14ac:dyDescent="0.25">
      <c r="B1311" s="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row>
    <row r="1312" spans="2:28" x14ac:dyDescent="0.25">
      <c r="B1312" s="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row>
    <row r="1313" spans="2:28" x14ac:dyDescent="0.25">
      <c r="B1313" s="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row>
    <row r="1314" spans="2:28" x14ac:dyDescent="0.25">
      <c r="B1314" s="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row>
    <row r="1315" spans="2:28" x14ac:dyDescent="0.25">
      <c r="B1315" s="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row>
    <row r="1316" spans="2:28" x14ac:dyDescent="0.25">
      <c r="B1316" s="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row>
    <row r="1317" spans="2:28" x14ac:dyDescent="0.25">
      <c r="B1317" s="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row>
    <row r="1318" spans="2:28" x14ac:dyDescent="0.25">
      <c r="B1318" s="2"/>
      <c r="C1318" s="2"/>
      <c r="D1318" s="2"/>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row>
    <row r="1319" spans="2:28" x14ac:dyDescent="0.25">
      <c r="B1319" s="2"/>
      <c r="C1319" s="2"/>
      <c r="D1319" s="2"/>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row>
    <row r="1320" spans="2:28" x14ac:dyDescent="0.25">
      <c r="B1320" s="2"/>
      <c r="C1320" s="2"/>
      <c r="D1320" s="2"/>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row>
    <row r="1321" spans="2:28" x14ac:dyDescent="0.25">
      <c r="B1321" s="2"/>
      <c r="C1321" s="2"/>
      <c r="D1321" s="2"/>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row>
    <row r="1322" spans="2:28" x14ac:dyDescent="0.25">
      <c r="B1322" s="2"/>
      <c r="C1322" s="2"/>
      <c r="D1322" s="2"/>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row>
    <row r="1323" spans="2:28" x14ac:dyDescent="0.25">
      <c r="B1323" s="2"/>
      <c r="C1323" s="2"/>
      <c r="D1323" s="2"/>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row>
    <row r="1324" spans="2:28" x14ac:dyDescent="0.25">
      <c r="B1324" s="2"/>
      <c r="C1324" s="2"/>
      <c r="D1324" s="2"/>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row>
    <row r="1325" spans="2:28" x14ac:dyDescent="0.25">
      <c r="B1325" s="2"/>
      <c r="C1325" s="2"/>
      <c r="D1325" s="2"/>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row>
    <row r="1326" spans="2:28" x14ac:dyDescent="0.25">
      <c r="B1326" s="2"/>
      <c r="C1326" s="2"/>
      <c r="D1326" s="2"/>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row>
    <row r="1327" spans="2:28" x14ac:dyDescent="0.25">
      <c r="B1327" s="2"/>
      <c r="C1327" s="2"/>
      <c r="D1327" s="2"/>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row>
    <row r="1328" spans="2:28" x14ac:dyDescent="0.25">
      <c r="B1328" s="2"/>
      <c r="C1328" s="2"/>
      <c r="D1328" s="2"/>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row>
    <row r="1329" spans="2:28" x14ac:dyDescent="0.25">
      <c r="B1329" s="2"/>
      <c r="C1329" s="2"/>
      <c r="D1329" s="2"/>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row>
    <row r="1330" spans="2:28" x14ac:dyDescent="0.25">
      <c r="B1330" s="2"/>
      <c r="C1330" s="2"/>
      <c r="D1330" s="2"/>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row>
    <row r="1331" spans="2:28" x14ac:dyDescent="0.25">
      <c r="B1331" s="2"/>
      <c r="C1331" s="2"/>
      <c r="D1331" s="2"/>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row>
    <row r="1332" spans="2:28" x14ac:dyDescent="0.25">
      <c r="B1332" s="2"/>
      <c r="C1332" s="2"/>
      <c r="D1332" s="2"/>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row>
    <row r="1333" spans="2:28" x14ac:dyDescent="0.25">
      <c r="B1333" s="2"/>
      <c r="C1333" s="2"/>
      <c r="D1333" s="2"/>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row>
    <row r="1334" spans="2:28" x14ac:dyDescent="0.25">
      <c r="B1334" s="2"/>
      <c r="C1334" s="2"/>
      <c r="D1334" s="2"/>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row>
    <row r="1335" spans="2:28" x14ac:dyDescent="0.25">
      <c r="B1335" s="2"/>
      <c r="C1335" s="2"/>
      <c r="D1335" s="2"/>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row>
    <row r="1336" spans="2:28" x14ac:dyDescent="0.25">
      <c r="B1336" s="2"/>
      <c r="C1336" s="2"/>
      <c r="D1336" s="2"/>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row>
    <row r="1337" spans="2:28" x14ac:dyDescent="0.25">
      <c r="B1337" s="2"/>
      <c r="C1337" s="2"/>
      <c r="D1337" s="2"/>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row>
    <row r="1338" spans="2:28" x14ac:dyDescent="0.25">
      <c r="B1338" s="2"/>
      <c r="C1338" s="2"/>
      <c r="D1338" s="2"/>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row>
    <row r="1339" spans="2:28" x14ac:dyDescent="0.25">
      <c r="B1339" s="2"/>
      <c r="C1339" s="2"/>
      <c r="D1339" s="2"/>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row>
    <row r="1340" spans="2:28" x14ac:dyDescent="0.25">
      <c r="B1340" s="2"/>
      <c r="C1340" s="2"/>
      <c r="D1340" s="2"/>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row>
    <row r="1341" spans="2:28" x14ac:dyDescent="0.25">
      <c r="B1341" s="2"/>
      <c r="C1341" s="2"/>
      <c r="D1341" s="2"/>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row>
    <row r="1342" spans="2:28" x14ac:dyDescent="0.25">
      <c r="B1342" s="2"/>
      <c r="C1342" s="2"/>
      <c r="D1342" s="2"/>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row>
    <row r="1343" spans="2:28" x14ac:dyDescent="0.25">
      <c r="B1343" s="2"/>
      <c r="C1343" s="2"/>
      <c r="D1343" s="2"/>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row>
    <row r="1344" spans="2:28" x14ac:dyDescent="0.25">
      <c r="B1344" s="2"/>
      <c r="C1344" s="2"/>
      <c r="D1344" s="2"/>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row>
    <row r="1345" spans="2:28" x14ac:dyDescent="0.25">
      <c r="B1345" s="2"/>
      <c r="C1345" s="2"/>
      <c r="D1345" s="2"/>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row>
    <row r="1346" spans="2:28" x14ac:dyDescent="0.25">
      <c r="B1346" s="2"/>
      <c r="C1346" s="2"/>
      <c r="D1346" s="2"/>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row>
    <row r="1347" spans="2:28" x14ac:dyDescent="0.25">
      <c r="B1347" s="2"/>
      <c r="C1347" s="2"/>
      <c r="D1347" s="2"/>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row>
    <row r="1348" spans="2:28" x14ac:dyDescent="0.25">
      <c r="B1348" s="2"/>
      <c r="C1348" s="2"/>
      <c r="D1348" s="2"/>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row>
    <row r="1349" spans="2:28" x14ac:dyDescent="0.25">
      <c r="B1349" s="2"/>
      <c r="C1349" s="2"/>
      <c r="D1349" s="2"/>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row>
    <row r="1350" spans="2:28" x14ac:dyDescent="0.25">
      <c r="B1350" s="2"/>
      <c r="C1350" s="2"/>
      <c r="D1350" s="2"/>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row>
    <row r="1351" spans="2:28" x14ac:dyDescent="0.25">
      <c r="B1351" s="2"/>
      <c r="C1351" s="2"/>
      <c r="D1351" s="2"/>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row>
    <row r="1352" spans="2:28" x14ac:dyDescent="0.25">
      <c r="B1352" s="2"/>
      <c r="C1352" s="2"/>
      <c r="D1352" s="2"/>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row>
    <row r="1353" spans="2:28" x14ac:dyDescent="0.25">
      <c r="B1353" s="2"/>
      <c r="C1353" s="2"/>
      <c r="D1353" s="2"/>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row>
    <row r="1354" spans="2:28" x14ac:dyDescent="0.25">
      <c r="B1354" s="2"/>
      <c r="C1354" s="2"/>
      <c r="D1354" s="2"/>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row>
    <row r="1355" spans="2:28" x14ac:dyDescent="0.25">
      <c r="B1355" s="2"/>
      <c r="C1355" s="2"/>
      <c r="D1355" s="2"/>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row>
    <row r="1356" spans="2:28" x14ac:dyDescent="0.25">
      <c r="B1356" s="2"/>
      <c r="C1356" s="2"/>
      <c r="D1356" s="2"/>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row>
    <row r="1357" spans="2:28" x14ac:dyDescent="0.25">
      <c r="B1357" s="2"/>
      <c r="C1357" s="2"/>
      <c r="D1357" s="2"/>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row>
    <row r="1358" spans="2:28" x14ac:dyDescent="0.25">
      <c r="B1358" s="2"/>
      <c r="C1358" s="2"/>
      <c r="D1358" s="2"/>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row>
    <row r="1359" spans="2:28" x14ac:dyDescent="0.25">
      <c r="B1359" s="2"/>
      <c r="C1359" s="2"/>
      <c r="D1359" s="2"/>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row>
    <row r="1360" spans="2:28" x14ac:dyDescent="0.25">
      <c r="B1360" s="2"/>
      <c r="C1360" s="2"/>
      <c r="D1360" s="2"/>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row>
    <row r="1361" spans="2:28" x14ac:dyDescent="0.25">
      <c r="B1361" s="2"/>
      <c r="C1361" s="2"/>
      <c r="D1361" s="2"/>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row>
    <row r="1362" spans="2:28" x14ac:dyDescent="0.25">
      <c r="B1362" s="2"/>
      <c r="C1362" s="2"/>
      <c r="D1362" s="2"/>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row>
    <row r="1363" spans="2:28" x14ac:dyDescent="0.25">
      <c r="B1363" s="2"/>
      <c r="C1363" s="2"/>
      <c r="D1363" s="2"/>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row>
    <row r="1364" spans="2:28" x14ac:dyDescent="0.25">
      <c r="B1364" s="2"/>
      <c r="C1364" s="2"/>
      <c r="D1364" s="2"/>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row>
    <row r="1365" spans="2:28" x14ac:dyDescent="0.25">
      <c r="B1365" s="2"/>
      <c r="C1365" s="2"/>
      <c r="D1365" s="2"/>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row>
    <row r="1366" spans="2:28" x14ac:dyDescent="0.25">
      <c r="B1366" s="2"/>
      <c r="C1366" s="2"/>
      <c r="D1366" s="2"/>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row>
    <row r="1367" spans="2:28" x14ac:dyDescent="0.25">
      <c r="B1367" s="2"/>
      <c r="C1367" s="2"/>
      <c r="D1367" s="2"/>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row>
    <row r="1368" spans="2:28" x14ac:dyDescent="0.25">
      <c r="B1368" s="2"/>
      <c r="C1368" s="2"/>
      <c r="D1368" s="2"/>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row>
    <row r="1369" spans="2:28" x14ac:dyDescent="0.25">
      <c r="B1369" s="2"/>
      <c r="C1369" s="2"/>
      <c r="D1369" s="2"/>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row>
    <row r="1370" spans="2:28" x14ac:dyDescent="0.25">
      <c r="B1370" s="2"/>
      <c r="C1370" s="2"/>
      <c r="D1370" s="2"/>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row>
    <row r="1371" spans="2:28" x14ac:dyDescent="0.25">
      <c r="B1371" s="2"/>
      <c r="C1371" s="2"/>
      <c r="D1371" s="2"/>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row>
    <row r="1372" spans="2:28" x14ac:dyDescent="0.25">
      <c r="B1372" s="2"/>
      <c r="C1372" s="2"/>
      <c r="D1372" s="2"/>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row>
    <row r="1373" spans="2:28" x14ac:dyDescent="0.25">
      <c r="B1373" s="2"/>
      <c r="C1373" s="2"/>
      <c r="D1373" s="2"/>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row>
    <row r="1374" spans="2:28" x14ac:dyDescent="0.25">
      <c r="B1374" s="2"/>
      <c r="C1374" s="2"/>
      <c r="D1374" s="2"/>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row>
    <row r="1375" spans="2:28" x14ac:dyDescent="0.25">
      <c r="B1375" s="2"/>
      <c r="C1375" s="2"/>
      <c r="D1375" s="2"/>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row>
    <row r="1376" spans="2:28" x14ac:dyDescent="0.25">
      <c r="B1376" s="2"/>
      <c r="C1376" s="2"/>
      <c r="D1376" s="2"/>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row>
    <row r="1377" spans="2:28" x14ac:dyDescent="0.25">
      <c r="B1377" s="2"/>
      <c r="C1377" s="2"/>
      <c r="D1377" s="2"/>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row>
    <row r="1378" spans="2:28" x14ac:dyDescent="0.25">
      <c r="B1378" s="2"/>
      <c r="C1378" s="2"/>
      <c r="D1378" s="2"/>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row>
    <row r="1379" spans="2:28" x14ac:dyDescent="0.25">
      <c r="B1379" s="2"/>
      <c r="C1379" s="2"/>
      <c r="D1379" s="2"/>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row>
    <row r="1380" spans="2:28" x14ac:dyDescent="0.25">
      <c r="B1380" s="2"/>
      <c r="C1380" s="2"/>
      <c r="D1380" s="2"/>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row>
    <row r="1381" spans="2:28" x14ac:dyDescent="0.25">
      <c r="B1381" s="2"/>
      <c r="C1381" s="2"/>
      <c r="D1381" s="2"/>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row>
    <row r="1382" spans="2:28" x14ac:dyDescent="0.25">
      <c r="B1382" s="2"/>
      <c r="C1382" s="2"/>
      <c r="D1382" s="2"/>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row>
    <row r="1383" spans="2:28" x14ac:dyDescent="0.25">
      <c r="B1383" s="2"/>
      <c r="C1383" s="2"/>
      <c r="D1383" s="2"/>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row>
    <row r="1384" spans="2:28" x14ac:dyDescent="0.25">
      <c r="B1384" s="2"/>
      <c r="C1384" s="2"/>
      <c r="D1384" s="2"/>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row>
    <row r="1385" spans="2:28" x14ac:dyDescent="0.25">
      <c r="B1385" s="2"/>
      <c r="C1385" s="2"/>
      <c r="D1385" s="2"/>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row>
    <row r="1386" spans="2:28" x14ac:dyDescent="0.25">
      <c r="B1386" s="2"/>
      <c r="C1386" s="2"/>
      <c r="D1386" s="2"/>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row>
    <row r="1387" spans="2:28" x14ac:dyDescent="0.25">
      <c r="B1387" s="2"/>
      <c r="C1387" s="2"/>
      <c r="D1387" s="2"/>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row>
    <row r="1388" spans="2:28" x14ac:dyDescent="0.25">
      <c r="B1388" s="2"/>
      <c r="C1388" s="2"/>
      <c r="D1388" s="2"/>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row>
    <row r="1389" spans="2:28" x14ac:dyDescent="0.25">
      <c r="B1389" s="2"/>
      <c r="C1389" s="2"/>
      <c r="D1389" s="2"/>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row>
    <row r="1390" spans="2:28" x14ac:dyDescent="0.25">
      <c r="B1390" s="2"/>
      <c r="C1390" s="2"/>
      <c r="D1390" s="2"/>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row>
    <row r="1391" spans="2:28" x14ac:dyDescent="0.25">
      <c r="B1391" s="2"/>
      <c r="C1391" s="2"/>
      <c r="D1391" s="2"/>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row>
    <row r="1392" spans="2:28" x14ac:dyDescent="0.25">
      <c r="B1392" s="2"/>
      <c r="C1392" s="2"/>
      <c r="D1392" s="2"/>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row>
    <row r="1393" spans="2:28" x14ac:dyDescent="0.25">
      <c r="B1393" s="2"/>
      <c r="C1393" s="2"/>
      <c r="D1393" s="2"/>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row>
    <row r="1394" spans="2:28" x14ac:dyDescent="0.25">
      <c r="B1394" s="2"/>
      <c r="C1394" s="2"/>
      <c r="D1394" s="2"/>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row>
    <row r="1395" spans="2:28" x14ac:dyDescent="0.25">
      <c r="B1395" s="2"/>
      <c r="C1395" s="2"/>
      <c r="D1395" s="2"/>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row>
    <row r="1396" spans="2:28" x14ac:dyDescent="0.25">
      <c r="B1396" s="2"/>
      <c r="C1396" s="2"/>
      <c r="D1396" s="2"/>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row>
    <row r="1397" spans="2:28" x14ac:dyDescent="0.25">
      <c r="B1397" s="2"/>
      <c r="C1397" s="2"/>
      <c r="D1397" s="2"/>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row>
    <row r="1398" spans="2:28" x14ac:dyDescent="0.25">
      <c r="B1398" s="2"/>
      <c r="C1398" s="2"/>
      <c r="D1398" s="2"/>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row>
    <row r="1399" spans="2:28" x14ac:dyDescent="0.25">
      <c r="B1399" s="2"/>
      <c r="C1399" s="2"/>
      <c r="D1399" s="2"/>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row>
    <row r="1400" spans="2:28" x14ac:dyDescent="0.25">
      <c r="B1400" s="2"/>
      <c r="C1400" s="2"/>
      <c r="D1400" s="2"/>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row>
    <row r="1401" spans="2:28" x14ac:dyDescent="0.25">
      <c r="B1401" s="2"/>
      <c r="C1401" s="2"/>
      <c r="D1401" s="2"/>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row>
    <row r="1402" spans="2:28" x14ac:dyDescent="0.25">
      <c r="B1402" s="2"/>
      <c r="C1402" s="2"/>
      <c r="D1402" s="2"/>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row>
    <row r="1403" spans="2:28" x14ac:dyDescent="0.25">
      <c r="B1403" s="2"/>
      <c r="C1403" s="2"/>
      <c r="D1403" s="2"/>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row>
    <row r="1404" spans="2:28" x14ac:dyDescent="0.25">
      <c r="B1404" s="2"/>
      <c r="C1404" s="2"/>
      <c r="D1404" s="2"/>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row>
    <row r="1405" spans="2:28" x14ac:dyDescent="0.25">
      <c r="B1405" s="2"/>
      <c r="C1405" s="2"/>
      <c r="D1405" s="2"/>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row>
    <row r="1406" spans="2:28" x14ac:dyDescent="0.25">
      <c r="B1406" s="2"/>
      <c r="C1406" s="2"/>
      <c r="D1406" s="2"/>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row>
    <row r="1407" spans="2:28" x14ac:dyDescent="0.25">
      <c r="B1407" s="2"/>
      <c r="C1407" s="2"/>
      <c r="D1407" s="2"/>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row>
    <row r="1408" spans="2:28" x14ac:dyDescent="0.25">
      <c r="B1408" s="2"/>
      <c r="C1408" s="2"/>
      <c r="D1408" s="2"/>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row>
    <row r="1409" spans="2:28" x14ac:dyDescent="0.25">
      <c r="B1409" s="2"/>
      <c r="C1409" s="2"/>
      <c r="D1409" s="2"/>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row>
    <row r="1410" spans="2:28" x14ac:dyDescent="0.25">
      <c r="B1410" s="2"/>
      <c r="C1410" s="2"/>
      <c r="D1410" s="2"/>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row>
    <row r="1411" spans="2:28" x14ac:dyDescent="0.25">
      <c r="B1411" s="2"/>
      <c r="C1411" s="2"/>
      <c r="D1411" s="2"/>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row>
    <row r="1412" spans="2:28" x14ac:dyDescent="0.25">
      <c r="B1412" s="2"/>
      <c r="C1412" s="2"/>
      <c r="D1412" s="2"/>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row>
    <row r="1413" spans="2:28" x14ac:dyDescent="0.25">
      <c r="B1413" s="2"/>
      <c r="C1413" s="2"/>
      <c r="D1413" s="2"/>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row>
    <row r="1414" spans="2:28" x14ac:dyDescent="0.25">
      <c r="B1414" s="2"/>
      <c r="C1414" s="2"/>
      <c r="D1414" s="2"/>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row>
    <row r="1415" spans="2:28" x14ac:dyDescent="0.25">
      <c r="B1415" s="2"/>
      <c r="C1415" s="2"/>
      <c r="D1415" s="2"/>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row>
    <row r="1416" spans="2:28" x14ac:dyDescent="0.25">
      <c r="B1416" s="2"/>
      <c r="C1416" s="2"/>
      <c r="D1416" s="2"/>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row>
    <row r="1417" spans="2:28" x14ac:dyDescent="0.25">
      <c r="B1417" s="2"/>
      <c r="C1417" s="2"/>
      <c r="D1417" s="2"/>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row>
    <row r="1418" spans="2:28" x14ac:dyDescent="0.25">
      <c r="B1418" s="2"/>
      <c r="C1418" s="2"/>
      <c r="D1418" s="2"/>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row>
    <row r="1419" spans="2:28" x14ac:dyDescent="0.25">
      <c r="B1419" s="2"/>
      <c r="C1419" s="2"/>
      <c r="D1419" s="2"/>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row>
    <row r="1420" spans="2:28" x14ac:dyDescent="0.25">
      <c r="B1420" s="2"/>
      <c r="C1420" s="2"/>
      <c r="D1420" s="2"/>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row>
    <row r="1421" spans="2:28" x14ac:dyDescent="0.25">
      <c r="B1421" s="2"/>
      <c r="C1421" s="2"/>
      <c r="D1421" s="2"/>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row>
    <row r="1422" spans="2:28" x14ac:dyDescent="0.25">
      <c r="B1422" s="2"/>
      <c r="C1422" s="2"/>
      <c r="D1422" s="2"/>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row>
    <row r="1423" spans="2:28" x14ac:dyDescent="0.25">
      <c r="B1423" s="2"/>
      <c r="C1423" s="2"/>
      <c r="D1423" s="2"/>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row>
    <row r="1424" spans="2:28" x14ac:dyDescent="0.25">
      <c r="B1424" s="2"/>
      <c r="C1424" s="2"/>
      <c r="D1424" s="2"/>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row>
    <row r="1425" spans="2:28" x14ac:dyDescent="0.25">
      <c r="B1425" s="2"/>
      <c r="C1425" s="2"/>
      <c r="D1425" s="2"/>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row>
    <row r="1426" spans="2:28" x14ac:dyDescent="0.25">
      <c r="B1426" s="2"/>
      <c r="C1426" s="2"/>
      <c r="D1426" s="2"/>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row>
    <row r="1427" spans="2:28" x14ac:dyDescent="0.25">
      <c r="B1427" s="2"/>
      <c r="C1427" s="2"/>
      <c r="D1427" s="2"/>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row>
    <row r="1428" spans="2:28" x14ac:dyDescent="0.25">
      <c r="B1428" s="2"/>
      <c r="C1428" s="2"/>
      <c r="D1428" s="2"/>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row>
    <row r="1429" spans="2:28" x14ac:dyDescent="0.25">
      <c r="B1429" s="2"/>
      <c r="C1429" s="2"/>
      <c r="D1429" s="2"/>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row>
    <row r="1430" spans="2:28" x14ac:dyDescent="0.25">
      <c r="B1430" s="2"/>
      <c r="C1430" s="2"/>
      <c r="D1430" s="2"/>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row>
    <row r="1431" spans="2:28" x14ac:dyDescent="0.25">
      <c r="B1431" s="2"/>
      <c r="C1431" s="2"/>
      <c r="D1431" s="2"/>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row>
    <row r="1432" spans="2:28" x14ac:dyDescent="0.25">
      <c r="B1432" s="2"/>
      <c r="C1432" s="2"/>
      <c r="D1432" s="2"/>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row>
    <row r="1433" spans="2:28" x14ac:dyDescent="0.25">
      <c r="B1433" s="2"/>
      <c r="C1433" s="2"/>
      <c r="D1433" s="2"/>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row>
    <row r="1434" spans="2:28" x14ac:dyDescent="0.25">
      <c r="B1434" s="2"/>
      <c r="C1434" s="2"/>
      <c r="D1434" s="2"/>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row>
    <row r="1435" spans="2:28" x14ac:dyDescent="0.25">
      <c r="B1435" s="2"/>
      <c r="C1435" s="2"/>
      <c r="D1435" s="2"/>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row>
    <row r="1436" spans="2:28" x14ac:dyDescent="0.25">
      <c r="B1436" s="2"/>
      <c r="C1436" s="2"/>
      <c r="D1436" s="2"/>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row>
    <row r="1437" spans="2:28" x14ac:dyDescent="0.25">
      <c r="B1437" s="2"/>
      <c r="C1437" s="2"/>
      <c r="D1437" s="2"/>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row>
    <row r="1438" spans="2:28" x14ac:dyDescent="0.25">
      <c r="B1438" s="2"/>
      <c r="C1438" s="2"/>
      <c r="D1438" s="2"/>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row>
    <row r="1439" spans="2:28" x14ac:dyDescent="0.25">
      <c r="B1439" s="2"/>
      <c r="C1439" s="2"/>
      <c r="D1439" s="2"/>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row>
    <row r="1440" spans="2:28" x14ac:dyDescent="0.25">
      <c r="B1440" s="2"/>
      <c r="C1440" s="2"/>
      <c r="D1440" s="2"/>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row>
    <row r="1441" spans="2:28" x14ac:dyDescent="0.25">
      <c r="B1441" s="2"/>
      <c r="C1441" s="2"/>
      <c r="D1441" s="2"/>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row>
    <row r="1442" spans="2:28" x14ac:dyDescent="0.25">
      <c r="B1442" s="2"/>
      <c r="C1442" s="2"/>
      <c r="D1442" s="2"/>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row>
    <row r="1443" spans="2:28" x14ac:dyDescent="0.25">
      <c r="B1443" s="2"/>
      <c r="C1443" s="2"/>
      <c r="D1443" s="2"/>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row>
    <row r="1444" spans="2:28" x14ac:dyDescent="0.25">
      <c r="B1444" s="2"/>
      <c r="C1444" s="2"/>
      <c r="D1444" s="2"/>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row>
    <row r="1445" spans="2:28" x14ac:dyDescent="0.25">
      <c r="B1445" s="2"/>
      <c r="C1445" s="2"/>
      <c r="D1445" s="2"/>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row>
    <row r="1446" spans="2:28" x14ac:dyDescent="0.25">
      <c r="B1446" s="2"/>
      <c r="C1446" s="2"/>
      <c r="D1446" s="2"/>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row>
    <row r="1447" spans="2:28" x14ac:dyDescent="0.25">
      <c r="B1447" s="2"/>
      <c r="C1447" s="2"/>
      <c r="D1447" s="2"/>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row>
    <row r="1448" spans="2:28" x14ac:dyDescent="0.25">
      <c r="B1448" s="2"/>
      <c r="C1448" s="2"/>
      <c r="D1448" s="2"/>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row>
    <row r="1449" spans="2:28" x14ac:dyDescent="0.25">
      <c r="B1449" s="2"/>
      <c r="C1449" s="2"/>
      <c r="D1449" s="2"/>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row>
    <row r="1450" spans="2:28" x14ac:dyDescent="0.25">
      <c r="B1450" s="2"/>
      <c r="C1450" s="2"/>
      <c r="D1450" s="2"/>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row>
    <row r="1451" spans="2:28" x14ac:dyDescent="0.25">
      <c r="B1451" s="2"/>
      <c r="C1451" s="2"/>
      <c r="D1451" s="2"/>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row>
    <row r="1452" spans="2:28" x14ac:dyDescent="0.25">
      <c r="B1452" s="2"/>
      <c r="C1452" s="2"/>
      <c r="D1452" s="2"/>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row>
    <row r="1453" spans="2:28" x14ac:dyDescent="0.25">
      <c r="B1453" s="2"/>
      <c r="C1453" s="2"/>
      <c r="D1453" s="2"/>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row>
    <row r="1454" spans="2:28" x14ac:dyDescent="0.25">
      <c r="B1454" s="2"/>
      <c r="C1454" s="2"/>
      <c r="D1454" s="2"/>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row>
    <row r="1455" spans="2:28" x14ac:dyDescent="0.25">
      <c r="B1455" s="2"/>
      <c r="C1455" s="2"/>
      <c r="D1455" s="2"/>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row>
    <row r="1456" spans="2:28" x14ac:dyDescent="0.25">
      <c r="B1456" s="2"/>
      <c r="C1456" s="2"/>
      <c r="D1456" s="2"/>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row>
    <row r="1457" spans="2:28" x14ac:dyDescent="0.25">
      <c r="B1457" s="2"/>
      <c r="C1457" s="2"/>
      <c r="D1457" s="2"/>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row>
    <row r="1458" spans="2:28" x14ac:dyDescent="0.25">
      <c r="B1458" s="2"/>
      <c r="C1458" s="2"/>
      <c r="D1458" s="2"/>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row>
    <row r="1459" spans="2:28" x14ac:dyDescent="0.25">
      <c r="B1459" s="2"/>
      <c r="C1459" s="2"/>
      <c r="D1459" s="2"/>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row>
    <row r="1460" spans="2:28" x14ac:dyDescent="0.25">
      <c r="B1460" s="2"/>
      <c r="C1460" s="2"/>
      <c r="D1460" s="2"/>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row>
    <row r="1461" spans="2:28" x14ac:dyDescent="0.25">
      <c r="B1461" s="2"/>
      <c r="C1461" s="2"/>
      <c r="D1461" s="2"/>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row>
    <row r="1462" spans="2:28" x14ac:dyDescent="0.25">
      <c r="B1462" s="2"/>
      <c r="C1462" s="2"/>
      <c r="D1462" s="2"/>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row>
    <row r="1463" spans="2:28" x14ac:dyDescent="0.25">
      <c r="B1463" s="2"/>
      <c r="C1463" s="2"/>
      <c r="D1463" s="2"/>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row>
    <row r="1464" spans="2:28" x14ac:dyDescent="0.25">
      <c r="B1464" s="2"/>
      <c r="C1464" s="2"/>
      <c r="D1464" s="2"/>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row>
    <row r="1465" spans="2:28" x14ac:dyDescent="0.25">
      <c r="B1465" s="2"/>
      <c r="C1465" s="2"/>
      <c r="D1465" s="2"/>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row>
    <row r="1466" spans="2:28" x14ac:dyDescent="0.25">
      <c r="B1466" s="2"/>
      <c r="C1466" s="2"/>
      <c r="D1466" s="2"/>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row>
    <row r="1467" spans="2:28" x14ac:dyDescent="0.25">
      <c r="B1467" s="2"/>
      <c r="C1467" s="2"/>
      <c r="D1467" s="2"/>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row>
    <row r="1468" spans="2:28" x14ac:dyDescent="0.25">
      <c r="B1468" s="2"/>
      <c r="C1468" s="2"/>
      <c r="D1468" s="2"/>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row>
    <row r="1469" spans="2:28" x14ac:dyDescent="0.25">
      <c r="B1469" s="2"/>
      <c r="C1469" s="2"/>
      <c r="D1469" s="2"/>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row>
    <row r="1470" spans="2:28" x14ac:dyDescent="0.25">
      <c r="B1470" s="2"/>
      <c r="C1470" s="2"/>
      <c r="D1470" s="2"/>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row>
    <row r="1471" spans="2:28" x14ac:dyDescent="0.25">
      <c r="B1471" s="2"/>
      <c r="C1471" s="2"/>
      <c r="D1471" s="2"/>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row>
    <row r="1472" spans="2:28" x14ac:dyDescent="0.25">
      <c r="B1472" s="2"/>
      <c r="C1472" s="2"/>
      <c r="D1472" s="2"/>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row>
    <row r="1473" spans="2:28" x14ac:dyDescent="0.25">
      <c r="B1473" s="2"/>
      <c r="C1473" s="2"/>
      <c r="D1473" s="2"/>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row>
    <row r="1474" spans="2:28" x14ac:dyDescent="0.25">
      <c r="B1474" s="2"/>
      <c r="C1474" s="2"/>
      <c r="D1474" s="2"/>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row>
    <row r="1475" spans="2:28" x14ac:dyDescent="0.25">
      <c r="B1475" s="2"/>
      <c r="C1475" s="2"/>
      <c r="D1475" s="2"/>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row>
    <row r="1476" spans="2:28" x14ac:dyDescent="0.25">
      <c r="B1476" s="2"/>
      <c r="C1476" s="2"/>
      <c r="D1476" s="2"/>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row>
    <row r="1477" spans="2:28" x14ac:dyDescent="0.25">
      <c r="B1477" s="2"/>
      <c r="C1477" s="2"/>
      <c r="D1477" s="2"/>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row>
    <row r="1478" spans="2:28" x14ac:dyDescent="0.25">
      <c r="B1478" s="2"/>
      <c r="C1478" s="2"/>
      <c r="D1478" s="2"/>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row>
    <row r="1479" spans="2:28" x14ac:dyDescent="0.25">
      <c r="B1479" s="2"/>
      <c r="C1479" s="2"/>
      <c r="D1479" s="2"/>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row>
    <row r="1480" spans="2:28" x14ac:dyDescent="0.25">
      <c r="B1480" s="2"/>
      <c r="C1480" s="2"/>
      <c r="D1480" s="2"/>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row>
    <row r="1481" spans="2:28" x14ac:dyDescent="0.25">
      <c r="B1481" s="2"/>
      <c r="C1481" s="2"/>
      <c r="D1481" s="2"/>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row>
    <row r="1482" spans="2:28" x14ac:dyDescent="0.25">
      <c r="B1482" s="2"/>
      <c r="C1482" s="2"/>
      <c r="D1482" s="2"/>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row>
    <row r="1483" spans="2:28" x14ac:dyDescent="0.25">
      <c r="B1483" s="2"/>
      <c r="C1483" s="2"/>
      <c r="D1483" s="2"/>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row>
    <row r="1484" spans="2:28" x14ac:dyDescent="0.25">
      <c r="B1484" s="2"/>
      <c r="C1484" s="2"/>
      <c r="D1484" s="2"/>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row>
    <row r="1485" spans="2:28" x14ac:dyDescent="0.25">
      <c r="B1485" s="2"/>
      <c r="C1485" s="2"/>
      <c r="D1485" s="2"/>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row>
    <row r="1486" spans="2:28" x14ac:dyDescent="0.25">
      <c r="B1486" s="2"/>
      <c r="C1486" s="2"/>
      <c r="D1486" s="2"/>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row>
    <row r="1487" spans="2:28" x14ac:dyDescent="0.25">
      <c r="B1487" s="2"/>
      <c r="C1487" s="2"/>
      <c r="D1487" s="2"/>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row>
    <row r="1488" spans="2:28" x14ac:dyDescent="0.25">
      <c r="B1488" s="2"/>
      <c r="C1488" s="2"/>
      <c r="D1488" s="2"/>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row>
    <row r="1489" spans="2:28" x14ac:dyDescent="0.25">
      <c r="B1489" s="2"/>
      <c r="C1489" s="2"/>
      <c r="D1489" s="2"/>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row>
    <row r="1490" spans="2:28" x14ac:dyDescent="0.25">
      <c r="B1490" s="2"/>
      <c r="C1490" s="2"/>
      <c r="D1490" s="2"/>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row>
    <row r="1491" spans="2:28" x14ac:dyDescent="0.25">
      <c r="B1491" s="2"/>
      <c r="C1491" s="2"/>
      <c r="D1491" s="2"/>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row>
    <row r="1492" spans="2:28" x14ac:dyDescent="0.25">
      <c r="B1492" s="2"/>
      <c r="C1492" s="2"/>
      <c r="D1492" s="2"/>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row>
    <row r="1493" spans="2:28" x14ac:dyDescent="0.25">
      <c r="B1493" s="2"/>
      <c r="C1493" s="2"/>
      <c r="D1493" s="2"/>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row>
    <row r="1494" spans="2:28" x14ac:dyDescent="0.25">
      <c r="B1494" s="2"/>
      <c r="C1494" s="2"/>
      <c r="D1494" s="2"/>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row>
    <row r="1495" spans="2:28" x14ac:dyDescent="0.25">
      <c r="B1495" s="2"/>
      <c r="C1495" s="2"/>
      <c r="D1495" s="2"/>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row>
    <row r="1496" spans="2:28" x14ac:dyDescent="0.25">
      <c r="B1496" s="2"/>
      <c r="C1496" s="2"/>
      <c r="D1496" s="2"/>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row>
    <row r="1497" spans="2:28" x14ac:dyDescent="0.25">
      <c r="B1497" s="2"/>
      <c r="C1497" s="2"/>
      <c r="D1497" s="2"/>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row>
    <row r="1498" spans="2:28" x14ac:dyDescent="0.25">
      <c r="B1498" s="2"/>
      <c r="C1498" s="2"/>
      <c r="D1498" s="2"/>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row>
    <row r="1499" spans="2:28" x14ac:dyDescent="0.25">
      <c r="B1499" s="2"/>
      <c r="C1499" s="2"/>
      <c r="D1499" s="2"/>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row>
    <row r="1500" spans="2:28" x14ac:dyDescent="0.25">
      <c r="B1500" s="2"/>
      <c r="C1500" s="2"/>
      <c r="D1500" s="2"/>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row>
    <row r="1501" spans="2:28" x14ac:dyDescent="0.25">
      <c r="B1501" s="2"/>
      <c r="C1501" s="2"/>
      <c r="D1501" s="2"/>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row>
    <row r="1502" spans="2:28" x14ac:dyDescent="0.25">
      <c r="B1502" s="2"/>
      <c r="C1502" s="2"/>
      <c r="D1502" s="2"/>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row>
    <row r="1503" spans="2:28" x14ac:dyDescent="0.25">
      <c r="B1503" s="2"/>
      <c r="C1503" s="2"/>
      <c r="D1503" s="2"/>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row>
    <row r="1504" spans="2:28" x14ac:dyDescent="0.25">
      <c r="B1504" s="2"/>
      <c r="C1504" s="2"/>
      <c r="D1504" s="2"/>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row>
    <row r="1505" spans="2:28" x14ac:dyDescent="0.25">
      <c r="B1505" s="2"/>
      <c r="C1505" s="2"/>
      <c r="D1505" s="2"/>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row>
    <row r="1506" spans="2:28" x14ac:dyDescent="0.25">
      <c r="B1506" s="2"/>
      <c r="C1506" s="2"/>
      <c r="D1506" s="2"/>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row>
    <row r="1507" spans="2:28" x14ac:dyDescent="0.25">
      <c r="B1507" s="2"/>
      <c r="C1507" s="2"/>
      <c r="D1507" s="2"/>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row>
    <row r="1508" spans="2:28" x14ac:dyDescent="0.25">
      <c r="B1508" s="2"/>
      <c r="C1508" s="2"/>
      <c r="D1508" s="2"/>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row>
    <row r="1509" spans="2:28" x14ac:dyDescent="0.25">
      <c r="B1509" s="2"/>
      <c r="C1509" s="2"/>
      <c r="D1509" s="2"/>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row>
    <row r="1510" spans="2:28" x14ac:dyDescent="0.25">
      <c r="B1510" s="2"/>
      <c r="C1510" s="2"/>
      <c r="D1510" s="2"/>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row>
    <row r="1511" spans="2:28" x14ac:dyDescent="0.25">
      <c r="B1511" s="2"/>
      <c r="C1511" s="2"/>
      <c r="D1511" s="2"/>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row>
    <row r="1512" spans="2:28" x14ac:dyDescent="0.25">
      <c r="B1512" s="2"/>
      <c r="C1512" s="2"/>
      <c r="D1512" s="2"/>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row>
    <row r="1513" spans="2:28" x14ac:dyDescent="0.25">
      <c r="B1513" s="2"/>
      <c r="C1513" s="2"/>
      <c r="D1513" s="2"/>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row>
    <row r="1514" spans="2:28" x14ac:dyDescent="0.25">
      <c r="B1514" s="2"/>
      <c r="C1514" s="2"/>
      <c r="D1514" s="2"/>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row>
    <row r="1515" spans="2:28" x14ac:dyDescent="0.25">
      <c r="B1515" s="2"/>
      <c r="C1515" s="2"/>
      <c r="D1515" s="2"/>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row>
    <row r="1516" spans="2:28" x14ac:dyDescent="0.25">
      <c r="B1516" s="2"/>
      <c r="C1516" s="2"/>
      <c r="D1516" s="2"/>
      <c r="E1516" s="2"/>
      <c r="F1516" s="2"/>
      <c r="G1516" s="2"/>
      <c r="H1516" s="2"/>
      <c r="I1516" s="2"/>
      <c r="J1516" s="2"/>
      <c r="K1516" s="2"/>
      <c r="L1516" s="2"/>
      <c r="M1516" s="2"/>
      <c r="N1516" s="2"/>
      <c r="O1516" s="2"/>
      <c r="P1516" s="2"/>
      <c r="Q1516" s="2"/>
      <c r="R1516" s="2"/>
      <c r="S1516" s="2"/>
      <c r="T1516" s="2"/>
      <c r="U1516" s="2"/>
      <c r="V1516" s="2"/>
      <c r="W1516" s="2"/>
      <c r="X1516" s="2"/>
      <c r="Y1516" s="2"/>
      <c r="Z1516" s="2"/>
      <c r="AA1516" s="2"/>
      <c r="AB1516" s="2"/>
    </row>
    <row r="1517" spans="2:28" x14ac:dyDescent="0.25">
      <c r="B1517" s="2"/>
      <c r="C1517" s="2"/>
      <c r="D1517" s="2"/>
      <c r="E1517" s="2"/>
      <c r="F1517" s="2"/>
      <c r="G1517" s="2"/>
      <c r="H1517" s="2"/>
      <c r="I1517" s="2"/>
      <c r="J1517" s="2"/>
      <c r="K1517" s="2"/>
      <c r="L1517" s="2"/>
      <c r="M1517" s="2"/>
      <c r="N1517" s="2"/>
      <c r="O1517" s="2"/>
      <c r="P1517" s="2"/>
      <c r="Q1517" s="2"/>
      <c r="R1517" s="2"/>
      <c r="S1517" s="2"/>
      <c r="T1517" s="2"/>
      <c r="U1517" s="2"/>
      <c r="V1517" s="2"/>
      <c r="W1517" s="2"/>
      <c r="X1517" s="2"/>
      <c r="Y1517" s="2"/>
      <c r="Z1517" s="2"/>
      <c r="AA1517" s="2"/>
      <c r="AB1517" s="2"/>
    </row>
    <row r="1518" spans="2:28" x14ac:dyDescent="0.25">
      <c r="B1518" s="2"/>
      <c r="C1518" s="2"/>
      <c r="D1518" s="2"/>
      <c r="E1518" s="2"/>
      <c r="F1518" s="2"/>
      <c r="G1518" s="2"/>
      <c r="H1518" s="2"/>
      <c r="I1518" s="2"/>
      <c r="J1518" s="2"/>
      <c r="K1518" s="2"/>
      <c r="L1518" s="2"/>
      <c r="M1518" s="2"/>
      <c r="N1518" s="2"/>
      <c r="O1518" s="2"/>
      <c r="P1518" s="2"/>
      <c r="Q1518" s="2"/>
      <c r="R1518" s="2"/>
      <c r="S1518" s="2"/>
      <c r="T1518" s="2"/>
      <c r="U1518" s="2"/>
      <c r="V1518" s="2"/>
      <c r="W1518" s="2"/>
      <c r="X1518" s="2"/>
      <c r="Y1518" s="2"/>
      <c r="Z1518" s="2"/>
      <c r="AA1518" s="2"/>
      <c r="AB1518" s="2"/>
    </row>
    <row r="1519" spans="2:28" x14ac:dyDescent="0.25">
      <c r="B1519" s="2"/>
      <c r="C1519" s="2"/>
      <c r="D1519" s="2"/>
      <c r="E1519" s="2"/>
      <c r="F1519" s="2"/>
      <c r="G1519" s="2"/>
      <c r="H1519" s="2"/>
      <c r="I1519" s="2"/>
      <c r="J1519" s="2"/>
      <c r="K1519" s="2"/>
      <c r="L1519" s="2"/>
      <c r="M1519" s="2"/>
      <c r="N1519" s="2"/>
      <c r="O1519" s="2"/>
      <c r="P1519" s="2"/>
      <c r="Q1519" s="2"/>
      <c r="R1519" s="2"/>
      <c r="S1519" s="2"/>
      <c r="T1519" s="2"/>
      <c r="U1519" s="2"/>
      <c r="V1519" s="2"/>
      <c r="W1519" s="2"/>
      <c r="X1519" s="2"/>
      <c r="Y1519" s="2"/>
      <c r="Z1519" s="2"/>
      <c r="AA1519" s="2"/>
      <c r="AB1519" s="2"/>
    </row>
    <row r="1520" spans="2:28" x14ac:dyDescent="0.25">
      <c r="B1520" s="2"/>
      <c r="C1520" s="2"/>
      <c r="D1520" s="2"/>
      <c r="E1520" s="2"/>
      <c r="F1520" s="2"/>
      <c r="G1520" s="2"/>
      <c r="H1520" s="2"/>
      <c r="I1520" s="2"/>
      <c r="J1520" s="2"/>
      <c r="K1520" s="2"/>
      <c r="L1520" s="2"/>
      <c r="M1520" s="2"/>
      <c r="N1520" s="2"/>
      <c r="O1520" s="2"/>
      <c r="P1520" s="2"/>
      <c r="Q1520" s="2"/>
      <c r="R1520" s="2"/>
      <c r="S1520" s="2"/>
      <c r="T1520" s="2"/>
      <c r="U1520" s="2"/>
      <c r="V1520" s="2"/>
      <c r="W1520" s="2"/>
      <c r="X1520" s="2"/>
      <c r="Y1520" s="2"/>
      <c r="Z1520" s="2"/>
      <c r="AA1520" s="2"/>
      <c r="AB1520" s="2"/>
    </row>
    <row r="1521" spans="2:28" x14ac:dyDescent="0.25">
      <c r="B1521" s="2"/>
      <c r="C1521" s="2"/>
      <c r="D1521" s="2"/>
      <c r="E1521" s="2"/>
      <c r="F1521" s="2"/>
      <c r="G1521" s="2"/>
      <c r="H1521" s="2"/>
      <c r="I1521" s="2"/>
      <c r="J1521" s="2"/>
      <c r="K1521" s="2"/>
      <c r="L1521" s="2"/>
      <c r="M1521" s="2"/>
      <c r="N1521" s="2"/>
      <c r="O1521" s="2"/>
      <c r="P1521" s="2"/>
      <c r="Q1521" s="2"/>
      <c r="R1521" s="2"/>
      <c r="S1521" s="2"/>
      <c r="T1521" s="2"/>
      <c r="U1521" s="2"/>
      <c r="V1521" s="2"/>
      <c r="W1521" s="2"/>
      <c r="X1521" s="2"/>
      <c r="Y1521" s="2"/>
      <c r="Z1521" s="2"/>
      <c r="AA1521" s="2"/>
      <c r="AB1521" s="2"/>
    </row>
    <row r="1522" spans="2:28" x14ac:dyDescent="0.25">
      <c r="B1522" s="2"/>
      <c r="C1522" s="2"/>
      <c r="D1522" s="2"/>
      <c r="E1522" s="2"/>
      <c r="F1522" s="2"/>
      <c r="G1522" s="2"/>
      <c r="H1522" s="2"/>
      <c r="I1522" s="2"/>
      <c r="J1522" s="2"/>
      <c r="K1522" s="2"/>
      <c r="L1522" s="2"/>
      <c r="M1522" s="2"/>
      <c r="N1522" s="2"/>
      <c r="O1522" s="2"/>
      <c r="P1522" s="2"/>
      <c r="Q1522" s="2"/>
      <c r="R1522" s="2"/>
      <c r="S1522" s="2"/>
      <c r="T1522" s="2"/>
      <c r="U1522" s="2"/>
      <c r="V1522" s="2"/>
      <c r="W1522" s="2"/>
      <c r="X1522" s="2"/>
      <c r="Y1522" s="2"/>
      <c r="Z1522" s="2"/>
      <c r="AA1522" s="2"/>
      <c r="AB1522" s="2"/>
    </row>
    <row r="1523" spans="2:28" x14ac:dyDescent="0.25">
      <c r="B1523" s="2"/>
      <c r="C1523" s="2"/>
      <c r="D1523" s="2"/>
      <c r="E1523" s="2"/>
      <c r="F1523" s="2"/>
      <c r="G1523" s="2"/>
      <c r="H1523" s="2"/>
      <c r="I1523" s="2"/>
      <c r="J1523" s="2"/>
      <c r="K1523" s="2"/>
      <c r="L1523" s="2"/>
      <c r="M1523" s="2"/>
      <c r="N1523" s="2"/>
      <c r="O1523" s="2"/>
      <c r="P1523" s="2"/>
      <c r="Q1523" s="2"/>
      <c r="R1523" s="2"/>
      <c r="S1523" s="2"/>
      <c r="T1523" s="2"/>
      <c r="U1523" s="2"/>
      <c r="V1523" s="2"/>
      <c r="W1523" s="2"/>
      <c r="X1523" s="2"/>
      <c r="Y1523" s="2"/>
      <c r="Z1523" s="2"/>
      <c r="AA1523" s="2"/>
      <c r="AB1523" s="2"/>
    </row>
    <row r="1524" spans="2:28" x14ac:dyDescent="0.25">
      <c r="B1524" s="2"/>
      <c r="C1524" s="2"/>
      <c r="D1524" s="2"/>
      <c r="E1524" s="2"/>
      <c r="F1524" s="2"/>
      <c r="G1524" s="2"/>
      <c r="H1524" s="2"/>
      <c r="I1524" s="2"/>
      <c r="J1524" s="2"/>
      <c r="K1524" s="2"/>
      <c r="L1524" s="2"/>
      <c r="M1524" s="2"/>
      <c r="N1524" s="2"/>
      <c r="O1524" s="2"/>
      <c r="P1524" s="2"/>
      <c r="Q1524" s="2"/>
      <c r="R1524" s="2"/>
      <c r="S1524" s="2"/>
      <c r="T1524" s="2"/>
      <c r="U1524" s="2"/>
      <c r="V1524" s="2"/>
      <c r="W1524" s="2"/>
      <c r="X1524" s="2"/>
      <c r="Y1524" s="2"/>
      <c r="Z1524" s="2"/>
      <c r="AA1524" s="2"/>
      <c r="AB1524" s="2"/>
    </row>
    <row r="1525" spans="2:28" x14ac:dyDescent="0.25">
      <c r="B1525" s="2"/>
      <c r="C1525" s="2"/>
      <c r="D1525" s="2"/>
      <c r="E1525" s="2"/>
      <c r="F1525" s="2"/>
      <c r="G1525" s="2"/>
      <c r="H1525" s="2"/>
      <c r="I1525" s="2"/>
      <c r="J1525" s="2"/>
      <c r="K1525" s="2"/>
      <c r="L1525" s="2"/>
      <c r="M1525" s="2"/>
      <c r="N1525" s="2"/>
      <c r="O1525" s="2"/>
      <c r="P1525" s="2"/>
      <c r="Q1525" s="2"/>
      <c r="R1525" s="2"/>
      <c r="S1525" s="2"/>
      <c r="T1525" s="2"/>
      <c r="U1525" s="2"/>
      <c r="V1525" s="2"/>
      <c r="W1525" s="2"/>
      <c r="X1525" s="2"/>
      <c r="Y1525" s="2"/>
      <c r="Z1525" s="2"/>
      <c r="AA1525" s="2"/>
      <c r="AB1525" s="2"/>
    </row>
    <row r="1526" spans="2:28" x14ac:dyDescent="0.25">
      <c r="B1526" s="2"/>
      <c r="C1526" s="2"/>
      <c r="D1526" s="2"/>
      <c r="E1526" s="2"/>
      <c r="F1526" s="2"/>
      <c r="G1526" s="2"/>
      <c r="H1526" s="2"/>
      <c r="I1526" s="2"/>
      <c r="J1526" s="2"/>
      <c r="K1526" s="2"/>
      <c r="L1526" s="2"/>
      <c r="M1526" s="2"/>
      <c r="N1526" s="2"/>
      <c r="O1526" s="2"/>
      <c r="P1526" s="2"/>
      <c r="Q1526" s="2"/>
      <c r="R1526" s="2"/>
      <c r="S1526" s="2"/>
      <c r="T1526" s="2"/>
      <c r="U1526" s="2"/>
      <c r="V1526" s="2"/>
      <c r="W1526" s="2"/>
      <c r="X1526" s="2"/>
      <c r="Y1526" s="2"/>
      <c r="Z1526" s="2"/>
      <c r="AA1526" s="2"/>
      <c r="AB1526" s="2"/>
    </row>
    <row r="1527" spans="2:28" x14ac:dyDescent="0.25">
      <c r="B1527" s="2"/>
      <c r="C1527" s="2"/>
      <c r="D1527" s="2"/>
      <c r="E1527" s="2"/>
      <c r="F1527" s="2"/>
      <c r="G1527" s="2"/>
      <c r="H1527" s="2"/>
      <c r="I1527" s="2"/>
      <c r="J1527" s="2"/>
      <c r="K1527" s="2"/>
      <c r="L1527" s="2"/>
      <c r="M1527" s="2"/>
      <c r="N1527" s="2"/>
      <c r="O1527" s="2"/>
      <c r="P1527" s="2"/>
      <c r="Q1527" s="2"/>
      <c r="R1527" s="2"/>
      <c r="S1527" s="2"/>
      <c r="T1527" s="2"/>
      <c r="U1527" s="2"/>
      <c r="V1527" s="2"/>
      <c r="W1527" s="2"/>
      <c r="X1527" s="2"/>
      <c r="Y1527" s="2"/>
      <c r="Z1527" s="2"/>
      <c r="AA1527" s="2"/>
      <c r="AB1527" s="2"/>
    </row>
    <row r="1528" spans="2:28" x14ac:dyDescent="0.25">
      <c r="B1528" s="2"/>
      <c r="C1528" s="2"/>
      <c r="D1528" s="2"/>
      <c r="E1528" s="2"/>
      <c r="F1528" s="2"/>
      <c r="G1528" s="2"/>
      <c r="H1528" s="2"/>
      <c r="I1528" s="2"/>
      <c r="J1528" s="2"/>
      <c r="K1528" s="2"/>
      <c r="L1528" s="2"/>
      <c r="M1528" s="2"/>
      <c r="N1528" s="2"/>
      <c r="O1528" s="2"/>
      <c r="P1528" s="2"/>
      <c r="Q1528" s="2"/>
      <c r="R1528" s="2"/>
      <c r="S1528" s="2"/>
      <c r="T1528" s="2"/>
      <c r="U1528" s="2"/>
      <c r="V1528" s="2"/>
      <c r="W1528" s="2"/>
      <c r="X1528" s="2"/>
      <c r="Y1528" s="2"/>
      <c r="Z1528" s="2"/>
      <c r="AA1528" s="2"/>
      <c r="AB1528" s="2"/>
    </row>
    <row r="1529" spans="2:28" x14ac:dyDescent="0.25">
      <c r="B1529" s="2"/>
      <c r="C1529" s="2"/>
      <c r="D1529" s="2"/>
      <c r="E1529" s="2"/>
      <c r="F1529" s="2"/>
      <c r="G1529" s="2"/>
      <c r="H1529" s="2"/>
      <c r="I1529" s="2"/>
      <c r="J1529" s="2"/>
      <c r="K1529" s="2"/>
      <c r="L1529" s="2"/>
      <c r="M1529" s="2"/>
      <c r="N1529" s="2"/>
      <c r="O1529" s="2"/>
      <c r="P1529" s="2"/>
      <c r="Q1529" s="2"/>
      <c r="R1529" s="2"/>
      <c r="S1529" s="2"/>
      <c r="T1529" s="2"/>
      <c r="U1529" s="2"/>
      <c r="V1529" s="2"/>
      <c r="W1529" s="2"/>
      <c r="X1529" s="2"/>
      <c r="Y1529" s="2"/>
      <c r="Z1529" s="2"/>
      <c r="AA1529" s="2"/>
      <c r="AB1529" s="2"/>
    </row>
    <row r="1530" spans="2:28" x14ac:dyDescent="0.25">
      <c r="B1530" s="2"/>
      <c r="C1530" s="2"/>
      <c r="D1530" s="2"/>
      <c r="E1530" s="2"/>
      <c r="F1530" s="2"/>
      <c r="G1530" s="2"/>
      <c r="H1530" s="2"/>
      <c r="I1530" s="2"/>
      <c r="J1530" s="2"/>
      <c r="K1530" s="2"/>
      <c r="L1530" s="2"/>
      <c r="M1530" s="2"/>
      <c r="N1530" s="2"/>
      <c r="O1530" s="2"/>
      <c r="P1530" s="2"/>
      <c r="Q1530" s="2"/>
      <c r="R1530" s="2"/>
      <c r="S1530" s="2"/>
      <c r="T1530" s="2"/>
      <c r="U1530" s="2"/>
      <c r="V1530" s="2"/>
      <c r="W1530" s="2"/>
      <c r="X1530" s="2"/>
      <c r="Y1530" s="2"/>
      <c r="Z1530" s="2"/>
      <c r="AA1530" s="2"/>
      <c r="AB1530" s="2"/>
    </row>
    <row r="1531" spans="2:28" x14ac:dyDescent="0.25">
      <c r="B1531" s="2"/>
      <c r="C1531" s="2"/>
      <c r="D1531" s="2"/>
      <c r="E1531" s="2"/>
      <c r="F1531" s="2"/>
      <c r="G1531" s="2"/>
      <c r="H1531" s="2"/>
      <c r="I1531" s="2"/>
      <c r="J1531" s="2"/>
      <c r="K1531" s="2"/>
      <c r="L1531" s="2"/>
      <c r="M1531" s="2"/>
      <c r="N1531" s="2"/>
      <c r="O1531" s="2"/>
      <c r="P1531" s="2"/>
      <c r="Q1531" s="2"/>
      <c r="R1531" s="2"/>
      <c r="S1531" s="2"/>
      <c r="T1531" s="2"/>
      <c r="U1531" s="2"/>
      <c r="V1531" s="2"/>
      <c r="W1531" s="2"/>
      <c r="X1531" s="2"/>
      <c r="Y1531" s="2"/>
      <c r="Z1531" s="2"/>
      <c r="AA1531" s="2"/>
      <c r="AB1531" s="2"/>
    </row>
    <row r="1532" spans="2:28" x14ac:dyDescent="0.25">
      <c r="B1532" s="2"/>
      <c r="C1532" s="2"/>
      <c r="D1532" s="2"/>
      <c r="E1532" s="2"/>
      <c r="F1532" s="2"/>
      <c r="G1532" s="2"/>
      <c r="H1532" s="2"/>
      <c r="I1532" s="2"/>
      <c r="J1532" s="2"/>
      <c r="K1532" s="2"/>
      <c r="L1532" s="2"/>
      <c r="M1532" s="2"/>
      <c r="N1532" s="2"/>
      <c r="O1532" s="2"/>
      <c r="P1532" s="2"/>
      <c r="Q1532" s="2"/>
      <c r="R1532" s="2"/>
      <c r="S1532" s="2"/>
      <c r="T1532" s="2"/>
      <c r="U1532" s="2"/>
      <c r="V1532" s="2"/>
      <c r="W1532" s="2"/>
      <c r="X1532" s="2"/>
      <c r="Y1532" s="2"/>
      <c r="Z1532" s="2"/>
      <c r="AA1532" s="2"/>
      <c r="AB1532" s="2"/>
    </row>
    <row r="1533" spans="2:28" x14ac:dyDescent="0.25">
      <c r="B1533" s="2"/>
      <c r="C1533" s="2"/>
      <c r="D1533" s="2"/>
      <c r="E1533" s="2"/>
      <c r="F1533" s="2"/>
      <c r="G1533" s="2"/>
      <c r="H1533" s="2"/>
      <c r="I1533" s="2"/>
      <c r="J1533" s="2"/>
      <c r="K1533" s="2"/>
      <c r="L1533" s="2"/>
      <c r="M1533" s="2"/>
      <c r="N1533" s="2"/>
      <c r="O1533" s="2"/>
      <c r="P1533" s="2"/>
      <c r="Q1533" s="2"/>
      <c r="R1533" s="2"/>
      <c r="S1533" s="2"/>
      <c r="T1533" s="2"/>
      <c r="U1533" s="2"/>
      <c r="V1533" s="2"/>
      <c r="W1533" s="2"/>
      <c r="X1533" s="2"/>
      <c r="Y1533" s="2"/>
      <c r="Z1533" s="2"/>
      <c r="AA1533" s="2"/>
      <c r="AB1533" s="2"/>
    </row>
    <row r="1534" spans="2:28" x14ac:dyDescent="0.25">
      <c r="B1534" s="2"/>
      <c r="C1534" s="2"/>
      <c r="D1534" s="2"/>
      <c r="E1534" s="2"/>
      <c r="F1534" s="2"/>
      <c r="G1534" s="2"/>
      <c r="H1534" s="2"/>
      <c r="I1534" s="2"/>
      <c r="J1534" s="2"/>
      <c r="K1534" s="2"/>
      <c r="L1534" s="2"/>
      <c r="M1534" s="2"/>
      <c r="N1534" s="2"/>
      <c r="O1534" s="2"/>
      <c r="P1534" s="2"/>
      <c r="Q1534" s="2"/>
      <c r="R1534" s="2"/>
      <c r="S1534" s="2"/>
      <c r="T1534" s="2"/>
      <c r="U1534" s="2"/>
      <c r="V1534" s="2"/>
      <c r="W1534" s="2"/>
      <c r="X1534" s="2"/>
      <c r="Y1534" s="2"/>
      <c r="Z1534" s="2"/>
      <c r="AA1534" s="2"/>
      <c r="AB1534" s="2"/>
    </row>
    <row r="1535" spans="2:28" x14ac:dyDescent="0.25">
      <c r="B1535" s="2"/>
      <c r="C1535" s="2"/>
      <c r="D1535" s="2"/>
      <c r="E1535" s="2"/>
      <c r="F1535" s="2"/>
      <c r="G1535" s="2"/>
      <c r="H1535" s="2"/>
      <c r="I1535" s="2"/>
      <c r="J1535" s="2"/>
      <c r="K1535" s="2"/>
      <c r="L1535" s="2"/>
      <c r="M1535" s="2"/>
      <c r="N1535" s="2"/>
      <c r="O1535" s="2"/>
      <c r="P1535" s="2"/>
      <c r="Q1535" s="2"/>
      <c r="R1535" s="2"/>
      <c r="S1535" s="2"/>
      <c r="T1535" s="2"/>
      <c r="U1535" s="2"/>
      <c r="V1535" s="2"/>
      <c r="W1535" s="2"/>
      <c r="X1535" s="2"/>
      <c r="Y1535" s="2"/>
      <c r="Z1535" s="2"/>
      <c r="AA1535" s="2"/>
      <c r="AB1535" s="2"/>
    </row>
    <row r="1536" spans="2:28" x14ac:dyDescent="0.25">
      <c r="B1536" s="2"/>
      <c r="C1536" s="2"/>
      <c r="D1536" s="2"/>
      <c r="E1536" s="2"/>
      <c r="F1536" s="2"/>
      <c r="G1536" s="2"/>
      <c r="H1536" s="2"/>
      <c r="I1536" s="2"/>
      <c r="J1536" s="2"/>
      <c r="K1536" s="2"/>
      <c r="L1536" s="2"/>
      <c r="M1536" s="2"/>
      <c r="N1536" s="2"/>
      <c r="O1536" s="2"/>
      <c r="P1536" s="2"/>
      <c r="Q1536" s="2"/>
      <c r="R1536" s="2"/>
      <c r="S1536" s="2"/>
      <c r="T1536" s="2"/>
      <c r="U1536" s="2"/>
      <c r="V1536" s="2"/>
      <c r="W1536" s="2"/>
      <c r="X1536" s="2"/>
      <c r="Y1536" s="2"/>
      <c r="Z1536" s="2"/>
      <c r="AA1536" s="2"/>
      <c r="AB1536" s="2"/>
    </row>
    <row r="1537" spans="2:28" x14ac:dyDescent="0.25">
      <c r="B1537" s="2"/>
      <c r="C1537" s="2"/>
      <c r="D1537" s="2"/>
      <c r="E1537" s="2"/>
      <c r="F1537" s="2"/>
      <c r="G1537" s="2"/>
      <c r="H1537" s="2"/>
      <c r="I1537" s="2"/>
      <c r="J1537" s="2"/>
      <c r="K1537" s="2"/>
      <c r="L1537" s="2"/>
      <c r="M1537" s="2"/>
      <c r="N1537" s="2"/>
      <c r="O1537" s="2"/>
      <c r="P1537" s="2"/>
      <c r="Q1537" s="2"/>
      <c r="R1537" s="2"/>
      <c r="S1537" s="2"/>
      <c r="T1537" s="2"/>
      <c r="U1537" s="2"/>
      <c r="V1537" s="2"/>
      <c r="W1537" s="2"/>
      <c r="X1537" s="2"/>
      <c r="Y1537" s="2"/>
      <c r="Z1537" s="2"/>
      <c r="AA1537" s="2"/>
      <c r="AB1537" s="2"/>
    </row>
    <row r="1538" spans="2:28" x14ac:dyDescent="0.25">
      <c r="B1538" s="2"/>
      <c r="C1538" s="2"/>
      <c r="D1538" s="2"/>
      <c r="E1538" s="2"/>
      <c r="F1538" s="2"/>
      <c r="G1538" s="2"/>
      <c r="H1538" s="2"/>
      <c r="I1538" s="2"/>
      <c r="J1538" s="2"/>
      <c r="K1538" s="2"/>
      <c r="L1538" s="2"/>
      <c r="M1538" s="2"/>
      <c r="N1538" s="2"/>
      <c r="O1538" s="2"/>
      <c r="P1538" s="2"/>
      <c r="Q1538" s="2"/>
      <c r="R1538" s="2"/>
      <c r="S1538" s="2"/>
      <c r="T1538" s="2"/>
      <c r="U1538" s="2"/>
      <c r="V1538" s="2"/>
      <c r="W1538" s="2"/>
      <c r="X1538" s="2"/>
      <c r="Y1538" s="2"/>
      <c r="Z1538" s="2"/>
      <c r="AA1538" s="2"/>
      <c r="AB1538" s="2"/>
    </row>
    <row r="1539" spans="2:28" x14ac:dyDescent="0.25">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2"/>
      <c r="AA1539" s="2"/>
      <c r="AB1539" s="2"/>
    </row>
    <row r="1540" spans="2:28" x14ac:dyDescent="0.25">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2"/>
      <c r="AA1540" s="2"/>
      <c r="AB1540" s="2"/>
    </row>
    <row r="1541" spans="2:28" x14ac:dyDescent="0.25">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2"/>
      <c r="AA1541" s="2"/>
      <c r="AB1541" s="2"/>
    </row>
    <row r="1542" spans="2:28" x14ac:dyDescent="0.25">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2"/>
      <c r="AA1542" s="2"/>
      <c r="AB1542" s="2"/>
    </row>
    <row r="1543" spans="2:28" x14ac:dyDescent="0.25">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c r="AA1543" s="2"/>
      <c r="AB1543" s="2"/>
    </row>
    <row r="1544" spans="2:28" x14ac:dyDescent="0.25">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c r="AA1544" s="2"/>
      <c r="AB1544" s="2"/>
    </row>
    <row r="1545" spans="2:28" x14ac:dyDescent="0.25">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c r="AA1545" s="2"/>
      <c r="AB1545" s="2"/>
    </row>
    <row r="1546" spans="2:28" x14ac:dyDescent="0.25">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c r="AA1546" s="2"/>
      <c r="AB1546" s="2"/>
    </row>
    <row r="1547" spans="2:28" x14ac:dyDescent="0.25">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c r="AA1547" s="2"/>
      <c r="AB1547" s="2"/>
    </row>
    <row r="1548" spans="2:28" x14ac:dyDescent="0.25">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c r="AA1548" s="2"/>
      <c r="AB1548" s="2"/>
    </row>
    <row r="1549" spans="2:28" x14ac:dyDescent="0.25">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c r="AA1549" s="2"/>
      <c r="AB1549" s="2"/>
    </row>
    <row r="1550" spans="2:28" x14ac:dyDescent="0.25">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c r="AA1550" s="2"/>
      <c r="AB1550" s="2"/>
    </row>
    <row r="1551" spans="2:28" x14ac:dyDescent="0.25">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c r="AA1551" s="2"/>
      <c r="AB1551" s="2"/>
    </row>
    <row r="1552" spans="2:28" x14ac:dyDescent="0.25">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c r="AA1552" s="2"/>
      <c r="AB1552" s="2"/>
    </row>
    <row r="1553" spans="2:28" x14ac:dyDescent="0.25">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c r="AA1553" s="2"/>
      <c r="AB1553" s="2"/>
    </row>
    <row r="1554" spans="2:28" x14ac:dyDescent="0.25">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c r="AA1554" s="2"/>
      <c r="AB1554" s="2"/>
    </row>
    <row r="1555" spans="2:28" x14ac:dyDescent="0.25">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c r="AA1555" s="2"/>
      <c r="AB1555" s="2"/>
    </row>
    <row r="1556" spans="2:28" x14ac:dyDescent="0.25">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c r="AA1556" s="2"/>
      <c r="AB1556" s="2"/>
    </row>
    <row r="1557" spans="2:28" x14ac:dyDescent="0.25">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c r="AA1557" s="2"/>
      <c r="AB1557" s="2"/>
    </row>
    <row r="1558" spans="2:28" x14ac:dyDescent="0.25">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c r="AA1558" s="2"/>
      <c r="AB1558" s="2"/>
    </row>
    <row r="1559" spans="2:28" x14ac:dyDescent="0.25">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c r="AA1559" s="2"/>
      <c r="AB1559" s="2"/>
    </row>
    <row r="1560" spans="2:28" x14ac:dyDescent="0.25">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c r="AA1560" s="2"/>
      <c r="AB1560" s="2"/>
    </row>
    <row r="1561" spans="2:28" x14ac:dyDescent="0.25">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c r="AA1561" s="2"/>
      <c r="AB1561" s="2"/>
    </row>
    <row r="1562" spans="2:28" x14ac:dyDescent="0.25">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c r="AA1562" s="2"/>
      <c r="AB1562" s="2"/>
    </row>
    <row r="1563" spans="2:28" x14ac:dyDescent="0.25">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c r="AA1563" s="2"/>
      <c r="AB1563" s="2"/>
    </row>
    <row r="1564" spans="2:28" x14ac:dyDescent="0.25">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c r="AA1564" s="2"/>
      <c r="AB1564" s="2"/>
    </row>
    <row r="1565" spans="2:28" x14ac:dyDescent="0.25">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c r="AA1565" s="2"/>
      <c r="AB1565" s="2"/>
    </row>
    <row r="1566" spans="2:28" x14ac:dyDescent="0.25">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c r="AA1566" s="2"/>
      <c r="AB1566" s="2"/>
    </row>
    <row r="1567" spans="2:28" x14ac:dyDescent="0.25">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c r="AA1567" s="2"/>
      <c r="AB1567" s="2"/>
    </row>
    <row r="1568" spans="2:28" x14ac:dyDescent="0.25">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row>
    <row r="1569" spans="2:28" x14ac:dyDescent="0.25">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row>
    <row r="1570" spans="2:28" x14ac:dyDescent="0.25">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row>
    <row r="1571" spans="2:28" x14ac:dyDescent="0.25">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row>
    <row r="1572" spans="2:28" x14ac:dyDescent="0.25">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row>
    <row r="1573" spans="2:28" x14ac:dyDescent="0.25">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row>
    <row r="1574" spans="2:28" x14ac:dyDescent="0.25">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row>
    <row r="1575" spans="2:28" x14ac:dyDescent="0.25">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row>
    <row r="1576" spans="2:28" x14ac:dyDescent="0.25">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row>
    <row r="1577" spans="2:28" x14ac:dyDescent="0.25">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row>
    <row r="1578" spans="2:28" x14ac:dyDescent="0.25">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row>
    <row r="1579" spans="2:28" x14ac:dyDescent="0.25">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row>
    <row r="1580" spans="2:28" x14ac:dyDescent="0.25">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row>
    <row r="1581" spans="2:28" x14ac:dyDescent="0.25">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row>
    <row r="1582" spans="2:28" x14ac:dyDescent="0.25">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row>
    <row r="1583" spans="2:28" x14ac:dyDescent="0.25">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row>
    <row r="1584" spans="2:28" x14ac:dyDescent="0.25">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row>
    <row r="1585" spans="2:28" x14ac:dyDescent="0.25">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row>
    <row r="1586" spans="2:28" x14ac:dyDescent="0.25">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row>
    <row r="1587" spans="2:28" x14ac:dyDescent="0.25">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row>
    <row r="1588" spans="2:28" x14ac:dyDescent="0.25">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row>
    <row r="1589" spans="2:28" x14ac:dyDescent="0.25">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row>
    <row r="1590" spans="2:28" x14ac:dyDescent="0.25">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row>
    <row r="1591" spans="2:28" x14ac:dyDescent="0.25">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row>
    <row r="1592" spans="2:28" x14ac:dyDescent="0.25">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row>
    <row r="1593" spans="2:28" x14ac:dyDescent="0.25">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row>
    <row r="1594" spans="2:28" x14ac:dyDescent="0.25">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row>
    <row r="1595" spans="2:28" x14ac:dyDescent="0.25">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row>
    <row r="1596" spans="2:28" x14ac:dyDescent="0.25">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row>
    <row r="1597" spans="2:28" x14ac:dyDescent="0.25">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row>
  </sheetData>
  <mergeCells count="3">
    <mergeCell ref="B9:M9"/>
    <mergeCell ref="B29:M29"/>
    <mergeCell ref="B47:M47"/>
  </mergeCells>
  <phoneticPr fontId="13" type="noConversion"/>
  <printOptions horizontalCentered="1"/>
  <pageMargins left="1" right="1" top="1" bottom="0.5" header="0.5" footer="0.5"/>
  <pageSetup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M41"/>
  <sheetViews>
    <sheetView zoomScaleNormal="100" workbookViewId="0">
      <selection activeCell="D19" sqref="D19"/>
    </sheetView>
  </sheetViews>
  <sheetFormatPr defaultColWidth="9.81640625" defaultRowHeight="15" x14ac:dyDescent="0.25"/>
  <cols>
    <col min="1" max="1" width="5.81640625" style="18" customWidth="1"/>
    <col min="2" max="2" width="10.1796875" style="18" customWidth="1"/>
    <col min="3" max="3" width="3.453125" style="18" customWidth="1"/>
    <col min="4" max="4" width="9.81640625" style="18" customWidth="1"/>
    <col min="5" max="5" width="3.453125" style="18" customWidth="1"/>
    <col min="6" max="6" width="9.81640625" style="18" customWidth="1"/>
    <col min="7" max="7" width="3.453125" style="18" customWidth="1"/>
    <col min="8" max="8" width="9.81640625" style="18" customWidth="1"/>
    <col min="9" max="9" width="3.453125" style="18" customWidth="1"/>
    <col min="10" max="16384" width="9.81640625" style="18"/>
  </cols>
  <sheetData>
    <row r="1" spans="1:10" x14ac:dyDescent="0.25">
      <c r="A1" s="16" t="s">
        <v>51</v>
      </c>
      <c r="B1" s="17"/>
      <c r="C1" s="17"/>
      <c r="D1" s="17"/>
      <c r="E1" s="17"/>
      <c r="F1" s="17"/>
      <c r="G1" s="17"/>
      <c r="H1" s="17"/>
      <c r="I1" s="17"/>
      <c r="J1" s="17"/>
    </row>
    <row r="2" spans="1:10" x14ac:dyDescent="0.25">
      <c r="A2" s="187"/>
      <c r="B2" s="17"/>
      <c r="C2" s="17"/>
      <c r="D2" s="17"/>
      <c r="E2" s="17"/>
      <c r="F2" s="17"/>
      <c r="G2" s="17"/>
      <c r="H2" s="17"/>
      <c r="I2" s="17"/>
      <c r="J2" s="17"/>
    </row>
    <row r="3" spans="1:10" x14ac:dyDescent="0.25">
      <c r="A3" s="17"/>
      <c r="B3" s="17"/>
      <c r="C3" s="17"/>
      <c r="D3" s="17"/>
      <c r="E3" s="17"/>
      <c r="F3" s="17"/>
      <c r="G3" s="17"/>
      <c r="H3" s="17"/>
      <c r="I3" s="17"/>
      <c r="J3" s="17"/>
    </row>
    <row r="4" spans="1:10" x14ac:dyDescent="0.25">
      <c r="A4" s="17" t="s">
        <v>215</v>
      </c>
      <c r="B4" s="17"/>
      <c r="C4" s="17"/>
      <c r="D4" s="17"/>
      <c r="E4" s="17"/>
      <c r="F4" s="17"/>
      <c r="G4" s="17"/>
      <c r="H4" s="17"/>
      <c r="I4" s="17"/>
      <c r="J4" s="17"/>
    </row>
    <row r="5" spans="1:10" x14ac:dyDescent="0.25">
      <c r="A5" s="19"/>
      <c r="B5" s="19"/>
      <c r="C5" s="19"/>
      <c r="D5" s="19"/>
      <c r="E5" s="19"/>
      <c r="F5" s="19"/>
      <c r="G5" s="19"/>
      <c r="H5" s="19"/>
      <c r="I5" s="19"/>
      <c r="J5" s="19"/>
    </row>
    <row r="6" spans="1:10" x14ac:dyDescent="0.25">
      <c r="A6" s="19"/>
      <c r="B6" s="19"/>
      <c r="C6" s="19"/>
      <c r="D6" s="19"/>
      <c r="E6" s="19"/>
      <c r="F6" s="19"/>
      <c r="G6" s="19"/>
      <c r="H6" s="19"/>
      <c r="I6" s="19"/>
      <c r="J6" s="19"/>
    </row>
    <row r="7" spans="1:10" x14ac:dyDescent="0.25">
      <c r="A7" s="19" t="s">
        <v>200</v>
      </c>
      <c r="B7" s="19"/>
      <c r="C7" s="19"/>
      <c r="D7" s="19"/>
      <c r="E7" s="19"/>
      <c r="F7" s="19"/>
      <c r="G7" s="19"/>
      <c r="H7" s="19"/>
      <c r="I7" s="19"/>
      <c r="J7" s="19"/>
    </row>
    <row r="8" spans="1:10" x14ac:dyDescent="0.25">
      <c r="A8" s="19" t="s">
        <v>216</v>
      </c>
      <c r="B8" s="19"/>
      <c r="C8" s="19"/>
      <c r="D8" s="19"/>
      <c r="E8" s="19"/>
      <c r="F8" s="19"/>
      <c r="G8" s="19"/>
      <c r="H8" s="19"/>
      <c r="I8" s="19"/>
      <c r="J8" s="19"/>
    </row>
    <row r="9" spans="1:10" x14ac:dyDescent="0.25">
      <c r="A9" s="19"/>
      <c r="B9" s="19"/>
      <c r="C9" s="19"/>
      <c r="D9" s="19"/>
      <c r="E9" s="19"/>
      <c r="F9" s="19"/>
      <c r="G9" s="19"/>
      <c r="H9" s="19"/>
      <c r="I9" s="19"/>
      <c r="J9" s="19"/>
    </row>
    <row r="10" spans="1:10" x14ac:dyDescent="0.25">
      <c r="A10" s="19"/>
      <c r="B10" s="19"/>
      <c r="C10" s="19"/>
      <c r="D10" s="19"/>
      <c r="E10" s="19"/>
      <c r="F10" s="19"/>
      <c r="G10" s="19"/>
      <c r="H10" s="19"/>
      <c r="I10" s="19"/>
      <c r="J10" s="19"/>
    </row>
    <row r="11" spans="1:10" x14ac:dyDescent="0.25">
      <c r="A11" s="19"/>
      <c r="B11" s="19"/>
      <c r="C11" s="19"/>
      <c r="D11" s="19"/>
      <c r="E11" s="19"/>
      <c r="F11" s="17" t="s">
        <v>217</v>
      </c>
      <c r="G11" s="17"/>
      <c r="H11" s="16"/>
      <c r="I11" s="17"/>
      <c r="J11" s="17"/>
    </row>
    <row r="12" spans="1:10" x14ac:dyDescent="0.25">
      <c r="A12" s="19"/>
      <c r="B12" s="19"/>
      <c r="C12" s="19"/>
      <c r="D12" s="20" t="s">
        <v>183</v>
      </c>
      <c r="E12" s="20"/>
      <c r="F12" s="21"/>
      <c r="G12" s="21"/>
      <c r="H12" s="21" t="s">
        <v>218</v>
      </c>
      <c r="I12" s="21"/>
      <c r="J12" s="22"/>
    </row>
    <row r="13" spans="1:10" x14ac:dyDescent="0.25">
      <c r="A13" s="17" t="s">
        <v>184</v>
      </c>
      <c r="B13" s="17"/>
      <c r="C13" s="19"/>
      <c r="D13" s="20" t="s">
        <v>185</v>
      </c>
      <c r="E13" s="20"/>
      <c r="F13" s="23"/>
      <c r="G13" s="20"/>
      <c r="H13" s="20" t="s">
        <v>328</v>
      </c>
      <c r="I13" s="20"/>
      <c r="J13" s="20" t="s">
        <v>186</v>
      </c>
    </row>
    <row r="14" spans="1:10" x14ac:dyDescent="0.25">
      <c r="A14" s="17" t="s">
        <v>187</v>
      </c>
      <c r="B14" s="17"/>
      <c r="C14" s="19"/>
      <c r="D14" s="20" t="s">
        <v>328</v>
      </c>
      <c r="E14" s="20"/>
      <c r="F14" s="20" t="s">
        <v>219</v>
      </c>
      <c r="G14" s="20"/>
      <c r="H14" s="20" t="s">
        <v>220</v>
      </c>
      <c r="I14" s="20"/>
      <c r="J14" s="20" t="s">
        <v>188</v>
      </c>
    </row>
    <row r="15" spans="1:10" x14ac:dyDescent="0.25">
      <c r="A15" s="24" t="s">
        <v>189</v>
      </c>
      <c r="B15" s="24"/>
      <c r="C15" s="19"/>
      <c r="D15" s="21" t="s">
        <v>208</v>
      </c>
      <c r="E15" s="19"/>
      <c r="F15" s="21" t="s">
        <v>191</v>
      </c>
      <c r="G15" s="19"/>
      <c r="H15" s="21" t="s">
        <v>221</v>
      </c>
      <c r="I15" s="19"/>
      <c r="J15" s="21" t="s">
        <v>222</v>
      </c>
    </row>
    <row r="16" spans="1:10" x14ac:dyDescent="0.25">
      <c r="A16" s="19"/>
      <c r="B16" s="19"/>
      <c r="C16" s="19"/>
      <c r="D16" s="19"/>
      <c r="E16" s="19"/>
      <c r="F16" s="19"/>
      <c r="G16" s="19"/>
      <c r="H16" s="19"/>
      <c r="I16" s="19"/>
      <c r="J16" s="19"/>
    </row>
    <row r="17" spans="1:13" x14ac:dyDescent="0.25">
      <c r="A17" s="2" t="s">
        <v>192</v>
      </c>
      <c r="B17" s="19"/>
      <c r="C17" s="19"/>
      <c r="D17" s="165">
        <f>'SCH-C - F 1-2'!$G$16</f>
        <v>13737</v>
      </c>
      <c r="E17" s="19"/>
      <c r="F17" s="25">
        <v>0.8</v>
      </c>
      <c r="G17" s="19"/>
      <c r="H17" s="165">
        <f>ROUND(+D17*F17,0)</f>
        <v>10990</v>
      </c>
      <c r="I17" s="19"/>
      <c r="J17" s="26">
        <f>ROUND(H17/H$23,4)-0.0001</f>
        <v>0.5605</v>
      </c>
    </row>
    <row r="18" spans="1:13" x14ac:dyDescent="0.25">
      <c r="A18" s="2" t="s">
        <v>325</v>
      </c>
      <c r="B18" s="19"/>
      <c r="C18" s="19"/>
      <c r="D18" s="165">
        <f>'SCH-C - F 1-2'!$G$17</f>
        <v>7552</v>
      </c>
      <c r="E18" s="19"/>
      <c r="F18" s="25">
        <v>0.65</v>
      </c>
      <c r="G18" s="19"/>
      <c r="H18" s="165">
        <f>ROUND(+D18*F18,0)</f>
        <v>4909</v>
      </c>
      <c r="I18" s="19"/>
      <c r="J18" s="27">
        <f>ROUND(H18/H$23,4)</f>
        <v>0.25040000000000001</v>
      </c>
    </row>
    <row r="19" spans="1:13" x14ac:dyDescent="0.25">
      <c r="A19" s="2" t="s">
        <v>194</v>
      </c>
      <c r="B19" s="19"/>
      <c r="C19" s="19"/>
      <c r="D19" s="165">
        <f>'SCH-C - F 1-2'!$G$18</f>
        <v>2914</v>
      </c>
      <c r="E19" s="19"/>
      <c r="F19" s="25">
        <v>0.6</v>
      </c>
      <c r="G19" s="19"/>
      <c r="H19" s="165">
        <f>ROUND(+D19*F19,0)</f>
        <v>1748</v>
      </c>
      <c r="I19" s="19"/>
      <c r="J19" s="27">
        <f>ROUND(H19/H$23,4)</f>
        <v>8.9200000000000002E-2</v>
      </c>
    </row>
    <row r="20" spans="1:13" x14ac:dyDescent="0.25">
      <c r="A20" s="2" t="s">
        <v>195</v>
      </c>
      <c r="B20" s="19"/>
      <c r="C20" s="19"/>
      <c r="D20" s="165">
        <f>'SCH-C - F 1-2'!$G$19</f>
        <v>1410</v>
      </c>
      <c r="E20" s="19"/>
      <c r="F20" s="25">
        <v>0.6</v>
      </c>
      <c r="G20" s="19"/>
      <c r="H20" s="165">
        <f>ROUND(+D20*F20,0)</f>
        <v>846</v>
      </c>
      <c r="I20" s="19"/>
      <c r="J20" s="27">
        <f>ROUND(H20/H$23,4)</f>
        <v>4.3200000000000002E-2</v>
      </c>
    </row>
    <row r="21" spans="1:13" x14ac:dyDescent="0.25">
      <c r="A21" s="2" t="s">
        <v>103</v>
      </c>
      <c r="B21" s="19"/>
      <c r="C21" s="19"/>
      <c r="D21" s="165">
        <f>'SCH-C - F 1-2'!$G$20</f>
        <v>1852</v>
      </c>
      <c r="E21" s="19"/>
      <c r="F21" s="25">
        <v>0.6</v>
      </c>
      <c r="G21" s="19"/>
      <c r="H21" s="165">
        <f>ROUND(+D21*F21,0)</f>
        <v>1111</v>
      </c>
      <c r="I21" s="19"/>
      <c r="J21" s="27">
        <f>ROUND(H21/H$23,4)</f>
        <v>5.67E-2</v>
      </c>
    </row>
    <row r="22" spans="1:13" x14ac:dyDescent="0.25">
      <c r="A22" s="19"/>
      <c r="B22" s="19"/>
      <c r="C22" s="19"/>
      <c r="D22" s="166"/>
      <c r="E22" s="19"/>
      <c r="F22" s="28"/>
      <c r="G22" s="19"/>
      <c r="H22" s="166"/>
      <c r="I22" s="19"/>
      <c r="J22" s="29"/>
    </row>
    <row r="23" spans="1:13" ht="15.6" thickBot="1" x14ac:dyDescent="0.3">
      <c r="A23" s="19" t="s">
        <v>199</v>
      </c>
      <c r="B23" s="19"/>
      <c r="C23" s="19"/>
      <c r="D23" s="165">
        <f>SUM(D17:D21)</f>
        <v>27465</v>
      </c>
      <c r="E23" s="19"/>
      <c r="F23" s="28"/>
      <c r="G23" s="19"/>
      <c r="H23" s="202">
        <f>SUM(H17:H21)</f>
        <v>19604</v>
      </c>
      <c r="I23" s="19"/>
      <c r="J23" s="27">
        <f>SUM(J17:J22)</f>
        <v>0.99999999999999989</v>
      </c>
      <c r="L23" s="277"/>
      <c r="M23" s="278"/>
    </row>
    <row r="24" spans="1:13" ht="15.6" thickTop="1" x14ac:dyDescent="0.25">
      <c r="A24" s="19"/>
      <c r="B24" s="19"/>
      <c r="C24" s="19"/>
      <c r="D24" s="30"/>
      <c r="E24" s="19"/>
      <c r="F24" s="28"/>
      <c r="G24" s="19"/>
      <c r="H24" s="201"/>
      <c r="I24" s="19"/>
      <c r="J24" s="31"/>
      <c r="M24" s="279"/>
    </row>
    <row r="25" spans="1:13" x14ac:dyDescent="0.25">
      <c r="A25" s="19"/>
      <c r="B25" s="19"/>
      <c r="C25" s="19"/>
      <c r="D25" s="32"/>
      <c r="E25" s="19"/>
      <c r="F25" s="19"/>
      <c r="G25" s="19"/>
      <c r="H25" s="28"/>
      <c r="I25" s="19"/>
      <c r="J25" s="19"/>
    </row>
    <row r="26" spans="1:13" ht="30.6" customHeight="1" x14ac:dyDescent="0.25">
      <c r="A26" s="746" t="s">
        <v>491</v>
      </c>
      <c r="B26" s="746"/>
      <c r="C26" s="746"/>
      <c r="D26" s="746"/>
      <c r="E26" s="746"/>
      <c r="F26" s="746"/>
      <c r="G26" s="746"/>
      <c r="H26" s="746"/>
      <c r="I26" s="746"/>
      <c r="J26" s="746"/>
    </row>
    <row r="27" spans="1:13" x14ac:dyDescent="0.25">
      <c r="A27" s="19"/>
      <c r="B27" s="19"/>
      <c r="C27" s="19"/>
      <c r="D27" s="19"/>
      <c r="E27" s="19"/>
      <c r="F27" s="19"/>
      <c r="G27" s="19"/>
      <c r="H27" s="19"/>
      <c r="I27" s="19"/>
      <c r="J27" s="19"/>
    </row>
    <row r="28" spans="1:13" x14ac:dyDescent="0.25">
      <c r="A28" s="19"/>
      <c r="B28" s="19"/>
      <c r="C28" s="19"/>
      <c r="D28" s="19"/>
      <c r="E28" s="19"/>
      <c r="F28" s="19"/>
      <c r="G28" s="19"/>
      <c r="H28" s="19"/>
      <c r="I28" s="19"/>
      <c r="J28" s="19"/>
    </row>
    <row r="29" spans="1:13" x14ac:dyDescent="0.25">
      <c r="A29" s="19"/>
      <c r="D29" s="19"/>
      <c r="E29" s="19"/>
      <c r="F29" s="20" t="s">
        <v>223</v>
      </c>
      <c r="G29" s="20"/>
      <c r="H29" s="20"/>
      <c r="I29" s="19"/>
      <c r="J29" s="19"/>
    </row>
    <row r="30" spans="1:13" x14ac:dyDescent="0.25">
      <c r="A30" s="19"/>
      <c r="D30" s="19"/>
      <c r="E30" s="19"/>
      <c r="F30" s="20" t="s">
        <v>224</v>
      </c>
      <c r="G30" s="20"/>
      <c r="H30" s="20"/>
      <c r="I30" s="19"/>
      <c r="J30" s="19"/>
    </row>
    <row r="31" spans="1:13" x14ac:dyDescent="0.25">
      <c r="A31" s="19"/>
      <c r="D31" s="19"/>
      <c r="E31" s="19"/>
      <c r="F31" s="20" t="s">
        <v>225</v>
      </c>
      <c r="G31" s="20"/>
      <c r="H31" s="20" t="s">
        <v>226</v>
      </c>
      <c r="I31" s="19"/>
      <c r="J31" s="19"/>
    </row>
    <row r="32" spans="1:13" x14ac:dyDescent="0.25">
      <c r="A32" s="19"/>
      <c r="D32" s="19"/>
      <c r="E32" s="19"/>
      <c r="F32" s="33"/>
      <c r="G32" s="19"/>
      <c r="H32" s="33"/>
      <c r="I32" s="19"/>
      <c r="J32" s="19"/>
    </row>
    <row r="33" spans="1:10" x14ac:dyDescent="0.25">
      <c r="A33" s="19"/>
      <c r="D33" s="19" t="s">
        <v>227</v>
      </c>
      <c r="F33" s="25">
        <v>1</v>
      </c>
      <c r="G33" s="19"/>
      <c r="H33" s="27">
        <f>ROUND(F33/F37,4)</f>
        <v>0.625</v>
      </c>
      <c r="I33" s="19"/>
      <c r="J33" s="19"/>
    </row>
    <row r="34" spans="1:10" x14ac:dyDescent="0.25">
      <c r="A34" s="19"/>
      <c r="D34" s="19" t="s">
        <v>203</v>
      </c>
      <c r="F34" s="25"/>
      <c r="G34" s="19"/>
      <c r="H34" s="19"/>
      <c r="I34" s="19"/>
      <c r="J34" s="19"/>
    </row>
    <row r="35" spans="1:10" x14ac:dyDescent="0.25">
      <c r="A35" s="19"/>
      <c r="D35" s="19" t="s">
        <v>149</v>
      </c>
      <c r="F35" s="25">
        <v>0.6</v>
      </c>
      <c r="G35" s="19"/>
      <c r="H35" s="27">
        <f>ROUND(F35/F37,4)</f>
        <v>0.375</v>
      </c>
      <c r="I35" s="19"/>
      <c r="J35" s="19"/>
    </row>
    <row r="36" spans="1:10" x14ac:dyDescent="0.25">
      <c r="A36" s="19"/>
      <c r="D36" s="19"/>
      <c r="F36" s="34"/>
      <c r="G36" s="19"/>
      <c r="H36" s="33"/>
      <c r="I36" s="19"/>
      <c r="J36" s="19"/>
    </row>
    <row r="37" spans="1:10" ht="15.6" thickBot="1" x14ac:dyDescent="0.3">
      <c r="A37" s="19"/>
      <c r="D37" s="19" t="s">
        <v>229</v>
      </c>
      <c r="F37" s="207">
        <f>SUM(F33:F36)</f>
        <v>1.6</v>
      </c>
      <c r="G37" s="19"/>
      <c r="H37" s="27">
        <f>SUM(H33:H36)</f>
        <v>1</v>
      </c>
      <c r="I37" s="19"/>
      <c r="J37" s="19"/>
    </row>
    <row r="38" spans="1:10" ht="15.6" thickTop="1" x14ac:dyDescent="0.25">
      <c r="A38" s="19"/>
      <c r="D38" s="19"/>
      <c r="E38" s="19"/>
      <c r="F38" s="206"/>
      <c r="G38" s="19"/>
      <c r="H38" s="35"/>
      <c r="I38" s="19"/>
      <c r="J38" s="19"/>
    </row>
    <row r="39" spans="1:10" x14ac:dyDescent="0.25">
      <c r="A39" s="19"/>
      <c r="B39" s="19"/>
      <c r="C39" s="19"/>
      <c r="D39" s="19"/>
      <c r="E39" s="25"/>
      <c r="F39" s="19"/>
      <c r="G39" s="19"/>
      <c r="H39" s="19"/>
      <c r="I39" s="19"/>
      <c r="J39" s="19"/>
    </row>
    <row r="40" spans="1:10" x14ac:dyDescent="0.25">
      <c r="A40" s="19"/>
      <c r="B40" s="19"/>
      <c r="C40" s="19"/>
      <c r="D40" s="19"/>
      <c r="E40" s="19"/>
      <c r="F40" s="19"/>
      <c r="G40" s="19"/>
      <c r="H40" s="19"/>
      <c r="I40" s="19"/>
      <c r="J40" s="19"/>
    </row>
    <row r="41" spans="1:10" x14ac:dyDescent="0.25">
      <c r="A41" s="33" t="s">
        <v>230</v>
      </c>
      <c r="B41" s="33"/>
      <c r="C41" s="19"/>
      <c r="D41" s="19"/>
      <c r="E41" s="19"/>
      <c r="F41" s="19"/>
      <c r="G41" s="19"/>
      <c r="H41" s="19"/>
      <c r="I41" s="19"/>
      <c r="J41" s="19"/>
    </row>
  </sheetData>
  <mergeCells count="1">
    <mergeCell ref="A26:J26"/>
  </mergeCells>
  <phoneticPr fontId="13" type="noConversion"/>
  <printOptions horizontalCentered="1"/>
  <pageMargins left="1" right="1" top="1"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BO184"/>
  <sheetViews>
    <sheetView zoomScaleNormal="100" workbookViewId="0">
      <selection activeCell="S52" sqref="S52"/>
    </sheetView>
  </sheetViews>
  <sheetFormatPr defaultColWidth="9.81640625" defaultRowHeight="15" x14ac:dyDescent="0.25"/>
  <cols>
    <col min="1" max="1" width="7.81640625" style="37" customWidth="1"/>
    <col min="2" max="2" width="7.90625" style="37" customWidth="1"/>
    <col min="3" max="3" width="2.08984375" style="37" customWidth="1"/>
    <col min="4" max="4" width="7.81640625" style="37" customWidth="1"/>
    <col min="5" max="5" width="2.08984375" style="37" customWidth="1"/>
    <col min="6" max="6" width="7.81640625" style="37" customWidth="1"/>
    <col min="7" max="7" width="2.08984375" style="37" customWidth="1"/>
    <col min="8" max="8" width="7.81640625" style="37" customWidth="1"/>
    <col min="9" max="9" width="2.08984375" style="37" customWidth="1"/>
    <col min="10" max="10" width="7.81640625" style="37" customWidth="1"/>
    <col min="11" max="11" width="2.08984375" style="37" customWidth="1"/>
    <col min="12" max="12" width="7.81640625" style="37" customWidth="1"/>
    <col min="13" max="13" width="2.08984375" style="37" customWidth="1"/>
    <col min="14" max="14" width="7.81640625" style="37" customWidth="1"/>
    <col min="15" max="15" width="2.08984375" style="37" customWidth="1"/>
    <col min="16" max="16" width="10.81640625" style="37" customWidth="1"/>
    <col min="17" max="17" width="2.08984375" style="37" customWidth="1"/>
    <col min="18" max="18" width="11" style="37" customWidth="1"/>
    <col min="19" max="19" width="7.81640625" style="37" customWidth="1"/>
    <col min="20" max="20" width="3.81640625" style="37" customWidth="1"/>
    <col min="21" max="21" width="7.81640625" style="37" customWidth="1"/>
    <col min="22" max="22" width="2.81640625" style="37" customWidth="1"/>
    <col min="23" max="23" width="7.81640625" style="37" customWidth="1"/>
    <col min="24" max="24" width="2.81640625" style="37" customWidth="1"/>
    <col min="25" max="25" width="12.453125" style="37" customWidth="1"/>
    <col min="26" max="26" width="2.81640625" style="37" customWidth="1"/>
    <col min="27" max="27" width="10.453125" style="37" customWidth="1"/>
    <col min="28" max="28" width="2.81640625" style="37" customWidth="1"/>
    <col min="29" max="29" width="10" style="37" bestFit="1" customWidth="1"/>
    <col min="30" max="30" width="2.81640625" style="37" customWidth="1"/>
    <col min="31" max="31" width="13.453125" style="37" bestFit="1" customWidth="1"/>
    <col min="32" max="32" width="2.81640625" style="37" customWidth="1"/>
    <col min="33" max="33" width="12.453125" style="37" bestFit="1" customWidth="1"/>
    <col min="34" max="34" width="2.81640625" style="37" customWidth="1"/>
    <col min="35" max="35" width="12" style="37" bestFit="1" customWidth="1"/>
    <col min="36" max="38" width="9.81640625" style="37" customWidth="1"/>
    <col min="39" max="39" width="12.453125" style="37" bestFit="1" customWidth="1"/>
    <col min="40" max="40" width="6.81640625" style="37" customWidth="1"/>
    <col min="41" max="41" width="4.81640625" style="37" customWidth="1"/>
    <col min="42" max="42" width="6.81640625" style="37" customWidth="1"/>
    <col min="43" max="43" width="9.81640625" style="37" customWidth="1"/>
    <col min="44" max="44" width="3.81640625" style="37" customWidth="1"/>
    <col min="45" max="45" width="6.81640625" style="37" customWidth="1"/>
    <col min="46" max="46" width="3.81640625" style="37" customWidth="1"/>
    <col min="47" max="47" width="8.81640625" style="37" customWidth="1"/>
    <col min="48" max="48" width="3.81640625" style="37" customWidth="1"/>
    <col min="49" max="49" width="7.81640625" style="37" customWidth="1"/>
    <col min="50" max="50" width="3.81640625" style="37" customWidth="1"/>
    <col min="51" max="51" width="9.81640625" style="37" customWidth="1"/>
    <col min="52" max="52" width="6.81640625" style="37" customWidth="1"/>
    <col min="53" max="53" width="2.81640625" style="37" customWidth="1"/>
    <col min="54" max="54" width="4.81640625" style="37" customWidth="1"/>
    <col min="55" max="55" width="2.81640625" style="37" customWidth="1"/>
    <col min="56" max="56" width="11.81640625" style="37" customWidth="1"/>
    <col min="57" max="57" width="3.81640625" style="37" customWidth="1"/>
    <col min="58" max="58" width="7.81640625" style="37" customWidth="1"/>
    <col min="59" max="59" width="3.81640625" style="37" customWidth="1"/>
    <col min="60" max="60" width="7.81640625" style="37" customWidth="1"/>
    <col min="61" max="61" width="3.81640625" style="37" customWidth="1"/>
    <col min="62" max="62" width="7.81640625" style="37" customWidth="1"/>
    <col min="63" max="63" width="3.81640625" style="37" customWidth="1"/>
    <col min="64" max="64" width="7.81640625" style="37" customWidth="1"/>
    <col min="65" max="16384" width="9.81640625" style="37"/>
  </cols>
  <sheetData>
    <row r="1" spans="1:18" x14ac:dyDescent="0.25">
      <c r="A1" s="36" t="s">
        <v>51</v>
      </c>
      <c r="B1" s="36"/>
      <c r="C1" s="36"/>
      <c r="D1" s="36"/>
      <c r="E1" s="36"/>
      <c r="F1" s="36"/>
      <c r="G1" s="36"/>
      <c r="H1" s="36"/>
      <c r="I1" s="36"/>
      <c r="J1" s="36"/>
      <c r="K1" s="36"/>
      <c r="L1" s="36"/>
      <c r="M1" s="36"/>
      <c r="N1" s="36"/>
      <c r="O1" s="36"/>
      <c r="P1" s="36"/>
    </row>
    <row r="2" spans="1:18" x14ac:dyDescent="0.25">
      <c r="A2" s="36"/>
      <c r="B2" s="36"/>
      <c r="C2" s="36"/>
      <c r="D2" s="36"/>
      <c r="E2" s="36"/>
      <c r="F2" s="36"/>
      <c r="G2" s="36"/>
      <c r="H2" s="36"/>
      <c r="I2" s="36"/>
      <c r="J2" s="36"/>
      <c r="K2" s="36"/>
      <c r="L2" s="36"/>
      <c r="M2" s="36"/>
      <c r="N2" s="36"/>
      <c r="O2" s="36"/>
      <c r="P2" s="36"/>
    </row>
    <row r="3" spans="1:18" x14ac:dyDescent="0.25">
      <c r="A3" s="36"/>
      <c r="B3" s="36"/>
      <c r="C3" s="36"/>
      <c r="D3" s="36"/>
      <c r="E3" s="36"/>
      <c r="F3" s="36"/>
      <c r="G3" s="36"/>
      <c r="H3" s="36"/>
      <c r="I3" s="36"/>
      <c r="J3" s="36"/>
      <c r="K3" s="36"/>
      <c r="L3" s="36"/>
      <c r="M3" s="36"/>
      <c r="N3" s="36"/>
      <c r="O3" s="36"/>
      <c r="P3" s="36"/>
    </row>
    <row r="4" spans="1:18" x14ac:dyDescent="0.25">
      <c r="A4" s="1" t="s">
        <v>215</v>
      </c>
      <c r="B4" s="36"/>
      <c r="C4" s="36"/>
      <c r="D4" s="36"/>
      <c r="E4" s="36"/>
      <c r="F4" s="36"/>
      <c r="G4" s="36"/>
      <c r="H4" s="36"/>
      <c r="I4" s="36"/>
      <c r="J4" s="36"/>
      <c r="K4" s="36"/>
      <c r="L4" s="36"/>
      <c r="M4" s="36"/>
      <c r="N4" s="36"/>
      <c r="O4" s="36"/>
      <c r="P4" s="36"/>
    </row>
    <row r="6" spans="1:18" x14ac:dyDescent="0.25">
      <c r="A6" s="2"/>
      <c r="B6" s="2"/>
      <c r="C6" s="2"/>
      <c r="D6" s="2"/>
      <c r="E6" s="2"/>
      <c r="F6" s="2"/>
      <c r="G6" s="2"/>
      <c r="H6" s="2"/>
      <c r="I6" s="2"/>
      <c r="J6" s="2"/>
      <c r="K6" s="2"/>
      <c r="L6" s="2"/>
      <c r="M6" s="2"/>
      <c r="N6" s="2"/>
      <c r="O6" s="2"/>
      <c r="P6" s="2"/>
      <c r="Q6" s="2"/>
      <c r="R6" s="2"/>
    </row>
    <row r="7" spans="1:18" x14ac:dyDescent="0.25">
      <c r="A7" s="2" t="s">
        <v>152</v>
      </c>
      <c r="B7" s="2"/>
      <c r="C7" s="2"/>
      <c r="D7" s="2"/>
      <c r="E7" s="2"/>
      <c r="F7" s="2"/>
      <c r="G7" s="2"/>
      <c r="H7" s="2"/>
      <c r="I7" s="2"/>
      <c r="J7" s="2"/>
      <c r="K7" s="2"/>
      <c r="L7" s="2"/>
      <c r="M7" s="2"/>
      <c r="N7" s="2"/>
      <c r="O7" s="2"/>
      <c r="P7" s="2"/>
      <c r="Q7" s="2"/>
      <c r="R7" s="2"/>
    </row>
    <row r="8" spans="1:18" x14ac:dyDescent="0.25">
      <c r="A8" s="2" t="s">
        <v>151</v>
      </c>
      <c r="B8" s="2"/>
      <c r="C8" s="2"/>
      <c r="D8" s="2"/>
      <c r="E8" s="2"/>
      <c r="F8" s="2"/>
      <c r="G8" s="2"/>
      <c r="H8" s="2"/>
      <c r="I8" s="2"/>
      <c r="J8" s="2"/>
      <c r="K8" s="2"/>
      <c r="L8" s="2"/>
      <c r="M8" s="2"/>
      <c r="N8" s="2"/>
      <c r="O8" s="2"/>
      <c r="P8" s="2"/>
      <c r="Q8" s="2"/>
      <c r="R8" s="2"/>
    </row>
    <row r="9" spans="1:18" x14ac:dyDescent="0.25">
      <c r="A9" s="2"/>
      <c r="B9" s="2"/>
      <c r="C9" s="2"/>
      <c r="D9" s="2"/>
      <c r="E9" s="2"/>
      <c r="F9" s="2"/>
      <c r="G9" s="2"/>
      <c r="H9" s="2"/>
      <c r="I9" s="2"/>
      <c r="J9" s="2"/>
      <c r="K9" s="2"/>
      <c r="L9" s="2"/>
      <c r="M9" s="2"/>
      <c r="N9" s="2"/>
      <c r="O9" s="2"/>
      <c r="P9" s="2"/>
      <c r="Q9" s="2"/>
      <c r="R9" s="2"/>
    </row>
    <row r="10" spans="1:18" ht="30" customHeight="1" x14ac:dyDescent="0.25">
      <c r="A10" s="744" t="s">
        <v>231</v>
      </c>
      <c r="B10" s="744"/>
      <c r="C10" s="744"/>
      <c r="D10" s="744"/>
      <c r="E10" s="744"/>
      <c r="F10" s="744"/>
      <c r="G10" s="744"/>
      <c r="H10" s="744"/>
      <c r="I10" s="744"/>
      <c r="J10" s="744"/>
      <c r="K10" s="744"/>
      <c r="L10" s="744"/>
      <c r="M10" s="744"/>
      <c r="N10" s="744"/>
      <c r="O10" s="744"/>
      <c r="P10" s="744"/>
      <c r="Q10" s="2"/>
      <c r="R10" s="2"/>
    </row>
    <row r="11" spans="1:18" x14ac:dyDescent="0.25">
      <c r="A11" s="2"/>
      <c r="B11" s="2"/>
      <c r="C11" s="2"/>
      <c r="D11" s="2"/>
      <c r="E11" s="2"/>
      <c r="F11" s="2"/>
      <c r="G11" s="2"/>
      <c r="H11" s="2"/>
      <c r="I11" s="2"/>
      <c r="J11" s="2"/>
      <c r="K11" s="2"/>
      <c r="L11" s="2"/>
      <c r="M11" s="2"/>
      <c r="N11" s="2"/>
      <c r="O11" s="2"/>
      <c r="P11" s="2"/>
      <c r="Q11" s="2"/>
      <c r="R11" s="2"/>
    </row>
    <row r="12" spans="1:18" x14ac:dyDescent="0.25">
      <c r="A12" s="2"/>
      <c r="B12" s="2"/>
      <c r="C12" s="2"/>
      <c r="D12" s="1" t="s">
        <v>183</v>
      </c>
      <c r="E12" s="1"/>
      <c r="F12" s="1"/>
      <c r="G12" s="2"/>
      <c r="H12" s="1" t="s">
        <v>203</v>
      </c>
      <c r="I12" s="1"/>
      <c r="J12" s="1"/>
      <c r="K12" s="2"/>
      <c r="L12" s="2"/>
      <c r="M12" s="2"/>
      <c r="N12" s="2"/>
      <c r="O12" s="2"/>
      <c r="P12" s="2"/>
      <c r="Q12" s="2"/>
      <c r="R12" s="2"/>
    </row>
    <row r="13" spans="1:18" x14ac:dyDescent="0.25">
      <c r="A13" s="2"/>
      <c r="B13" s="2"/>
      <c r="C13" s="2"/>
      <c r="D13" s="1" t="s">
        <v>204</v>
      </c>
      <c r="E13" s="1"/>
      <c r="F13" s="1"/>
      <c r="G13" s="2"/>
      <c r="H13" s="1" t="s">
        <v>205</v>
      </c>
      <c r="I13" s="1"/>
      <c r="J13" s="1"/>
      <c r="K13" s="2"/>
      <c r="L13" s="1" t="s">
        <v>232</v>
      </c>
      <c r="M13" s="1"/>
      <c r="N13" s="1"/>
      <c r="O13" s="2"/>
      <c r="P13" s="2"/>
      <c r="Q13" s="2"/>
      <c r="R13" s="2"/>
    </row>
    <row r="14" spans="1:18" x14ac:dyDescent="0.25">
      <c r="A14" s="1" t="s">
        <v>233</v>
      </c>
      <c r="B14" s="1"/>
      <c r="C14" s="2"/>
      <c r="D14" s="10" t="s">
        <v>186</v>
      </c>
      <c r="E14" s="10"/>
      <c r="F14" s="10" t="s">
        <v>206</v>
      </c>
      <c r="G14" s="11"/>
      <c r="H14" s="10" t="s">
        <v>186</v>
      </c>
      <c r="I14" s="10"/>
      <c r="J14" s="10" t="s">
        <v>206</v>
      </c>
      <c r="K14" s="11"/>
      <c r="L14" s="10" t="s">
        <v>186</v>
      </c>
      <c r="M14" s="10"/>
      <c r="N14" s="10" t="s">
        <v>206</v>
      </c>
      <c r="O14" s="11"/>
      <c r="P14" s="11" t="s">
        <v>186</v>
      </c>
      <c r="Q14" s="11"/>
    </row>
    <row r="15" spans="1:18" x14ac:dyDescent="0.25">
      <c r="A15" s="1" t="s">
        <v>187</v>
      </c>
      <c r="B15" s="1"/>
      <c r="C15" s="2"/>
      <c r="D15" s="11" t="s">
        <v>188</v>
      </c>
      <c r="E15" s="11"/>
      <c r="F15" s="11" t="s">
        <v>188</v>
      </c>
      <c r="G15" s="11"/>
      <c r="H15" s="11" t="s">
        <v>188</v>
      </c>
      <c r="I15" s="11"/>
      <c r="J15" s="11" t="s">
        <v>188</v>
      </c>
      <c r="K15" s="11"/>
      <c r="L15" s="11" t="s">
        <v>188</v>
      </c>
      <c r="M15" s="11"/>
      <c r="N15" s="11" t="s">
        <v>188</v>
      </c>
      <c r="O15" s="11"/>
      <c r="P15" s="11" t="s">
        <v>188</v>
      </c>
      <c r="Q15" s="11"/>
    </row>
    <row r="16" spans="1:18" x14ac:dyDescent="0.25">
      <c r="A16" s="3" t="s">
        <v>189</v>
      </c>
      <c r="B16" s="3"/>
      <c r="C16" s="2"/>
      <c r="D16" s="10" t="s">
        <v>208</v>
      </c>
      <c r="E16" s="2"/>
      <c r="F16" s="12" t="s">
        <v>234</v>
      </c>
      <c r="G16" s="2"/>
      <c r="H16" s="10" t="s">
        <v>210</v>
      </c>
      <c r="I16" s="2"/>
      <c r="J16" s="12" t="s">
        <v>235</v>
      </c>
      <c r="K16" s="2"/>
      <c r="L16" s="10" t="s">
        <v>236</v>
      </c>
      <c r="M16" s="2"/>
      <c r="N16" s="12" t="s">
        <v>237</v>
      </c>
      <c r="O16" s="2"/>
      <c r="P16" s="10" t="s">
        <v>238</v>
      </c>
      <c r="Q16" s="2"/>
    </row>
    <row r="17" spans="1:67" x14ac:dyDescent="0.25">
      <c r="D17" s="38"/>
      <c r="E17" s="38"/>
      <c r="F17" s="38">
        <f>'SCH-C - F 3B 4B'!$I$15</f>
        <v>0.53459999999999996</v>
      </c>
      <c r="G17" s="38"/>
      <c r="H17" s="38"/>
      <c r="I17" s="38"/>
      <c r="J17" s="38">
        <f>'SCH-C - F 3B 4B'!$I$17</f>
        <v>0.32079999999999997</v>
      </c>
      <c r="K17" s="38"/>
      <c r="L17" s="38"/>
      <c r="M17" s="38"/>
      <c r="N17" s="38">
        <f>'SCH-C - F 3B 4B'!$I$21</f>
        <v>0.14460000000000001</v>
      </c>
      <c r="O17" s="38"/>
      <c r="P17" s="38"/>
    </row>
    <row r="18" spans="1:67" x14ac:dyDescent="0.25">
      <c r="D18" s="38"/>
      <c r="E18" s="38"/>
      <c r="F18" s="38"/>
      <c r="G18" s="38"/>
      <c r="H18" s="38"/>
      <c r="I18" s="38"/>
      <c r="J18" s="38"/>
      <c r="K18" s="38"/>
      <c r="L18" s="38"/>
      <c r="M18" s="38"/>
      <c r="N18" s="38"/>
      <c r="O18" s="38"/>
      <c r="P18" s="38"/>
    </row>
    <row r="19" spans="1:67" x14ac:dyDescent="0.25">
      <c r="A19" s="2" t="s">
        <v>192</v>
      </c>
      <c r="D19" s="38">
        <f>'SCH-C - F 1-2'!$K$16</f>
        <v>0.497</v>
      </c>
      <c r="E19" s="38"/>
      <c r="F19" s="38">
        <f>ROUND($F$17*D19,4)</f>
        <v>0.26569999999999999</v>
      </c>
      <c r="G19" s="38"/>
      <c r="H19" s="38">
        <f>'SCH-C - F 2 B'!$J$17</f>
        <v>0.5605</v>
      </c>
      <c r="I19" s="38"/>
      <c r="J19" s="38">
        <f>ROUND($J$17*H19,4)</f>
        <v>0.17979999999999999</v>
      </c>
      <c r="K19" s="38"/>
      <c r="L19" s="38"/>
      <c r="M19" s="38"/>
      <c r="N19" s="38"/>
      <c r="O19" s="38"/>
      <c r="P19" s="38">
        <f t="shared" ref="P19:P24" si="0">N19+J19+F19</f>
        <v>0.44550000000000001</v>
      </c>
    </row>
    <row r="20" spans="1:67" x14ac:dyDescent="0.25">
      <c r="A20" s="2" t="s">
        <v>193</v>
      </c>
      <c r="D20" s="38">
        <f>'SCH-C - F 1-2'!$K$17</f>
        <v>0.2732</v>
      </c>
      <c r="E20" s="38"/>
      <c r="F20" s="38">
        <f t="shared" ref="F20:F24" si="1">ROUND($F$17*D20,4)</f>
        <v>0.14610000000000001</v>
      </c>
      <c r="G20" s="38"/>
      <c r="H20" s="38">
        <f>'SCH-C - F 2 B'!$J$18</f>
        <v>0.25040000000000001</v>
      </c>
      <c r="I20" s="38"/>
      <c r="J20" s="38">
        <f>ROUND($J$17*H20,4)</f>
        <v>8.0299999999999996E-2</v>
      </c>
      <c r="K20" s="38"/>
      <c r="L20" s="38"/>
      <c r="M20" s="38"/>
      <c r="N20" s="38"/>
      <c r="O20" s="38"/>
      <c r="P20" s="38">
        <f t="shared" si="0"/>
        <v>0.22639999999999999</v>
      </c>
    </row>
    <row r="21" spans="1:67" x14ac:dyDescent="0.25">
      <c r="A21" s="2" t="s">
        <v>194</v>
      </c>
      <c r="D21" s="38">
        <f>'SCH-C - F 1-2'!$K$18</f>
        <v>0.10539999999999999</v>
      </c>
      <c r="E21" s="38"/>
      <c r="F21" s="38">
        <f>ROUND($F$17*D21,4)</f>
        <v>5.6300000000000003E-2</v>
      </c>
      <c r="G21" s="38"/>
      <c r="H21" s="38">
        <f>'SCH-C - F 2 B'!$J$19</f>
        <v>8.9200000000000002E-2</v>
      </c>
      <c r="I21" s="38"/>
      <c r="J21" s="38">
        <f>ROUND($J$17*H21,4)</f>
        <v>2.86E-2</v>
      </c>
      <c r="K21" s="38"/>
      <c r="L21" s="38"/>
      <c r="M21" s="38"/>
      <c r="N21" s="38"/>
      <c r="O21" s="38"/>
      <c r="P21" s="38">
        <f t="shared" si="0"/>
        <v>8.4900000000000003E-2</v>
      </c>
    </row>
    <row r="22" spans="1:67" x14ac:dyDescent="0.25">
      <c r="A22" s="2" t="s">
        <v>195</v>
      </c>
      <c r="D22" s="38">
        <f>'SCH-C - F 1-2'!$K$19</f>
        <v>5.0999999999999997E-2</v>
      </c>
      <c r="E22" s="38"/>
      <c r="F22" s="330">
        <f t="shared" si="1"/>
        <v>2.7300000000000001E-2</v>
      </c>
      <c r="G22" s="38"/>
      <c r="H22" s="38">
        <f>'SCH-C - F 2 B'!$J$20</f>
        <v>4.3200000000000002E-2</v>
      </c>
      <c r="I22" s="38"/>
      <c r="J22" s="38">
        <f>ROUND($J$17*H22,4)</f>
        <v>1.3899999999999999E-2</v>
      </c>
      <c r="K22" s="38"/>
      <c r="L22" s="38"/>
      <c r="M22" s="38"/>
      <c r="N22" s="38"/>
      <c r="O22" s="38"/>
      <c r="P22" s="38">
        <f t="shared" si="0"/>
        <v>4.1200000000000001E-2</v>
      </c>
    </row>
    <row r="23" spans="1:67" x14ac:dyDescent="0.25">
      <c r="A23" s="2" t="s">
        <v>312</v>
      </c>
      <c r="D23" s="38">
        <f>'SCH-C - F 1-2'!$K$20</f>
        <v>6.7000000000000004E-2</v>
      </c>
      <c r="E23" s="38"/>
      <c r="F23" s="38">
        <f>ROUND($F$17*D23,4)</f>
        <v>3.5799999999999998E-2</v>
      </c>
      <c r="G23" s="38"/>
      <c r="H23" s="38">
        <f>'SCH-C - F 2 B'!$J$21</f>
        <v>5.67E-2</v>
      </c>
      <c r="I23" s="38"/>
      <c r="J23" s="38">
        <f>ROUND($J$17*H23,4)</f>
        <v>1.8200000000000001E-2</v>
      </c>
      <c r="K23" s="38"/>
      <c r="L23" s="38"/>
      <c r="M23" s="38"/>
      <c r="N23" s="38"/>
      <c r="O23" s="38"/>
      <c r="P23" s="38">
        <f t="shared" si="0"/>
        <v>5.3999999999999999E-2</v>
      </c>
    </row>
    <row r="24" spans="1:67" x14ac:dyDescent="0.25">
      <c r="A24" s="2" t="s">
        <v>232</v>
      </c>
      <c r="D24" s="38">
        <f>'SCH-C - F 1-2'!$K$21</f>
        <v>6.4000000000000003E-3</v>
      </c>
      <c r="E24" s="38"/>
      <c r="F24" s="38">
        <f t="shared" si="1"/>
        <v>3.3999999999999998E-3</v>
      </c>
      <c r="G24" s="38"/>
      <c r="H24" s="38"/>
      <c r="I24" s="38"/>
      <c r="J24" s="38"/>
      <c r="K24" s="38"/>
      <c r="L24" s="38">
        <f>Fire!$O$18</f>
        <v>1</v>
      </c>
      <c r="M24" s="38"/>
      <c r="N24" s="38">
        <f>ROUND($N$17*L24,4)</f>
        <v>0.14460000000000001</v>
      </c>
      <c r="O24" s="38"/>
      <c r="P24" s="38">
        <f t="shared" si="0"/>
        <v>0.14799999999999999</v>
      </c>
    </row>
    <row r="25" spans="1:67" x14ac:dyDescent="0.25">
      <c r="A25" s="2"/>
      <c r="D25" s="39"/>
      <c r="E25" s="38"/>
      <c r="F25" s="39"/>
      <c r="G25" s="38"/>
      <c r="H25" s="39"/>
      <c r="I25" s="38"/>
      <c r="J25" s="39"/>
      <c r="K25" s="38"/>
      <c r="L25" s="39"/>
      <c r="M25" s="38"/>
      <c r="N25" s="39"/>
      <c r="O25" s="38"/>
      <c r="P25" s="39"/>
    </row>
    <row r="26" spans="1:67" x14ac:dyDescent="0.25">
      <c r="A26" s="2" t="s">
        <v>199</v>
      </c>
      <c r="D26" s="38">
        <f>SUM(D19:D24)</f>
        <v>1</v>
      </c>
      <c r="E26" s="38"/>
      <c r="F26" s="38">
        <f>SUM(F19:F24)</f>
        <v>0.53459999999999996</v>
      </c>
      <c r="G26" s="38"/>
      <c r="H26" s="38">
        <f>SUM(H19:H24)</f>
        <v>0.99999999999999989</v>
      </c>
      <c r="I26" s="38"/>
      <c r="J26" s="38">
        <f>SUM(J19:J24)</f>
        <v>0.32080000000000003</v>
      </c>
      <c r="K26" s="38"/>
      <c r="L26" s="38">
        <f>SUM(L19:L24)</f>
        <v>1</v>
      </c>
      <c r="M26" s="38"/>
      <c r="N26" s="38">
        <f>SUM(N19:N24)</f>
        <v>0.14460000000000001</v>
      </c>
      <c r="O26" s="38"/>
      <c r="P26" s="38">
        <f>SUM(P19:P24)</f>
        <v>1</v>
      </c>
    </row>
    <row r="27" spans="1:67" x14ac:dyDescent="0.25">
      <c r="D27" s="40"/>
      <c r="E27" s="38"/>
      <c r="F27" s="40"/>
      <c r="G27" s="38"/>
      <c r="H27" s="40"/>
      <c r="I27" s="38"/>
      <c r="J27" s="40"/>
      <c r="K27" s="38"/>
      <c r="L27" s="40"/>
      <c r="M27" s="38"/>
      <c r="N27" s="40"/>
      <c r="O27" s="38"/>
      <c r="P27" s="40"/>
    </row>
    <row r="30" spans="1:67" x14ac:dyDescent="0.25">
      <c r="A30" s="36" t="s">
        <v>51</v>
      </c>
      <c r="B30" s="1"/>
      <c r="C30" s="1"/>
      <c r="D30" s="1"/>
      <c r="E30" s="1"/>
      <c r="F30" s="1"/>
      <c r="G30" s="36"/>
      <c r="H30" s="1"/>
      <c r="I30" s="1"/>
      <c r="J30" s="1"/>
      <c r="K30" s="1"/>
      <c r="L30" s="1"/>
      <c r="M30" s="1"/>
      <c r="N30" s="1"/>
      <c r="O30" s="1"/>
      <c r="P30" s="1"/>
      <c r="Q30" s="1"/>
      <c r="R30" s="1"/>
      <c r="S30" s="2"/>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row>
    <row r="31" spans="1:67" x14ac:dyDescent="0.25">
      <c r="A31" s="36"/>
      <c r="B31" s="1"/>
      <c r="C31" s="1"/>
      <c r="D31" s="1"/>
      <c r="E31" s="1"/>
      <c r="F31" s="1"/>
      <c r="G31" s="36"/>
      <c r="H31" s="1"/>
      <c r="I31" s="1"/>
      <c r="J31" s="1"/>
      <c r="K31" s="1"/>
      <c r="L31" s="1"/>
      <c r="M31" s="1"/>
      <c r="N31" s="1"/>
      <c r="O31" s="1"/>
      <c r="P31" s="1"/>
      <c r="Q31" s="1"/>
      <c r="R31" s="1"/>
      <c r="S31" s="2"/>
    </row>
    <row r="32" spans="1:67" x14ac:dyDescent="0.25">
      <c r="A32" s="1"/>
      <c r="B32" s="1"/>
      <c r="C32" s="1"/>
      <c r="D32" s="1"/>
      <c r="E32" s="1"/>
      <c r="F32" s="1"/>
      <c r="G32" s="1"/>
      <c r="H32" s="1"/>
      <c r="I32" s="1"/>
      <c r="J32" s="1"/>
      <c r="K32" s="1"/>
      <c r="L32" s="1"/>
      <c r="M32" s="1"/>
      <c r="N32" s="1"/>
      <c r="O32" s="1"/>
      <c r="P32" s="1"/>
      <c r="Q32" s="1"/>
      <c r="R32" s="1"/>
      <c r="S32" s="2"/>
    </row>
    <row r="33" spans="1:37" x14ac:dyDescent="0.25">
      <c r="A33" s="1" t="s">
        <v>215</v>
      </c>
      <c r="B33" s="1"/>
      <c r="C33" s="1"/>
      <c r="D33" s="36"/>
      <c r="E33" s="1"/>
      <c r="F33" s="1"/>
      <c r="G33" s="1"/>
      <c r="H33" s="1"/>
      <c r="I33" s="1"/>
      <c r="J33" s="1"/>
      <c r="K33" s="1"/>
      <c r="L33" s="1"/>
      <c r="M33" s="1"/>
      <c r="N33" s="1"/>
      <c r="O33" s="1"/>
      <c r="P33" s="1"/>
      <c r="Q33" s="1"/>
      <c r="R33" s="1"/>
      <c r="S33" s="2"/>
    </row>
    <row r="34" spans="1:37" x14ac:dyDescent="0.25">
      <c r="A34" s="2"/>
      <c r="B34" s="2"/>
      <c r="C34" s="2"/>
      <c r="D34" s="2"/>
      <c r="E34" s="2"/>
      <c r="F34" s="2"/>
      <c r="G34" s="2"/>
      <c r="H34" s="2"/>
      <c r="I34" s="2"/>
      <c r="J34" s="2"/>
      <c r="K34" s="2"/>
      <c r="L34" s="2"/>
      <c r="M34" s="2"/>
      <c r="N34" s="2"/>
      <c r="O34" s="2"/>
      <c r="P34" s="2"/>
      <c r="Q34" s="2"/>
      <c r="R34" s="2"/>
      <c r="S34" s="2"/>
    </row>
    <row r="35" spans="1:37" x14ac:dyDescent="0.25">
      <c r="A35" s="2"/>
      <c r="B35" s="2"/>
      <c r="C35" s="2"/>
      <c r="D35" s="2"/>
      <c r="E35" s="2"/>
      <c r="F35" s="2"/>
      <c r="G35" s="2"/>
      <c r="H35" s="2"/>
      <c r="I35" s="2"/>
      <c r="J35" s="2"/>
      <c r="K35" s="2"/>
      <c r="L35" s="2"/>
      <c r="M35" s="2"/>
      <c r="N35" s="2"/>
      <c r="O35" s="2"/>
      <c r="P35" s="2"/>
      <c r="Q35" s="2"/>
      <c r="R35" s="2"/>
      <c r="S35" s="2"/>
    </row>
    <row r="36" spans="1:37" x14ac:dyDescent="0.25">
      <c r="A36" s="2" t="s">
        <v>133</v>
      </c>
      <c r="B36" s="2"/>
      <c r="C36" s="2"/>
      <c r="D36" s="2"/>
      <c r="E36" s="2"/>
      <c r="F36" s="2"/>
      <c r="G36" s="2"/>
      <c r="H36" s="2"/>
      <c r="I36" s="2"/>
      <c r="J36" s="2"/>
      <c r="K36" s="2"/>
      <c r="L36" s="2"/>
      <c r="M36" s="2"/>
      <c r="N36" s="2"/>
      <c r="O36" s="2"/>
      <c r="P36" s="2"/>
      <c r="Q36" s="2"/>
      <c r="R36" s="2"/>
      <c r="S36" s="2"/>
    </row>
    <row r="37" spans="1:3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7" x14ac:dyDescent="0.25">
      <c r="A38" s="2"/>
      <c r="B38" s="2"/>
      <c r="C38" s="2"/>
      <c r="D38" s="2"/>
      <c r="E38" s="2"/>
      <c r="F38" s="2"/>
      <c r="G38" s="2"/>
      <c r="H38" s="2"/>
      <c r="I38" s="2"/>
      <c r="J38" s="2"/>
      <c r="K38" s="2"/>
      <c r="L38" s="2"/>
      <c r="M38" s="2"/>
      <c r="N38" s="2"/>
      <c r="O38" s="2"/>
      <c r="P38" s="2"/>
      <c r="Q38" s="2"/>
      <c r="R38" s="2"/>
      <c r="S38" s="2"/>
    </row>
    <row r="39" spans="1:37" ht="28.2" customHeight="1" x14ac:dyDescent="0.25">
      <c r="A39" s="744" t="s">
        <v>231</v>
      </c>
      <c r="B39" s="744"/>
      <c r="C39" s="744"/>
      <c r="D39" s="744"/>
      <c r="E39" s="744"/>
      <c r="F39" s="744"/>
      <c r="G39" s="744"/>
      <c r="H39" s="744"/>
      <c r="I39" s="744"/>
      <c r="J39" s="744"/>
      <c r="K39" s="744"/>
      <c r="L39" s="744"/>
      <c r="M39" s="744"/>
      <c r="N39" s="744"/>
      <c r="O39" s="744"/>
      <c r="P39" s="744"/>
      <c r="Q39" s="744"/>
      <c r="R39" s="744"/>
      <c r="S39" s="2"/>
    </row>
    <row r="40" spans="1:37" x14ac:dyDescent="0.25">
      <c r="A40" s="2"/>
      <c r="B40" s="2"/>
      <c r="C40" s="2"/>
      <c r="D40" s="2"/>
      <c r="E40" s="2"/>
      <c r="F40" s="2"/>
      <c r="G40" s="2"/>
      <c r="H40" s="2"/>
      <c r="I40" s="2"/>
      <c r="J40" s="2"/>
      <c r="K40" s="2"/>
      <c r="L40" s="2"/>
      <c r="M40" s="2"/>
      <c r="N40" s="2"/>
      <c r="O40" s="2"/>
      <c r="P40" s="2"/>
      <c r="Q40" s="2"/>
      <c r="R40" s="2"/>
      <c r="S40" s="2"/>
    </row>
    <row r="41" spans="1:37" x14ac:dyDescent="0.25">
      <c r="A41" s="2"/>
      <c r="B41" s="2"/>
      <c r="C41" s="2"/>
      <c r="D41" s="2"/>
      <c r="E41" s="2"/>
      <c r="F41" s="2"/>
      <c r="G41" s="2"/>
      <c r="H41" s="2"/>
      <c r="I41" s="2"/>
      <c r="J41" s="1" t="s">
        <v>239</v>
      </c>
      <c r="K41" s="1"/>
      <c r="L41" s="1"/>
      <c r="M41" s="2"/>
      <c r="N41" s="2"/>
      <c r="O41" s="2"/>
      <c r="P41" s="2"/>
      <c r="Q41" s="2"/>
      <c r="R41" s="2"/>
      <c r="S41" s="2"/>
    </row>
    <row r="42" spans="1:37" x14ac:dyDescent="0.25">
      <c r="A42" s="2"/>
      <c r="B42" s="2"/>
      <c r="C42" s="2"/>
      <c r="D42" s="1" t="s">
        <v>240</v>
      </c>
      <c r="E42" s="1"/>
      <c r="F42" s="1"/>
      <c r="G42" s="1"/>
      <c r="H42" s="1"/>
      <c r="I42" s="2"/>
      <c r="J42" s="1" t="s">
        <v>205</v>
      </c>
      <c r="K42" s="1"/>
      <c r="L42" s="1"/>
      <c r="M42" s="2"/>
      <c r="N42" s="1" t="s">
        <v>232</v>
      </c>
      <c r="O42" s="1"/>
      <c r="P42" s="1"/>
      <c r="Q42" s="2"/>
      <c r="R42" s="2"/>
      <c r="S42" s="2"/>
    </row>
    <row r="43" spans="1:37" x14ac:dyDescent="0.25">
      <c r="A43" s="1" t="s">
        <v>233</v>
      </c>
      <c r="B43" s="1"/>
      <c r="C43" s="2"/>
      <c r="D43" s="10"/>
      <c r="E43" s="10"/>
      <c r="F43" s="10" t="s">
        <v>186</v>
      </c>
      <c r="G43" s="10"/>
      <c r="H43" s="10" t="s">
        <v>206</v>
      </c>
      <c r="I43" s="11"/>
      <c r="J43" s="10" t="s">
        <v>186</v>
      </c>
      <c r="K43" s="10"/>
      <c r="L43" s="10" t="s">
        <v>206</v>
      </c>
      <c r="M43" s="11"/>
      <c r="N43" s="10" t="s">
        <v>186</v>
      </c>
      <c r="O43" s="10"/>
      <c r="P43" s="10" t="s">
        <v>206</v>
      </c>
      <c r="Q43" s="11"/>
      <c r="R43" s="11" t="s">
        <v>186</v>
      </c>
      <c r="S43" s="2"/>
    </row>
    <row r="44" spans="1:37" x14ac:dyDescent="0.25">
      <c r="A44" s="1" t="s">
        <v>187</v>
      </c>
      <c r="B44" s="1"/>
      <c r="C44" s="2"/>
      <c r="D44" s="11" t="s">
        <v>328</v>
      </c>
      <c r="E44" s="11"/>
      <c r="F44" s="11" t="s">
        <v>188</v>
      </c>
      <c r="G44" s="11"/>
      <c r="H44" s="11" t="s">
        <v>188</v>
      </c>
      <c r="I44" s="11"/>
      <c r="J44" s="11" t="s">
        <v>188</v>
      </c>
      <c r="K44" s="11"/>
      <c r="L44" s="11" t="s">
        <v>188</v>
      </c>
      <c r="M44" s="11"/>
      <c r="N44" s="11" t="s">
        <v>188</v>
      </c>
      <c r="O44" s="11"/>
      <c r="P44" s="11" t="s">
        <v>188</v>
      </c>
      <c r="Q44" s="11"/>
      <c r="R44" s="11" t="s">
        <v>188</v>
      </c>
      <c r="S44" s="2"/>
    </row>
    <row r="45" spans="1:37" x14ac:dyDescent="0.25">
      <c r="A45" s="3" t="s">
        <v>189</v>
      </c>
      <c r="B45" s="3"/>
      <c r="C45" s="2"/>
      <c r="D45" s="10" t="s">
        <v>208</v>
      </c>
      <c r="E45" s="2"/>
      <c r="F45" s="10" t="s">
        <v>191</v>
      </c>
      <c r="G45" s="2"/>
      <c r="H45" s="12" t="s">
        <v>241</v>
      </c>
      <c r="I45" s="2"/>
      <c r="J45" s="10" t="s">
        <v>222</v>
      </c>
      <c r="K45" s="2"/>
      <c r="L45" s="12" t="s">
        <v>242</v>
      </c>
      <c r="M45" s="2"/>
      <c r="N45" s="10" t="s">
        <v>243</v>
      </c>
      <c r="O45" s="2"/>
      <c r="P45" s="12" t="s">
        <v>244</v>
      </c>
      <c r="Q45" s="2"/>
      <c r="R45" s="10" t="s">
        <v>245</v>
      </c>
      <c r="S45" s="2"/>
    </row>
    <row r="46" spans="1:37" x14ac:dyDescent="0.25">
      <c r="A46" s="2"/>
      <c r="B46" s="2"/>
      <c r="C46" s="2"/>
      <c r="D46" s="2"/>
      <c r="E46" s="2"/>
      <c r="F46" s="2"/>
      <c r="G46" s="2"/>
      <c r="H46" s="4">
        <f>'SCH-C - F 3B 4B'!$I$44</f>
        <v>0.32800000000000001</v>
      </c>
      <c r="I46" s="4"/>
      <c r="J46" s="4"/>
      <c r="K46" s="4"/>
      <c r="L46" s="4">
        <f>'SCH-C - F 3B 4B'!$I$46</f>
        <v>0.45910000000000001</v>
      </c>
      <c r="M46" s="4"/>
      <c r="N46" s="4"/>
      <c r="O46" s="4"/>
      <c r="P46" s="4">
        <f>'SCH-C - F 3B 4B'!$I$50</f>
        <v>0.21290000000000001</v>
      </c>
      <c r="Q46" s="2"/>
      <c r="R46" s="41"/>
      <c r="S46" s="2"/>
      <c r="X46" s="398"/>
      <c r="Y46" s="398"/>
      <c r="Z46" s="398"/>
      <c r="AA46" s="398"/>
      <c r="AB46" s="398"/>
      <c r="AC46" s="398"/>
      <c r="AD46" s="398"/>
      <c r="AE46" s="398"/>
      <c r="AF46" s="398"/>
      <c r="AG46" s="398"/>
      <c r="AH46" s="398"/>
      <c r="AI46" s="398"/>
      <c r="AJ46" s="398"/>
      <c r="AK46" s="398"/>
    </row>
    <row r="47" spans="1:37" x14ac:dyDescent="0.25">
      <c r="A47" s="2"/>
      <c r="B47" s="2"/>
      <c r="C47" s="2"/>
      <c r="D47" s="2"/>
      <c r="E47" s="2"/>
      <c r="F47" s="2"/>
      <c r="G47" s="2"/>
      <c r="H47" s="2"/>
      <c r="I47" s="2"/>
      <c r="J47" s="2"/>
      <c r="K47" s="2"/>
      <c r="L47" s="2"/>
      <c r="M47" s="2"/>
      <c r="N47" s="2"/>
      <c r="O47" s="2"/>
      <c r="P47" s="2"/>
      <c r="Q47" s="2"/>
      <c r="R47" s="2"/>
      <c r="S47" s="2"/>
      <c r="X47" s="398"/>
      <c r="Y47" s="398"/>
      <c r="Z47" s="398"/>
      <c r="AA47" s="398"/>
      <c r="AB47" s="398"/>
      <c r="AC47" s="398"/>
      <c r="AD47" s="398"/>
      <c r="AE47" s="398"/>
      <c r="AF47" s="398"/>
      <c r="AG47" s="398"/>
      <c r="AH47" s="398"/>
      <c r="AI47" s="398"/>
      <c r="AJ47" s="398"/>
      <c r="AK47" s="398"/>
    </row>
    <row r="48" spans="1:37" x14ac:dyDescent="0.25">
      <c r="A48" s="2" t="s">
        <v>192</v>
      </c>
      <c r="B48" s="2"/>
      <c r="C48" s="2"/>
      <c r="D48" s="182">
        <f>ROUND(('SCH-C - F 1-2'!$G$16/24),1)</f>
        <v>572.4</v>
      </c>
      <c r="E48" s="2"/>
      <c r="F48" s="4">
        <f t="shared" ref="F48:F53" si="2">ROUND(+D48/$D$55,4)</f>
        <v>0.53259999999999996</v>
      </c>
      <c r="G48" s="2"/>
      <c r="H48" s="4">
        <f>ROUND(F48*$H$46,4)</f>
        <v>0.17469999999999999</v>
      </c>
      <c r="I48" s="2"/>
      <c r="J48" s="4">
        <f>'SCH-C - F 3B 4B'!$K$62</f>
        <v>0.63700000000000001</v>
      </c>
      <c r="K48" s="2"/>
      <c r="L48" s="4">
        <f>ROUND(J48*$L$46,4)+0.0001</f>
        <v>0.29249999999999998</v>
      </c>
      <c r="M48" s="2"/>
      <c r="N48" s="4"/>
      <c r="O48" s="2"/>
      <c r="P48" s="4"/>
      <c r="Q48" s="2"/>
      <c r="R48" s="4">
        <f t="shared" ref="R48:R53" si="3">H48+L48+P48</f>
        <v>0.46719999999999995</v>
      </c>
      <c r="S48" s="2"/>
      <c r="X48" s="398"/>
      <c r="Y48" s="398"/>
      <c r="Z48" s="398"/>
      <c r="AA48" s="398"/>
      <c r="AB48" s="398"/>
      <c r="AC48" s="398"/>
      <c r="AD48" s="398"/>
      <c r="AE48" s="398"/>
      <c r="AF48" s="398"/>
      <c r="AG48" s="357"/>
      <c r="AH48" s="398"/>
      <c r="AI48" s="398"/>
      <c r="AJ48" s="398"/>
      <c r="AK48" s="398"/>
    </row>
    <row r="49" spans="1:39" x14ac:dyDescent="0.25">
      <c r="A49" s="2" t="s">
        <v>325</v>
      </c>
      <c r="B49" s="2"/>
      <c r="C49" s="2"/>
      <c r="D49" s="182">
        <f>ROUND(('SCH-C - F 1-2'!$G$17/24),1)</f>
        <v>314.7</v>
      </c>
      <c r="E49" s="2"/>
      <c r="F49" s="4">
        <f t="shared" si="2"/>
        <v>0.2928</v>
      </c>
      <c r="G49" s="2"/>
      <c r="H49" s="4">
        <f t="shared" ref="H49:H53" si="4">ROUND(F49*$H$46,4)</f>
        <v>9.6000000000000002E-2</v>
      </c>
      <c r="I49" s="2"/>
      <c r="J49" s="4">
        <f>'SCH-C - F 3B 4B'!$K$63</f>
        <v>0.26269999999999999</v>
      </c>
      <c r="K49" s="2"/>
      <c r="L49" s="4">
        <f>ROUND(J49*$L$46,4)</f>
        <v>0.1206</v>
      </c>
      <c r="M49" s="2"/>
      <c r="N49" s="2"/>
      <c r="O49" s="2"/>
      <c r="P49" s="2"/>
      <c r="Q49" s="2"/>
      <c r="R49" s="4">
        <f t="shared" si="3"/>
        <v>0.21660000000000001</v>
      </c>
      <c r="S49" s="2"/>
      <c r="U49" s="335"/>
      <c r="V49" s="335"/>
      <c r="W49" s="335"/>
      <c r="X49" s="400"/>
      <c r="Y49" s="434"/>
      <c r="Z49" s="434"/>
      <c r="AA49" s="434"/>
      <c r="AB49" s="398"/>
      <c r="AC49" s="399"/>
      <c r="AD49" s="400"/>
      <c r="AE49" s="399"/>
      <c r="AF49" s="398"/>
      <c r="AG49" s="357"/>
      <c r="AH49" s="398"/>
      <c r="AI49" s="357"/>
      <c r="AJ49" s="398"/>
      <c r="AK49" s="398"/>
      <c r="AL49" s="358"/>
      <c r="AM49" s="275"/>
    </row>
    <row r="50" spans="1:39" s="332" customFormat="1" ht="15.6" x14ac:dyDescent="0.3">
      <c r="A50" s="2" t="s">
        <v>194</v>
      </c>
      <c r="B50" s="2"/>
      <c r="C50" s="2"/>
      <c r="D50" s="182">
        <f>ROUND(('SCH-C - F 1-2'!$G$18)/24,1)</f>
        <v>121.4</v>
      </c>
      <c r="E50" s="2"/>
      <c r="F50" s="4">
        <f t="shared" si="2"/>
        <v>0.113</v>
      </c>
      <c r="G50" s="2"/>
      <c r="H50" s="4">
        <f t="shared" si="4"/>
        <v>3.7100000000000001E-2</v>
      </c>
      <c r="I50" s="2"/>
      <c r="J50" s="4">
        <f>'SCH-C - F 3B 4B'!$K$64</f>
        <v>6.7599999999999993E-2</v>
      </c>
      <c r="K50" s="2"/>
      <c r="L50" s="4">
        <f>ROUND(J50*$L$46,4)</f>
        <v>3.1E-2</v>
      </c>
      <c r="M50" s="2"/>
      <c r="N50" s="2"/>
      <c r="O50" s="2"/>
      <c r="P50" s="2"/>
      <c r="Q50" s="2"/>
      <c r="R50" s="4">
        <f t="shared" si="3"/>
        <v>6.8099999999999994E-2</v>
      </c>
      <c r="S50" s="127"/>
      <c r="T50" s="343"/>
      <c r="U50" s="335"/>
      <c r="V50" s="335"/>
      <c r="W50" s="335"/>
      <c r="X50" s="400"/>
      <c r="Y50" s="400"/>
      <c r="Z50" s="400"/>
      <c r="AA50" s="400"/>
      <c r="AB50" s="401"/>
      <c r="AC50" s="399"/>
      <c r="AD50" s="400"/>
      <c r="AE50" s="399"/>
      <c r="AF50" s="401"/>
      <c r="AG50" s="357"/>
      <c r="AH50" s="398"/>
      <c r="AI50" s="357"/>
      <c r="AJ50" s="398"/>
      <c r="AK50" s="401"/>
      <c r="AL50" s="359"/>
      <c r="AM50" s="359"/>
    </row>
    <row r="51" spans="1:39" x14ac:dyDescent="0.25">
      <c r="A51" s="2" t="s">
        <v>195</v>
      </c>
      <c r="B51" s="2"/>
      <c r="C51" s="2"/>
      <c r="D51" s="182">
        <f>ROUND(('SCH-C - F 1-2'!$G$19/24),1)</f>
        <v>58.8</v>
      </c>
      <c r="E51" s="2"/>
      <c r="F51" s="4">
        <f t="shared" si="2"/>
        <v>5.4699999999999999E-2</v>
      </c>
      <c r="G51" s="2"/>
      <c r="H51" s="4">
        <f t="shared" si="4"/>
        <v>1.7899999999999999E-2</v>
      </c>
      <c r="I51" s="2"/>
      <c r="J51" s="4">
        <f>'SCH-C - F 3B 4B'!$K$65</f>
        <v>3.27E-2</v>
      </c>
      <c r="K51" s="2"/>
      <c r="L51" s="303">
        <f>ROUND(J51*$L$46,4)</f>
        <v>1.4999999999999999E-2</v>
      </c>
      <c r="M51" s="2"/>
      <c r="N51" s="2"/>
      <c r="O51" s="2"/>
      <c r="P51" s="2"/>
      <c r="Q51" s="2"/>
      <c r="R51" s="4">
        <f t="shared" si="3"/>
        <v>3.2899999999999999E-2</v>
      </c>
      <c r="S51" s="2"/>
      <c r="U51" s="335"/>
      <c r="V51" s="335"/>
      <c r="W51" s="335"/>
      <c r="X51" s="400"/>
      <c r="Y51" s="400"/>
      <c r="Z51" s="400"/>
      <c r="AA51" s="400"/>
      <c r="AB51" s="403"/>
      <c r="AC51" s="404"/>
      <c r="AD51" s="400"/>
      <c r="AE51" s="404"/>
      <c r="AF51" s="398"/>
      <c r="AG51" s="403"/>
      <c r="AH51" s="398"/>
      <c r="AI51" s="403"/>
      <c r="AJ51" s="398"/>
      <c r="AK51" s="398"/>
      <c r="AL51" s="358"/>
      <c r="AM51" s="358"/>
    </row>
    <row r="52" spans="1:39" x14ac:dyDescent="0.25">
      <c r="A52" s="2" t="s">
        <v>103</v>
      </c>
      <c r="B52" s="2"/>
      <c r="C52" s="2"/>
      <c r="D52" s="182">
        <f>ROUND(('SCH-C - F 1-2'!$G$20/24),1)*0</f>
        <v>0</v>
      </c>
      <c r="E52" s="2"/>
      <c r="F52" s="4">
        <f t="shared" si="2"/>
        <v>0</v>
      </c>
      <c r="G52" s="2"/>
      <c r="H52" s="4">
        <f t="shared" si="4"/>
        <v>0</v>
      </c>
      <c r="I52" s="2"/>
      <c r="J52" s="4">
        <f>'SCH-C - F 3B 4B'!$K$66</f>
        <v>0</v>
      </c>
      <c r="K52" s="2"/>
      <c r="L52" s="4">
        <f>ROUND(J52*$L$46,4)</f>
        <v>0</v>
      </c>
      <c r="M52" s="2"/>
      <c r="N52" s="4"/>
      <c r="O52" s="2"/>
      <c r="P52" s="4"/>
      <c r="Q52" s="2"/>
      <c r="R52" s="4">
        <f t="shared" si="3"/>
        <v>0</v>
      </c>
      <c r="S52" s="734" t="s">
        <v>465</v>
      </c>
      <c r="U52" s="335"/>
      <c r="V52" s="335"/>
      <c r="W52" s="335"/>
      <c r="X52" s="400"/>
      <c r="Y52" s="402"/>
      <c r="Z52" s="400"/>
      <c r="AA52" s="400"/>
      <c r="AB52" s="403"/>
      <c r="AC52" s="404"/>
      <c r="AD52" s="400"/>
      <c r="AE52" s="404"/>
      <c r="AF52" s="398"/>
      <c r="AG52" s="403"/>
      <c r="AH52" s="398"/>
      <c r="AI52" s="403"/>
      <c r="AJ52" s="398"/>
      <c r="AK52" s="398"/>
      <c r="AL52" s="358"/>
      <c r="AM52" s="275"/>
    </row>
    <row r="53" spans="1:39" x14ac:dyDescent="0.25">
      <c r="A53" s="2" t="s">
        <v>232</v>
      </c>
      <c r="B53" s="2"/>
      <c r="C53" s="2"/>
      <c r="D53" s="182">
        <f>ROUND(('SCH-C - F 1-2'!$G$21/24),1)</f>
        <v>7.4</v>
      </c>
      <c r="E53" s="2"/>
      <c r="F53" s="4">
        <f t="shared" si="2"/>
        <v>6.8999999999999999E-3</v>
      </c>
      <c r="G53" s="2"/>
      <c r="H53" s="4">
        <f t="shared" si="4"/>
        <v>2.3E-3</v>
      </c>
      <c r="I53" s="2"/>
      <c r="J53" s="4"/>
      <c r="K53" s="2"/>
      <c r="L53" s="4"/>
      <c r="M53" s="2"/>
      <c r="N53" s="4">
        <f>Fire!$O$18</f>
        <v>1</v>
      </c>
      <c r="O53" s="2"/>
      <c r="P53" s="4">
        <f>ROUND(N53*$P$46,4)</f>
        <v>0.21290000000000001</v>
      </c>
      <c r="Q53" s="2"/>
      <c r="R53" s="4">
        <f t="shared" si="3"/>
        <v>0.2152</v>
      </c>
      <c r="S53" s="2"/>
      <c r="U53" s="335"/>
      <c r="V53" s="335"/>
      <c r="W53" s="335"/>
      <c r="X53" s="400"/>
      <c r="Y53" s="402"/>
      <c r="Z53" s="400"/>
      <c r="AA53" s="400"/>
      <c r="AB53" s="403"/>
      <c r="AC53" s="404"/>
      <c r="AD53" s="400"/>
      <c r="AE53" s="404"/>
      <c r="AF53" s="398"/>
      <c r="AG53" s="403"/>
      <c r="AH53" s="398"/>
      <c r="AI53" s="403"/>
      <c r="AJ53" s="398"/>
      <c r="AK53" s="398"/>
    </row>
    <row r="54" spans="1:39" x14ac:dyDescent="0.25">
      <c r="A54" s="2"/>
      <c r="B54" s="2"/>
      <c r="C54" s="2"/>
      <c r="D54" s="164"/>
      <c r="E54" s="2"/>
      <c r="F54" s="42"/>
      <c r="G54" s="2"/>
      <c r="H54" s="42"/>
      <c r="I54" s="2"/>
      <c r="J54" s="42"/>
      <c r="K54" s="2"/>
      <c r="L54" s="42"/>
      <c r="M54" s="2"/>
      <c r="N54" s="42"/>
      <c r="O54" s="2"/>
      <c r="P54" s="42"/>
      <c r="Q54" s="2"/>
      <c r="R54" s="42"/>
      <c r="S54" s="2"/>
      <c r="U54" s="335"/>
      <c r="V54" s="335"/>
      <c r="W54" s="335"/>
      <c r="X54" s="400"/>
      <c r="Y54" s="402"/>
      <c r="Z54" s="400"/>
      <c r="AA54" s="400"/>
      <c r="AB54" s="403"/>
      <c r="AC54" s="404"/>
      <c r="AD54" s="400"/>
      <c r="AE54" s="404"/>
      <c r="AF54" s="398"/>
      <c r="AG54" s="403"/>
      <c r="AH54" s="398"/>
      <c r="AI54" s="403"/>
      <c r="AJ54" s="398"/>
      <c r="AK54" s="167"/>
    </row>
    <row r="55" spans="1:39" ht="15.6" thickBot="1" x14ac:dyDescent="0.3">
      <c r="A55" s="2" t="s">
        <v>199</v>
      </c>
      <c r="B55" s="2"/>
      <c r="C55" s="2"/>
      <c r="D55" s="182">
        <f>SUM(D48:D54)</f>
        <v>1074.7</v>
      </c>
      <c r="E55" s="2"/>
      <c r="F55" s="4">
        <f>SUM(F48:F54)</f>
        <v>0.99999999999999989</v>
      </c>
      <c r="G55" s="2"/>
      <c r="H55" s="4">
        <f>SUM(H48:H54)</f>
        <v>0.32800000000000001</v>
      </c>
      <c r="I55" s="2"/>
      <c r="J55" s="4">
        <f>SUM(J48:J54)</f>
        <v>0.99999999999999989</v>
      </c>
      <c r="K55" s="2"/>
      <c r="L55" s="4">
        <f>SUM(L48:L54)</f>
        <v>0.45909999999999995</v>
      </c>
      <c r="M55" s="2"/>
      <c r="N55" s="4">
        <f>SUM(N48:N54)</f>
        <v>1</v>
      </c>
      <c r="O55" s="2"/>
      <c r="P55" s="4">
        <f>SUM(P48:P54)</f>
        <v>0.21290000000000001</v>
      </c>
      <c r="Q55" s="2"/>
      <c r="R55" s="4">
        <f>SUM(R48:R54)</f>
        <v>1</v>
      </c>
      <c r="S55" s="2"/>
      <c r="U55" s="335"/>
      <c r="V55" s="335"/>
      <c r="W55" s="335"/>
      <c r="X55" s="335"/>
      <c r="Y55" s="336"/>
      <c r="Z55" s="335"/>
      <c r="AA55" s="335"/>
      <c r="AB55" s="275"/>
      <c r="AC55" s="340"/>
      <c r="AE55" s="340"/>
      <c r="AG55" s="275"/>
      <c r="AI55" s="275"/>
      <c r="AK55" s="4"/>
    </row>
    <row r="56" spans="1:39" ht="15.6" thickTop="1" x14ac:dyDescent="0.25">
      <c r="A56" s="2"/>
      <c r="B56" s="2"/>
      <c r="C56" s="2"/>
      <c r="D56" s="7"/>
      <c r="E56" s="2"/>
      <c r="F56" s="43"/>
      <c r="G56" s="2"/>
      <c r="H56" s="43"/>
      <c r="I56" s="2"/>
      <c r="J56" s="43"/>
      <c r="K56" s="2"/>
      <c r="L56" s="43"/>
      <c r="M56" s="2"/>
      <c r="N56" s="167"/>
      <c r="O56" s="2"/>
      <c r="P56" s="43"/>
      <c r="Q56" s="2"/>
      <c r="R56" s="43"/>
      <c r="S56" s="2"/>
      <c r="U56" s="335"/>
      <c r="V56" s="335"/>
      <c r="W56" s="335"/>
      <c r="X56" s="335"/>
      <c r="Y56" s="335"/>
      <c r="Z56" s="335"/>
      <c r="AA56" s="335"/>
      <c r="AB56" s="275"/>
      <c r="AC56" s="275"/>
      <c r="AG56" s="275"/>
      <c r="AK56" s="4"/>
    </row>
    <row r="57" spans="1:39" x14ac:dyDescent="0.25">
      <c r="A57" s="748" t="s">
        <v>456</v>
      </c>
      <c r="B57" s="748"/>
      <c r="C57" s="748"/>
      <c r="D57" s="748"/>
      <c r="E57" s="748"/>
      <c r="F57" s="748"/>
      <c r="G57" s="748"/>
      <c r="H57" s="748"/>
      <c r="I57" s="748"/>
      <c r="J57" s="748"/>
      <c r="K57" s="748"/>
      <c r="L57" s="748"/>
      <c r="M57" s="748"/>
      <c r="N57" s="748"/>
      <c r="O57" s="748"/>
      <c r="P57" s="748"/>
      <c r="Q57" s="748"/>
      <c r="R57" s="748"/>
      <c r="S57" s="2"/>
      <c r="U57" s="335"/>
      <c r="V57" s="335"/>
      <c r="W57" s="335"/>
      <c r="X57" s="335"/>
      <c r="Y57" s="336"/>
      <c r="Z57" s="335"/>
      <c r="AA57" s="336"/>
      <c r="AB57" s="275"/>
      <c r="AC57" s="275"/>
      <c r="AE57" s="340"/>
      <c r="AF57" s="275"/>
      <c r="AG57" s="275"/>
      <c r="AI57" s="275"/>
      <c r="AK57" s="4"/>
    </row>
    <row r="58" spans="1:39" x14ac:dyDescent="0.25">
      <c r="U58" s="335"/>
      <c r="V58" s="335"/>
      <c r="W58" s="335"/>
      <c r="X58" s="335"/>
      <c r="Y58" s="340"/>
      <c r="Z58" s="340"/>
      <c r="AA58" s="340"/>
      <c r="AB58" s="275"/>
      <c r="AC58" s="275"/>
      <c r="AD58" s="275"/>
      <c r="AE58" s="275"/>
      <c r="AF58" s="275"/>
      <c r="AG58" s="275"/>
      <c r="AH58" s="275"/>
      <c r="AI58" s="275"/>
      <c r="AK58" s="4"/>
    </row>
    <row r="59" spans="1:39" x14ac:dyDescent="0.25">
      <c r="U59" s="335"/>
      <c r="V59" s="335"/>
      <c r="W59" s="335"/>
      <c r="X59" s="335"/>
      <c r="Y59" s="340"/>
      <c r="Z59" s="340"/>
      <c r="AA59" s="340"/>
      <c r="AB59" s="275"/>
      <c r="AC59" s="275"/>
      <c r="AD59" s="275"/>
      <c r="AE59" s="340"/>
      <c r="AF59" s="275"/>
      <c r="AG59" s="340"/>
      <c r="AH59" s="275"/>
      <c r="AI59" s="340"/>
      <c r="AK59" s="4"/>
    </row>
    <row r="60" spans="1:39" x14ac:dyDescent="0.25">
      <c r="A60" s="36"/>
      <c r="B60" s="1"/>
      <c r="C60" s="1"/>
      <c r="D60" s="1"/>
      <c r="E60" s="1"/>
      <c r="F60" s="1"/>
      <c r="G60" s="36"/>
      <c r="H60" s="1"/>
      <c r="I60" s="1"/>
      <c r="J60" s="1"/>
      <c r="K60" s="1"/>
      <c r="L60" s="1"/>
      <c r="M60" s="1"/>
      <c r="N60" s="1"/>
      <c r="O60" s="1"/>
      <c r="P60" s="1"/>
      <c r="Q60" s="1"/>
      <c r="R60" s="1"/>
      <c r="Y60" s="341"/>
      <c r="AK60" s="4"/>
    </row>
    <row r="61" spans="1:39" x14ac:dyDescent="0.25">
      <c r="A61" s="36"/>
      <c r="B61" s="1"/>
      <c r="C61" s="1"/>
      <c r="E61" s="1"/>
      <c r="F61" s="1"/>
      <c r="G61" s="36"/>
      <c r="H61" s="1"/>
      <c r="I61" s="1"/>
      <c r="J61" s="1"/>
      <c r="K61" s="1"/>
      <c r="L61" s="1"/>
      <c r="M61" s="1"/>
      <c r="N61" s="1"/>
      <c r="O61" s="1"/>
      <c r="P61" s="1"/>
      <c r="Q61" s="1"/>
      <c r="R61" s="1"/>
    </row>
    <row r="62" spans="1:39" x14ac:dyDescent="0.25">
      <c r="A62" s="1"/>
      <c r="B62" s="1"/>
      <c r="C62" s="1"/>
      <c r="D62" s="368"/>
      <c r="E62" s="1"/>
      <c r="F62" s="1"/>
      <c r="G62" s="1"/>
      <c r="H62" s="1"/>
      <c r="I62" s="1"/>
      <c r="J62" s="1"/>
      <c r="K62" s="1"/>
      <c r="L62" s="1"/>
      <c r="M62" s="1"/>
      <c r="N62" s="1"/>
      <c r="O62" s="1"/>
      <c r="P62" s="1"/>
      <c r="Q62" s="1"/>
      <c r="R62" s="1"/>
    </row>
    <row r="63" spans="1:39" x14ac:dyDescent="0.25">
      <c r="A63" s="1"/>
      <c r="B63" s="1"/>
      <c r="C63" s="1"/>
      <c r="D63" s="124"/>
      <c r="E63" s="1"/>
      <c r="F63" s="1"/>
      <c r="G63" s="1"/>
      <c r="H63" s="1"/>
      <c r="I63" s="1"/>
      <c r="J63" s="1"/>
      <c r="K63" s="1"/>
      <c r="L63" s="1"/>
      <c r="M63" s="1"/>
      <c r="N63" s="1"/>
      <c r="O63" s="1"/>
      <c r="P63" s="1"/>
      <c r="Q63" s="1"/>
      <c r="R63" s="1"/>
    </row>
    <row r="64" spans="1:39" x14ac:dyDescent="0.25">
      <c r="A64" s="2"/>
      <c r="B64" s="2"/>
      <c r="C64" s="2"/>
      <c r="D64" s="2"/>
      <c r="E64" s="2"/>
      <c r="F64" s="2"/>
      <c r="G64" s="2"/>
      <c r="H64" s="2"/>
      <c r="I64" s="2"/>
      <c r="J64" s="2"/>
      <c r="K64" s="2"/>
      <c r="L64" s="2"/>
      <c r="M64" s="2"/>
      <c r="N64" s="2"/>
      <c r="O64" s="2"/>
      <c r="P64" s="2"/>
      <c r="Q64" s="2"/>
      <c r="R64" s="2"/>
    </row>
    <row r="65" spans="1:25" x14ac:dyDescent="0.25">
      <c r="A65" s="2"/>
      <c r="B65" s="2"/>
      <c r="C65" s="2"/>
      <c r="D65" s="2"/>
      <c r="E65" s="2"/>
      <c r="F65" s="2"/>
      <c r="G65" s="2"/>
      <c r="H65" s="2"/>
      <c r="I65" s="2"/>
      <c r="J65" s="2"/>
      <c r="K65" s="2"/>
      <c r="L65" s="2"/>
      <c r="M65" s="2"/>
      <c r="N65" s="2"/>
      <c r="O65" s="2"/>
      <c r="P65" s="2"/>
      <c r="Q65" s="2"/>
      <c r="R65" s="2"/>
    </row>
    <row r="66" spans="1:25" ht="15" customHeight="1" x14ac:dyDescent="0.25">
      <c r="A66" s="747"/>
      <c r="B66" s="747"/>
      <c r="C66" s="747"/>
      <c r="D66" s="747"/>
      <c r="E66" s="747"/>
      <c r="F66" s="747"/>
      <c r="G66" s="747"/>
      <c r="H66" s="747"/>
      <c r="I66" s="747"/>
      <c r="J66" s="747"/>
      <c r="K66" s="747"/>
      <c r="L66" s="747"/>
      <c r="M66" s="747"/>
      <c r="N66" s="747"/>
      <c r="O66" s="747"/>
      <c r="P66" s="747"/>
      <c r="Q66" s="747"/>
      <c r="R66" s="747"/>
      <c r="Y66" s="2"/>
    </row>
    <row r="79" spans="1:25" ht="13.35" customHeight="1" x14ac:dyDescent="0.25"/>
    <row r="80" spans="1:25" ht="13.35" customHeight="1" x14ac:dyDescent="0.25"/>
    <row r="81" spans="47:47" ht="13.35" customHeight="1" x14ac:dyDescent="0.25"/>
    <row r="82" spans="47:47" ht="13.35" customHeight="1" x14ac:dyDescent="0.25"/>
    <row r="83" spans="47:47" ht="13.35" customHeight="1" x14ac:dyDescent="0.25"/>
    <row r="84" spans="47:47" ht="13.35" customHeight="1" x14ac:dyDescent="0.25"/>
    <row r="85" spans="47:47" ht="13.35" customHeight="1" x14ac:dyDescent="0.25"/>
    <row r="86" spans="47:47" ht="13.35" customHeight="1" x14ac:dyDescent="0.25"/>
    <row r="87" spans="47:47" ht="13.35" customHeight="1" x14ac:dyDescent="0.25"/>
    <row r="88" spans="47:47" ht="13.35" customHeight="1" x14ac:dyDescent="0.25"/>
    <row r="89" spans="47:47" ht="13.35" customHeight="1" x14ac:dyDescent="0.25"/>
    <row r="90" spans="47:47" ht="12.75" customHeight="1" x14ac:dyDescent="0.25"/>
    <row r="91" spans="47:47" ht="13.35" customHeight="1" x14ac:dyDescent="0.25"/>
    <row r="92" spans="47:47" ht="13.35" customHeight="1" x14ac:dyDescent="0.25"/>
    <row r="93" spans="47:47" ht="13.35" customHeight="1" x14ac:dyDescent="0.25">
      <c r="AU93" s="306"/>
    </row>
    <row r="94" spans="47:47" ht="13.35" customHeight="1" x14ac:dyDescent="0.25"/>
    <row r="95" spans="47:47" ht="13.35" customHeight="1" x14ac:dyDescent="0.25"/>
    <row r="96" spans="47:47" ht="13.35" customHeight="1" x14ac:dyDescent="0.25"/>
    <row r="97" ht="13.35" customHeight="1" x14ac:dyDescent="0.25"/>
    <row r="98" ht="13.35" customHeight="1" x14ac:dyDescent="0.25"/>
    <row r="99" ht="13.35" customHeight="1" x14ac:dyDescent="0.25"/>
    <row r="100" ht="13.35" customHeight="1" x14ac:dyDescent="0.25"/>
    <row r="101" ht="13.35" customHeight="1" x14ac:dyDescent="0.25"/>
    <row r="102" ht="13.35" customHeight="1" x14ac:dyDescent="0.25"/>
    <row r="103" ht="13.35" customHeight="1" x14ac:dyDescent="0.25"/>
    <row r="104" ht="13.35" customHeight="1" x14ac:dyDescent="0.25"/>
    <row r="105" ht="13.35" customHeight="1" x14ac:dyDescent="0.25"/>
    <row r="106" ht="13.35" customHeight="1" x14ac:dyDescent="0.25"/>
    <row r="107" ht="13.35" customHeight="1" x14ac:dyDescent="0.25"/>
    <row r="108" ht="13.35" customHeight="1" x14ac:dyDescent="0.25"/>
    <row r="109" ht="12.75" customHeight="1" x14ac:dyDescent="0.25"/>
    <row r="110" ht="13.35" customHeight="1" x14ac:dyDescent="0.25"/>
    <row r="111" ht="13.35" customHeight="1" x14ac:dyDescent="0.25"/>
    <row r="112" ht="13.35" customHeight="1" x14ac:dyDescent="0.25"/>
    <row r="113" ht="13.35" customHeight="1" x14ac:dyDescent="0.25"/>
    <row r="114" ht="13.35" customHeight="1" x14ac:dyDescent="0.25"/>
    <row r="115" ht="13.35" customHeight="1" x14ac:dyDescent="0.25"/>
    <row r="116" ht="13.35" customHeight="1" x14ac:dyDescent="0.25"/>
    <row r="117" ht="13.35" customHeight="1" x14ac:dyDescent="0.25"/>
    <row r="118" ht="12.75" customHeight="1" x14ac:dyDescent="0.25"/>
    <row r="119" ht="13.35" customHeight="1" x14ac:dyDescent="0.25"/>
    <row r="120" ht="13.35" customHeight="1" x14ac:dyDescent="0.25"/>
    <row r="121" ht="13.35" customHeight="1" x14ac:dyDescent="0.25"/>
    <row r="122" ht="13.35" customHeight="1" x14ac:dyDescent="0.25"/>
    <row r="123" ht="13.35" customHeight="1" x14ac:dyDescent="0.25"/>
    <row r="124" ht="13.35" customHeight="1" x14ac:dyDescent="0.25"/>
    <row r="125" ht="13.35" customHeight="1" x14ac:dyDescent="0.25"/>
    <row r="141" spans="66:67" x14ac:dyDescent="0.25">
      <c r="BN141" s="1"/>
      <c r="BO141" s="1"/>
    </row>
    <row r="142" spans="66:67" x14ac:dyDescent="0.25">
      <c r="BN142" s="1"/>
      <c r="BO142" s="1"/>
    </row>
    <row r="143" spans="66:67" ht="12.75" customHeight="1" x14ac:dyDescent="0.25"/>
    <row r="144" spans="66:67" x14ac:dyDescent="0.25">
      <c r="BN144" s="11"/>
      <c r="BO144" s="11"/>
    </row>
    <row r="145" spans="66:67" ht="12.75" customHeight="1" x14ac:dyDescent="0.25">
      <c r="BN145" s="2"/>
      <c r="BO145" s="2"/>
    </row>
    <row r="146" spans="66:67" ht="13.35" customHeight="1" x14ac:dyDescent="0.25">
      <c r="BN146" s="9"/>
      <c r="BO146" s="9"/>
    </row>
    <row r="147" spans="66:67" ht="13.35" customHeight="1" x14ac:dyDescent="0.25">
      <c r="BN147" s="9"/>
      <c r="BO147" s="9"/>
    </row>
    <row r="148" spans="66:67" ht="13.35" customHeight="1" x14ac:dyDescent="0.25">
      <c r="BN148" s="9"/>
      <c r="BO148" s="9"/>
    </row>
    <row r="149" spans="66:67" ht="13.35" customHeight="1" x14ac:dyDescent="0.25">
      <c r="BN149" s="9"/>
      <c r="BO149" s="9"/>
    </row>
    <row r="150" spans="66:67" ht="12.75" customHeight="1" x14ac:dyDescent="0.25">
      <c r="BN150" s="2"/>
      <c r="BO150" s="2"/>
    </row>
    <row r="151" spans="66:67" x14ac:dyDescent="0.25">
      <c r="BN151" s="333"/>
      <c r="BO151" s="333"/>
    </row>
    <row r="153" spans="66:67" ht="12.75" customHeight="1" x14ac:dyDescent="0.25"/>
    <row r="155" spans="66:67" ht="13.35" customHeight="1" x14ac:dyDescent="0.25"/>
    <row r="156" spans="66:67" ht="13.35" customHeight="1" x14ac:dyDescent="0.25"/>
    <row r="157" spans="66:67" ht="13.35" customHeight="1" x14ac:dyDescent="0.25"/>
    <row r="158" spans="66:67" ht="13.35" customHeight="1" x14ac:dyDescent="0.25"/>
    <row r="168" ht="12.75" customHeight="1" x14ac:dyDescent="0.25"/>
    <row r="170" ht="12.75" customHeight="1" x14ac:dyDescent="0.25"/>
    <row r="174" ht="12.75" customHeight="1" x14ac:dyDescent="0.25"/>
    <row r="176" ht="13.35" customHeight="1" x14ac:dyDescent="0.25"/>
    <row r="177" ht="13.35" customHeight="1" x14ac:dyDescent="0.25"/>
    <row r="178" ht="13.35" customHeight="1" x14ac:dyDescent="0.25"/>
    <row r="179" ht="13.35" customHeight="1" x14ac:dyDescent="0.25"/>
    <row r="180" ht="13.35" customHeight="1" x14ac:dyDescent="0.25"/>
    <row r="181" ht="13.35" customHeight="1" x14ac:dyDescent="0.25"/>
    <row r="182" ht="12.75" customHeight="1" x14ac:dyDescent="0.25"/>
    <row r="184" ht="12.75" customHeight="1" x14ac:dyDescent="0.25"/>
  </sheetData>
  <mergeCells count="4">
    <mergeCell ref="A10:P10"/>
    <mergeCell ref="A66:R66"/>
    <mergeCell ref="A39:R39"/>
    <mergeCell ref="A57:R57"/>
  </mergeCells>
  <phoneticPr fontId="13" type="noConversion"/>
  <printOptions horizontalCentered="1"/>
  <pageMargins left="0.5" right="0.5" top="1" bottom="0.5" header="0.5" footer="0.5"/>
  <pageSetup orientation="landscape" r:id="rId1"/>
  <headerFooter alignWithMargins="0"/>
  <rowBreaks count="2" manualBreakCount="2">
    <brk id="30" max="65535" man="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Q73"/>
  <sheetViews>
    <sheetView zoomScaleNormal="100" workbookViewId="0">
      <selection activeCell="O63" sqref="O63"/>
    </sheetView>
  </sheetViews>
  <sheetFormatPr defaultColWidth="9.81640625" defaultRowHeight="15" x14ac:dyDescent="0.25"/>
  <cols>
    <col min="1" max="1" width="6.81640625" style="228" customWidth="1"/>
    <col min="2" max="2" width="4.81640625" style="228" customWidth="1"/>
    <col min="3" max="3" width="6.453125" style="228" customWidth="1"/>
    <col min="4" max="4" width="2.81640625" style="228" customWidth="1"/>
    <col min="5" max="5" width="9.81640625" style="228" customWidth="1"/>
    <col min="6" max="6" width="2.81640625" style="228" customWidth="1"/>
    <col min="7" max="7" width="10.08984375" style="228" customWidth="1"/>
    <col min="8" max="8" width="2.81640625" style="228" customWidth="1"/>
    <col min="9" max="9" width="9.81640625" style="228" customWidth="1"/>
    <col min="10" max="10" width="2.81640625" style="228" customWidth="1"/>
    <col min="11" max="13" width="9.81640625" style="228" customWidth="1"/>
    <col min="14" max="14" width="1.81640625" style="228" customWidth="1"/>
    <col min="15" max="15" width="7.81640625" style="228" customWidth="1"/>
    <col min="16" max="16" width="16" style="228" bestFit="1" customWidth="1"/>
    <col min="17" max="17" width="11" style="228" bestFit="1" customWidth="1"/>
    <col min="18" max="16384" width="9.81640625" style="228"/>
  </cols>
  <sheetData>
    <row r="1" spans="1:17" x14ac:dyDescent="0.25">
      <c r="A1" s="36" t="s">
        <v>51</v>
      </c>
      <c r="B1" s="44"/>
      <c r="C1" s="44"/>
      <c r="D1" s="44"/>
      <c r="E1" s="44"/>
      <c r="F1" s="44"/>
      <c r="G1" s="44"/>
      <c r="H1" s="44"/>
      <c r="I1" s="44"/>
      <c r="J1" s="44"/>
      <c r="K1" s="44"/>
    </row>
    <row r="2" spans="1:17" x14ac:dyDescent="0.25">
      <c r="A2" s="36"/>
      <c r="B2" s="44"/>
      <c r="C2" s="44"/>
      <c r="D2" s="44"/>
      <c r="E2" s="44"/>
      <c r="F2" s="44"/>
      <c r="G2" s="44"/>
      <c r="H2" s="44"/>
      <c r="I2" s="44"/>
      <c r="J2" s="44"/>
      <c r="K2" s="44"/>
    </row>
    <row r="4" spans="1:17" x14ac:dyDescent="0.25">
      <c r="A4" s="45" t="s">
        <v>215</v>
      </c>
      <c r="B4" s="45"/>
      <c r="C4" s="45"/>
      <c r="D4" s="45"/>
      <c r="E4" s="45"/>
      <c r="F4" s="45"/>
      <c r="G4" s="45"/>
      <c r="H4" s="45"/>
      <c r="I4" s="45"/>
      <c r="J4" s="45"/>
      <c r="K4" s="45"/>
      <c r="L4" s="46"/>
    </row>
    <row r="5" spans="1:17" x14ac:dyDescent="0.25">
      <c r="A5" s="46"/>
      <c r="B5" s="46"/>
      <c r="C5" s="46"/>
      <c r="D5" s="46"/>
      <c r="E5" s="46"/>
      <c r="F5" s="46"/>
      <c r="G5" s="46"/>
      <c r="H5" s="46"/>
      <c r="I5" s="46"/>
      <c r="J5" s="46"/>
      <c r="K5" s="46"/>
      <c r="L5" s="46"/>
    </row>
    <row r="6" spans="1:17" x14ac:dyDescent="0.25">
      <c r="A6" s="47"/>
      <c r="B6" s="47"/>
      <c r="C6" s="47"/>
      <c r="D6" s="47"/>
      <c r="E6" s="47"/>
      <c r="F6" s="47"/>
      <c r="G6" s="47"/>
      <c r="H6" s="47"/>
      <c r="I6" s="47"/>
      <c r="J6" s="47"/>
      <c r="K6" s="47"/>
      <c r="L6" s="47"/>
    </row>
    <row r="7" spans="1:17" x14ac:dyDescent="0.25">
      <c r="A7" s="47" t="s">
        <v>246</v>
      </c>
      <c r="B7" s="47"/>
      <c r="C7" s="47"/>
      <c r="D7" s="47"/>
      <c r="E7" s="47"/>
      <c r="F7" s="47"/>
      <c r="G7" s="47"/>
      <c r="H7" s="47"/>
      <c r="I7" s="47"/>
      <c r="J7" s="47"/>
      <c r="K7" s="47"/>
      <c r="L7" s="47"/>
    </row>
    <row r="8" spans="1:17" x14ac:dyDescent="0.25">
      <c r="A8" s="47" t="s">
        <v>247</v>
      </c>
      <c r="B8" s="47"/>
      <c r="C8" s="47"/>
      <c r="D8" s="47"/>
      <c r="E8" s="47"/>
      <c r="F8" s="47"/>
      <c r="G8" s="47"/>
      <c r="H8" s="47"/>
      <c r="I8" s="47"/>
      <c r="J8" s="47"/>
      <c r="K8" s="47"/>
      <c r="L8" s="47"/>
    </row>
    <row r="9" spans="1:17" x14ac:dyDescent="0.25">
      <c r="A9" s="47"/>
      <c r="B9" s="47"/>
      <c r="C9" s="47"/>
      <c r="D9" s="47"/>
      <c r="E9" s="47"/>
      <c r="F9" s="47"/>
      <c r="G9" s="47"/>
      <c r="H9" s="47"/>
      <c r="I9" s="47"/>
      <c r="J9" s="47"/>
      <c r="K9" s="47"/>
      <c r="L9" s="47"/>
    </row>
    <row r="10" spans="1:17" ht="55.2" customHeight="1" x14ac:dyDescent="0.25">
      <c r="A10" s="749" t="s">
        <v>495</v>
      </c>
      <c r="B10" s="749"/>
      <c r="C10" s="749"/>
      <c r="D10" s="749"/>
      <c r="E10" s="749"/>
      <c r="F10" s="749"/>
      <c r="G10" s="749"/>
      <c r="H10" s="749"/>
      <c r="I10" s="749"/>
      <c r="J10" s="749"/>
      <c r="K10" s="749"/>
      <c r="L10" s="47"/>
    </row>
    <row r="11" spans="1:17" x14ac:dyDescent="0.25">
      <c r="A11" s="47"/>
      <c r="B11" s="47"/>
      <c r="C11" s="47"/>
      <c r="D11" s="47"/>
      <c r="E11" s="47"/>
      <c r="F11" s="47"/>
      <c r="G11" s="47"/>
      <c r="H11" s="47"/>
      <c r="I11" s="47"/>
      <c r="J11" s="47"/>
      <c r="K11" s="47"/>
      <c r="L11" s="47"/>
    </row>
    <row r="12" spans="1:17" x14ac:dyDescent="0.25">
      <c r="A12" s="47"/>
      <c r="B12" s="47"/>
      <c r="C12" s="47"/>
      <c r="D12" s="47"/>
      <c r="F12" s="47"/>
      <c r="G12" s="48" t="s">
        <v>218</v>
      </c>
      <c r="H12" s="47"/>
      <c r="J12" s="47"/>
      <c r="K12" s="47"/>
      <c r="L12" s="47"/>
    </row>
    <row r="13" spans="1:17" x14ac:dyDescent="0.25">
      <c r="A13" s="47"/>
      <c r="B13" s="47"/>
      <c r="D13" s="47"/>
      <c r="E13" s="48" t="s">
        <v>225</v>
      </c>
      <c r="F13" s="47"/>
      <c r="G13" s="516" t="s">
        <v>248</v>
      </c>
      <c r="H13" s="47"/>
      <c r="I13" s="48" t="s">
        <v>226</v>
      </c>
      <c r="J13" s="47"/>
      <c r="L13" s="47"/>
    </row>
    <row r="14" spans="1:17" x14ac:dyDescent="0.25">
      <c r="A14" s="47"/>
      <c r="B14" s="47"/>
      <c r="D14" s="47"/>
      <c r="E14" s="49"/>
      <c r="F14" s="47"/>
      <c r="G14" s="49"/>
      <c r="H14" s="47"/>
      <c r="I14" s="49"/>
      <c r="J14" s="47"/>
      <c r="L14" s="47"/>
      <c r="P14" s="355"/>
      <c r="Q14" s="355"/>
    </row>
    <row r="15" spans="1:17" x14ac:dyDescent="0.25">
      <c r="B15" s="47" t="s">
        <v>227</v>
      </c>
      <c r="D15" s="47"/>
      <c r="E15" s="50">
        <v>1</v>
      </c>
      <c r="F15" s="47"/>
      <c r="G15" s="51">
        <v>26613523</v>
      </c>
      <c r="H15" s="47"/>
      <c r="I15" s="52">
        <f>ROUND(+G15/G$23,4)</f>
        <v>0.53459999999999996</v>
      </c>
      <c r="J15" s="47"/>
      <c r="L15" s="47"/>
    </row>
    <row r="16" spans="1:17" x14ac:dyDescent="0.25">
      <c r="B16" s="47" t="s">
        <v>203</v>
      </c>
      <c r="D16" s="47"/>
      <c r="E16" s="50"/>
      <c r="F16" s="47"/>
      <c r="G16" s="51"/>
      <c r="H16" s="47"/>
      <c r="I16" s="52"/>
      <c r="J16" s="47"/>
      <c r="L16" s="47"/>
      <c r="P16" s="355"/>
    </row>
    <row r="17" spans="1:16" x14ac:dyDescent="0.25">
      <c r="B17" s="47" t="s">
        <v>228</v>
      </c>
      <c r="D17" s="47"/>
      <c r="E17" s="50">
        <f>+'SCH-C - F 2 B'!F35</f>
        <v>0.6</v>
      </c>
      <c r="F17" s="51"/>
      <c r="G17" s="51">
        <f>ROUND(+G15*E17,0)</f>
        <v>15968114</v>
      </c>
      <c r="H17" s="52"/>
      <c r="I17" s="52">
        <f>ROUND(+G17/G$23,4)</f>
        <v>0.32079999999999997</v>
      </c>
      <c r="J17" s="47"/>
      <c r="L17" s="47"/>
    </row>
    <row r="18" spans="1:16" x14ac:dyDescent="0.25">
      <c r="B18" s="47"/>
      <c r="D18" s="47"/>
      <c r="E18" s="53"/>
      <c r="F18" s="51"/>
      <c r="G18" s="54"/>
      <c r="H18" s="52"/>
      <c r="I18" s="55"/>
      <c r="J18" s="47"/>
      <c r="L18" s="47"/>
      <c r="P18" s="355"/>
    </row>
    <row r="19" spans="1:16" ht="15.6" thickBot="1" x14ac:dyDescent="0.3">
      <c r="B19" s="47" t="s">
        <v>250</v>
      </c>
      <c r="D19" s="47"/>
      <c r="E19" s="205">
        <f>SUM(E15:E18)</f>
        <v>1.6</v>
      </c>
      <c r="F19" s="51"/>
      <c r="G19" s="51">
        <f>SUM(G15:G18)</f>
        <v>42581637</v>
      </c>
      <c r="H19" s="52"/>
      <c r="I19" s="52">
        <f>SUM(I15:I18)</f>
        <v>0.85539999999999994</v>
      </c>
      <c r="J19" s="47"/>
      <c r="L19" s="47"/>
    </row>
    <row r="20" spans="1:16" ht="15.6" thickTop="1" x14ac:dyDescent="0.25">
      <c r="B20" s="47"/>
      <c r="D20" s="47"/>
      <c r="E20" s="170"/>
      <c r="F20" s="51"/>
      <c r="G20" s="51"/>
      <c r="H20" s="57"/>
      <c r="I20" s="52"/>
      <c r="J20" s="47"/>
      <c r="L20" s="47"/>
    </row>
    <row r="21" spans="1:16" x14ac:dyDescent="0.25">
      <c r="B21" s="47" t="s">
        <v>232</v>
      </c>
      <c r="C21" s="47"/>
      <c r="D21" s="47"/>
      <c r="F21" s="47"/>
      <c r="G21" s="51">
        <f>G50*60*10</f>
        <v>7200000</v>
      </c>
      <c r="H21" s="47"/>
      <c r="I21" s="52">
        <f>ROUND(+G21/G$23,4)</f>
        <v>0.14460000000000001</v>
      </c>
      <c r="J21" s="47"/>
      <c r="L21" s="47"/>
    </row>
    <row r="22" spans="1:16" x14ac:dyDescent="0.25">
      <c r="B22" s="47"/>
      <c r="C22" s="47"/>
      <c r="D22" s="47"/>
      <c r="F22" s="47"/>
      <c r="G22" s="49"/>
      <c r="H22" s="47"/>
      <c r="I22" s="55"/>
      <c r="J22" s="47"/>
      <c r="L22" s="47"/>
    </row>
    <row r="23" spans="1:16" ht="15.6" thickBot="1" x14ac:dyDescent="0.3">
      <c r="B23" s="47" t="s">
        <v>229</v>
      </c>
      <c r="C23" s="47"/>
      <c r="D23" s="47"/>
      <c r="F23" s="47"/>
      <c r="G23" s="186">
        <f>SUM(G19:G21)</f>
        <v>49781637</v>
      </c>
      <c r="H23" s="47"/>
      <c r="I23" s="52">
        <f>SUM(I19:I21)</f>
        <v>1</v>
      </c>
      <c r="J23" s="47"/>
      <c r="L23" s="47"/>
    </row>
    <row r="24" spans="1:16" ht="15.6" thickTop="1" x14ac:dyDescent="0.25">
      <c r="B24" s="47"/>
      <c r="C24" s="47"/>
      <c r="D24" s="47"/>
      <c r="E24" s="47"/>
      <c r="F24" s="47"/>
      <c r="G24" s="170"/>
      <c r="H24" s="47"/>
      <c r="I24" s="56"/>
      <c r="J24" s="47"/>
      <c r="L24" s="47"/>
    </row>
    <row r="25" spans="1:16" x14ac:dyDescent="0.25">
      <c r="A25" s="47"/>
      <c r="B25" s="47"/>
      <c r="C25" s="47"/>
      <c r="D25" s="47"/>
      <c r="E25" s="47"/>
      <c r="F25" s="47"/>
      <c r="G25" s="47"/>
      <c r="H25" s="47"/>
      <c r="I25" s="47"/>
      <c r="J25" s="47"/>
      <c r="K25" s="47"/>
      <c r="L25" s="47"/>
    </row>
    <row r="26" spans="1:16" ht="30.6" customHeight="1" x14ac:dyDescent="0.25">
      <c r="A26" s="749"/>
      <c r="B26" s="749"/>
      <c r="C26" s="749"/>
      <c r="D26" s="749"/>
      <c r="E26" s="749"/>
      <c r="F26" s="749"/>
      <c r="G26" s="749"/>
      <c r="H26" s="749"/>
      <c r="I26" s="749"/>
      <c r="J26" s="749"/>
      <c r="K26" s="749"/>
      <c r="L26" s="47"/>
    </row>
    <row r="27" spans="1:16" x14ac:dyDescent="0.25">
      <c r="A27" s="47"/>
      <c r="B27" s="47"/>
      <c r="C27" s="47"/>
      <c r="D27" s="47"/>
      <c r="E27" s="47"/>
      <c r="F27" s="47"/>
      <c r="G27" s="47"/>
      <c r="H27" s="47"/>
      <c r="I27" s="47"/>
      <c r="J27" s="47"/>
      <c r="K27" s="47"/>
      <c r="L27" s="47"/>
    </row>
    <row r="28" spans="1:16" x14ac:dyDescent="0.25">
      <c r="A28" s="47"/>
      <c r="B28" s="47"/>
      <c r="C28" s="47"/>
      <c r="D28" s="47"/>
      <c r="E28" s="47"/>
      <c r="F28" s="47"/>
      <c r="G28" s="47"/>
      <c r="H28" s="47"/>
      <c r="I28" s="47"/>
      <c r="J28" s="47"/>
      <c r="K28" s="47"/>
      <c r="L28" s="47"/>
    </row>
    <row r="29" spans="1:16" x14ac:dyDescent="0.25">
      <c r="A29" s="47"/>
      <c r="B29" s="47"/>
      <c r="C29" s="47"/>
      <c r="D29" s="47"/>
      <c r="E29" s="47"/>
      <c r="F29" s="47"/>
      <c r="G29" s="47"/>
      <c r="H29" s="47"/>
      <c r="I29" s="47"/>
      <c r="J29" s="47"/>
      <c r="K29" s="47"/>
      <c r="L29" s="47"/>
    </row>
    <row r="30" spans="1:16" x14ac:dyDescent="0.25">
      <c r="A30" s="36" t="s">
        <v>51</v>
      </c>
      <c r="B30" s="44"/>
      <c r="C30" s="44"/>
      <c r="D30" s="44"/>
      <c r="E30" s="44"/>
      <c r="F30" s="44"/>
      <c r="G30" s="44"/>
      <c r="H30" s="44"/>
      <c r="I30" s="44"/>
      <c r="J30" s="44"/>
      <c r="K30" s="44"/>
    </row>
    <row r="31" spans="1:16" x14ac:dyDescent="0.25">
      <c r="A31" s="36"/>
      <c r="B31" s="44"/>
      <c r="C31" s="44"/>
      <c r="D31" s="44"/>
      <c r="E31" s="44"/>
      <c r="F31" s="44"/>
      <c r="G31" s="44"/>
      <c r="H31" s="44"/>
      <c r="I31" s="44"/>
      <c r="J31" s="44"/>
      <c r="K31" s="44"/>
    </row>
    <row r="33" spans="1:13" x14ac:dyDescent="0.25">
      <c r="A33" s="45" t="s">
        <v>215</v>
      </c>
      <c r="B33" s="44"/>
      <c r="C33" s="44"/>
      <c r="D33" s="44"/>
      <c r="E33" s="44"/>
      <c r="F33" s="44"/>
      <c r="G33" s="44"/>
      <c r="H33" s="44"/>
      <c r="I33" s="44"/>
      <c r="J33" s="44"/>
      <c r="K33" s="44"/>
    </row>
    <row r="36" spans="1:13" x14ac:dyDescent="0.25">
      <c r="A36" s="47" t="s">
        <v>251</v>
      </c>
      <c r="B36" s="47"/>
      <c r="C36" s="47"/>
      <c r="D36" s="47"/>
      <c r="E36" s="47"/>
      <c r="F36" s="47"/>
      <c r="G36" s="47"/>
      <c r="H36" s="47"/>
      <c r="I36" s="47"/>
      <c r="J36" s="47"/>
      <c r="K36" s="47"/>
      <c r="L36" s="47"/>
    </row>
    <row r="37" spans="1:13" x14ac:dyDescent="0.25">
      <c r="A37" s="47" t="s">
        <v>252</v>
      </c>
      <c r="B37" s="47"/>
      <c r="C37" s="47"/>
      <c r="D37" s="47"/>
      <c r="E37" s="47"/>
      <c r="F37" s="47"/>
      <c r="G37" s="47"/>
      <c r="H37" s="47"/>
      <c r="I37" s="47"/>
      <c r="J37" s="47"/>
      <c r="K37" s="47"/>
      <c r="L37" s="47"/>
    </row>
    <row r="38" spans="1:13" ht="11.25" customHeight="1" x14ac:dyDescent="0.25">
      <c r="A38" s="47"/>
      <c r="B38" s="47"/>
      <c r="C38" s="47"/>
      <c r="D38" s="47"/>
      <c r="E38" s="47"/>
      <c r="F38" s="47"/>
      <c r="G38" s="47"/>
      <c r="H38" s="47"/>
      <c r="I38" s="47"/>
      <c r="J38" s="47"/>
      <c r="K38" s="47"/>
      <c r="L38" s="47"/>
    </row>
    <row r="39" spans="1:13" ht="52.95" customHeight="1" x14ac:dyDescent="0.25">
      <c r="A39" s="749" t="s">
        <v>496</v>
      </c>
      <c r="B39" s="749"/>
      <c r="C39" s="749"/>
      <c r="D39" s="749"/>
      <c r="E39" s="749"/>
      <c r="F39" s="749"/>
      <c r="G39" s="749"/>
      <c r="H39" s="749"/>
      <c r="I39" s="749"/>
      <c r="J39" s="749"/>
      <c r="K39" s="749"/>
      <c r="L39" s="47"/>
    </row>
    <row r="40" spans="1:13" ht="8.4" customHeight="1" x14ac:dyDescent="0.25">
      <c r="A40" s="47"/>
      <c r="B40" s="47"/>
      <c r="C40" s="47"/>
      <c r="D40" s="47"/>
      <c r="E40" s="47"/>
      <c r="F40" s="47"/>
      <c r="G40" s="47"/>
      <c r="H40" s="47"/>
      <c r="I40" s="47"/>
      <c r="J40" s="47"/>
      <c r="K40" s="47"/>
      <c r="L40" s="47"/>
    </row>
    <row r="41" spans="1:13" x14ac:dyDescent="0.25">
      <c r="A41" s="47"/>
      <c r="B41" s="47"/>
      <c r="C41" s="47"/>
      <c r="D41" s="47"/>
      <c r="F41" s="47"/>
      <c r="G41" s="48" t="s">
        <v>218</v>
      </c>
      <c r="H41" s="47"/>
      <c r="I41" s="47"/>
      <c r="J41" s="47"/>
      <c r="K41" s="47"/>
      <c r="L41" s="47"/>
    </row>
    <row r="42" spans="1:13" x14ac:dyDescent="0.25">
      <c r="A42" s="47"/>
      <c r="B42" s="47"/>
      <c r="D42" s="47"/>
      <c r="E42" s="48" t="s">
        <v>225</v>
      </c>
      <c r="F42" s="47"/>
      <c r="G42" s="48" t="s">
        <v>253</v>
      </c>
      <c r="H42" s="47"/>
      <c r="I42" s="48" t="s">
        <v>226</v>
      </c>
      <c r="J42" s="47"/>
      <c r="K42" s="47"/>
      <c r="L42" s="47"/>
    </row>
    <row r="43" spans="1:13" ht="9.75" customHeight="1" x14ac:dyDescent="0.25">
      <c r="A43" s="47"/>
      <c r="B43" s="47"/>
      <c r="D43" s="47"/>
      <c r="E43" s="49"/>
      <c r="F43" s="47"/>
      <c r="G43" s="49"/>
      <c r="H43" s="47"/>
      <c r="I43" s="49"/>
      <c r="J43" s="47"/>
      <c r="K43" s="47"/>
      <c r="L43" s="47"/>
    </row>
    <row r="44" spans="1:13" x14ac:dyDescent="0.25">
      <c r="B44" s="47" t="s">
        <v>249</v>
      </c>
      <c r="D44" s="47"/>
      <c r="E44" s="50">
        <v>1</v>
      </c>
      <c r="F44" s="47"/>
      <c r="G44" s="51">
        <f>ROUND(G15/24/60,0)</f>
        <v>18482</v>
      </c>
      <c r="H44" s="47"/>
      <c r="I44" s="52">
        <f>ROUND(+G44/G$52,4)+0.0001</f>
        <v>0.32800000000000001</v>
      </c>
      <c r="J44" s="47"/>
      <c r="K44" s="47"/>
      <c r="L44" s="47"/>
      <c r="M44" s="52"/>
    </row>
    <row r="45" spans="1:13" x14ac:dyDescent="0.25">
      <c r="B45" s="47" t="s">
        <v>239</v>
      </c>
      <c r="D45" s="47"/>
      <c r="E45" s="50"/>
      <c r="F45" s="47"/>
      <c r="G45" s="51"/>
      <c r="H45" s="47"/>
      <c r="I45" s="52"/>
      <c r="J45" s="47"/>
      <c r="K45" s="47"/>
      <c r="L45" s="47"/>
      <c r="M45" s="52"/>
    </row>
    <row r="46" spans="1:13" x14ac:dyDescent="0.25">
      <c r="B46" s="47" t="s">
        <v>228</v>
      </c>
      <c r="D46" s="47"/>
      <c r="E46" s="50">
        <v>1.4</v>
      </c>
      <c r="F46" s="51"/>
      <c r="G46" s="51">
        <f>ROUND(+G44*E46,0)</f>
        <v>25875</v>
      </c>
      <c r="H46" s="52"/>
      <c r="I46" s="307">
        <f>ROUND(+G46/G$52,4)</f>
        <v>0.45910000000000001</v>
      </c>
      <c r="J46" s="47"/>
      <c r="K46" s="47"/>
      <c r="L46" s="47"/>
      <c r="M46" s="52"/>
    </row>
    <row r="47" spans="1:13" x14ac:dyDescent="0.25">
      <c r="B47" s="47"/>
      <c r="D47" s="47"/>
      <c r="E47" s="53"/>
      <c r="F47" s="51"/>
      <c r="G47" s="54"/>
      <c r="H47" s="52"/>
      <c r="I47" s="55"/>
      <c r="J47" s="47"/>
      <c r="K47" s="47"/>
      <c r="L47" s="47"/>
      <c r="M47" s="52"/>
    </row>
    <row r="48" spans="1:13" ht="15.6" thickBot="1" x14ac:dyDescent="0.3">
      <c r="B48" s="47" t="s">
        <v>250</v>
      </c>
      <c r="D48" s="47"/>
      <c r="E48" s="205">
        <f>SUM(E44:E47)</f>
        <v>2.4</v>
      </c>
      <c r="F48" s="51"/>
      <c r="G48" s="51">
        <f>SUM(G44:G47)</f>
        <v>44357</v>
      </c>
      <c r="H48" s="52"/>
      <c r="I48" s="52">
        <f>SUM(I44:I47)</f>
        <v>0.78710000000000002</v>
      </c>
      <c r="J48" s="47"/>
      <c r="K48" s="47"/>
      <c r="L48" s="47"/>
      <c r="M48" s="52"/>
    </row>
    <row r="49" spans="1:17" ht="9.75" customHeight="1" thickTop="1" x14ac:dyDescent="0.25">
      <c r="B49" s="47"/>
      <c r="D49" s="47"/>
      <c r="E49" s="170"/>
      <c r="F49" s="51"/>
      <c r="G49" s="51"/>
      <c r="H49" s="57"/>
      <c r="I49" s="52"/>
      <c r="J49" s="47"/>
      <c r="K49" s="47"/>
      <c r="L49" s="47"/>
      <c r="M49" s="52"/>
    </row>
    <row r="50" spans="1:17" x14ac:dyDescent="0.25">
      <c r="B50" s="47" t="s">
        <v>232</v>
      </c>
      <c r="C50" s="47"/>
      <c r="D50" s="47"/>
      <c r="F50" s="47"/>
      <c r="G50" s="51">
        <v>12000</v>
      </c>
      <c r="H50" s="47"/>
      <c r="I50" s="52">
        <f>ROUND(+G50/G$52,4)</f>
        <v>0.21290000000000001</v>
      </c>
      <c r="J50" s="47"/>
      <c r="K50" s="47"/>
      <c r="L50" s="47"/>
      <c r="O50" s="227"/>
    </row>
    <row r="51" spans="1:17" x14ac:dyDescent="0.25">
      <c r="B51" s="47"/>
      <c r="C51" s="47"/>
      <c r="D51" s="47"/>
      <c r="F51" s="47"/>
      <c r="G51" s="49"/>
      <c r="H51" s="47"/>
      <c r="I51" s="55"/>
      <c r="J51" s="47"/>
      <c r="K51" s="47"/>
      <c r="L51" s="47"/>
      <c r="O51" s="227"/>
    </row>
    <row r="52" spans="1:17" ht="15.6" thickBot="1" x14ac:dyDescent="0.3">
      <c r="B52" s="47" t="s">
        <v>229</v>
      </c>
      <c r="C52" s="47"/>
      <c r="D52" s="47"/>
      <c r="F52" s="47"/>
      <c r="G52" s="186">
        <f>SUM(G48:G50)</f>
        <v>56357</v>
      </c>
      <c r="H52" s="47"/>
      <c r="I52" s="52">
        <f>SUM(I48:I50)</f>
        <v>1</v>
      </c>
      <c r="J52" s="47"/>
      <c r="K52" s="47"/>
      <c r="L52" s="47"/>
      <c r="M52" s="52"/>
    </row>
    <row r="53" spans="1:17" ht="12.6" customHeight="1" thickTop="1" x14ac:dyDescent="0.25">
      <c r="A53" s="47"/>
      <c r="B53" s="47"/>
      <c r="C53" s="47"/>
      <c r="D53" s="47"/>
      <c r="E53" s="51"/>
      <c r="F53" s="47"/>
      <c r="G53" s="170"/>
      <c r="H53" s="47"/>
      <c r="I53" s="58"/>
      <c r="J53" s="47"/>
      <c r="K53" s="47"/>
      <c r="L53" s="47"/>
    </row>
    <row r="54" spans="1:17" ht="25.95" customHeight="1" x14ac:dyDescent="0.25">
      <c r="A54" s="749" t="s">
        <v>254</v>
      </c>
      <c r="B54" s="749"/>
      <c r="C54" s="749"/>
      <c r="D54" s="749"/>
      <c r="E54" s="749"/>
      <c r="F54" s="749"/>
      <c r="G54" s="749"/>
      <c r="H54" s="749"/>
      <c r="I54" s="749"/>
      <c r="J54" s="749"/>
      <c r="K54" s="749"/>
      <c r="L54" s="47"/>
    </row>
    <row r="55" spans="1:17" ht="10.199999999999999" customHeight="1" x14ac:dyDescent="0.25">
      <c r="A55" s="47"/>
      <c r="B55" s="47"/>
      <c r="C55" s="47"/>
      <c r="D55" s="47"/>
      <c r="E55" s="47"/>
      <c r="F55" s="47"/>
      <c r="G55" s="47"/>
      <c r="H55" s="47"/>
      <c r="I55" s="47"/>
      <c r="J55" s="47"/>
      <c r="K55" s="47"/>
      <c r="L55" s="47"/>
    </row>
    <row r="56" spans="1:17" x14ac:dyDescent="0.25">
      <c r="A56" s="47"/>
      <c r="B56" s="47"/>
      <c r="C56" s="47"/>
      <c r="D56" s="47"/>
      <c r="E56" s="48" t="s">
        <v>255</v>
      </c>
      <c r="F56" s="47"/>
      <c r="H56" s="47"/>
      <c r="I56" s="47"/>
      <c r="J56" s="47"/>
      <c r="K56" s="47"/>
      <c r="L56" s="47"/>
    </row>
    <row r="57" spans="1:17" x14ac:dyDescent="0.25">
      <c r="A57" s="47"/>
      <c r="B57" s="47"/>
      <c r="C57" s="47"/>
      <c r="D57" s="47"/>
      <c r="E57" s="48" t="s">
        <v>256</v>
      </c>
      <c r="F57" s="47"/>
      <c r="G57" s="45" t="s">
        <v>257</v>
      </c>
      <c r="H57" s="45"/>
      <c r="I57" s="45"/>
      <c r="J57" s="45"/>
      <c r="K57" s="45"/>
      <c r="L57" s="47"/>
    </row>
    <row r="58" spans="1:17" x14ac:dyDescent="0.25">
      <c r="A58" s="45" t="s">
        <v>233</v>
      </c>
      <c r="B58" s="45"/>
      <c r="C58" s="45"/>
      <c r="D58" s="47"/>
      <c r="E58" s="48" t="s">
        <v>204</v>
      </c>
      <c r="F58" s="47"/>
      <c r="G58" s="59"/>
      <c r="H58" s="59"/>
      <c r="I58" s="59" t="s">
        <v>328</v>
      </c>
      <c r="J58" s="59"/>
      <c r="K58" s="59" t="s">
        <v>186</v>
      </c>
      <c r="L58" s="47"/>
    </row>
    <row r="59" spans="1:17" x14ac:dyDescent="0.25">
      <c r="A59" s="45" t="s">
        <v>187</v>
      </c>
      <c r="B59" s="45"/>
      <c r="C59" s="45"/>
      <c r="D59" s="47"/>
      <c r="E59" s="48" t="s">
        <v>328</v>
      </c>
      <c r="F59" s="47"/>
      <c r="G59" s="48" t="s">
        <v>219</v>
      </c>
      <c r="H59" s="48"/>
      <c r="I59" s="48" t="s">
        <v>258</v>
      </c>
      <c r="J59" s="48"/>
      <c r="K59" s="48" t="s">
        <v>188</v>
      </c>
      <c r="L59" s="47"/>
      <c r="O59" s="720"/>
      <c r="P59" s="720"/>
      <c r="Q59" s="720"/>
    </row>
    <row r="60" spans="1:17" x14ac:dyDescent="0.25">
      <c r="A60" s="60" t="s">
        <v>189</v>
      </c>
      <c r="B60" s="60"/>
      <c r="C60" s="60"/>
      <c r="D60" s="47"/>
      <c r="E60" s="59" t="s">
        <v>208</v>
      </c>
      <c r="F60" s="47"/>
      <c r="G60" s="59" t="s">
        <v>191</v>
      </c>
      <c r="H60" s="48"/>
      <c r="I60" s="59" t="s">
        <v>221</v>
      </c>
      <c r="J60" s="48"/>
      <c r="K60" s="59" t="s">
        <v>222</v>
      </c>
      <c r="L60" s="47"/>
      <c r="O60" s="720"/>
      <c r="P60" s="720"/>
      <c r="Q60" s="720"/>
    </row>
    <row r="61" spans="1:17" ht="10.65" customHeight="1" x14ac:dyDescent="0.25">
      <c r="C61" s="47"/>
      <c r="D61" s="47"/>
      <c r="E61" s="47"/>
      <c r="F61" s="47"/>
      <c r="G61" s="47"/>
      <c r="H61" s="47"/>
      <c r="I61" s="47"/>
      <c r="J61" s="47"/>
      <c r="K61" s="47"/>
      <c r="L61" s="47"/>
      <c r="O61" s="720"/>
      <c r="P61" s="720"/>
      <c r="Q61" s="720"/>
    </row>
    <row r="62" spans="1:17" x14ac:dyDescent="0.25">
      <c r="A62" s="2" t="s">
        <v>192</v>
      </c>
      <c r="B62" s="47"/>
      <c r="C62" s="47"/>
      <c r="D62" s="47"/>
      <c r="E62" s="183">
        <f>'SCH-C - F 3-4'!$D$48</f>
        <v>572.4</v>
      </c>
      <c r="F62" s="47"/>
      <c r="G62" s="172">
        <v>2</v>
      </c>
      <c r="H62" s="47"/>
      <c r="I62" s="57">
        <f>ROUND(E62*G62,1)</f>
        <v>1144.8</v>
      </c>
      <c r="J62" s="47"/>
      <c r="K62" s="52">
        <f>ROUND(+I62/I$68,4)</f>
        <v>0.63700000000000001</v>
      </c>
      <c r="L62" s="47"/>
      <c r="O62" s="721"/>
      <c r="P62" s="720"/>
      <c r="Q62" s="722"/>
    </row>
    <row r="63" spans="1:17" x14ac:dyDescent="0.25">
      <c r="A63" s="2" t="s">
        <v>325</v>
      </c>
      <c r="B63" s="47"/>
      <c r="C63" s="47"/>
      <c r="D63" s="47"/>
      <c r="E63" s="183">
        <f>'SCH-C - F 3-4'!$D$49</f>
        <v>314.7</v>
      </c>
      <c r="F63" s="47"/>
      <c r="G63" s="172">
        <v>1.5</v>
      </c>
      <c r="H63" s="47"/>
      <c r="I63" s="57">
        <f>ROUND(E63*G63,1)</f>
        <v>472.1</v>
      </c>
      <c r="J63" s="47"/>
      <c r="K63" s="52">
        <f>ROUND(+I63/I$68,4)</f>
        <v>0.26269999999999999</v>
      </c>
      <c r="L63" s="47"/>
      <c r="O63" s="721"/>
      <c r="P63" s="720"/>
      <c r="Q63" s="722"/>
    </row>
    <row r="64" spans="1:17" x14ac:dyDescent="0.25">
      <c r="A64" s="2" t="s">
        <v>194</v>
      </c>
      <c r="B64" s="47"/>
      <c r="C64" s="47"/>
      <c r="D64" s="47"/>
      <c r="E64" s="183">
        <f>'SCH-C - F 3-4'!$D$50</f>
        <v>121.4</v>
      </c>
      <c r="F64" s="47"/>
      <c r="G64" s="172">
        <v>1</v>
      </c>
      <c r="H64" s="47"/>
      <c r="I64" s="57">
        <f>ROUND(E64*G64,1)</f>
        <v>121.4</v>
      </c>
      <c r="J64" s="47"/>
      <c r="K64" s="52">
        <f>ROUND(+I64/I$68,4)</f>
        <v>6.7599999999999993E-2</v>
      </c>
      <c r="L64" s="47"/>
      <c r="O64" s="720"/>
      <c r="P64" s="720"/>
      <c r="Q64" s="722"/>
    </row>
    <row r="65" spans="1:17" x14ac:dyDescent="0.25">
      <c r="A65" s="2" t="s">
        <v>195</v>
      </c>
      <c r="B65" s="47"/>
      <c r="C65" s="47"/>
      <c r="D65" s="47"/>
      <c r="E65" s="183">
        <f>'SCH-C - F 3-4'!$D$51</f>
        <v>58.8</v>
      </c>
      <c r="F65" s="47"/>
      <c r="G65" s="172">
        <v>1</v>
      </c>
      <c r="H65" s="47"/>
      <c r="I65" s="57">
        <f>ROUND(E65*G65,1)</f>
        <v>58.8</v>
      </c>
      <c r="J65" s="47"/>
      <c r="K65" s="52">
        <f>ROUND(+I65/I$68,4)</f>
        <v>3.27E-2</v>
      </c>
      <c r="L65" s="47"/>
      <c r="O65" s="721"/>
      <c r="P65" s="720"/>
      <c r="Q65" s="722"/>
    </row>
    <row r="66" spans="1:17" x14ac:dyDescent="0.25">
      <c r="A66" s="2" t="s">
        <v>103</v>
      </c>
      <c r="B66" s="47"/>
      <c r="C66" s="47"/>
      <c r="D66" s="47"/>
      <c r="E66" s="183">
        <f>'SCH-C - F 3-4'!$D$52</f>
        <v>0</v>
      </c>
      <c r="F66" s="47"/>
      <c r="G66" s="172">
        <v>1</v>
      </c>
      <c r="H66" s="47"/>
      <c r="I66" s="57">
        <f>ROUND(E66*G66,1)</f>
        <v>0</v>
      </c>
      <c r="J66" s="47"/>
      <c r="K66" s="52">
        <f>ROUND(+I66/I$68,4)</f>
        <v>0</v>
      </c>
      <c r="L66" s="47"/>
      <c r="O66" s="720"/>
      <c r="P66" s="720"/>
      <c r="Q66" s="722"/>
    </row>
    <row r="67" spans="1:17" ht="9.15" customHeight="1" x14ac:dyDescent="0.25">
      <c r="A67" s="47"/>
      <c r="B67" s="47"/>
      <c r="C67" s="47"/>
      <c r="D67" s="47"/>
      <c r="E67" s="169"/>
      <c r="F67" s="47"/>
      <c r="G67" s="47"/>
      <c r="H67" s="47"/>
      <c r="I67" s="61"/>
      <c r="J67" s="47"/>
      <c r="K67" s="49"/>
      <c r="L67" s="47"/>
      <c r="O67" s="720"/>
      <c r="P67" s="720"/>
      <c r="Q67" s="723"/>
    </row>
    <row r="68" spans="1:17" ht="15.6" thickBot="1" x14ac:dyDescent="0.3">
      <c r="A68" s="47" t="s">
        <v>259</v>
      </c>
      <c r="B68" s="47"/>
      <c r="C68" s="47"/>
      <c r="D68" s="47"/>
      <c r="E68" s="183">
        <f>SUM(E62:E67)</f>
        <v>1067.3</v>
      </c>
      <c r="F68" s="57"/>
      <c r="G68" s="57"/>
      <c r="H68" s="57"/>
      <c r="I68" s="183">
        <f>SUM(I62:I67)</f>
        <v>1797.1000000000001</v>
      </c>
      <c r="J68" s="47"/>
      <c r="K68" s="171">
        <f>SUM(K62:K67)</f>
        <v>0.99999999999999989</v>
      </c>
      <c r="L68" s="276"/>
      <c r="O68" s="724"/>
      <c r="P68" s="720"/>
      <c r="Q68" s="722"/>
    </row>
    <row r="69" spans="1:17" ht="15.6" thickTop="1" x14ac:dyDescent="0.25">
      <c r="A69" s="185"/>
      <c r="B69" s="185"/>
      <c r="C69" s="185"/>
      <c r="D69" s="47"/>
      <c r="E69" s="62"/>
      <c r="F69" s="47"/>
      <c r="G69" s="47"/>
      <c r="H69" s="47"/>
      <c r="I69" s="56"/>
      <c r="J69" s="47"/>
      <c r="K69" s="170"/>
      <c r="L69" s="47"/>
      <c r="O69" s="720"/>
      <c r="P69" s="720"/>
      <c r="Q69" s="720"/>
    </row>
    <row r="70" spans="1:17" x14ac:dyDescent="0.25">
      <c r="A70" s="47" t="s">
        <v>260</v>
      </c>
      <c r="B70" s="47"/>
      <c r="C70" s="47"/>
      <c r="D70" s="47"/>
      <c r="E70" s="47"/>
      <c r="F70" s="47"/>
      <c r="G70" s="47"/>
      <c r="H70" s="47"/>
      <c r="I70" s="47"/>
      <c r="J70" s="47"/>
      <c r="K70" s="47"/>
      <c r="L70" s="47"/>
      <c r="O70" s="720"/>
      <c r="P70" s="725"/>
      <c r="Q70" s="720"/>
    </row>
    <row r="71" spans="1:17" ht="11.25" customHeight="1" x14ac:dyDescent="0.25">
      <c r="A71" s="47"/>
      <c r="B71" s="47"/>
      <c r="C71" s="47"/>
      <c r="D71" s="47"/>
      <c r="E71" s="47"/>
      <c r="F71" s="47"/>
      <c r="G71" s="47"/>
      <c r="H71" s="47"/>
      <c r="I71" s="47"/>
      <c r="J71" s="47"/>
      <c r="K71" s="47"/>
      <c r="L71" s="47"/>
      <c r="P71" s="308"/>
    </row>
    <row r="72" spans="1:17" ht="29.25" customHeight="1" x14ac:dyDescent="0.25">
      <c r="A72" s="749"/>
      <c r="B72" s="749"/>
      <c r="C72" s="749"/>
      <c r="D72" s="749"/>
      <c r="E72" s="749"/>
      <c r="F72" s="749"/>
      <c r="G72" s="749"/>
      <c r="H72" s="749"/>
      <c r="I72" s="749"/>
      <c r="J72" s="749"/>
      <c r="K72" s="749"/>
      <c r="L72" s="47"/>
    </row>
    <row r="73" spans="1:17" x14ac:dyDescent="0.25">
      <c r="A73" s="47"/>
      <c r="B73" s="47"/>
      <c r="C73" s="47"/>
      <c r="D73" s="47"/>
      <c r="E73" s="47"/>
      <c r="F73" s="47"/>
      <c r="G73" s="47"/>
      <c r="H73" s="47"/>
      <c r="I73" s="47"/>
      <c r="J73" s="47"/>
      <c r="K73" s="47"/>
      <c r="L73" s="47"/>
    </row>
  </sheetData>
  <mergeCells count="5">
    <mergeCell ref="A72:K72"/>
    <mergeCell ref="A10:K10"/>
    <mergeCell ref="A26:K26"/>
    <mergeCell ref="A39:K39"/>
    <mergeCell ref="A54:K54"/>
  </mergeCells>
  <phoneticPr fontId="13" type="noConversion"/>
  <printOptions horizontalCentered="1"/>
  <pageMargins left="1" right="1" top="1" bottom="0.5" header="0.5" footer="0.5"/>
  <pageSetup orientation="portrait" r:id="rId1"/>
  <headerFooter alignWithMargins="0"/>
  <rowBreaks count="1" manualBreakCount="1">
    <brk id="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AE66"/>
  <sheetViews>
    <sheetView zoomScaleNormal="100" workbookViewId="0">
      <selection activeCell="L16" sqref="L16"/>
    </sheetView>
  </sheetViews>
  <sheetFormatPr defaultColWidth="9.81640625" defaultRowHeight="15" x14ac:dyDescent="0.25"/>
  <cols>
    <col min="1" max="2" width="7.81640625" style="66" customWidth="1"/>
    <col min="3" max="3" width="2.1796875" style="66" customWidth="1"/>
    <col min="4" max="4" width="7.81640625" style="66" customWidth="1"/>
    <col min="5" max="5" width="2.1796875" style="66" customWidth="1"/>
    <col min="6" max="6" width="7.81640625" style="66" customWidth="1"/>
    <col min="7" max="7" width="2.08984375" style="66" customWidth="1"/>
    <col min="8" max="8" width="7.81640625" style="66" customWidth="1"/>
    <col min="9" max="9" width="2.08984375" style="66" customWidth="1"/>
    <col min="10" max="10" width="7.81640625" style="66" customWidth="1"/>
    <col min="11" max="11" width="2.08984375" style="66" customWidth="1"/>
    <col min="12" max="12" width="7.81640625" style="66" customWidth="1"/>
    <col min="13" max="13" width="2.08984375" style="66" customWidth="1"/>
    <col min="14" max="14" width="7.81640625" style="66" customWidth="1"/>
    <col min="15" max="15" width="2.08984375" style="66" customWidth="1"/>
    <col min="16" max="16" width="7.81640625" style="66" customWidth="1"/>
    <col min="17" max="17" width="2.08984375" style="66" customWidth="1"/>
    <col min="18" max="18" width="11.1796875" style="66" customWidth="1"/>
    <col min="19" max="22" width="9.81640625" style="66" customWidth="1"/>
    <col min="23" max="23" width="10.81640625" style="66" customWidth="1"/>
    <col min="24" max="25" width="6.81640625" style="66" customWidth="1"/>
    <col min="26" max="28" width="7.81640625" style="66" customWidth="1"/>
    <col min="29" max="29" width="4.81640625" style="66" customWidth="1"/>
    <col min="30" max="16384" width="9.81640625" style="66"/>
  </cols>
  <sheetData>
    <row r="1" spans="1:31" x14ac:dyDescent="0.25">
      <c r="A1" s="36" t="s">
        <v>51</v>
      </c>
      <c r="B1" s="64"/>
      <c r="C1" s="64"/>
      <c r="D1" s="64"/>
      <c r="E1" s="64"/>
      <c r="F1" s="64"/>
      <c r="G1" s="63"/>
      <c r="H1" s="64"/>
      <c r="I1" s="64"/>
      <c r="J1" s="64"/>
      <c r="K1" s="64"/>
      <c r="L1" s="64"/>
      <c r="M1" s="64"/>
      <c r="N1" s="64"/>
      <c r="O1" s="64"/>
      <c r="P1" s="64"/>
      <c r="Q1" s="64"/>
      <c r="R1" s="64"/>
      <c r="S1" s="65"/>
      <c r="T1" s="65"/>
      <c r="U1" s="65"/>
      <c r="V1" s="65"/>
      <c r="W1" s="65"/>
      <c r="X1" s="65"/>
      <c r="Y1" s="65"/>
      <c r="Z1" s="65"/>
      <c r="AA1" s="65"/>
      <c r="AB1" s="65"/>
      <c r="AC1" s="65"/>
      <c r="AD1" s="65"/>
      <c r="AE1" s="65"/>
    </row>
    <row r="2" spans="1:31" x14ac:dyDescent="0.25">
      <c r="A2" s="36"/>
      <c r="B2" s="64"/>
      <c r="C2" s="64"/>
      <c r="D2" s="64"/>
      <c r="E2" s="64"/>
      <c r="F2" s="64"/>
      <c r="G2" s="63"/>
      <c r="H2" s="64"/>
      <c r="I2" s="64"/>
      <c r="J2" s="64"/>
      <c r="K2" s="64"/>
      <c r="L2" s="64"/>
      <c r="M2" s="64"/>
      <c r="N2" s="64"/>
      <c r="O2" s="64"/>
      <c r="P2" s="64"/>
      <c r="Q2" s="64"/>
      <c r="R2" s="64"/>
      <c r="S2" s="65"/>
      <c r="T2" s="65"/>
      <c r="U2" s="65"/>
      <c r="V2" s="65"/>
      <c r="W2" s="65"/>
      <c r="X2" s="65"/>
      <c r="Y2" s="65"/>
      <c r="Z2" s="65"/>
      <c r="AA2" s="65"/>
      <c r="AB2" s="65"/>
      <c r="AC2" s="65"/>
      <c r="AD2" s="65"/>
      <c r="AE2" s="65"/>
    </row>
    <row r="3" spans="1:31" x14ac:dyDescent="0.25">
      <c r="A3" s="64"/>
      <c r="B3" s="64"/>
      <c r="C3" s="64"/>
      <c r="D3" s="64"/>
      <c r="E3" s="64"/>
      <c r="F3" s="64"/>
      <c r="G3" s="64"/>
      <c r="H3" s="64"/>
      <c r="I3" s="64"/>
      <c r="J3" s="64"/>
      <c r="K3" s="64"/>
      <c r="L3" s="64"/>
      <c r="M3" s="64"/>
      <c r="N3" s="64"/>
      <c r="O3" s="64"/>
      <c r="P3" s="64"/>
      <c r="Q3" s="64"/>
      <c r="R3" s="64"/>
      <c r="S3" s="65"/>
      <c r="T3" s="65"/>
      <c r="U3" s="65"/>
      <c r="V3" s="65"/>
      <c r="W3" s="65"/>
      <c r="X3" s="65"/>
      <c r="Y3" s="65"/>
      <c r="Z3" s="65"/>
      <c r="AA3" s="65"/>
      <c r="AB3" s="65"/>
      <c r="AC3" s="65"/>
      <c r="AD3" s="65"/>
      <c r="AE3" s="65"/>
    </row>
    <row r="4" spans="1:31" x14ac:dyDescent="0.25">
      <c r="A4" s="64" t="s">
        <v>215</v>
      </c>
      <c r="B4" s="64"/>
      <c r="C4" s="64"/>
      <c r="D4" s="63"/>
      <c r="E4" s="64"/>
      <c r="F4" s="64"/>
      <c r="G4" s="64"/>
      <c r="H4" s="64"/>
      <c r="I4" s="64"/>
      <c r="J4" s="64"/>
      <c r="K4" s="64"/>
      <c r="L4" s="64"/>
      <c r="M4" s="64"/>
      <c r="N4" s="64"/>
      <c r="O4" s="64"/>
      <c r="P4" s="64"/>
      <c r="Q4" s="64"/>
      <c r="R4" s="64"/>
      <c r="S4" s="65"/>
      <c r="T4" s="65"/>
      <c r="U4" s="65"/>
      <c r="V4" s="65"/>
      <c r="W4" s="65"/>
      <c r="X4" s="65"/>
      <c r="Y4" s="65"/>
      <c r="Z4" s="65"/>
      <c r="AA4" s="65"/>
      <c r="AB4" s="65"/>
      <c r="AC4" s="65"/>
      <c r="AD4" s="65"/>
      <c r="AE4" s="65"/>
    </row>
    <row r="5" spans="1:31" x14ac:dyDescent="0.25">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row>
    <row r="6" spans="1:31" x14ac:dyDescent="0.25">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row>
    <row r="7" spans="1:31" x14ac:dyDescent="0.25">
      <c r="A7" s="65" t="s">
        <v>261</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row>
    <row r="8" spans="1:31" x14ac:dyDescent="0.25">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row>
    <row r="9" spans="1:31" ht="27.6" customHeight="1" x14ac:dyDescent="0.25">
      <c r="A9" s="750" t="s">
        <v>262</v>
      </c>
      <c r="B9" s="750"/>
      <c r="C9" s="750"/>
      <c r="D9" s="750"/>
      <c r="E9" s="750"/>
      <c r="F9" s="750"/>
      <c r="G9" s="750"/>
      <c r="H9" s="750"/>
      <c r="I9" s="750"/>
      <c r="J9" s="750"/>
      <c r="K9" s="750"/>
      <c r="L9" s="750"/>
      <c r="M9" s="750"/>
      <c r="N9" s="750"/>
      <c r="O9" s="750"/>
      <c r="P9" s="750"/>
      <c r="Q9" s="750"/>
      <c r="R9" s="750"/>
      <c r="S9" s="65"/>
      <c r="T9" s="65"/>
      <c r="U9" s="65"/>
      <c r="V9" s="65"/>
      <c r="W9" s="65"/>
      <c r="X9" s="65"/>
      <c r="Y9" s="65"/>
      <c r="Z9" s="65"/>
      <c r="AA9" s="65"/>
      <c r="AB9" s="65"/>
      <c r="AC9" s="65"/>
      <c r="AD9" s="65"/>
      <c r="AE9" s="65"/>
    </row>
    <row r="10" spans="1:31" x14ac:dyDescent="0.25">
      <c r="A10" s="65"/>
      <c r="B10" s="65"/>
      <c r="C10" s="65"/>
      <c r="D10" s="65"/>
      <c r="E10" s="65"/>
      <c r="F10" s="65"/>
      <c r="G10" s="65"/>
      <c r="H10" s="65"/>
      <c r="I10" s="65"/>
      <c r="K10" s="65"/>
      <c r="L10" s="65"/>
      <c r="M10" s="65"/>
      <c r="N10" s="65"/>
      <c r="O10" s="65"/>
      <c r="P10" s="65"/>
      <c r="Q10" s="65"/>
      <c r="R10" s="65"/>
      <c r="S10" s="65"/>
      <c r="T10" s="65"/>
      <c r="U10" s="65"/>
      <c r="V10" s="65"/>
      <c r="W10" s="65"/>
      <c r="X10" s="65"/>
      <c r="Y10" s="65"/>
      <c r="Z10" s="65"/>
      <c r="AA10" s="65"/>
      <c r="AB10" s="65"/>
      <c r="AC10" s="65"/>
      <c r="AD10" s="65"/>
      <c r="AE10" s="65"/>
    </row>
    <row r="11" spans="1:31" x14ac:dyDescent="0.25">
      <c r="A11" s="65"/>
      <c r="B11" s="65"/>
      <c r="C11" s="65"/>
      <c r="E11" s="65"/>
      <c r="F11" s="65"/>
      <c r="G11" s="65"/>
      <c r="H11" s="65"/>
      <c r="I11" s="65"/>
      <c r="J11" s="64" t="s">
        <v>239</v>
      </c>
      <c r="K11" s="64"/>
      <c r="L11" s="64"/>
      <c r="M11" s="65"/>
      <c r="O11" s="65"/>
      <c r="P11" s="65"/>
      <c r="Q11" s="65"/>
      <c r="R11" s="65"/>
      <c r="S11" s="65"/>
      <c r="T11" s="65"/>
      <c r="U11" s="65"/>
      <c r="V11" s="65"/>
      <c r="W11" s="65"/>
      <c r="X11" s="65"/>
      <c r="Y11" s="65"/>
      <c r="Z11" s="65"/>
      <c r="AA11" s="65"/>
      <c r="AB11" s="65"/>
      <c r="AC11" s="65"/>
      <c r="AD11" s="65"/>
      <c r="AE11" s="65"/>
    </row>
    <row r="12" spans="1:31" x14ac:dyDescent="0.25">
      <c r="A12" s="65"/>
      <c r="B12" s="65"/>
      <c r="C12" s="65"/>
      <c r="D12" s="64" t="s">
        <v>240</v>
      </c>
      <c r="E12" s="64"/>
      <c r="F12" s="64"/>
      <c r="G12" s="64"/>
      <c r="H12" s="64"/>
      <c r="I12" s="65"/>
      <c r="J12" s="64" t="s">
        <v>205</v>
      </c>
      <c r="K12" s="64"/>
      <c r="L12" s="64"/>
      <c r="M12" s="65"/>
      <c r="N12" s="64" t="s">
        <v>232</v>
      </c>
      <c r="O12" s="64"/>
      <c r="P12" s="64"/>
      <c r="Q12" s="65"/>
      <c r="R12" s="65"/>
      <c r="S12" s="65"/>
      <c r="T12" s="65"/>
      <c r="U12" s="65"/>
      <c r="V12" s="65"/>
      <c r="W12" s="65"/>
      <c r="X12" s="65"/>
      <c r="Y12" s="65"/>
      <c r="Z12" s="65"/>
      <c r="AA12" s="65"/>
      <c r="AB12" s="65"/>
      <c r="AC12" s="65"/>
      <c r="AD12" s="65"/>
      <c r="AE12" s="65"/>
    </row>
    <row r="13" spans="1:31" x14ac:dyDescent="0.25">
      <c r="A13" s="64" t="s">
        <v>233</v>
      </c>
      <c r="B13" s="64"/>
      <c r="C13" s="65"/>
      <c r="D13" s="67"/>
      <c r="E13" s="67"/>
      <c r="F13" s="67" t="s">
        <v>186</v>
      </c>
      <c r="G13" s="67"/>
      <c r="H13" s="67" t="s">
        <v>206</v>
      </c>
      <c r="I13" s="68"/>
      <c r="J13" s="67" t="s">
        <v>186</v>
      </c>
      <c r="K13" s="67"/>
      <c r="L13" s="67" t="s">
        <v>206</v>
      </c>
      <c r="M13" s="68"/>
      <c r="N13" s="67" t="s">
        <v>186</v>
      </c>
      <c r="O13" s="67"/>
      <c r="P13" s="67" t="s">
        <v>206</v>
      </c>
      <c r="Q13" s="68"/>
      <c r="R13" s="68" t="s">
        <v>186</v>
      </c>
      <c r="S13" s="65"/>
      <c r="T13" s="65"/>
      <c r="U13" s="65"/>
      <c r="V13" s="65"/>
      <c r="W13" s="65"/>
      <c r="X13" s="65"/>
      <c r="Y13" s="65"/>
      <c r="Z13" s="65"/>
      <c r="AA13" s="65"/>
      <c r="AB13" s="65"/>
      <c r="AC13" s="65"/>
      <c r="AD13" s="65"/>
      <c r="AE13" s="65"/>
    </row>
    <row r="14" spans="1:31" x14ac:dyDescent="0.25">
      <c r="A14" s="64" t="s">
        <v>187</v>
      </c>
      <c r="B14" s="64"/>
      <c r="C14" s="65"/>
      <c r="D14" s="68" t="s">
        <v>328</v>
      </c>
      <c r="E14" s="68"/>
      <c r="F14" s="68" t="s">
        <v>188</v>
      </c>
      <c r="G14" s="68"/>
      <c r="H14" s="68" t="s">
        <v>188</v>
      </c>
      <c r="I14" s="68"/>
      <c r="J14" s="68" t="s">
        <v>188</v>
      </c>
      <c r="K14" s="68"/>
      <c r="L14" s="68" t="s">
        <v>188</v>
      </c>
      <c r="M14" s="68"/>
      <c r="N14" s="68" t="s">
        <v>188</v>
      </c>
      <c r="O14" s="68"/>
      <c r="P14" s="68" t="s">
        <v>188</v>
      </c>
      <c r="Q14" s="68"/>
      <c r="R14" s="68" t="s">
        <v>188</v>
      </c>
      <c r="S14" s="65"/>
      <c r="T14" s="65"/>
      <c r="U14" s="65"/>
      <c r="V14" s="65"/>
      <c r="W14" s="65"/>
      <c r="X14" s="65"/>
      <c r="Y14" s="65"/>
      <c r="Z14" s="65"/>
      <c r="AA14" s="65"/>
      <c r="AB14" s="65"/>
      <c r="AC14" s="65"/>
      <c r="AD14" s="65"/>
      <c r="AE14" s="65"/>
    </row>
    <row r="15" spans="1:31" x14ac:dyDescent="0.25">
      <c r="A15" s="69" t="s">
        <v>189</v>
      </c>
      <c r="B15" s="69"/>
      <c r="C15" s="65"/>
      <c r="D15" s="67" t="s">
        <v>208</v>
      </c>
      <c r="E15" s="65"/>
      <c r="F15" s="67" t="s">
        <v>191</v>
      </c>
      <c r="G15" s="65"/>
      <c r="H15" s="70" t="s">
        <v>241</v>
      </c>
      <c r="I15" s="65"/>
      <c r="J15" s="67" t="s">
        <v>222</v>
      </c>
      <c r="K15" s="65"/>
      <c r="L15" s="70" t="s">
        <v>242</v>
      </c>
      <c r="M15" s="65"/>
      <c r="N15" s="67" t="s">
        <v>243</v>
      </c>
      <c r="O15" s="65"/>
      <c r="P15" s="70" t="s">
        <v>244</v>
      </c>
      <c r="Q15" s="65"/>
      <c r="R15" s="67" t="s">
        <v>245</v>
      </c>
      <c r="S15" s="65"/>
      <c r="T15" s="65"/>
      <c r="U15" s="65"/>
      <c r="V15" s="65"/>
      <c r="W15" s="65"/>
      <c r="X15" s="65"/>
      <c r="Y15" s="65"/>
      <c r="Z15" s="65"/>
      <c r="AA15" s="65"/>
      <c r="AB15" s="65"/>
      <c r="AC15" s="65"/>
      <c r="AD15" s="65"/>
      <c r="AE15" s="65"/>
    </row>
    <row r="16" spans="1:31" x14ac:dyDescent="0.25">
      <c r="A16" s="65"/>
      <c r="B16" s="65"/>
      <c r="C16" s="65"/>
      <c r="D16" s="65"/>
      <c r="E16" s="65"/>
      <c r="F16" s="65"/>
      <c r="G16" s="65"/>
      <c r="H16" s="71">
        <f>'SCH-C - F 5B'!$H$24</f>
        <v>0.30209999999999998</v>
      </c>
      <c r="I16" s="71"/>
      <c r="J16" s="71"/>
      <c r="K16" s="71"/>
      <c r="L16" s="71">
        <f>'SCH-C - F 5B'!$H$27</f>
        <v>0.4229</v>
      </c>
      <c r="M16" s="71"/>
      <c r="N16" s="71"/>
      <c r="O16" s="71"/>
      <c r="P16" s="71">
        <f>'SCH-C - F 5B'!$H$12</f>
        <v>0.27500000000000002</v>
      </c>
      <c r="Q16" s="71"/>
      <c r="R16" s="65"/>
      <c r="S16" s="65"/>
      <c r="T16" s="65"/>
      <c r="U16" s="65"/>
      <c r="V16" s="65"/>
      <c r="W16" s="65"/>
      <c r="X16" s="65"/>
      <c r="Y16" s="65"/>
      <c r="Z16" s="65"/>
      <c r="AA16" s="65"/>
      <c r="AB16" s="65"/>
      <c r="AC16" s="65"/>
      <c r="AD16" s="65"/>
      <c r="AE16" s="65"/>
    </row>
    <row r="17" spans="1:31" x14ac:dyDescent="0.25">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row>
    <row r="18" spans="1:31" x14ac:dyDescent="0.25">
      <c r="A18" s="2" t="s">
        <v>192</v>
      </c>
      <c r="B18" s="65"/>
      <c r="C18" s="65"/>
      <c r="D18" s="214">
        <f>ROUND(('SCH-C - F 1-2'!$G$16/24),1)</f>
        <v>572.4</v>
      </c>
      <c r="E18" s="65"/>
      <c r="F18" s="71">
        <f>ROUND(+D18/$D$25,4)+0.0001</f>
        <v>0.497</v>
      </c>
      <c r="G18" s="65"/>
      <c r="H18" s="72">
        <f>ROUND(F18*$H$16,4)+0.0002</f>
        <v>0.15030000000000002</v>
      </c>
      <c r="I18" s="65"/>
      <c r="J18" s="71">
        <f>+'SCH-C - F 5B'!J38</f>
        <v>0.61070000000000002</v>
      </c>
      <c r="K18" s="65"/>
      <c r="L18" s="73">
        <f>ROUND(J18*$L$16,4)</f>
        <v>0.25829999999999997</v>
      </c>
      <c r="M18" s="65"/>
      <c r="N18" s="71"/>
      <c r="O18" s="65"/>
      <c r="P18" s="71"/>
      <c r="Q18" s="65"/>
      <c r="R18" s="71">
        <f t="shared" ref="R18:R23" si="0">H18+L18+P18</f>
        <v>0.40859999999999996</v>
      </c>
      <c r="S18" s="65"/>
      <c r="T18" s="71"/>
      <c r="U18" s="65"/>
      <c r="V18" s="65"/>
      <c r="W18" s="65"/>
      <c r="X18" s="65"/>
      <c r="Y18" s="65"/>
      <c r="Z18" s="65"/>
      <c r="AA18" s="65"/>
      <c r="AB18" s="65"/>
      <c r="AC18" s="65"/>
      <c r="AD18" s="65"/>
      <c r="AE18" s="65"/>
    </row>
    <row r="19" spans="1:31" x14ac:dyDescent="0.25">
      <c r="A19" s="2" t="s">
        <v>325</v>
      </c>
      <c r="B19" s="65"/>
      <c r="C19" s="65"/>
      <c r="D19" s="214">
        <f>ROUND(('SCH-C - F 1-2'!$G$17/24),1)</f>
        <v>314.7</v>
      </c>
      <c r="E19" s="65"/>
      <c r="F19" s="71">
        <f>ROUND(+D19/$D$25,4)</f>
        <v>0.2732</v>
      </c>
      <c r="G19" s="65"/>
      <c r="H19" s="71">
        <f t="shared" ref="H19:H23" si="1">ROUND(F19*$H$16,4)</f>
        <v>8.2500000000000004E-2</v>
      </c>
      <c r="I19" s="65"/>
      <c r="J19" s="71">
        <f>+'SCH-C - F 5B'!J39</f>
        <v>0.25190000000000001</v>
      </c>
      <c r="K19" s="65"/>
      <c r="L19" s="71">
        <f>ROUND(J19*$L$16,4)</f>
        <v>0.1065</v>
      </c>
      <c r="M19" s="65"/>
      <c r="N19" s="65"/>
      <c r="O19" s="65"/>
      <c r="P19" s="65"/>
      <c r="Q19" s="65"/>
      <c r="R19" s="71">
        <f t="shared" si="0"/>
        <v>0.189</v>
      </c>
      <c r="S19" s="65"/>
      <c r="T19" s="71"/>
      <c r="U19" s="65"/>
      <c r="V19" s="65"/>
      <c r="W19" s="65"/>
      <c r="X19" s="65"/>
      <c r="Y19" s="65"/>
      <c r="Z19" s="65"/>
      <c r="AA19" s="65"/>
      <c r="AB19" s="65"/>
      <c r="AC19" s="65"/>
      <c r="AD19" s="65"/>
      <c r="AE19" s="65"/>
    </row>
    <row r="20" spans="1:31" x14ac:dyDescent="0.25">
      <c r="A20" s="2" t="s">
        <v>194</v>
      </c>
      <c r="B20" s="65"/>
      <c r="C20" s="65"/>
      <c r="D20" s="214">
        <f>ROUND(('SCH-C - F 1-2'!$G$18/24),1)</f>
        <v>121.4</v>
      </c>
      <c r="E20" s="65"/>
      <c r="F20" s="71">
        <f>ROUND(+D20/$D$25,4)</f>
        <v>0.10539999999999999</v>
      </c>
      <c r="G20" s="65"/>
      <c r="H20" s="71">
        <f t="shared" si="1"/>
        <v>3.1800000000000002E-2</v>
      </c>
      <c r="I20" s="65"/>
      <c r="J20" s="71">
        <f>+'SCH-C - F 5B'!J40</f>
        <v>6.4799999999999996E-2</v>
      </c>
      <c r="K20" s="65"/>
      <c r="L20" s="71">
        <f>ROUND(J20*$L$16,4)</f>
        <v>2.7400000000000001E-2</v>
      </c>
      <c r="M20" s="65"/>
      <c r="N20" s="65"/>
      <c r="O20" s="65"/>
      <c r="P20" s="65"/>
      <c r="Q20" s="65"/>
      <c r="R20" s="71">
        <f t="shared" si="0"/>
        <v>5.9200000000000003E-2</v>
      </c>
      <c r="S20" s="65"/>
      <c r="T20" s="71"/>
      <c r="U20" s="65"/>
      <c r="V20" s="65"/>
      <c r="W20" s="65"/>
      <c r="X20" s="65"/>
      <c r="Y20" s="65"/>
      <c r="Z20" s="65"/>
      <c r="AA20" s="65"/>
      <c r="AB20" s="65"/>
      <c r="AC20" s="65"/>
      <c r="AD20" s="65"/>
      <c r="AE20" s="65"/>
    </row>
    <row r="21" spans="1:31" x14ac:dyDescent="0.25">
      <c r="A21" s="2" t="s">
        <v>195</v>
      </c>
      <c r="B21" s="65"/>
      <c r="C21" s="65"/>
      <c r="D21" s="214">
        <f>ROUND(('SCH-C - F 1-2'!$G$19/24),1)</f>
        <v>58.8</v>
      </c>
      <c r="E21" s="65"/>
      <c r="F21" s="71">
        <f>ROUND(+D21/$D$25,4)</f>
        <v>5.0999999999999997E-2</v>
      </c>
      <c r="G21" s="65"/>
      <c r="H21" s="71">
        <f t="shared" si="1"/>
        <v>1.54E-2</v>
      </c>
      <c r="I21" s="65"/>
      <c r="J21" s="71">
        <f>+'SCH-C - F 5B'!J41</f>
        <v>3.1399999999999997E-2</v>
      </c>
      <c r="K21" s="65"/>
      <c r="L21" s="71">
        <f>ROUND(J21*$L$16,4)</f>
        <v>1.3299999999999999E-2</v>
      </c>
      <c r="M21" s="65"/>
      <c r="N21" s="65"/>
      <c r="O21" s="65"/>
      <c r="P21" s="65"/>
      <c r="Q21" s="65"/>
      <c r="R21" s="71">
        <f t="shared" si="0"/>
        <v>2.87E-2</v>
      </c>
      <c r="S21" s="65"/>
      <c r="T21" s="71"/>
      <c r="U21" s="65"/>
      <c r="V21" s="65"/>
      <c r="W21" s="65"/>
      <c r="X21" s="65"/>
      <c r="Y21" s="65"/>
      <c r="Z21" s="65"/>
      <c r="AA21" s="65"/>
      <c r="AB21" s="65"/>
      <c r="AC21" s="65"/>
      <c r="AD21" s="65"/>
      <c r="AE21" s="65"/>
    </row>
    <row r="22" spans="1:31" x14ac:dyDescent="0.25">
      <c r="A22" s="2" t="s">
        <v>103</v>
      </c>
      <c r="B22" s="65"/>
      <c r="C22" s="65"/>
      <c r="D22" s="214">
        <f>ROUND(('SCH-C - F 1-2'!$G$20/24),1)</f>
        <v>77.2</v>
      </c>
      <c r="E22" s="65"/>
      <c r="F22" s="71">
        <f>ROUND(+D22/$D$25,4)</f>
        <v>6.7000000000000004E-2</v>
      </c>
      <c r="G22" s="65"/>
      <c r="H22" s="71">
        <f t="shared" si="1"/>
        <v>2.0199999999999999E-2</v>
      </c>
      <c r="I22" s="65"/>
      <c r="J22" s="71">
        <f>+'SCH-C - F 5B'!J42</f>
        <v>4.1200000000000001E-2</v>
      </c>
      <c r="K22" s="65"/>
      <c r="L22" s="71">
        <f>ROUND(J22*$L$16,4)</f>
        <v>1.7399999999999999E-2</v>
      </c>
      <c r="M22" s="65"/>
      <c r="N22" s="65"/>
      <c r="O22" s="65"/>
      <c r="P22" s="65"/>
      <c r="Q22" s="65"/>
      <c r="R22" s="71">
        <f t="shared" si="0"/>
        <v>3.7599999999999995E-2</v>
      </c>
      <c r="S22" s="65"/>
      <c r="T22" s="71"/>
      <c r="U22" s="65"/>
      <c r="V22" s="65"/>
      <c r="W22" s="65"/>
      <c r="X22" s="65"/>
      <c r="Y22" s="65"/>
      <c r="Z22" s="65"/>
      <c r="AA22" s="65"/>
      <c r="AB22" s="65"/>
      <c r="AC22" s="65"/>
      <c r="AD22" s="65"/>
      <c r="AE22" s="65"/>
    </row>
    <row r="23" spans="1:31" x14ac:dyDescent="0.25">
      <c r="A23" s="65" t="s">
        <v>232</v>
      </c>
      <c r="B23" s="65"/>
      <c r="C23" s="65"/>
      <c r="D23" s="214">
        <f>ROUND(('SCH-C - F 1-2'!$G$21/24),1)</f>
        <v>7.4</v>
      </c>
      <c r="E23" s="65"/>
      <c r="F23" s="71">
        <f>ROUND(+D23/$D$25,4)</f>
        <v>6.4000000000000003E-3</v>
      </c>
      <c r="G23" s="65"/>
      <c r="H23" s="71">
        <f t="shared" si="1"/>
        <v>1.9E-3</v>
      </c>
      <c r="I23" s="65"/>
      <c r="J23" s="65"/>
      <c r="K23" s="65"/>
      <c r="L23" s="65"/>
      <c r="M23" s="65"/>
      <c r="N23" s="71">
        <f>Fire!$O$18</f>
        <v>1</v>
      </c>
      <c r="O23" s="65"/>
      <c r="P23" s="71">
        <f>ROUND(N23*$P$16,4)</f>
        <v>0.27500000000000002</v>
      </c>
      <c r="Q23" s="65"/>
      <c r="R23" s="71">
        <f t="shared" si="0"/>
        <v>0.27690000000000003</v>
      </c>
      <c r="S23" s="65"/>
      <c r="T23" s="71"/>
      <c r="U23" s="65"/>
      <c r="V23" s="65"/>
      <c r="W23" s="65"/>
      <c r="X23" s="65"/>
      <c r="Y23" s="65"/>
      <c r="Z23" s="65"/>
      <c r="AA23" s="65"/>
      <c r="AB23" s="65"/>
      <c r="AC23" s="65"/>
      <c r="AD23" s="65"/>
      <c r="AE23" s="65"/>
    </row>
    <row r="24" spans="1:31" x14ac:dyDescent="0.25">
      <c r="A24" s="65"/>
      <c r="B24" s="65"/>
      <c r="C24" s="65"/>
      <c r="D24" s="215"/>
      <c r="E24" s="65"/>
      <c r="F24" s="74"/>
      <c r="G24" s="65"/>
      <c r="H24" s="74"/>
      <c r="I24" s="65"/>
      <c r="J24" s="74"/>
      <c r="K24" s="65"/>
      <c r="L24" s="74"/>
      <c r="M24" s="65"/>
      <c r="N24" s="74"/>
      <c r="O24" s="65"/>
      <c r="P24" s="74"/>
      <c r="Q24" s="65"/>
      <c r="R24" s="74"/>
      <c r="S24" s="65"/>
      <c r="T24" s="65"/>
      <c r="U24" s="65"/>
      <c r="V24" s="65"/>
      <c r="W24" s="65"/>
      <c r="X24" s="65"/>
      <c r="Y24" s="65"/>
      <c r="Z24" s="65"/>
      <c r="AA24" s="65"/>
      <c r="AB24" s="65"/>
      <c r="AC24" s="65"/>
      <c r="AD24" s="65"/>
      <c r="AE24" s="65"/>
    </row>
    <row r="25" spans="1:31" ht="15.6" thickBot="1" x14ac:dyDescent="0.3">
      <c r="A25" s="65" t="s">
        <v>199</v>
      </c>
      <c r="B25" s="65"/>
      <c r="C25" s="65"/>
      <c r="D25" s="217">
        <f>SUM(D18:D24)</f>
        <v>1151.9000000000001</v>
      </c>
      <c r="E25" s="65"/>
      <c r="F25" s="71">
        <f>SUM(F18:F24)</f>
        <v>1</v>
      </c>
      <c r="G25" s="65"/>
      <c r="H25" s="71">
        <f>SUM(H18:H24)</f>
        <v>0.30210000000000004</v>
      </c>
      <c r="I25" s="65"/>
      <c r="J25" s="71">
        <f>SUM(J18:J24)</f>
        <v>1</v>
      </c>
      <c r="K25" s="65"/>
      <c r="L25" s="71">
        <f>SUM(L18:L24)</f>
        <v>0.42289999999999994</v>
      </c>
      <c r="M25" s="65"/>
      <c r="N25" s="71">
        <f>SUM(N18:N24)</f>
        <v>1</v>
      </c>
      <c r="O25" s="65"/>
      <c r="P25" s="71">
        <f>SUM(P18:P24)</f>
        <v>0.27500000000000002</v>
      </c>
      <c r="Q25" s="65"/>
      <c r="R25" s="71">
        <f>SUM(R18:R24)</f>
        <v>0.99999999999999989</v>
      </c>
      <c r="S25" s="65"/>
      <c r="T25" s="65"/>
      <c r="U25" s="65"/>
      <c r="V25" s="65"/>
      <c r="W25" s="65"/>
      <c r="X25" s="65"/>
      <c r="Y25" s="65"/>
      <c r="Z25" s="65"/>
      <c r="AA25" s="65"/>
      <c r="AB25" s="65"/>
      <c r="AC25" s="65"/>
      <c r="AD25" s="65"/>
      <c r="AE25" s="65"/>
    </row>
    <row r="26" spans="1:31" ht="15.6" thickTop="1" x14ac:dyDescent="0.25">
      <c r="A26" s="65"/>
      <c r="B26" s="65"/>
      <c r="C26" s="65"/>
      <c r="D26" s="216"/>
      <c r="E26" s="65"/>
      <c r="F26" s="75"/>
      <c r="G26" s="65"/>
      <c r="H26" s="75"/>
      <c r="I26" s="65"/>
      <c r="J26" s="75"/>
      <c r="K26" s="65"/>
      <c r="L26" s="75"/>
      <c r="M26" s="65"/>
      <c r="N26" s="75"/>
      <c r="O26" s="65"/>
      <c r="P26" s="75"/>
      <c r="Q26" s="65"/>
      <c r="R26" s="75"/>
      <c r="S26" s="65"/>
      <c r="T26" s="65"/>
      <c r="U26" s="65"/>
      <c r="V26" s="65"/>
      <c r="W26" s="65"/>
      <c r="X26" s="65"/>
      <c r="Y26" s="65"/>
      <c r="Z26" s="65"/>
      <c r="AA26" s="65"/>
      <c r="AB26" s="65"/>
      <c r="AC26" s="65"/>
      <c r="AD26" s="65"/>
      <c r="AE26" s="65"/>
    </row>
    <row r="27" spans="1:31" x14ac:dyDescent="0.2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row>
    <row r="28" spans="1:31" ht="27.15" customHeight="1" x14ac:dyDescent="0.25">
      <c r="A28" s="750" t="s">
        <v>440</v>
      </c>
      <c r="B28" s="750"/>
      <c r="C28" s="750"/>
      <c r="D28" s="750"/>
      <c r="E28" s="750"/>
      <c r="F28" s="750"/>
      <c r="G28" s="750"/>
      <c r="H28" s="750"/>
      <c r="I28" s="750"/>
      <c r="J28" s="750"/>
      <c r="K28" s="750"/>
      <c r="L28" s="750"/>
      <c r="M28" s="750"/>
      <c r="N28" s="750"/>
      <c r="O28" s="750"/>
      <c r="P28" s="750"/>
      <c r="Q28" s="750"/>
      <c r="R28" s="750"/>
      <c r="S28" s="65"/>
      <c r="T28" s="65"/>
      <c r="U28" s="65"/>
      <c r="V28" s="65"/>
      <c r="W28" s="65"/>
      <c r="X28" s="65"/>
      <c r="Y28" s="65"/>
      <c r="Z28" s="65"/>
      <c r="AA28" s="65"/>
      <c r="AB28" s="65"/>
      <c r="AC28" s="65"/>
      <c r="AD28" s="65"/>
      <c r="AE28" s="65"/>
    </row>
    <row r="29" spans="1:31" x14ac:dyDescent="0.25">
      <c r="A29" s="65"/>
      <c r="B29" s="65"/>
      <c r="C29" s="65"/>
      <c r="D29" s="65"/>
      <c r="E29" s="65"/>
      <c r="F29" s="65"/>
      <c r="G29" s="65"/>
      <c r="H29" s="65"/>
      <c r="I29" s="65"/>
      <c r="J29" s="65"/>
      <c r="K29" s="65"/>
      <c r="L29" s="65"/>
      <c r="M29" s="65"/>
      <c r="N29" s="65"/>
      <c r="O29" s="65"/>
      <c r="P29" s="65"/>
      <c r="Q29" s="65"/>
      <c r="R29" s="65"/>
      <c r="S29" s="65"/>
      <c r="T29" s="65"/>
      <c r="U29" s="76"/>
      <c r="V29" s="65"/>
      <c r="W29" s="65"/>
      <c r="X29" s="65"/>
      <c r="Y29" s="65"/>
      <c r="Z29" s="65"/>
      <c r="AA29" s="65"/>
      <c r="AB29" s="65"/>
      <c r="AC29" s="65"/>
      <c r="AD29" s="65"/>
      <c r="AE29" s="65"/>
    </row>
    <row r="30" spans="1:31" x14ac:dyDescent="0.25">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row>
    <row r="31" spans="1:31" x14ac:dyDescent="0.25">
      <c r="A31" s="65"/>
      <c r="B31" s="65"/>
      <c r="C31" s="65"/>
      <c r="D31" s="65"/>
      <c r="E31" s="65"/>
      <c r="F31" s="65"/>
      <c r="G31" s="65"/>
      <c r="H31" s="65"/>
      <c r="I31" s="65"/>
      <c r="J31" s="65"/>
      <c r="K31" s="65"/>
      <c r="L31" s="65"/>
      <c r="M31" s="65"/>
      <c r="N31" s="65"/>
      <c r="O31" s="65"/>
      <c r="P31" s="65"/>
      <c r="Q31" s="65"/>
      <c r="R31" s="65"/>
      <c r="S31" s="65"/>
      <c r="T31" s="65"/>
      <c r="AE31" s="65"/>
    </row>
    <row r="32" spans="1:31" x14ac:dyDescent="0.25">
      <c r="A32" s="65"/>
      <c r="B32" s="65"/>
      <c r="C32" s="65"/>
      <c r="D32" s="65"/>
      <c r="E32" s="65"/>
      <c r="F32" s="65"/>
      <c r="G32" s="65"/>
      <c r="H32" s="65"/>
      <c r="I32" s="65"/>
      <c r="J32" s="65"/>
      <c r="K32" s="65"/>
      <c r="L32" s="65"/>
      <c r="M32" s="65"/>
      <c r="N32" s="65"/>
      <c r="O32" s="65"/>
      <c r="P32" s="65"/>
      <c r="Q32" s="65"/>
      <c r="R32" s="65"/>
      <c r="S32" s="65"/>
      <c r="T32" s="65"/>
      <c r="AE32" s="65"/>
    </row>
    <row r="33" spans="1:31" x14ac:dyDescent="0.25">
      <c r="A33" s="65"/>
      <c r="B33" s="65"/>
      <c r="C33" s="65"/>
      <c r="D33" s="65"/>
      <c r="E33" s="65"/>
      <c r="F33" s="65"/>
      <c r="G33" s="65"/>
      <c r="H33" s="65"/>
      <c r="I33" s="65"/>
      <c r="J33" s="65"/>
      <c r="K33" s="65"/>
      <c r="L33" s="65"/>
      <c r="M33" s="65"/>
      <c r="N33" s="65"/>
      <c r="O33" s="65"/>
      <c r="P33" s="65"/>
      <c r="Q33" s="65"/>
      <c r="R33" s="65"/>
      <c r="S33" s="65"/>
      <c r="T33" s="65"/>
      <c r="AE33" s="65"/>
    </row>
    <row r="34" spans="1:31" x14ac:dyDescent="0.25">
      <c r="A34" s="65"/>
      <c r="B34" s="65"/>
      <c r="C34" s="65"/>
      <c r="D34" s="65"/>
      <c r="E34" s="65"/>
      <c r="F34" s="65"/>
      <c r="G34" s="65"/>
      <c r="H34" s="65"/>
      <c r="I34" s="65"/>
      <c r="J34" s="65"/>
      <c r="K34" s="65"/>
      <c r="L34" s="65"/>
      <c r="M34" s="65"/>
      <c r="N34" s="65"/>
      <c r="O34" s="65"/>
      <c r="P34" s="65"/>
      <c r="Q34" s="65"/>
      <c r="R34" s="65"/>
      <c r="S34" s="65"/>
      <c r="T34" s="65"/>
      <c r="AE34" s="65"/>
    </row>
    <row r="35" spans="1:31" x14ac:dyDescent="0.25">
      <c r="A35" s="65"/>
      <c r="B35" s="65"/>
      <c r="C35" s="65"/>
      <c r="D35" s="65"/>
      <c r="E35" s="65"/>
      <c r="F35" s="65"/>
      <c r="G35" s="65"/>
      <c r="H35" s="65"/>
      <c r="I35" s="65"/>
      <c r="J35" s="65"/>
      <c r="K35" s="65"/>
      <c r="L35" s="65"/>
      <c r="M35" s="65"/>
      <c r="N35" s="65"/>
      <c r="O35" s="65"/>
      <c r="P35" s="65"/>
      <c r="Q35" s="65"/>
      <c r="R35" s="65"/>
      <c r="S35" s="65"/>
      <c r="T35" s="65"/>
      <c r="AE35" s="65"/>
    </row>
    <row r="36" spans="1:31" x14ac:dyDescent="0.25">
      <c r="A36" s="65"/>
      <c r="B36" s="65"/>
      <c r="C36" s="65"/>
      <c r="D36" s="65"/>
      <c r="E36" s="65"/>
      <c r="F36" s="65"/>
      <c r="G36" s="65"/>
      <c r="H36" s="65"/>
      <c r="I36" s="65"/>
      <c r="J36" s="65"/>
      <c r="K36" s="65"/>
      <c r="L36" s="65"/>
      <c r="M36" s="65"/>
      <c r="N36" s="65"/>
      <c r="O36" s="65"/>
      <c r="P36" s="65"/>
      <c r="Q36" s="65"/>
      <c r="R36" s="65"/>
      <c r="S36" s="65"/>
      <c r="T36" s="65"/>
      <c r="AE36" s="65"/>
    </row>
    <row r="37" spans="1:31" x14ac:dyDescent="0.25">
      <c r="A37" s="65"/>
      <c r="B37" s="65"/>
      <c r="C37" s="65"/>
      <c r="D37" s="65"/>
      <c r="E37" s="65"/>
      <c r="F37" s="65"/>
      <c r="G37" s="65"/>
      <c r="H37" s="65"/>
      <c r="I37" s="65"/>
      <c r="J37" s="65"/>
      <c r="K37" s="65"/>
      <c r="L37" s="65"/>
      <c r="M37" s="65"/>
      <c r="N37" s="65"/>
      <c r="O37" s="65"/>
      <c r="P37" s="65"/>
      <c r="Q37" s="65"/>
      <c r="R37" s="65"/>
      <c r="S37" s="65"/>
      <c r="T37" s="65"/>
      <c r="AE37" s="65"/>
    </row>
    <row r="38" spans="1:31" x14ac:dyDescent="0.25">
      <c r="A38" s="65"/>
      <c r="B38" s="65"/>
      <c r="C38" s="65"/>
      <c r="D38" s="65"/>
      <c r="E38" s="65"/>
      <c r="F38" s="65"/>
      <c r="G38" s="65"/>
      <c r="H38" s="65"/>
      <c r="I38" s="65"/>
      <c r="J38" s="65"/>
      <c r="K38" s="65"/>
      <c r="L38" s="65"/>
      <c r="M38" s="65"/>
      <c r="N38" s="65"/>
      <c r="O38" s="65"/>
      <c r="P38" s="65"/>
      <c r="Q38" s="65"/>
      <c r="R38" s="65"/>
      <c r="S38" s="65"/>
      <c r="T38" s="65"/>
      <c r="AE38" s="65"/>
    </row>
    <row r="39" spans="1:31" x14ac:dyDescent="0.25">
      <c r="A39" s="65"/>
      <c r="B39" s="65"/>
      <c r="C39" s="65"/>
      <c r="D39" s="65"/>
      <c r="E39" s="65"/>
      <c r="F39" s="65"/>
      <c r="G39" s="65"/>
      <c r="H39" s="65"/>
      <c r="I39" s="65"/>
      <c r="J39" s="65"/>
      <c r="K39" s="65"/>
      <c r="L39" s="65"/>
      <c r="M39" s="65"/>
      <c r="N39" s="65"/>
      <c r="O39" s="65"/>
      <c r="P39" s="65"/>
      <c r="Q39" s="65"/>
      <c r="R39" s="65"/>
      <c r="S39" s="65"/>
      <c r="T39" s="65"/>
      <c r="AE39" s="65"/>
    </row>
    <row r="40" spans="1:31" x14ac:dyDescent="0.25">
      <c r="A40" s="65"/>
      <c r="B40" s="65"/>
      <c r="C40" s="65"/>
      <c r="D40" s="65"/>
      <c r="E40" s="65"/>
      <c r="F40" s="65"/>
      <c r="G40" s="65"/>
      <c r="H40" s="65"/>
      <c r="I40" s="65"/>
      <c r="J40" s="65"/>
      <c r="K40" s="65"/>
      <c r="L40" s="65"/>
      <c r="M40" s="65"/>
      <c r="N40" s="65"/>
      <c r="O40" s="65"/>
      <c r="P40" s="65"/>
      <c r="Q40" s="65"/>
      <c r="R40" s="65"/>
      <c r="S40" s="65"/>
      <c r="T40" s="65"/>
      <c r="AE40" s="65"/>
    </row>
    <row r="41" spans="1:31" x14ac:dyDescent="0.25">
      <c r="A41" s="65"/>
      <c r="B41" s="65"/>
      <c r="C41" s="65"/>
      <c r="D41" s="65"/>
      <c r="E41" s="65"/>
      <c r="F41" s="65"/>
      <c r="G41" s="65"/>
      <c r="H41" s="65"/>
      <c r="I41" s="65"/>
      <c r="J41" s="65"/>
      <c r="K41" s="65"/>
      <c r="L41" s="65"/>
      <c r="M41" s="65"/>
      <c r="N41" s="65"/>
      <c r="O41" s="65"/>
      <c r="P41" s="65"/>
      <c r="Q41" s="65"/>
      <c r="R41" s="65"/>
      <c r="S41" s="65"/>
      <c r="T41" s="65"/>
      <c r="AE41" s="65"/>
    </row>
    <row r="42" spans="1:31" x14ac:dyDescent="0.25">
      <c r="A42" s="65"/>
      <c r="B42" s="65"/>
      <c r="C42" s="65"/>
      <c r="D42" s="65"/>
      <c r="E42" s="65"/>
      <c r="F42" s="65"/>
      <c r="G42" s="65"/>
      <c r="H42" s="65"/>
      <c r="I42" s="65"/>
      <c r="J42" s="65"/>
      <c r="K42" s="65"/>
      <c r="L42" s="65"/>
      <c r="M42" s="65"/>
      <c r="N42" s="65"/>
      <c r="O42" s="65"/>
      <c r="P42" s="65"/>
      <c r="Q42" s="65"/>
      <c r="R42" s="65"/>
      <c r="S42" s="65"/>
      <c r="T42" s="65"/>
      <c r="AE42" s="65"/>
    </row>
    <row r="43" spans="1:31" x14ac:dyDescent="0.25">
      <c r="A43" s="65"/>
      <c r="B43" s="65"/>
      <c r="C43" s="65"/>
      <c r="D43" s="65"/>
      <c r="E43" s="65"/>
      <c r="F43" s="65"/>
      <c r="G43" s="65"/>
      <c r="H43" s="65"/>
      <c r="I43" s="65"/>
      <c r="J43" s="65"/>
      <c r="K43" s="65"/>
      <c r="L43" s="65"/>
      <c r="M43" s="65"/>
      <c r="N43" s="65"/>
      <c r="O43" s="65"/>
      <c r="P43" s="65"/>
      <c r="Q43" s="65"/>
      <c r="R43" s="65"/>
      <c r="S43" s="65"/>
      <c r="T43" s="65"/>
      <c r="AE43" s="65"/>
    </row>
    <row r="44" spans="1:31" x14ac:dyDescent="0.25">
      <c r="A44" s="65"/>
      <c r="B44" s="65"/>
      <c r="C44" s="65"/>
      <c r="D44" s="65"/>
      <c r="E44" s="65"/>
      <c r="F44" s="65"/>
      <c r="G44" s="65"/>
      <c r="H44" s="65"/>
      <c r="I44" s="65"/>
      <c r="J44" s="65"/>
      <c r="K44" s="65"/>
      <c r="L44" s="65"/>
      <c r="M44" s="65"/>
      <c r="N44" s="65"/>
      <c r="O44" s="65"/>
      <c r="P44" s="65"/>
      <c r="Q44" s="65"/>
      <c r="R44" s="65"/>
      <c r="S44" s="65"/>
      <c r="T44" s="65"/>
      <c r="AE44" s="65"/>
    </row>
    <row r="45" spans="1:31" x14ac:dyDescent="0.25">
      <c r="A45" s="65"/>
      <c r="B45" s="65"/>
      <c r="C45" s="65"/>
      <c r="D45" s="65"/>
      <c r="E45" s="65"/>
      <c r="F45" s="65"/>
      <c r="G45" s="65"/>
      <c r="H45" s="65"/>
      <c r="I45" s="65"/>
      <c r="J45" s="65"/>
      <c r="K45" s="65"/>
      <c r="L45" s="65"/>
      <c r="M45" s="65"/>
      <c r="N45" s="65"/>
      <c r="O45" s="65"/>
      <c r="P45" s="65"/>
      <c r="Q45" s="65"/>
      <c r="R45" s="65"/>
      <c r="S45" s="65"/>
      <c r="T45" s="65"/>
      <c r="AE45" s="65"/>
    </row>
    <row r="46" spans="1:31" x14ac:dyDescent="0.25">
      <c r="A46" s="65"/>
      <c r="B46" s="65"/>
      <c r="C46" s="65"/>
      <c r="D46" s="65"/>
      <c r="E46" s="65"/>
      <c r="F46" s="65"/>
      <c r="G46" s="65"/>
      <c r="H46" s="65"/>
      <c r="I46" s="65"/>
      <c r="J46" s="65"/>
      <c r="K46" s="65"/>
      <c r="L46" s="65"/>
      <c r="M46" s="65"/>
      <c r="N46" s="65"/>
      <c r="O46" s="65"/>
      <c r="P46" s="65"/>
      <c r="Q46" s="65"/>
      <c r="R46" s="65"/>
      <c r="S46" s="65"/>
      <c r="T46" s="65"/>
      <c r="AE46" s="65"/>
    </row>
    <row r="47" spans="1:31" x14ac:dyDescent="0.25">
      <c r="A47" s="65"/>
      <c r="B47" s="65"/>
      <c r="C47" s="65"/>
      <c r="D47" s="65"/>
      <c r="E47" s="65"/>
      <c r="F47" s="65"/>
      <c r="G47" s="65"/>
      <c r="H47" s="65"/>
      <c r="I47" s="65"/>
      <c r="J47" s="65"/>
      <c r="K47" s="65"/>
      <c r="L47" s="65"/>
      <c r="M47" s="65"/>
      <c r="N47" s="65"/>
      <c r="O47" s="65"/>
      <c r="P47" s="65"/>
      <c r="Q47" s="65"/>
      <c r="R47" s="65"/>
      <c r="S47" s="65"/>
      <c r="T47" s="65"/>
      <c r="AE47" s="65"/>
    </row>
    <row r="48" spans="1:31" x14ac:dyDescent="0.25">
      <c r="A48" s="65"/>
      <c r="B48" s="65"/>
      <c r="C48" s="65"/>
      <c r="D48" s="65"/>
      <c r="E48" s="65"/>
      <c r="F48" s="65"/>
      <c r="G48" s="65"/>
      <c r="H48" s="65"/>
      <c r="I48" s="65"/>
      <c r="J48" s="65"/>
      <c r="K48" s="65"/>
      <c r="L48" s="65"/>
      <c r="M48" s="65"/>
      <c r="N48" s="65"/>
      <c r="O48" s="65"/>
      <c r="P48" s="65"/>
      <c r="Q48" s="65"/>
      <c r="R48" s="65"/>
      <c r="S48" s="65"/>
      <c r="T48" s="65"/>
      <c r="AE48" s="65"/>
    </row>
    <row r="49" spans="1:31" x14ac:dyDescent="0.25">
      <c r="A49" s="65"/>
      <c r="B49" s="65"/>
      <c r="C49" s="65"/>
      <c r="D49" s="65"/>
      <c r="E49" s="65"/>
      <c r="F49" s="65"/>
      <c r="G49" s="65"/>
      <c r="H49" s="65"/>
      <c r="I49" s="65"/>
      <c r="J49" s="65"/>
      <c r="K49" s="65"/>
      <c r="L49" s="65"/>
      <c r="M49" s="65"/>
      <c r="N49" s="65"/>
      <c r="O49" s="65"/>
      <c r="P49" s="65"/>
      <c r="Q49" s="65"/>
      <c r="R49" s="65"/>
      <c r="S49" s="65"/>
      <c r="T49" s="65"/>
      <c r="AE49" s="65"/>
    </row>
    <row r="50" spans="1:31" x14ac:dyDescent="0.25">
      <c r="A50" s="65"/>
      <c r="B50" s="65"/>
      <c r="C50" s="65"/>
      <c r="D50" s="65"/>
      <c r="E50" s="65"/>
      <c r="F50" s="65"/>
      <c r="G50" s="65"/>
      <c r="H50" s="65"/>
      <c r="I50" s="65"/>
      <c r="J50" s="65"/>
      <c r="K50" s="65"/>
      <c r="L50" s="65"/>
      <c r="M50" s="65"/>
      <c r="N50" s="65"/>
      <c r="O50" s="65"/>
      <c r="P50" s="65"/>
      <c r="Q50" s="65"/>
      <c r="R50" s="65"/>
      <c r="S50" s="65"/>
      <c r="T50" s="65"/>
      <c r="AE50" s="65"/>
    </row>
    <row r="51" spans="1:31" x14ac:dyDescent="0.25">
      <c r="A51" s="65"/>
      <c r="B51" s="65"/>
      <c r="C51" s="65"/>
      <c r="D51" s="65"/>
      <c r="E51" s="65"/>
      <c r="F51" s="65"/>
      <c r="G51" s="65"/>
      <c r="H51" s="65"/>
      <c r="I51" s="65"/>
      <c r="J51" s="65"/>
      <c r="K51" s="65"/>
      <c r="L51" s="65"/>
      <c r="M51" s="65"/>
      <c r="N51" s="65"/>
      <c r="O51" s="65"/>
      <c r="P51" s="65"/>
      <c r="Q51" s="65"/>
      <c r="R51" s="65"/>
      <c r="S51" s="65"/>
      <c r="T51" s="65"/>
      <c r="AE51" s="65"/>
    </row>
    <row r="52" spans="1:31" x14ac:dyDescent="0.25">
      <c r="A52" s="65"/>
      <c r="B52" s="65"/>
      <c r="C52" s="65"/>
      <c r="D52" s="65"/>
      <c r="E52" s="65"/>
      <c r="F52" s="65"/>
      <c r="G52" s="65"/>
      <c r="H52" s="65"/>
      <c r="I52" s="65"/>
      <c r="J52" s="65"/>
      <c r="K52" s="65"/>
      <c r="L52" s="65"/>
      <c r="M52" s="65"/>
      <c r="N52" s="65"/>
      <c r="O52" s="65"/>
      <c r="P52" s="65"/>
      <c r="Q52" s="65"/>
      <c r="R52" s="65"/>
      <c r="S52" s="65"/>
      <c r="T52" s="65"/>
      <c r="AE52" s="65"/>
    </row>
    <row r="53" spans="1:31" x14ac:dyDescent="0.25">
      <c r="A53" s="65"/>
      <c r="B53" s="65"/>
      <c r="C53" s="65"/>
      <c r="D53" s="65"/>
      <c r="E53" s="65"/>
      <c r="F53" s="65"/>
      <c r="G53" s="65"/>
      <c r="H53" s="65"/>
      <c r="I53" s="65"/>
      <c r="J53" s="65"/>
      <c r="K53" s="65"/>
      <c r="L53" s="65"/>
      <c r="M53" s="65"/>
      <c r="N53" s="65"/>
      <c r="O53" s="65"/>
      <c r="P53" s="65"/>
      <c r="Q53" s="65"/>
      <c r="R53" s="65"/>
      <c r="S53" s="65"/>
      <c r="T53" s="65"/>
      <c r="AE53" s="65"/>
    </row>
    <row r="54" spans="1:31" x14ac:dyDescent="0.25">
      <c r="A54" s="65"/>
      <c r="B54" s="65"/>
      <c r="C54" s="65"/>
      <c r="D54" s="65"/>
      <c r="E54" s="65"/>
      <c r="F54" s="65"/>
      <c r="G54" s="65"/>
      <c r="H54" s="65"/>
      <c r="I54" s="65"/>
      <c r="J54" s="65"/>
      <c r="K54" s="65"/>
      <c r="L54" s="65"/>
      <c r="M54" s="65"/>
      <c r="N54" s="65"/>
      <c r="O54" s="65"/>
      <c r="P54" s="65"/>
      <c r="Q54" s="65"/>
      <c r="R54" s="65"/>
      <c r="S54" s="65"/>
      <c r="T54" s="65"/>
      <c r="AE54" s="65"/>
    </row>
    <row r="55" spans="1:31" x14ac:dyDescent="0.25">
      <c r="A55" s="65"/>
      <c r="B55" s="65"/>
      <c r="C55" s="65"/>
      <c r="D55" s="65"/>
      <c r="E55" s="65"/>
      <c r="F55" s="65"/>
      <c r="G55" s="65"/>
      <c r="H55" s="65"/>
      <c r="I55" s="65"/>
      <c r="J55" s="65"/>
      <c r="K55" s="65"/>
      <c r="L55" s="65"/>
      <c r="M55" s="65"/>
      <c r="N55" s="65"/>
      <c r="O55" s="65"/>
      <c r="P55" s="65"/>
      <c r="Q55" s="65"/>
      <c r="R55" s="65"/>
      <c r="S55" s="65"/>
      <c r="T55" s="65"/>
      <c r="AE55" s="65"/>
    </row>
    <row r="56" spans="1:31" x14ac:dyDescent="0.25">
      <c r="A56" s="65"/>
      <c r="B56" s="65"/>
      <c r="C56" s="65"/>
      <c r="D56" s="65"/>
      <c r="E56" s="65"/>
      <c r="F56" s="65"/>
      <c r="G56" s="65"/>
      <c r="H56" s="65"/>
      <c r="I56" s="65"/>
      <c r="J56" s="65"/>
      <c r="K56" s="65"/>
      <c r="L56" s="65"/>
      <c r="M56" s="65"/>
      <c r="N56" s="65"/>
      <c r="O56" s="65"/>
      <c r="P56" s="65"/>
      <c r="Q56" s="65"/>
      <c r="R56" s="65"/>
      <c r="S56" s="65"/>
      <c r="T56" s="65"/>
      <c r="AE56" s="65"/>
    </row>
    <row r="57" spans="1:31" x14ac:dyDescent="0.25">
      <c r="A57" s="65"/>
      <c r="B57" s="65"/>
      <c r="C57" s="65"/>
      <c r="D57" s="65"/>
      <c r="E57" s="65"/>
      <c r="F57" s="65"/>
      <c r="G57" s="65"/>
      <c r="H57" s="65"/>
      <c r="I57" s="65"/>
      <c r="J57" s="65"/>
      <c r="K57" s="65"/>
      <c r="L57" s="65"/>
      <c r="M57" s="65"/>
      <c r="N57" s="65"/>
      <c r="O57" s="65"/>
      <c r="P57" s="65"/>
      <c r="Q57" s="65"/>
      <c r="R57" s="65"/>
      <c r="S57" s="65"/>
      <c r="T57" s="65"/>
      <c r="AE57" s="65"/>
    </row>
    <row r="58" spans="1:31" x14ac:dyDescent="0.25">
      <c r="A58" s="65"/>
      <c r="B58" s="65"/>
      <c r="C58" s="65"/>
      <c r="D58" s="65"/>
      <c r="E58" s="65"/>
      <c r="F58" s="65"/>
      <c r="G58" s="65"/>
      <c r="H58" s="65"/>
      <c r="I58" s="65"/>
      <c r="J58" s="65"/>
      <c r="K58" s="65"/>
      <c r="L58" s="65"/>
      <c r="M58" s="65"/>
      <c r="N58" s="65"/>
      <c r="O58" s="65"/>
      <c r="P58" s="65"/>
      <c r="Q58" s="65"/>
      <c r="R58" s="65"/>
      <c r="S58" s="65"/>
      <c r="T58" s="65"/>
      <c r="AE58" s="65"/>
    </row>
    <row r="59" spans="1:31" x14ac:dyDescent="0.25">
      <c r="A59" s="65"/>
      <c r="B59" s="65"/>
      <c r="C59" s="65"/>
      <c r="D59" s="65"/>
      <c r="E59" s="65"/>
      <c r="F59" s="65"/>
      <c r="G59" s="65"/>
      <c r="H59" s="65"/>
      <c r="I59" s="65"/>
      <c r="J59" s="65"/>
      <c r="K59" s="65"/>
      <c r="L59" s="65"/>
      <c r="M59" s="65"/>
      <c r="N59" s="65"/>
      <c r="O59" s="65"/>
      <c r="P59" s="65"/>
      <c r="Q59" s="65"/>
      <c r="R59" s="65"/>
      <c r="S59" s="65"/>
      <c r="T59" s="65"/>
      <c r="AE59" s="65"/>
    </row>
    <row r="60" spans="1:31" x14ac:dyDescent="0.25">
      <c r="A60" s="65"/>
      <c r="B60" s="65"/>
      <c r="C60" s="65"/>
      <c r="D60" s="65"/>
      <c r="E60" s="65"/>
      <c r="F60" s="65"/>
      <c r="G60" s="65"/>
      <c r="H60" s="65"/>
      <c r="I60" s="65"/>
      <c r="J60" s="65"/>
      <c r="K60" s="65"/>
      <c r="L60" s="65"/>
      <c r="M60" s="65"/>
      <c r="N60" s="65"/>
      <c r="O60" s="65"/>
      <c r="P60" s="65"/>
      <c r="Q60" s="65"/>
      <c r="R60" s="65"/>
      <c r="S60" s="65"/>
      <c r="T60" s="65"/>
      <c r="AE60" s="65"/>
    </row>
    <row r="61" spans="1:31" x14ac:dyDescent="0.25">
      <c r="A61" s="65"/>
      <c r="B61" s="65"/>
      <c r="C61" s="65"/>
      <c r="D61" s="65"/>
      <c r="E61" s="65"/>
      <c r="F61" s="65"/>
      <c r="G61" s="65"/>
      <c r="H61" s="65"/>
      <c r="I61" s="65"/>
      <c r="J61" s="65"/>
      <c r="K61" s="65"/>
      <c r="L61" s="65"/>
      <c r="M61" s="65"/>
      <c r="N61" s="65"/>
      <c r="O61" s="65"/>
      <c r="P61" s="65"/>
      <c r="Q61" s="65"/>
      <c r="R61" s="65"/>
      <c r="S61" s="65"/>
      <c r="T61" s="65"/>
      <c r="AE61" s="65"/>
    </row>
    <row r="62" spans="1:31" x14ac:dyDescent="0.2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row>
    <row r="63" spans="1:31" x14ac:dyDescent="0.25">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row>
    <row r="64" spans="1:31" x14ac:dyDescent="0.2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row>
    <row r="65" spans="1:31" x14ac:dyDescent="0.2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row>
    <row r="66" spans="1:31" x14ac:dyDescent="0.2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row>
  </sheetData>
  <mergeCells count="2">
    <mergeCell ref="A9:R9"/>
    <mergeCell ref="A28:R28"/>
  </mergeCells>
  <phoneticPr fontId="13" type="noConversion"/>
  <printOptions horizontalCentered="1"/>
  <pageMargins left="0.5" right="0.5" top="1" bottom="0.5"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S46"/>
  <sheetViews>
    <sheetView zoomScaleNormal="100" workbookViewId="0">
      <selection activeCell="N24" sqref="N24"/>
    </sheetView>
  </sheetViews>
  <sheetFormatPr defaultColWidth="9.81640625" defaultRowHeight="15" x14ac:dyDescent="0.25"/>
  <cols>
    <col min="1" max="1" width="5" style="334" customWidth="1"/>
    <col min="2" max="2" width="13.1796875" style="334" customWidth="1"/>
    <col min="3" max="3" width="6.90625" style="334" customWidth="1"/>
    <col min="4" max="4" width="9.81640625" style="334" customWidth="1"/>
    <col min="5" max="5" width="8" style="334" customWidth="1"/>
    <col min="6" max="6" width="9.81640625" style="334" customWidth="1"/>
    <col min="7" max="7" width="2.453125" style="334" customWidth="1"/>
    <col min="8" max="8" width="9.81640625" style="334" customWidth="1"/>
    <col min="9" max="9" width="3.453125" style="334" customWidth="1"/>
    <col min="10" max="15" width="9.81640625" style="334" customWidth="1"/>
    <col min="16" max="16" width="16.1796875" style="334" bestFit="1" customWidth="1"/>
    <col min="17" max="16384" width="9.81640625" style="334"/>
  </cols>
  <sheetData>
    <row r="1" spans="1:17" x14ac:dyDescent="0.25">
      <c r="A1" s="742" t="s">
        <v>51</v>
      </c>
      <c r="B1" s="742"/>
      <c r="C1" s="742"/>
      <c r="D1" s="742"/>
      <c r="E1" s="742"/>
      <c r="F1" s="742"/>
      <c r="G1" s="742"/>
      <c r="H1" s="742"/>
      <c r="I1" s="742"/>
      <c r="J1" s="742"/>
    </row>
    <row r="2" spans="1:17" x14ac:dyDescent="0.25">
      <c r="A2" s="742"/>
      <c r="B2" s="742"/>
      <c r="C2" s="742"/>
      <c r="D2" s="742"/>
      <c r="E2" s="742"/>
      <c r="F2" s="742"/>
      <c r="G2" s="742"/>
      <c r="H2" s="742"/>
      <c r="I2" s="742"/>
      <c r="J2" s="742"/>
      <c r="L2" s="461"/>
      <c r="M2" s="461"/>
      <c r="N2" s="461"/>
      <c r="O2" s="461"/>
      <c r="P2" s="461"/>
      <c r="Q2" s="461"/>
    </row>
    <row r="3" spans="1:17" x14ac:dyDescent="0.25">
      <c r="A3" s="77"/>
      <c r="B3" s="77"/>
      <c r="C3" s="77"/>
      <c r="D3" s="77"/>
      <c r="E3" s="77"/>
      <c r="F3" s="77"/>
      <c r="G3" s="77"/>
      <c r="H3" s="77"/>
      <c r="I3" s="78"/>
      <c r="L3" s="461"/>
      <c r="M3" s="461"/>
      <c r="N3" s="461"/>
      <c r="O3" s="461"/>
      <c r="P3" s="461"/>
      <c r="Q3" s="461"/>
    </row>
    <row r="4" spans="1:17" x14ac:dyDescent="0.25">
      <c r="A4" s="37" t="s">
        <v>215</v>
      </c>
      <c r="B4" s="37"/>
      <c r="C4" s="37"/>
      <c r="D4" s="37"/>
      <c r="E4" s="37"/>
      <c r="F4" s="37"/>
      <c r="G4" s="37"/>
      <c r="H4" s="37"/>
      <c r="I4" s="78"/>
      <c r="P4" s="461"/>
    </row>
    <row r="5" spans="1:17" x14ac:dyDescent="0.25">
      <c r="A5" s="78"/>
      <c r="B5" s="78"/>
      <c r="C5" s="78"/>
      <c r="D5" s="78"/>
      <c r="E5" s="78"/>
      <c r="F5" s="78"/>
      <c r="G5" s="78"/>
      <c r="H5" s="78"/>
      <c r="I5" s="78"/>
    </row>
    <row r="6" spans="1:17" x14ac:dyDescent="0.25">
      <c r="A6" s="78"/>
      <c r="B6" s="78"/>
      <c r="C6" s="78"/>
      <c r="D6" s="78"/>
      <c r="E6" s="78"/>
      <c r="F6" s="78"/>
      <c r="G6" s="78"/>
      <c r="H6" s="78"/>
      <c r="I6" s="78"/>
      <c r="P6" s="355"/>
    </row>
    <row r="7" spans="1:17" x14ac:dyDescent="0.25">
      <c r="A7" s="78" t="s">
        <v>134</v>
      </c>
      <c r="B7" s="78"/>
      <c r="C7" s="78"/>
      <c r="D7" s="78"/>
      <c r="E7" s="78"/>
      <c r="F7" s="78"/>
      <c r="G7" s="78"/>
      <c r="H7" s="78"/>
      <c r="I7" s="78"/>
      <c r="P7" s="355"/>
    </row>
    <row r="8" spans="1:17" x14ac:dyDescent="0.25">
      <c r="A8" s="78"/>
      <c r="B8" s="78"/>
      <c r="C8" s="78"/>
      <c r="D8" s="78"/>
      <c r="E8" s="78"/>
      <c r="F8" s="78"/>
      <c r="G8" s="78"/>
      <c r="H8" s="78"/>
      <c r="I8" s="78"/>
      <c r="P8" s="355"/>
    </row>
    <row r="9" spans="1:17" ht="28.2" customHeight="1" x14ac:dyDescent="0.25">
      <c r="A9" s="753" t="s">
        <v>91</v>
      </c>
      <c r="B9" s="754"/>
      <c r="C9" s="754"/>
      <c r="D9" s="754"/>
      <c r="E9" s="754"/>
      <c r="F9" s="754"/>
      <c r="G9" s="754"/>
      <c r="H9" s="754"/>
      <c r="I9" s="754"/>
      <c r="J9" s="754"/>
      <c r="P9" s="355"/>
    </row>
    <row r="10" spans="1:17" x14ac:dyDescent="0.25">
      <c r="A10" s="78"/>
      <c r="B10" s="78"/>
      <c r="C10" s="78"/>
      <c r="D10" s="78"/>
      <c r="E10" s="78"/>
      <c r="F10" s="78"/>
      <c r="G10" s="78"/>
      <c r="H10" s="78"/>
      <c r="I10" s="78"/>
      <c r="P10" s="355"/>
    </row>
    <row r="11" spans="1:17" x14ac:dyDescent="0.25">
      <c r="A11" s="78"/>
      <c r="B11" s="78"/>
      <c r="C11" s="78"/>
      <c r="E11" s="78"/>
      <c r="F11" s="78"/>
      <c r="G11" s="78"/>
      <c r="H11" s="78"/>
      <c r="I11" s="78"/>
      <c r="L11" s="355"/>
      <c r="M11" s="355"/>
      <c r="P11" s="355"/>
    </row>
    <row r="12" spans="1:17" x14ac:dyDescent="0.25">
      <c r="A12" s="78" t="s">
        <v>265</v>
      </c>
      <c r="B12" s="78"/>
      <c r="C12" s="235">
        <f>+'SCH-C - F 3B 4B'!G50</f>
        <v>12000</v>
      </c>
      <c r="D12" s="229" t="s">
        <v>329</v>
      </c>
      <c r="E12" s="77"/>
      <c r="F12" s="79" t="s">
        <v>266</v>
      </c>
      <c r="H12" s="80">
        <f>ROUND(+C12*60*10/D13,4)</f>
        <v>0.27500000000000002</v>
      </c>
      <c r="I12" s="78"/>
      <c r="L12" s="355"/>
      <c r="M12" s="355"/>
      <c r="P12" s="469"/>
    </row>
    <row r="13" spans="1:17" x14ac:dyDescent="0.25">
      <c r="A13" s="78"/>
      <c r="B13" s="78"/>
      <c r="D13" s="468">
        <v>26179000</v>
      </c>
      <c r="E13" s="82" t="s">
        <v>378</v>
      </c>
      <c r="F13" s="79"/>
      <c r="G13" s="78"/>
      <c r="I13" s="78"/>
    </row>
    <row r="14" spans="1:17" x14ac:dyDescent="0.25">
      <c r="A14" s="78"/>
      <c r="B14" s="78"/>
      <c r="C14" s="78"/>
      <c r="D14" s="78"/>
      <c r="E14" s="78"/>
      <c r="F14" s="79"/>
      <c r="G14" s="78"/>
      <c r="I14" s="78"/>
    </row>
    <row r="15" spans="1:17" x14ac:dyDescent="0.25">
      <c r="A15" s="78" t="s">
        <v>267</v>
      </c>
      <c r="B15" s="78"/>
      <c r="D15" s="80">
        <v>1</v>
      </c>
      <c r="E15" s="79" t="s">
        <v>268</v>
      </c>
      <c r="F15" s="80">
        <f>H12</f>
        <v>0.27500000000000002</v>
      </c>
      <c r="G15" s="81" t="s">
        <v>266</v>
      </c>
      <c r="H15" s="80">
        <f>D15-F15</f>
        <v>0.72499999999999998</v>
      </c>
      <c r="I15" s="78"/>
      <c r="K15" s="348"/>
      <c r="L15" s="461"/>
      <c r="M15" s="461"/>
      <c r="N15" s="461"/>
      <c r="O15" s="461"/>
      <c r="P15" s="461"/>
      <c r="Q15" s="461"/>
    </row>
    <row r="16" spans="1:17" x14ac:dyDescent="0.25">
      <c r="A16" s="78"/>
      <c r="B16" s="78"/>
      <c r="C16" s="78"/>
      <c r="D16" s="78"/>
      <c r="E16" s="78"/>
      <c r="F16" s="78"/>
      <c r="G16" s="78"/>
      <c r="H16" s="78"/>
      <c r="I16" s="78"/>
      <c r="L16" s="461"/>
      <c r="M16" s="461"/>
      <c r="N16" s="461"/>
      <c r="O16" s="461"/>
      <c r="P16" s="461"/>
      <c r="Q16" s="461"/>
    </row>
    <row r="17" spans="1:19" x14ac:dyDescent="0.25">
      <c r="A17" s="78"/>
      <c r="B17" s="78"/>
      <c r="C17" s="78"/>
      <c r="D17" s="78"/>
      <c r="E17" s="78"/>
      <c r="F17" s="78"/>
      <c r="G17" s="78"/>
      <c r="H17" s="78"/>
      <c r="I17" s="78"/>
      <c r="J17" s="283"/>
      <c r="K17" s="283"/>
      <c r="L17" s="283"/>
      <c r="M17" s="283"/>
      <c r="N17" s="283"/>
      <c r="O17" s="283"/>
      <c r="P17" s="283"/>
      <c r="Q17" s="283"/>
      <c r="R17" s="283"/>
      <c r="S17" s="283"/>
    </row>
    <row r="18" spans="1:19" ht="29.25" customHeight="1" x14ac:dyDescent="0.25">
      <c r="A18" s="753" t="s">
        <v>269</v>
      </c>
      <c r="B18" s="753"/>
      <c r="C18" s="753"/>
      <c r="D18" s="753"/>
      <c r="E18" s="753"/>
      <c r="F18" s="753"/>
      <c r="G18" s="753"/>
      <c r="H18" s="753"/>
      <c r="I18" s="78"/>
    </row>
    <row r="19" spans="1:19" x14ac:dyDescent="0.25">
      <c r="A19" s="78"/>
      <c r="B19" s="78"/>
      <c r="C19" s="78"/>
      <c r="D19" s="78"/>
      <c r="E19" s="78"/>
      <c r="F19" s="78"/>
      <c r="G19" s="78"/>
      <c r="H19" s="78"/>
      <c r="I19" s="78"/>
    </row>
    <row r="20" spans="1:19" x14ac:dyDescent="0.25">
      <c r="A20" s="78"/>
      <c r="B20" s="78"/>
      <c r="C20" s="78"/>
      <c r="D20" s="79" t="s">
        <v>223</v>
      </c>
      <c r="E20" s="78"/>
      <c r="F20" s="78"/>
      <c r="G20" s="78"/>
      <c r="H20" s="78"/>
      <c r="I20" s="78"/>
    </row>
    <row r="21" spans="1:19" x14ac:dyDescent="0.25">
      <c r="A21" s="78"/>
      <c r="B21" s="78"/>
      <c r="C21" s="78"/>
      <c r="D21" s="79" t="s">
        <v>270</v>
      </c>
      <c r="E21" s="78"/>
      <c r="F21" s="78"/>
      <c r="G21" s="78"/>
      <c r="H21" s="78"/>
      <c r="I21" s="78"/>
    </row>
    <row r="22" spans="1:19" x14ac:dyDescent="0.25">
      <c r="A22" s="78"/>
      <c r="B22" s="78"/>
      <c r="C22" s="78"/>
      <c r="D22" s="79" t="s">
        <v>225</v>
      </c>
      <c r="E22" s="78"/>
      <c r="F22" s="79" t="s">
        <v>271</v>
      </c>
      <c r="G22" s="78"/>
      <c r="H22" s="79" t="s">
        <v>226</v>
      </c>
      <c r="I22" s="78"/>
    </row>
    <row r="23" spans="1:19" x14ac:dyDescent="0.25">
      <c r="A23" s="78"/>
      <c r="B23" s="78"/>
      <c r="C23" s="78"/>
      <c r="D23" s="82"/>
      <c r="E23" s="78"/>
      <c r="F23" s="82"/>
      <c r="G23" s="78"/>
      <c r="H23" s="82"/>
      <c r="I23" s="78"/>
    </row>
    <row r="24" spans="1:19" x14ac:dyDescent="0.25">
      <c r="A24" s="78"/>
      <c r="B24" s="78" t="s">
        <v>249</v>
      </c>
      <c r="C24" s="78"/>
      <c r="D24" s="83">
        <v>1</v>
      </c>
      <c r="E24" s="78"/>
      <c r="F24" s="83">
        <f>D24/D29*100</f>
        <v>41.666666666666671</v>
      </c>
      <c r="G24" s="78"/>
      <c r="H24" s="80">
        <f>ROUND(F24/100*(1-H12),4)</f>
        <v>0.30209999999999998</v>
      </c>
      <c r="I24" s="78"/>
    </row>
    <row r="25" spans="1:19" x14ac:dyDescent="0.25">
      <c r="A25" s="78"/>
      <c r="B25" s="78"/>
      <c r="C25" s="78"/>
      <c r="D25" s="78"/>
      <c r="E25" s="78"/>
      <c r="F25" s="78"/>
      <c r="G25" s="78"/>
      <c r="H25" s="78"/>
      <c r="I25" s="78"/>
    </row>
    <row r="26" spans="1:19" x14ac:dyDescent="0.25">
      <c r="A26" s="78"/>
      <c r="B26" s="78" t="s">
        <v>205</v>
      </c>
      <c r="C26" s="78"/>
      <c r="D26" s="78"/>
      <c r="E26" s="78"/>
      <c r="F26" s="78"/>
      <c r="G26" s="78"/>
      <c r="H26" s="78"/>
      <c r="I26" s="78"/>
    </row>
    <row r="27" spans="1:19" x14ac:dyDescent="0.25">
      <c r="A27" s="78"/>
      <c r="B27" s="78" t="s">
        <v>272</v>
      </c>
      <c r="C27" s="78"/>
      <c r="D27" s="83">
        <f>'SCH-C - F 3B 4B'!$E$46</f>
        <v>1.4</v>
      </c>
      <c r="E27" s="78"/>
      <c r="F27" s="83">
        <f>D27/D29*100</f>
        <v>58.333333333333336</v>
      </c>
      <c r="G27" s="78"/>
      <c r="H27" s="80">
        <f>ROUND(F27/100*(1-H12),4)</f>
        <v>0.4229</v>
      </c>
      <c r="I27" s="78"/>
    </row>
    <row r="28" spans="1:19" x14ac:dyDescent="0.25">
      <c r="A28" s="78"/>
      <c r="B28" s="78"/>
      <c r="C28" s="78"/>
      <c r="D28" s="84"/>
      <c r="E28" s="78"/>
      <c r="F28" s="84"/>
      <c r="G28" s="78"/>
      <c r="H28" s="84"/>
      <c r="I28" s="78"/>
    </row>
    <row r="29" spans="1:19" ht="15.6" thickBot="1" x14ac:dyDescent="0.3">
      <c r="A29" s="78"/>
      <c r="B29" s="78" t="s">
        <v>229</v>
      </c>
      <c r="C29" s="78"/>
      <c r="D29" s="83">
        <f>SUM(D24:D28)</f>
        <v>2.4</v>
      </c>
      <c r="E29" s="78"/>
      <c r="F29" s="83">
        <f>SUM(F24:F28)</f>
        <v>100</v>
      </c>
      <c r="G29" s="78"/>
      <c r="H29" s="204">
        <f>SUM(H24:H28)</f>
        <v>0.72499999999999998</v>
      </c>
      <c r="I29" s="78"/>
    </row>
    <row r="30" spans="1:19" ht="15.6" thickTop="1" x14ac:dyDescent="0.25">
      <c r="A30" s="78"/>
      <c r="B30" s="78"/>
      <c r="C30" s="78"/>
      <c r="D30" s="85"/>
      <c r="E30" s="78"/>
      <c r="F30" s="85"/>
      <c r="G30" s="78"/>
      <c r="H30" s="203"/>
      <c r="I30" s="78"/>
    </row>
    <row r="32" spans="1:19" x14ac:dyDescent="0.25">
      <c r="A32" s="47"/>
      <c r="B32" s="47"/>
      <c r="C32" s="47"/>
      <c r="D32" s="48" t="s">
        <v>255</v>
      </c>
      <c r="F32" s="47"/>
      <c r="G32" s="228"/>
      <c r="H32" s="47"/>
      <c r="I32" s="47"/>
      <c r="J32" s="47"/>
      <c r="K32" s="47"/>
    </row>
    <row r="33" spans="1:11" x14ac:dyDescent="0.25">
      <c r="A33" s="47"/>
      <c r="B33" s="47"/>
      <c r="C33" s="47"/>
      <c r="D33" s="48" t="s">
        <v>256</v>
      </c>
      <c r="F33" s="45" t="s">
        <v>257</v>
      </c>
      <c r="G33" s="45"/>
      <c r="H33" s="45"/>
      <c r="I33" s="45"/>
      <c r="J33" s="45"/>
    </row>
    <row r="34" spans="1:11" x14ac:dyDescent="0.25">
      <c r="A34" s="751" t="s">
        <v>233</v>
      </c>
      <c r="B34" s="751"/>
      <c r="C34" s="45"/>
      <c r="D34" s="48" t="s">
        <v>204</v>
      </c>
      <c r="F34" s="59"/>
      <c r="G34" s="59"/>
      <c r="H34" s="59" t="s">
        <v>328</v>
      </c>
      <c r="I34" s="59"/>
      <c r="J34" s="59" t="s">
        <v>186</v>
      </c>
    </row>
    <row r="35" spans="1:11" x14ac:dyDescent="0.25">
      <c r="A35" s="752" t="s">
        <v>187</v>
      </c>
      <c r="B35" s="752"/>
      <c r="C35" s="78"/>
      <c r="D35" s="48" t="s">
        <v>328</v>
      </c>
      <c r="F35" s="48" t="s">
        <v>219</v>
      </c>
      <c r="G35" s="48"/>
      <c r="H35" s="48" t="s">
        <v>258</v>
      </c>
      <c r="I35" s="48"/>
      <c r="J35" s="48" t="s">
        <v>188</v>
      </c>
    </row>
    <row r="36" spans="1:11" x14ac:dyDescent="0.25">
      <c r="A36" s="60" t="s">
        <v>189</v>
      </c>
      <c r="B36" s="60"/>
      <c r="D36" s="59" t="s">
        <v>208</v>
      </c>
      <c r="F36" s="59" t="s">
        <v>191</v>
      </c>
      <c r="G36" s="48"/>
      <c r="H36" s="59" t="s">
        <v>221</v>
      </c>
      <c r="I36" s="48"/>
      <c r="J36" s="59" t="s">
        <v>222</v>
      </c>
    </row>
    <row r="37" spans="1:11" x14ac:dyDescent="0.25">
      <c r="A37" s="228"/>
      <c r="B37" s="228"/>
      <c r="C37" s="47"/>
      <c r="D37" s="47"/>
      <c r="F37" s="47"/>
      <c r="G37" s="47"/>
      <c r="H37" s="47"/>
      <c r="I37" s="47"/>
      <c r="J37" s="47"/>
    </row>
    <row r="38" spans="1:11" x14ac:dyDescent="0.25">
      <c r="A38" s="2" t="s">
        <v>192</v>
      </c>
      <c r="B38" s="47"/>
      <c r="C38" s="47"/>
      <c r="D38" s="183">
        <f>+'SCH-C - F 5'!D18</f>
        <v>572.4</v>
      </c>
      <c r="F38" s="172">
        <f>+'SCH-C - F 3B 4B'!G62</f>
        <v>2</v>
      </c>
      <c r="G38" s="47"/>
      <c r="H38" s="57">
        <f>ROUND(D38*F38,1)</f>
        <v>1144.8</v>
      </c>
      <c r="I38" s="47"/>
      <c r="J38" s="52">
        <f>ROUND(+H38/H$44,4)-0.0001</f>
        <v>0.61070000000000002</v>
      </c>
    </row>
    <row r="39" spans="1:11" x14ac:dyDescent="0.25">
      <c r="A39" s="2" t="s">
        <v>325</v>
      </c>
      <c r="B39" s="47"/>
      <c r="C39" s="47"/>
      <c r="D39" s="183">
        <f>+'SCH-C - F 5'!D19</f>
        <v>314.7</v>
      </c>
      <c r="F39" s="172">
        <f>+'SCH-C - F 3B 4B'!G63</f>
        <v>1.5</v>
      </c>
      <c r="G39" s="47"/>
      <c r="H39" s="57">
        <f>ROUND(D39*F39,1)</f>
        <v>472.1</v>
      </c>
      <c r="I39" s="47"/>
      <c r="J39" s="52">
        <f>ROUND(+H39/H$44,4)</f>
        <v>0.25190000000000001</v>
      </c>
    </row>
    <row r="40" spans="1:11" x14ac:dyDescent="0.25">
      <c r="A40" s="2" t="s">
        <v>194</v>
      </c>
      <c r="B40" s="47"/>
      <c r="C40" s="47"/>
      <c r="D40" s="183">
        <f>+'SCH-C - F 5'!D20</f>
        <v>121.4</v>
      </c>
      <c r="F40" s="172">
        <f>+'SCH-C - F 3B 4B'!G64</f>
        <v>1</v>
      </c>
      <c r="G40" s="47"/>
      <c r="H40" s="57">
        <f>ROUND(D40*F40,1)</f>
        <v>121.4</v>
      </c>
      <c r="I40" s="47"/>
      <c r="J40" s="52">
        <f>ROUND(+H40/H$44,4)</f>
        <v>6.4799999999999996E-2</v>
      </c>
    </row>
    <row r="41" spans="1:11" x14ac:dyDescent="0.25">
      <c r="A41" s="2" t="s">
        <v>195</v>
      </c>
      <c r="B41" s="47"/>
      <c r="C41" s="47"/>
      <c r="D41" s="183">
        <f>+'SCH-C - F 5'!D21</f>
        <v>58.8</v>
      </c>
      <c r="F41" s="172">
        <f>+'SCH-C - F 3B 4B'!G65</f>
        <v>1</v>
      </c>
      <c r="G41" s="47"/>
      <c r="H41" s="57">
        <f>ROUND(D41*F41,1)</f>
        <v>58.8</v>
      </c>
      <c r="I41" s="47"/>
      <c r="J41" s="52">
        <f>ROUND(+H41/H$44,4)</f>
        <v>3.1399999999999997E-2</v>
      </c>
    </row>
    <row r="42" spans="1:11" x14ac:dyDescent="0.25">
      <c r="A42" s="2" t="s">
        <v>103</v>
      </c>
      <c r="B42" s="47"/>
      <c r="C42" s="47"/>
      <c r="D42" s="183">
        <f>+'SCH-C - F 5'!D22</f>
        <v>77.2</v>
      </c>
      <c r="F42" s="172">
        <f>+'SCH-C - F 3B 4B'!G66</f>
        <v>1</v>
      </c>
      <c r="G42" s="47"/>
      <c r="H42" s="57">
        <f>ROUND(D42*F42,1)</f>
        <v>77.2</v>
      </c>
      <c r="I42" s="47"/>
      <c r="J42" s="52">
        <f>ROUND(+H42/H$44,4)</f>
        <v>4.1200000000000001E-2</v>
      </c>
    </row>
    <row r="43" spans="1:11" x14ac:dyDescent="0.25">
      <c r="A43" s="47"/>
      <c r="B43" s="47"/>
      <c r="C43" s="47"/>
      <c r="D43" s="169"/>
      <c r="F43" s="47"/>
      <c r="G43" s="47"/>
      <c r="H43" s="61"/>
      <c r="I43" s="47"/>
      <c r="J43" s="49"/>
    </row>
    <row r="44" spans="1:11" ht="15.6" thickBot="1" x14ac:dyDescent="0.3">
      <c r="A44" s="47" t="s">
        <v>259</v>
      </c>
      <c r="B44" s="47"/>
      <c r="C44" s="47"/>
      <c r="D44" s="284">
        <f>SUM(D38:D43)</f>
        <v>1144.5</v>
      </c>
      <c r="F44" s="57"/>
      <c r="G44" s="57"/>
      <c r="H44" s="284">
        <f>SUM(H38:H43)</f>
        <v>1874.3000000000002</v>
      </c>
      <c r="I44" s="47"/>
      <c r="J44" s="171">
        <f>SUM(J38:J43)</f>
        <v>1</v>
      </c>
    </row>
    <row r="45" spans="1:11" ht="15.6" thickTop="1" x14ac:dyDescent="0.25">
      <c r="A45" s="228"/>
      <c r="B45" s="228"/>
      <c r="C45" s="228"/>
      <c r="D45" s="228"/>
      <c r="E45" s="228"/>
      <c r="F45" s="228"/>
      <c r="G45" s="228"/>
      <c r="H45" s="228"/>
      <c r="I45" s="228"/>
      <c r="J45" s="228"/>
      <c r="K45" s="228"/>
    </row>
    <row r="46" spans="1:11" x14ac:dyDescent="0.25">
      <c r="A46" s="47" t="s">
        <v>260</v>
      </c>
    </row>
  </sheetData>
  <mergeCells count="6">
    <mergeCell ref="A34:B34"/>
    <mergeCell ref="A35:B35"/>
    <mergeCell ref="A1:J1"/>
    <mergeCell ref="A2:J2"/>
    <mergeCell ref="A9:J9"/>
    <mergeCell ref="A18:H18"/>
  </mergeCells>
  <phoneticPr fontId="13" type="noConversion"/>
  <printOptions horizontalCentered="1"/>
  <pageMargins left="1" right="1" top="1" bottom="0.5" header="0.5" footer="0.5"/>
  <pageSetup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Y89"/>
  <sheetViews>
    <sheetView zoomScaleNormal="100" workbookViewId="0">
      <selection activeCell="P23" sqref="P23"/>
    </sheetView>
  </sheetViews>
  <sheetFormatPr defaultColWidth="9.81640625" defaultRowHeight="15" x14ac:dyDescent="0.25"/>
  <cols>
    <col min="1" max="2" width="7.81640625" style="175" customWidth="1"/>
    <col min="3" max="3" width="1.81640625" style="175" customWidth="1"/>
    <col min="4" max="4" width="7.81640625" style="175" customWidth="1"/>
    <col min="5" max="5" width="1.1796875" style="175" customWidth="1"/>
    <col min="6" max="6" width="7.81640625" style="175" customWidth="1"/>
    <col min="7" max="7" width="1.1796875" style="175" customWidth="1"/>
    <col min="8" max="8" width="8.453125" style="175" customWidth="1"/>
    <col min="9" max="9" width="1.1796875" style="175" customWidth="1"/>
    <col min="10" max="10" width="7.81640625" style="175" customWidth="1"/>
    <col min="11" max="11" width="1.1796875" style="175" customWidth="1"/>
    <col min="12" max="12" width="7.81640625" style="175" customWidth="1"/>
    <col min="13" max="13" width="1.1796875" style="175" customWidth="1"/>
    <col min="14" max="14" width="7.81640625" style="175" customWidth="1"/>
    <col min="15" max="15" width="1.1796875" style="175" customWidth="1"/>
    <col min="16" max="16" width="7.81640625" style="175" customWidth="1"/>
    <col min="17" max="18" width="9.81640625" style="175" customWidth="1"/>
    <col min="19" max="19" width="12.1796875" style="175" customWidth="1"/>
    <col min="20" max="20" width="12.36328125" style="175" customWidth="1"/>
    <col min="21" max="21" width="11.453125" style="175" customWidth="1"/>
    <col min="22" max="16384" width="9.81640625" style="175"/>
  </cols>
  <sheetData>
    <row r="1" spans="1:25" x14ac:dyDescent="0.25">
      <c r="A1" s="36" t="s">
        <v>51</v>
      </c>
      <c r="B1" s="86"/>
      <c r="C1" s="86"/>
      <c r="D1" s="87"/>
      <c r="E1" s="87"/>
      <c r="F1" s="87"/>
      <c r="G1" s="87"/>
      <c r="H1" s="87"/>
      <c r="I1" s="87"/>
      <c r="J1" s="87"/>
      <c r="K1" s="87"/>
      <c r="L1" s="87"/>
      <c r="M1" s="87"/>
      <c r="N1" s="87"/>
      <c r="O1" s="87"/>
      <c r="P1" s="87"/>
      <c r="Q1" s="346"/>
      <c r="R1" s="346"/>
      <c r="S1" s="346"/>
      <c r="T1" s="346"/>
      <c r="U1" s="346"/>
      <c r="V1" s="346"/>
    </row>
    <row r="2" spans="1:25" x14ac:dyDescent="0.25">
      <c r="A2" s="36"/>
      <c r="B2" s="86"/>
      <c r="C2" s="86"/>
      <c r="D2" s="87"/>
      <c r="E2" s="87"/>
      <c r="F2" s="87"/>
      <c r="G2" s="87"/>
      <c r="H2" s="87"/>
      <c r="I2" s="87"/>
      <c r="J2" s="87"/>
      <c r="K2" s="87"/>
      <c r="L2" s="87"/>
      <c r="M2" s="87"/>
      <c r="N2" s="87"/>
      <c r="O2" s="87"/>
      <c r="P2" s="87"/>
      <c r="Q2" s="346"/>
      <c r="R2" s="346"/>
      <c r="S2" s="346"/>
      <c r="T2" s="346"/>
      <c r="U2" s="346"/>
      <c r="V2" s="346"/>
    </row>
    <row r="3" spans="1:25" x14ac:dyDescent="0.25">
      <c r="A3" s="87"/>
      <c r="B3" s="87"/>
      <c r="C3" s="87"/>
      <c r="D3" s="87"/>
      <c r="E3" s="87"/>
      <c r="F3" s="87"/>
      <c r="G3" s="87"/>
      <c r="H3" s="87"/>
      <c r="I3" s="87"/>
      <c r="J3" s="87"/>
      <c r="K3" s="87"/>
      <c r="L3" s="87"/>
      <c r="M3" s="87"/>
      <c r="N3" s="87"/>
      <c r="O3" s="87"/>
      <c r="P3" s="87"/>
      <c r="Q3" s="346"/>
      <c r="R3" s="346"/>
      <c r="S3" s="346"/>
      <c r="T3" s="346"/>
      <c r="U3" s="346"/>
      <c r="V3" s="346"/>
    </row>
    <row r="4" spans="1:25" x14ac:dyDescent="0.25">
      <c r="A4" s="87" t="s">
        <v>215</v>
      </c>
      <c r="B4" s="87"/>
      <c r="C4" s="87"/>
      <c r="D4" s="87"/>
      <c r="E4" s="87"/>
      <c r="F4" s="87"/>
      <c r="G4" s="87"/>
      <c r="H4" s="87"/>
      <c r="I4" s="87"/>
      <c r="J4" s="87"/>
      <c r="K4" s="87"/>
      <c r="L4" s="87"/>
      <c r="M4" s="87"/>
      <c r="N4" s="87"/>
      <c r="O4" s="87"/>
      <c r="P4" s="87"/>
      <c r="Q4" s="346"/>
      <c r="R4" s="346"/>
      <c r="S4" s="346"/>
      <c r="T4" s="346"/>
      <c r="U4" s="346"/>
      <c r="V4" s="346"/>
    </row>
    <row r="5" spans="1:25" x14ac:dyDescent="0.25">
      <c r="A5" s="88"/>
      <c r="B5" s="88"/>
      <c r="C5" s="88"/>
      <c r="D5" s="88"/>
      <c r="E5" s="88"/>
      <c r="F5" s="88"/>
      <c r="G5" s="88"/>
      <c r="H5" s="88"/>
      <c r="I5" s="88"/>
      <c r="J5" s="88"/>
      <c r="K5" s="88"/>
      <c r="L5" s="88"/>
      <c r="M5" s="88"/>
      <c r="N5" s="88"/>
      <c r="O5" s="88"/>
      <c r="P5" s="88"/>
      <c r="Q5" s="346"/>
      <c r="R5" s="346"/>
      <c r="S5" s="346"/>
      <c r="T5" s="346"/>
      <c r="U5" s="346"/>
      <c r="V5" s="346"/>
    </row>
    <row r="6" spans="1:25" x14ac:dyDescent="0.25">
      <c r="A6" s="88"/>
      <c r="B6" s="88"/>
      <c r="C6" s="88"/>
      <c r="D6" s="88"/>
      <c r="E6" s="88"/>
      <c r="F6" s="88"/>
      <c r="G6" s="88"/>
      <c r="H6" s="88"/>
      <c r="I6" s="88"/>
      <c r="J6" s="88"/>
      <c r="K6" s="88"/>
      <c r="L6" s="88"/>
      <c r="M6" s="88"/>
      <c r="N6" s="88"/>
      <c r="O6" s="88"/>
      <c r="P6" s="88"/>
      <c r="Q6" s="346"/>
      <c r="R6" s="346"/>
      <c r="S6" s="346"/>
      <c r="T6" s="346"/>
      <c r="U6" s="346"/>
      <c r="V6" s="346"/>
    </row>
    <row r="7" spans="1:25" x14ac:dyDescent="0.25">
      <c r="A7" s="88" t="s">
        <v>342</v>
      </c>
      <c r="B7" s="88"/>
      <c r="C7" s="88"/>
      <c r="D7" s="88"/>
      <c r="E7" s="88"/>
      <c r="F7" s="88"/>
      <c r="G7" s="88"/>
      <c r="H7" s="88"/>
      <c r="I7" s="88"/>
      <c r="J7" s="88"/>
      <c r="K7" s="88"/>
      <c r="L7" s="88"/>
      <c r="M7" s="88"/>
      <c r="N7" s="88"/>
      <c r="O7" s="88"/>
      <c r="P7" s="88"/>
    </row>
    <row r="8" spans="1:25" x14ac:dyDescent="0.25">
      <c r="A8" s="88"/>
      <c r="B8" s="88"/>
      <c r="C8" s="88"/>
      <c r="D8" s="88"/>
      <c r="E8" s="88"/>
      <c r="F8" s="88"/>
      <c r="G8" s="88"/>
      <c r="H8" s="88"/>
      <c r="I8" s="88"/>
      <c r="J8" s="88"/>
      <c r="K8" s="88"/>
      <c r="L8" s="88"/>
      <c r="M8" s="88"/>
      <c r="N8" s="88"/>
      <c r="O8" s="88"/>
      <c r="P8" s="88"/>
    </row>
    <row r="9" spans="1:25" ht="30.15" customHeight="1" x14ac:dyDescent="0.25">
      <c r="A9" s="755" t="s">
        <v>0</v>
      </c>
      <c r="B9" s="755"/>
      <c r="C9" s="755"/>
      <c r="D9" s="755"/>
      <c r="E9" s="755"/>
      <c r="F9" s="755"/>
      <c r="G9" s="755"/>
      <c r="H9" s="755"/>
      <c r="I9" s="755"/>
      <c r="J9" s="755"/>
      <c r="K9" s="755"/>
      <c r="L9" s="755"/>
      <c r="M9" s="755"/>
      <c r="N9" s="755"/>
      <c r="O9" s="755"/>
      <c r="P9" s="755"/>
    </row>
    <row r="10" spans="1:25" x14ac:dyDescent="0.25">
      <c r="A10" s="88"/>
      <c r="B10" s="88"/>
      <c r="C10" s="88"/>
      <c r="D10" s="88"/>
      <c r="E10" s="88"/>
      <c r="F10" s="88"/>
      <c r="G10" s="88"/>
      <c r="H10" s="88"/>
      <c r="I10" s="88"/>
      <c r="J10" s="88"/>
      <c r="K10" s="88"/>
      <c r="L10" s="88"/>
      <c r="M10" s="88"/>
      <c r="N10" s="88"/>
      <c r="O10" s="88"/>
      <c r="P10" s="88"/>
    </row>
    <row r="11" spans="1:25" x14ac:dyDescent="0.25">
      <c r="A11" s="88"/>
      <c r="B11" s="88"/>
      <c r="C11" s="88"/>
      <c r="F11" s="87" t="s">
        <v>273</v>
      </c>
      <c r="G11" s="87"/>
      <c r="H11" s="87"/>
      <c r="I11" s="88"/>
      <c r="J11" s="87" t="s">
        <v>274</v>
      </c>
      <c r="K11" s="87"/>
      <c r="L11" s="87"/>
      <c r="M11" s="88"/>
      <c r="N11" s="88"/>
    </row>
    <row r="12" spans="1:25" x14ac:dyDescent="0.25">
      <c r="B12" s="88"/>
      <c r="C12" s="88"/>
      <c r="F12" s="87" t="s">
        <v>455</v>
      </c>
      <c r="G12" s="87"/>
      <c r="H12" s="87"/>
      <c r="I12" s="88"/>
      <c r="J12" s="87" t="s">
        <v>204</v>
      </c>
      <c r="K12" s="87"/>
      <c r="L12" s="87"/>
      <c r="M12" s="88"/>
      <c r="N12" s="88"/>
    </row>
    <row r="13" spans="1:25" x14ac:dyDescent="0.25">
      <c r="B13" s="87" t="s">
        <v>184</v>
      </c>
      <c r="C13" s="87"/>
      <c r="D13" s="86"/>
      <c r="F13" s="89" t="s">
        <v>186</v>
      </c>
      <c r="G13" s="89"/>
      <c r="H13" s="89" t="s">
        <v>206</v>
      </c>
      <c r="I13" s="90"/>
      <c r="J13" s="89" t="s">
        <v>186</v>
      </c>
      <c r="K13" s="89"/>
      <c r="L13" s="89" t="s">
        <v>206</v>
      </c>
      <c r="M13" s="90"/>
      <c r="N13" s="90" t="s">
        <v>186</v>
      </c>
    </row>
    <row r="14" spans="1:25" x14ac:dyDescent="0.25">
      <c r="B14" s="87" t="s">
        <v>187</v>
      </c>
      <c r="C14" s="87"/>
      <c r="D14" s="86"/>
      <c r="F14" s="90" t="s">
        <v>275</v>
      </c>
      <c r="G14" s="90"/>
      <c r="H14" s="90" t="s">
        <v>188</v>
      </c>
      <c r="I14" s="90"/>
      <c r="J14" s="90" t="s">
        <v>276</v>
      </c>
      <c r="K14" s="90"/>
      <c r="L14" s="90" t="s">
        <v>188</v>
      </c>
      <c r="M14" s="90"/>
      <c r="N14" s="90" t="s">
        <v>188</v>
      </c>
      <c r="Y14" s="175" t="s">
        <v>186</v>
      </c>
    </row>
    <row r="15" spans="1:25" x14ac:dyDescent="0.25">
      <c r="B15" s="91" t="s">
        <v>189</v>
      </c>
      <c r="C15" s="91"/>
      <c r="D15" s="98"/>
      <c r="F15" s="89" t="s">
        <v>208</v>
      </c>
      <c r="G15" s="88"/>
      <c r="H15" s="92" t="s">
        <v>277</v>
      </c>
      <c r="I15" s="88"/>
      <c r="J15" s="89" t="s">
        <v>210</v>
      </c>
      <c r="K15" s="88"/>
      <c r="L15" s="92" t="s">
        <v>278</v>
      </c>
      <c r="M15" s="88"/>
      <c r="N15" s="89" t="s">
        <v>212</v>
      </c>
      <c r="S15" s="175" t="s">
        <v>175</v>
      </c>
      <c r="T15" s="270">
        <f>+H16</f>
        <v>0.2576</v>
      </c>
      <c r="U15" s="175" t="s">
        <v>176</v>
      </c>
      <c r="V15" s="270">
        <f>+L16</f>
        <v>0.74239999999999995</v>
      </c>
      <c r="Y15" s="175" t="s">
        <v>188</v>
      </c>
    </row>
    <row r="16" spans="1:25" x14ac:dyDescent="0.25">
      <c r="B16" s="88"/>
      <c r="C16" s="88"/>
      <c r="F16" s="93"/>
      <c r="G16" s="93"/>
      <c r="H16" s="93">
        <f>N33</f>
        <v>0.2576</v>
      </c>
      <c r="I16" s="93"/>
      <c r="J16" s="93"/>
      <c r="K16" s="93"/>
      <c r="L16" s="93">
        <f>N35</f>
        <v>0.74239999999999995</v>
      </c>
      <c r="M16" s="93"/>
      <c r="N16" s="94"/>
    </row>
    <row r="17" spans="1:25" x14ac:dyDescent="0.25">
      <c r="B17" s="88"/>
      <c r="C17" s="88"/>
      <c r="F17" s="88"/>
      <c r="G17" s="88"/>
      <c r="H17" s="88"/>
      <c r="I17" s="88"/>
      <c r="J17" s="88"/>
      <c r="K17" s="88"/>
      <c r="L17" s="88"/>
      <c r="M17" s="88"/>
      <c r="N17" s="88"/>
      <c r="R17" s="93" t="s">
        <v>279</v>
      </c>
      <c r="S17" s="466">
        <f>+'SCH-C - F 3-4'!F17-'SCH-C - F 3-4'!F24</f>
        <v>0.53120000000000001</v>
      </c>
      <c r="T17" s="298">
        <f>ROUND(S17*$H$16,4)+0.0001</f>
        <v>0.13689999999999999</v>
      </c>
      <c r="U17" s="299">
        <f>+'SCH-C - F 3-4'!H46-'SCH-C - F 3-4'!H53</f>
        <v>0.32569999999999999</v>
      </c>
      <c r="V17" s="298">
        <f>ROUND(U17*$L$16,4)</f>
        <v>0.24179999999999999</v>
      </c>
      <c r="X17" s="298"/>
      <c r="Y17" s="270">
        <f>T17+V17+X17</f>
        <v>0.37869999999999998</v>
      </c>
    </row>
    <row r="18" spans="1:25" x14ac:dyDescent="0.25">
      <c r="B18" s="2" t="s">
        <v>192</v>
      </c>
      <c r="C18" s="88"/>
      <c r="F18" s="93">
        <f>'SCH-C - F 3-4'!$P$19</f>
        <v>0.44550000000000001</v>
      </c>
      <c r="G18" s="93"/>
      <c r="H18" s="93">
        <f>ROUND($H$16*F18,4)</f>
        <v>0.1148</v>
      </c>
      <c r="I18" s="93"/>
      <c r="J18" s="93">
        <f>+'SCH-C - F 3-4'!R48</f>
        <v>0.46719999999999995</v>
      </c>
      <c r="K18" s="93"/>
      <c r="L18" s="93">
        <f>ROUND($L$16*J18,4)</f>
        <v>0.3468</v>
      </c>
      <c r="M18" s="93"/>
      <c r="N18" s="93">
        <f t="shared" ref="N18:N23" si="0">H18+L18</f>
        <v>0.46160000000000001</v>
      </c>
      <c r="R18" s="93" t="s">
        <v>280</v>
      </c>
      <c r="S18" s="466">
        <f>+'SCH-C - F 3-4'!J17</f>
        <v>0.32079999999999997</v>
      </c>
      <c r="T18" s="298">
        <f>ROUND(S18*$H$16,4)</f>
        <v>8.2600000000000007E-2</v>
      </c>
      <c r="U18" s="299"/>
      <c r="V18" s="298">
        <f>ROUND(U18*$L$16,4)</f>
        <v>0</v>
      </c>
      <c r="X18" s="298"/>
      <c r="Y18" s="298">
        <f>T18+V18+X18</f>
        <v>8.2600000000000007E-2</v>
      </c>
    </row>
    <row r="19" spans="1:25" x14ac:dyDescent="0.25">
      <c r="B19" s="2" t="s">
        <v>325</v>
      </c>
      <c r="C19" s="88"/>
      <c r="F19" s="93">
        <f>'SCH-C - F 3-4'!$P$20</f>
        <v>0.22639999999999999</v>
      </c>
      <c r="G19" s="93"/>
      <c r="H19" s="93">
        <f t="shared" ref="H19:H23" si="1">ROUND($H$16*F19,4)</f>
        <v>5.8299999999999998E-2</v>
      </c>
      <c r="I19" s="93"/>
      <c r="J19" s="93">
        <f>+'SCH-C - F 3-4'!R49</f>
        <v>0.21660000000000001</v>
      </c>
      <c r="K19" s="93"/>
      <c r="L19" s="93">
        <f t="shared" ref="L19:L23" si="2">ROUND($L$16*J19,4)</f>
        <v>0.1608</v>
      </c>
      <c r="M19" s="93"/>
      <c r="N19" s="93">
        <f t="shared" si="0"/>
        <v>0.21909999999999999</v>
      </c>
      <c r="R19" s="93" t="s">
        <v>281</v>
      </c>
      <c r="S19" s="466">
        <f>'SCH-C - F 3B 4B'!I18</f>
        <v>0</v>
      </c>
      <c r="T19" s="298">
        <f>ROUND(S19*$H$16,4)</f>
        <v>0</v>
      </c>
      <c r="U19" s="299">
        <f>+'SCH-C - F 3-4'!L46</f>
        <v>0.45910000000000001</v>
      </c>
      <c r="V19" s="298">
        <f>ROUND(U19*$L$16,4)</f>
        <v>0.34079999999999999</v>
      </c>
      <c r="X19" s="298"/>
      <c r="Y19" s="298">
        <f>T19+V19+X19</f>
        <v>0.34079999999999999</v>
      </c>
    </row>
    <row r="20" spans="1:25" x14ac:dyDescent="0.25">
      <c r="B20" s="2" t="s">
        <v>194</v>
      </c>
      <c r="C20" s="88"/>
      <c r="F20" s="93">
        <f>'SCH-C - F 3-4'!$P$21</f>
        <v>8.4900000000000003E-2</v>
      </c>
      <c r="G20" s="93"/>
      <c r="H20" s="93">
        <f t="shared" si="1"/>
        <v>2.1899999999999999E-2</v>
      </c>
      <c r="I20" s="93"/>
      <c r="J20" s="93">
        <f>+'SCH-C - F 3-4'!R50</f>
        <v>6.8099999999999994E-2</v>
      </c>
      <c r="K20" s="93"/>
      <c r="L20" s="93">
        <f t="shared" si="2"/>
        <v>5.0599999999999999E-2</v>
      </c>
      <c r="M20" s="93"/>
      <c r="N20" s="93">
        <f t="shared" si="0"/>
        <v>7.2499999999999995E-2</v>
      </c>
      <c r="R20" s="93"/>
      <c r="S20" s="467"/>
      <c r="T20" s="298"/>
      <c r="U20" s="299"/>
      <c r="V20" s="298"/>
      <c r="X20" s="298"/>
      <c r="Y20" s="298"/>
    </row>
    <row r="21" spans="1:25" x14ac:dyDescent="0.25">
      <c r="B21" s="2" t="s">
        <v>195</v>
      </c>
      <c r="C21" s="88"/>
      <c r="F21" s="93">
        <f>'SCH-C - F 3-4'!$P$22</f>
        <v>4.1200000000000001E-2</v>
      </c>
      <c r="G21" s="93"/>
      <c r="H21" s="93">
        <f t="shared" si="1"/>
        <v>1.06E-2</v>
      </c>
      <c r="I21" s="93"/>
      <c r="J21" s="93">
        <f>+'SCH-C - F 3-4'!R51</f>
        <v>3.2899999999999999E-2</v>
      </c>
      <c r="K21" s="93"/>
      <c r="L21" s="93">
        <f t="shared" si="2"/>
        <v>2.4400000000000002E-2</v>
      </c>
      <c r="M21" s="93"/>
      <c r="N21" s="93">
        <f t="shared" si="0"/>
        <v>3.5000000000000003E-2</v>
      </c>
      <c r="R21" s="93" t="s">
        <v>295</v>
      </c>
      <c r="S21" s="467">
        <f>+'SCH-C - F 3-4'!P24</f>
        <v>0.14799999999999999</v>
      </c>
      <c r="T21" s="298">
        <f>ROUND(S21*$H$16,4)</f>
        <v>3.8100000000000002E-2</v>
      </c>
      <c r="U21" s="299">
        <f>+'SCH-C - F 3-4'!R53</f>
        <v>0.2152</v>
      </c>
      <c r="V21" s="298">
        <f>ROUND(U21*$L$16,4)</f>
        <v>0.1598</v>
      </c>
      <c r="X21" s="298"/>
      <c r="Y21" s="298">
        <f>T21+V21+X21</f>
        <v>0.19789999999999999</v>
      </c>
    </row>
    <row r="22" spans="1:25" x14ac:dyDescent="0.25">
      <c r="B22" s="2" t="s">
        <v>103</v>
      </c>
      <c r="C22" s="88"/>
      <c r="F22" s="93">
        <f>'SCH-C - F 3-4'!$P$23</f>
        <v>5.3999999999999999E-2</v>
      </c>
      <c r="G22" s="93"/>
      <c r="H22" s="93">
        <f t="shared" si="1"/>
        <v>1.3899999999999999E-2</v>
      </c>
      <c r="I22" s="93"/>
      <c r="J22" s="93">
        <f>+'SCH-C - F 3-4'!R52</f>
        <v>0</v>
      </c>
      <c r="K22" s="93"/>
      <c r="L22" s="93">
        <f t="shared" si="2"/>
        <v>0</v>
      </c>
      <c r="M22" s="93"/>
      <c r="N22" s="93">
        <f t="shared" si="0"/>
        <v>1.3899999999999999E-2</v>
      </c>
      <c r="R22" s="93"/>
      <c r="S22" s="467">
        <f>SUM(S17:S21)</f>
        <v>1</v>
      </c>
      <c r="T22" s="298">
        <f t="shared" ref="T22:Y22" si="3">SUM(T17:T21)</f>
        <v>0.2576</v>
      </c>
      <c r="U22" s="298">
        <f t="shared" si="3"/>
        <v>1</v>
      </c>
      <c r="V22" s="298">
        <f t="shared" si="3"/>
        <v>0.74239999999999995</v>
      </c>
      <c r="W22" s="298">
        <f t="shared" si="3"/>
        <v>0</v>
      </c>
      <c r="X22" s="298">
        <f t="shared" si="3"/>
        <v>0</v>
      </c>
      <c r="Y22" s="298">
        <f t="shared" si="3"/>
        <v>1</v>
      </c>
    </row>
    <row r="23" spans="1:25" x14ac:dyDescent="0.25">
      <c r="B23" s="65" t="s">
        <v>232</v>
      </c>
      <c r="C23" s="88"/>
      <c r="F23" s="93">
        <f>'SCH-C - F 3-4'!$P$24</f>
        <v>0.14799999999999999</v>
      </c>
      <c r="G23" s="93"/>
      <c r="H23" s="93">
        <f t="shared" si="1"/>
        <v>3.8100000000000002E-2</v>
      </c>
      <c r="I23" s="93"/>
      <c r="J23" s="93">
        <f>+'SCH-C - F 3-4'!R53</f>
        <v>0.2152</v>
      </c>
      <c r="K23" s="93"/>
      <c r="L23" s="93">
        <f t="shared" si="2"/>
        <v>0.1598</v>
      </c>
      <c r="M23" s="93"/>
      <c r="N23" s="93">
        <f t="shared" si="0"/>
        <v>0.19789999999999999</v>
      </c>
    </row>
    <row r="24" spans="1:25" x14ac:dyDescent="0.25">
      <c r="B24" s="88"/>
      <c r="C24" s="88"/>
      <c r="F24" s="95"/>
      <c r="G24" s="93"/>
      <c r="H24" s="95"/>
      <c r="I24" s="93"/>
      <c r="J24" s="95"/>
      <c r="K24" s="93"/>
      <c r="L24" s="95"/>
      <c r="M24" s="93"/>
      <c r="N24" s="95"/>
    </row>
    <row r="25" spans="1:25" ht="15.6" thickBot="1" x14ac:dyDescent="0.3">
      <c r="B25" s="88" t="s">
        <v>199</v>
      </c>
      <c r="C25" s="88"/>
      <c r="F25" s="93">
        <f>SUM(F18:F24)</f>
        <v>1</v>
      </c>
      <c r="G25" s="93"/>
      <c r="H25" s="93">
        <f>SUM(H18:H24)</f>
        <v>0.2576</v>
      </c>
      <c r="I25" s="93"/>
      <c r="J25" s="177">
        <f>SUM(J18:J24)</f>
        <v>1</v>
      </c>
      <c r="K25" s="93"/>
      <c r="L25" s="93">
        <f>SUM(L18:L24)</f>
        <v>0.74239999999999995</v>
      </c>
      <c r="M25" s="93"/>
      <c r="N25" s="93">
        <f>SUM(N18:N24)</f>
        <v>1</v>
      </c>
    </row>
    <row r="26" spans="1:25" ht="15.6" thickTop="1" x14ac:dyDescent="0.25">
      <c r="A26" s="88"/>
      <c r="B26" s="88"/>
      <c r="C26" s="88"/>
      <c r="F26" s="96"/>
      <c r="G26" s="88"/>
      <c r="H26" s="96"/>
      <c r="I26" s="88"/>
      <c r="J26" s="176"/>
      <c r="K26" s="88"/>
      <c r="L26" s="96"/>
      <c r="M26" s="88"/>
      <c r="N26" s="96"/>
    </row>
    <row r="27" spans="1:25" x14ac:dyDescent="0.25">
      <c r="A27" s="88"/>
      <c r="B27" s="88"/>
      <c r="C27" s="88"/>
      <c r="D27" s="88"/>
      <c r="E27" s="88"/>
      <c r="F27" s="88"/>
      <c r="G27" s="88"/>
      <c r="H27" s="88"/>
      <c r="I27" s="88"/>
      <c r="J27" s="88"/>
      <c r="K27" s="88"/>
      <c r="L27" s="88"/>
      <c r="M27" s="88"/>
      <c r="N27" s="88"/>
      <c r="O27" s="88"/>
      <c r="P27" s="88"/>
    </row>
    <row r="28" spans="1:25" ht="30" customHeight="1" x14ac:dyDescent="0.25">
      <c r="A28" s="755" t="s">
        <v>297</v>
      </c>
      <c r="B28" s="755"/>
      <c r="C28" s="755"/>
      <c r="D28" s="755"/>
      <c r="E28" s="755"/>
      <c r="F28" s="755"/>
      <c r="G28" s="755"/>
      <c r="H28" s="755"/>
      <c r="I28" s="755"/>
      <c r="J28" s="755"/>
      <c r="K28" s="755"/>
      <c r="L28" s="755"/>
      <c r="M28" s="755"/>
      <c r="N28" s="755"/>
      <c r="O28" s="755"/>
      <c r="P28" s="755"/>
      <c r="R28" s="346"/>
      <c r="S28" s="423"/>
      <c r="T28" s="423"/>
    </row>
    <row r="29" spans="1:25" x14ac:dyDescent="0.25">
      <c r="A29" s="88"/>
      <c r="B29" s="88"/>
      <c r="C29" s="88"/>
      <c r="D29" s="88"/>
      <c r="E29" s="88"/>
      <c r="F29" s="88"/>
      <c r="G29" s="88"/>
      <c r="H29" s="88"/>
      <c r="I29" s="88"/>
      <c r="J29" s="88"/>
      <c r="K29" s="88"/>
      <c r="L29" s="88"/>
      <c r="M29" s="88"/>
      <c r="N29" s="88"/>
      <c r="O29" s="88"/>
      <c r="P29" s="88"/>
      <c r="R29" s="346"/>
      <c r="S29" s="423"/>
      <c r="T29" s="423"/>
    </row>
    <row r="30" spans="1:25" ht="15.6" x14ac:dyDescent="0.3">
      <c r="A30" s="88"/>
      <c r="B30" s="88"/>
      <c r="C30" s="88"/>
      <c r="D30" s="88"/>
      <c r="E30" s="88"/>
      <c r="G30" s="90"/>
      <c r="H30" s="90" t="s">
        <v>298</v>
      </c>
      <c r="I30" s="90"/>
      <c r="K30" s="90"/>
      <c r="L30" s="90"/>
      <c r="M30" s="90"/>
      <c r="N30" s="90"/>
      <c r="O30" s="88"/>
      <c r="P30" s="88"/>
      <c r="S30" s="418"/>
      <c r="T30" s="421"/>
      <c r="U30" s="419"/>
    </row>
    <row r="31" spans="1:25" ht="15.6" x14ac:dyDescent="0.3">
      <c r="A31" s="88"/>
      <c r="B31" s="88"/>
      <c r="C31" s="88"/>
      <c r="D31" s="88"/>
      <c r="E31" s="88"/>
      <c r="G31" s="90"/>
      <c r="H31" s="90" t="s">
        <v>299</v>
      </c>
      <c r="I31" s="90"/>
      <c r="K31" s="90"/>
      <c r="L31" s="90"/>
      <c r="M31" s="90"/>
      <c r="N31" s="90" t="s">
        <v>226</v>
      </c>
      <c r="O31" s="88"/>
      <c r="P31" s="88"/>
      <c r="R31" s="346"/>
      <c r="S31" s="504"/>
      <c r="T31" s="420"/>
      <c r="U31" s="355"/>
    </row>
    <row r="32" spans="1:25" ht="15.6" x14ac:dyDescent="0.3">
      <c r="A32" s="88"/>
      <c r="B32" s="88"/>
      <c r="C32" s="88"/>
      <c r="D32" s="88"/>
      <c r="E32" s="88"/>
      <c r="G32" s="88"/>
      <c r="H32" s="97"/>
      <c r="I32" s="88"/>
      <c r="K32" s="88"/>
      <c r="L32" s="88"/>
      <c r="M32" s="88"/>
      <c r="N32" s="97"/>
      <c r="O32" s="88"/>
      <c r="P32" s="88"/>
      <c r="R32" s="346"/>
      <c r="T32" s="420"/>
      <c r="U32" s="355"/>
    </row>
    <row r="33" spans="1:21" ht="15.6" x14ac:dyDescent="0.3">
      <c r="A33" s="88" t="s">
        <v>166</v>
      </c>
      <c r="C33" s="88"/>
      <c r="D33" s="88"/>
      <c r="E33" s="88"/>
      <c r="G33" s="88"/>
      <c r="H33" s="300">
        <v>1813895.74</v>
      </c>
      <c r="I33" s="503"/>
      <c r="K33" s="88"/>
      <c r="L33" s="88"/>
      <c r="M33" s="88"/>
      <c r="N33" s="93">
        <f>ROUND(H33/H37,4)</f>
        <v>0.2576</v>
      </c>
      <c r="O33" s="88"/>
      <c r="P33" s="88"/>
      <c r="R33" s="346"/>
      <c r="S33" s="417"/>
      <c r="T33" s="420"/>
      <c r="U33" s="355"/>
    </row>
    <row r="34" spans="1:21" ht="15.6" x14ac:dyDescent="0.3">
      <c r="A34" s="88"/>
      <c r="C34" s="88"/>
      <c r="D34" s="88"/>
      <c r="E34" s="88"/>
      <c r="G34" s="88"/>
      <c r="H34" s="300"/>
      <c r="I34" s="503"/>
      <c r="K34" s="88"/>
      <c r="L34" s="88"/>
      <c r="M34" s="88"/>
      <c r="N34" s="93"/>
      <c r="O34" s="88"/>
      <c r="P34" s="88"/>
      <c r="R34" s="346"/>
      <c r="S34" s="417"/>
      <c r="T34" s="420"/>
      <c r="U34" s="355"/>
    </row>
    <row r="35" spans="1:21" ht="15.6" x14ac:dyDescent="0.3">
      <c r="A35" s="88" t="s">
        <v>167</v>
      </c>
      <c r="C35" s="88"/>
      <c r="D35" s="88"/>
      <c r="E35" s="88"/>
      <c r="G35" s="88"/>
      <c r="H35" s="300">
        <v>5227423.93</v>
      </c>
      <c r="I35" s="503"/>
      <c r="K35" s="88"/>
      <c r="L35" s="88"/>
      <c r="M35" s="88"/>
      <c r="N35" s="93">
        <f>ROUND(H35/H37,4)</f>
        <v>0.74239999999999995</v>
      </c>
      <c r="O35" s="88"/>
      <c r="P35" s="88"/>
      <c r="R35" s="346"/>
      <c r="S35" s="417"/>
      <c r="T35" s="420"/>
      <c r="U35" s="355"/>
    </row>
    <row r="36" spans="1:21" ht="15.6" x14ac:dyDescent="0.3">
      <c r="A36" s="88"/>
      <c r="B36" s="88"/>
      <c r="C36" s="88"/>
      <c r="D36" s="88"/>
      <c r="E36" s="88"/>
      <c r="G36" s="88"/>
      <c r="H36" s="465"/>
      <c r="I36" s="503"/>
      <c r="K36" s="88"/>
      <c r="L36" s="88"/>
      <c r="M36" s="88"/>
      <c r="N36" s="95"/>
      <c r="O36" s="88"/>
      <c r="P36" s="88"/>
      <c r="R36" s="346"/>
      <c r="S36" s="417"/>
      <c r="T36" s="420"/>
      <c r="U36" s="355"/>
    </row>
    <row r="37" spans="1:21" ht="16.2" thickBot="1" x14ac:dyDescent="0.35">
      <c r="A37" s="88"/>
      <c r="B37" s="88" t="s">
        <v>296</v>
      </c>
      <c r="C37" s="88"/>
      <c r="D37" s="88"/>
      <c r="E37" s="88"/>
      <c r="G37" s="88"/>
      <c r="H37" s="345">
        <f>SUM(H33:H36)</f>
        <v>7041319.6699999999</v>
      </c>
      <c r="I37" s="503"/>
      <c r="K37" s="88"/>
      <c r="L37" s="88"/>
      <c r="M37" s="88"/>
      <c r="N37" s="93">
        <f>SUM(N33:N36)</f>
        <v>1</v>
      </c>
      <c r="O37" s="88"/>
      <c r="P37" s="88"/>
      <c r="R37" s="346"/>
      <c r="S37" s="417"/>
      <c r="T37" s="420"/>
      <c r="U37" s="355"/>
    </row>
    <row r="38" spans="1:21" ht="16.2" thickTop="1" x14ac:dyDescent="0.3">
      <c r="A38" s="88"/>
      <c r="B38" s="88"/>
      <c r="C38" s="88"/>
      <c r="D38" s="88"/>
      <c r="E38" s="88"/>
      <c r="F38" s="88"/>
      <c r="G38" s="88"/>
      <c r="H38" s="176"/>
      <c r="I38" s="88"/>
      <c r="J38" s="88"/>
      <c r="K38" s="88"/>
      <c r="L38" s="88"/>
      <c r="M38" s="88"/>
      <c r="N38" s="96"/>
      <c r="O38" s="88"/>
      <c r="P38" s="88"/>
      <c r="R38" s="346"/>
      <c r="S38" s="417"/>
      <c r="T38" s="420"/>
      <c r="U38" s="355"/>
    </row>
    <row r="39" spans="1:21" ht="15.6" x14ac:dyDescent="0.3">
      <c r="A39" s="88"/>
      <c r="B39" s="88"/>
      <c r="C39" s="88"/>
      <c r="D39" s="88"/>
      <c r="E39" s="88"/>
      <c r="F39" s="88"/>
      <c r="G39" s="88"/>
      <c r="H39" s="300"/>
      <c r="I39" s="88"/>
      <c r="J39" s="88"/>
      <c r="K39" s="88"/>
      <c r="L39" s="88"/>
      <c r="M39" s="88"/>
      <c r="N39" s="88"/>
      <c r="O39" s="88"/>
      <c r="P39" s="88"/>
      <c r="R39" s="346"/>
      <c r="S39" s="417"/>
      <c r="T39" s="420"/>
      <c r="U39" s="355"/>
    </row>
    <row r="40" spans="1:21" ht="15.6" x14ac:dyDescent="0.3">
      <c r="R40" s="346"/>
      <c r="S40" s="417"/>
      <c r="T40" s="420"/>
      <c r="U40" s="355"/>
    </row>
    <row r="41" spans="1:21" ht="15.6" x14ac:dyDescent="0.3">
      <c r="R41" s="346"/>
      <c r="S41" s="417"/>
      <c r="T41" s="420"/>
      <c r="U41" s="355"/>
    </row>
    <row r="42" spans="1:21" ht="15.6" x14ac:dyDescent="0.3">
      <c r="R42" s="346"/>
      <c r="S42" s="417"/>
      <c r="T42" s="420"/>
      <c r="U42" s="355"/>
    </row>
    <row r="43" spans="1:21" ht="15.6" x14ac:dyDescent="0.3">
      <c r="R43" s="346"/>
      <c r="T43" s="421"/>
      <c r="U43" s="355"/>
    </row>
    <row r="44" spans="1:21" ht="15.6" x14ac:dyDescent="0.3">
      <c r="R44" s="346"/>
      <c r="S44" s="417"/>
      <c r="T44" s="420"/>
      <c r="U44" s="355"/>
    </row>
    <row r="45" spans="1:21" ht="15.6" x14ac:dyDescent="0.3">
      <c r="R45" s="346"/>
      <c r="S45" s="417"/>
      <c r="T45" s="420"/>
      <c r="U45" s="355"/>
    </row>
    <row r="46" spans="1:21" ht="15.6" x14ac:dyDescent="0.3">
      <c r="R46" s="346"/>
      <c r="S46" s="417"/>
      <c r="T46" s="420"/>
      <c r="U46" s="355"/>
    </row>
    <row r="47" spans="1:21" ht="15.6" x14ac:dyDescent="0.3">
      <c r="S47" s="417"/>
      <c r="T47" s="420"/>
      <c r="U47" s="355"/>
    </row>
    <row r="48" spans="1:21" ht="15.6" x14ac:dyDescent="0.3">
      <c r="S48" s="417"/>
      <c r="T48" s="420"/>
      <c r="U48" s="355"/>
    </row>
    <row r="49" spans="19:21" ht="15.6" x14ac:dyDescent="0.3">
      <c r="S49" s="417"/>
      <c r="T49" s="420"/>
      <c r="U49" s="355"/>
    </row>
    <row r="50" spans="19:21" ht="15.6" x14ac:dyDescent="0.3">
      <c r="S50" s="417"/>
      <c r="T50" s="420"/>
      <c r="U50" s="355"/>
    </row>
    <row r="51" spans="19:21" ht="15.6" x14ac:dyDescent="0.3">
      <c r="S51" s="417"/>
      <c r="T51" s="420"/>
      <c r="U51" s="355"/>
    </row>
    <row r="52" spans="19:21" ht="15.6" x14ac:dyDescent="0.3">
      <c r="S52" s="417"/>
      <c r="T52" s="420"/>
      <c r="U52" s="355"/>
    </row>
    <row r="53" spans="19:21" ht="15.6" x14ac:dyDescent="0.3">
      <c r="S53" s="417"/>
      <c r="T53" s="420"/>
      <c r="U53" s="355"/>
    </row>
    <row r="54" spans="19:21" ht="15.6" x14ac:dyDescent="0.3">
      <c r="S54" s="417"/>
      <c r="T54" s="420"/>
      <c r="U54" s="355"/>
    </row>
    <row r="55" spans="19:21" ht="15.6" x14ac:dyDescent="0.3">
      <c r="S55" s="417"/>
      <c r="T55" s="420"/>
      <c r="U55" s="355"/>
    </row>
    <row r="56" spans="19:21" ht="15.6" x14ac:dyDescent="0.3">
      <c r="S56" s="420"/>
      <c r="T56" s="420"/>
      <c r="U56" s="355"/>
    </row>
    <row r="57" spans="19:21" ht="15.6" x14ac:dyDescent="0.3">
      <c r="S57" s="420"/>
      <c r="T57" s="420"/>
      <c r="U57" s="355"/>
    </row>
    <row r="58" spans="19:21" ht="15.6" x14ac:dyDescent="0.3">
      <c r="S58" s="420"/>
      <c r="T58" s="420"/>
      <c r="U58" s="355"/>
    </row>
    <row r="59" spans="19:21" ht="15.6" x14ac:dyDescent="0.3">
      <c r="S59" s="420"/>
      <c r="T59" s="420"/>
      <c r="U59" s="355"/>
    </row>
    <row r="60" spans="19:21" ht="15.6" x14ac:dyDescent="0.3">
      <c r="S60" s="422"/>
      <c r="T60" s="420"/>
      <c r="U60" s="355"/>
    </row>
    <row r="61" spans="19:21" ht="15.6" x14ac:dyDescent="0.3">
      <c r="S61" s="422"/>
      <c r="T61" s="420"/>
      <c r="U61" s="355"/>
    </row>
    <row r="62" spans="19:21" ht="15.6" x14ac:dyDescent="0.3">
      <c r="S62" s="422"/>
      <c r="T62" s="420"/>
      <c r="U62" s="355"/>
    </row>
    <row r="63" spans="19:21" ht="15.6" x14ac:dyDescent="0.3">
      <c r="S63" s="420"/>
      <c r="T63" s="420"/>
      <c r="U63" s="355"/>
    </row>
    <row r="64" spans="19:21" ht="15.6" x14ac:dyDescent="0.3">
      <c r="S64" s="420"/>
      <c r="T64" s="420"/>
      <c r="U64" s="355"/>
    </row>
    <row r="65" spans="19:21" ht="15.6" x14ac:dyDescent="0.3">
      <c r="S65" s="420"/>
      <c r="T65" s="420"/>
      <c r="U65" s="355"/>
    </row>
    <row r="66" spans="19:21" ht="15.6" x14ac:dyDescent="0.3">
      <c r="S66" s="420"/>
      <c r="T66" s="420"/>
      <c r="U66" s="355"/>
    </row>
    <row r="67" spans="19:21" ht="15.6" x14ac:dyDescent="0.3">
      <c r="S67" s="420"/>
      <c r="T67" s="420"/>
      <c r="U67" s="355"/>
    </row>
    <row r="68" spans="19:21" ht="15.6" x14ac:dyDescent="0.3">
      <c r="S68" s="420"/>
      <c r="T68" s="420"/>
      <c r="U68" s="355"/>
    </row>
    <row r="69" spans="19:21" ht="15.6" x14ac:dyDescent="0.3">
      <c r="S69" s="420"/>
      <c r="T69" s="420"/>
      <c r="U69" s="355"/>
    </row>
    <row r="70" spans="19:21" ht="15.6" x14ac:dyDescent="0.3">
      <c r="S70" s="420"/>
      <c r="T70" s="420"/>
      <c r="U70" s="355"/>
    </row>
    <row r="71" spans="19:21" ht="15.6" x14ac:dyDescent="0.3">
      <c r="S71" s="420"/>
      <c r="T71" s="420"/>
      <c r="U71" s="355"/>
    </row>
    <row r="72" spans="19:21" ht="15.6" x14ac:dyDescent="0.3">
      <c r="S72" s="420"/>
      <c r="T72" s="420"/>
      <c r="U72" s="355"/>
    </row>
    <row r="73" spans="19:21" ht="15.6" x14ac:dyDescent="0.3">
      <c r="S73" s="420"/>
      <c r="T73" s="420"/>
      <c r="U73" s="355"/>
    </row>
    <row r="74" spans="19:21" ht="15.6" x14ac:dyDescent="0.3">
      <c r="S74" s="420"/>
      <c r="T74" s="420"/>
    </row>
    <row r="75" spans="19:21" ht="15.6" x14ac:dyDescent="0.3">
      <c r="S75" s="420"/>
      <c r="T75" s="421"/>
    </row>
    <row r="76" spans="19:21" ht="15.6" x14ac:dyDescent="0.3">
      <c r="S76" s="421"/>
      <c r="T76" s="421"/>
    </row>
    <row r="77" spans="19:21" ht="15.6" x14ac:dyDescent="0.3">
      <c r="S77" s="421"/>
      <c r="T77" s="421"/>
    </row>
    <row r="78" spans="19:21" ht="15.6" x14ac:dyDescent="0.3">
      <c r="S78" s="421"/>
      <c r="T78" s="421"/>
    </row>
    <row r="79" spans="19:21" ht="15.6" x14ac:dyDescent="0.3">
      <c r="S79" s="421"/>
      <c r="T79" s="421"/>
    </row>
    <row r="80" spans="19:21" ht="15.6" x14ac:dyDescent="0.3">
      <c r="S80" s="421"/>
      <c r="T80" s="421"/>
    </row>
    <row r="81" spans="19:21" ht="15.6" x14ac:dyDescent="0.3">
      <c r="S81" s="421"/>
      <c r="T81" s="421"/>
    </row>
    <row r="82" spans="19:21" ht="15.6" x14ac:dyDescent="0.3">
      <c r="S82" s="421"/>
      <c r="T82" s="421"/>
    </row>
    <row r="83" spans="19:21" ht="15.6" x14ac:dyDescent="0.3">
      <c r="S83" s="421"/>
      <c r="T83" s="421"/>
    </row>
    <row r="84" spans="19:21" ht="15.6" x14ac:dyDescent="0.3">
      <c r="S84" s="421"/>
      <c r="T84" s="421"/>
    </row>
    <row r="85" spans="19:21" ht="15.6" x14ac:dyDescent="0.3">
      <c r="S85" s="421"/>
      <c r="T85" s="421"/>
    </row>
    <row r="86" spans="19:21" ht="15.6" x14ac:dyDescent="0.3">
      <c r="S86" s="421"/>
      <c r="T86" s="421"/>
    </row>
    <row r="87" spans="19:21" ht="15.6" x14ac:dyDescent="0.3">
      <c r="S87" s="421"/>
      <c r="T87" s="421"/>
    </row>
    <row r="88" spans="19:21" ht="15.6" x14ac:dyDescent="0.3">
      <c r="T88" s="421"/>
      <c r="U88" s="419"/>
    </row>
    <row r="89" spans="19:21" ht="15.6" x14ac:dyDescent="0.3">
      <c r="S89" s="418"/>
      <c r="T89" s="421"/>
    </row>
  </sheetData>
  <mergeCells count="2">
    <mergeCell ref="A9:P9"/>
    <mergeCell ref="A28:P28"/>
  </mergeCells>
  <phoneticPr fontId="13" type="noConversion"/>
  <printOptions horizontalCentered="1"/>
  <pageMargins left="1" right="0.75" top="1" bottom="0.5" header="0.5" footer="0.5"/>
  <pageSetup scale="9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SCH-A</vt:lpstr>
      <vt:lpstr>SCH-B - COS</vt:lpstr>
      <vt:lpstr>SCH-C - F 1-2</vt:lpstr>
      <vt:lpstr>SCH-C - F 2 B</vt:lpstr>
      <vt:lpstr>SCH-C - F 3-4</vt:lpstr>
      <vt:lpstr>SCH-C - F 3B 4B</vt:lpstr>
      <vt:lpstr>SCH-C - F 5</vt:lpstr>
      <vt:lpstr>SCH-C - F 5B</vt:lpstr>
      <vt:lpstr>SCH-C - F6</vt:lpstr>
      <vt:lpstr>SCH-C - F7-9</vt:lpstr>
      <vt:lpstr>SCH-C - Meters</vt:lpstr>
      <vt:lpstr>SCH-C - F10-11</vt:lpstr>
      <vt:lpstr>SCH-C - F12-13</vt:lpstr>
      <vt:lpstr>SCH-C -F 14-20</vt:lpstr>
      <vt:lpstr>SCH-D</vt:lpstr>
      <vt:lpstr>SCH-E - cust charge</vt:lpstr>
      <vt:lpstr>Fire</vt:lpstr>
      <vt:lpstr>comp</vt:lpstr>
      <vt:lpstr>CUST</vt:lpstr>
      <vt:lpstr>ds</vt:lpstr>
      <vt:lpstr>'SCH-C - F 3-4'!FACT3</vt:lpstr>
      <vt:lpstr>'SCH-C - F 1-2'!FACT3A</vt:lpstr>
      <vt:lpstr>'SCH-C - F 2 B'!FACT3A</vt:lpstr>
      <vt:lpstr>'SCH-C - F 3-4'!FACT3A</vt:lpstr>
      <vt:lpstr>factor</vt:lpstr>
      <vt:lpstr>Factors</vt:lpstr>
      <vt:lpstr>'SCH-C - F 1-2'!FIRE</vt:lpstr>
      <vt:lpstr>'SCH-C - F 2 B'!FIRE</vt:lpstr>
      <vt:lpstr>'SCH-C - F 3-4'!FIRE</vt:lpstr>
      <vt:lpstr>func</vt:lpstr>
      <vt:lpstr>Fire!Print_Area</vt:lpstr>
      <vt:lpstr>'SCH-A'!Print_Area</vt:lpstr>
      <vt:lpstr>'SCH-B - COS'!Print_Area</vt:lpstr>
      <vt:lpstr>'SCH-C - F 1-2'!Print_Area</vt:lpstr>
      <vt:lpstr>'SCH-C - F 2 B'!Print_Area</vt:lpstr>
      <vt:lpstr>'SCH-C - F 3-4'!Print_Area</vt:lpstr>
      <vt:lpstr>'SCH-C - F 3B 4B'!Print_Area</vt:lpstr>
      <vt:lpstr>'SCH-C - F 5B'!Print_Area</vt:lpstr>
      <vt:lpstr>'SCH-C - F10-11'!Print_Area</vt:lpstr>
      <vt:lpstr>'SCH-C - F12-13'!Print_Area</vt:lpstr>
      <vt:lpstr>'SCH-C - F6'!Print_Area</vt:lpstr>
      <vt:lpstr>'SCH-C - F7-9'!Print_Area</vt:lpstr>
      <vt:lpstr>'SCH-C - Meters'!Print_Area</vt:lpstr>
      <vt:lpstr>'SCH-D'!Print_Area</vt:lpstr>
      <vt:lpstr>'SCH-E - cust charge'!Print_Area</vt:lpstr>
      <vt:lpstr>'SCH-B - COS'!Print_Titles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Heppenstall, Constance E.</dc:creator>
  <cp:lastModifiedBy>Stacey Kampsen</cp:lastModifiedBy>
  <cp:lastPrinted>2022-06-23T15:55:56Z</cp:lastPrinted>
  <dcterms:created xsi:type="dcterms:W3CDTF">2000-03-27T20:18:41Z</dcterms:created>
  <dcterms:modified xsi:type="dcterms:W3CDTF">2022-08-01T21:51:12Z</dcterms:modified>
</cp:coreProperties>
</file>