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H-PROJ\NorthKYWtrDist\071557-COS\5-PrjWrk\Discovery\"/>
    </mc:Choice>
  </mc:AlternateContent>
  <xr:revisionPtr revIDLastSave="0" documentId="13_ncr:1_{EEA87486-3D73-4801-A70D-6F7ED3429304}" xr6:coauthVersionLast="47" xr6:coauthVersionMax="47" xr10:uidLastSave="{00000000-0000-0000-0000-000000000000}"/>
  <bookViews>
    <workbookView xWindow="-120" yWindow="-120" windowWidth="29040" windowHeight="15840" xr2:uid="{9CCCDFD8-F001-4456-B6DA-00C9598BF69D}"/>
  </bookViews>
  <sheets>
    <sheet name="Reconciliation of Adj" sheetId="25" r:id="rId1"/>
    <sheet name="SCH F - Rate Sum STEP 2" sheetId="4" r:id="rId2"/>
    <sheet name="SCH G - Bill analysis STEP 2" sheetId="14" r:id="rId3"/>
    <sheet name="SCH I - Rate Sum STEP 1" sheetId="8" r:id="rId4"/>
    <sheet name="SCH J - Bill analysis STEP 1" sheetId="9" r:id="rId5"/>
  </sheets>
  <externalReferences>
    <externalReference r:id="rId6"/>
  </externalReferences>
  <definedNames>
    <definedName name="_xlnm.Print_Area" localSheetId="0">'Reconciliation of Adj'!$A$1:$K$36</definedName>
    <definedName name="_xlnm.Print_Area" localSheetId="1">'SCH F - Rate Sum STEP 2'!$A$1:$G$49</definedName>
    <definedName name="_xlnm.Print_Area" localSheetId="2">'SCH G - Bill analysis STEP 2'!$A$1:$M$211</definedName>
    <definedName name="_xlnm.Print_Area" localSheetId="3">'SCH I - Rate Sum STEP 1'!$A$1:$G$49</definedName>
    <definedName name="_xlnm.Print_Area" localSheetId="4">'SCH J - Bill analysis STEP 1'!$A$1:$M$209</definedName>
    <definedName name="_xlnm.Print_Titles" localSheetId="1">'SCH F - Rate Sum STEP 2'!$1:$6</definedName>
    <definedName name="_xlnm.Print_Titles" localSheetId="2">'SCH G - Bill analysis STEP 2'!$1:$9</definedName>
    <definedName name="_xlnm.Print_Titles" localSheetId="3">'SCH I - Rate Sum STEP 1'!$1:$6</definedName>
    <definedName name="_xlnm.Print_Titles" localSheetId="4">'SCH J - Bill analysis STEP 1'!$1:$9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25" l="1"/>
  <c r="I17" i="25"/>
  <c r="I18" i="25"/>
  <c r="I19" i="25"/>
  <c r="I20" i="25"/>
  <c r="I21" i="25"/>
  <c r="I16" i="25"/>
  <c r="K30" i="25"/>
  <c r="K26" i="25"/>
  <c r="K24" i="25"/>
  <c r="K21" i="25"/>
  <c r="K20" i="25"/>
  <c r="K19" i="25"/>
  <c r="K18" i="25"/>
  <c r="K17" i="25"/>
  <c r="K16" i="25"/>
  <c r="G21" i="25"/>
  <c r="G20" i="25"/>
  <c r="G19" i="25"/>
  <c r="G18" i="25"/>
  <c r="G17" i="25"/>
  <c r="G16" i="25"/>
  <c r="G26" i="25"/>
  <c r="C26" i="25"/>
  <c r="C21" i="25"/>
  <c r="E21" i="25" s="1"/>
  <c r="C20" i="25"/>
  <c r="C19" i="25"/>
  <c r="C18" i="25"/>
  <c r="C17" i="25"/>
  <c r="C16" i="25"/>
  <c r="I24" i="25" l="1"/>
  <c r="E19" i="25"/>
  <c r="E18" i="25"/>
  <c r="C24" i="25"/>
  <c r="C30" i="25" s="1"/>
  <c r="E16" i="25"/>
  <c r="E26" i="25"/>
  <c r="E20" i="25"/>
  <c r="E17" i="25"/>
  <c r="G24" i="25"/>
  <c r="G30" i="25" s="1"/>
  <c r="E24" i="25" l="1"/>
  <c r="E30" i="25" s="1"/>
  <c r="E32" i="25" s="1"/>
  <c r="G69" i="14" l="1"/>
  <c r="G71" i="14"/>
  <c r="E72" i="14"/>
  <c r="E110" i="14"/>
  <c r="G109" i="14"/>
  <c r="G108" i="14"/>
  <c r="G184" i="14"/>
  <c r="G183" i="14"/>
  <c r="E185" i="14"/>
  <c r="E168" i="14"/>
  <c r="G167" i="14"/>
  <c r="G132" i="14"/>
  <c r="C108" i="14" l="1"/>
  <c r="I108" i="14" s="1"/>
  <c r="C109" i="14" l="1"/>
  <c r="I109" i="14" s="1"/>
  <c r="G109" i="9"/>
  <c r="E185" i="9"/>
  <c r="G184" i="9"/>
  <c r="G183" i="9"/>
  <c r="E168" i="9"/>
  <c r="G167" i="9"/>
  <c r="E133" i="9"/>
  <c r="I132" i="9"/>
  <c r="G132" i="9"/>
  <c r="E72" i="9"/>
  <c r="E110" i="9"/>
  <c r="G108" i="9"/>
  <c r="G69" i="9"/>
  <c r="G71" i="9"/>
  <c r="I108" i="9"/>
  <c r="C69" i="14" l="1"/>
  <c r="I69" i="14" s="1"/>
  <c r="C183" i="14"/>
  <c r="I183" i="14" s="1"/>
  <c r="C71" i="14"/>
  <c r="I71" i="14" s="1"/>
  <c r="C132" i="14"/>
  <c r="I132" i="14" s="1"/>
  <c r="C184" i="14"/>
  <c r="I184" i="14" s="1"/>
  <c r="I184" i="9"/>
  <c r="I183" i="9"/>
  <c r="I167" i="9"/>
  <c r="C167" i="14"/>
  <c r="I167" i="14" s="1"/>
  <c r="C185" i="9"/>
  <c r="I109" i="9"/>
  <c r="I71" i="9"/>
  <c r="I69" i="9"/>
  <c r="G200" i="14"/>
  <c r="G199" i="14"/>
  <c r="G200" i="9"/>
  <c r="G199" i="9"/>
  <c r="E31" i="4" l="1"/>
  <c r="E32" i="4"/>
  <c r="E33" i="4"/>
  <c r="E34" i="4"/>
  <c r="E35" i="4"/>
  <c r="E36" i="4"/>
  <c r="E37" i="4"/>
  <c r="E38" i="4"/>
  <c r="E30" i="4"/>
  <c r="K167" i="14" l="1"/>
  <c r="M167" i="14" s="1"/>
  <c r="K132" i="14"/>
  <c r="M132" i="14" s="1"/>
  <c r="E12" i="4"/>
  <c r="E13" i="4"/>
  <c r="E14" i="4"/>
  <c r="E15" i="4"/>
  <c r="E16" i="4"/>
  <c r="E17" i="4"/>
  <c r="E18" i="4"/>
  <c r="E19" i="4"/>
  <c r="E11" i="4"/>
  <c r="K183" i="14" l="1"/>
  <c r="M183" i="14" s="1"/>
  <c r="K199" i="14"/>
  <c r="K184" i="14"/>
  <c r="M184" i="14" s="1"/>
  <c r="K109" i="14"/>
  <c r="M109" i="14" s="1"/>
  <c r="K71" i="14"/>
  <c r="M71" i="14" s="1"/>
  <c r="K200" i="14"/>
  <c r="K69" i="14"/>
  <c r="M69" i="14" s="1"/>
  <c r="K108" i="14"/>
  <c r="M108" i="14" s="1"/>
  <c r="E189" i="14" l="1"/>
  <c r="E203" i="14"/>
  <c r="C200" i="14"/>
  <c r="C199" i="14"/>
  <c r="E188" i="14"/>
  <c r="E187" i="14"/>
  <c r="C180" i="14"/>
  <c r="C181" i="14"/>
  <c r="C182" i="14"/>
  <c r="C179" i="14"/>
  <c r="C185" i="14" l="1"/>
  <c r="E172" i="14"/>
  <c r="E171" i="14"/>
  <c r="E170" i="14"/>
  <c r="C160" i="14"/>
  <c r="C161" i="14"/>
  <c r="C162" i="14"/>
  <c r="C163" i="14"/>
  <c r="C164" i="14"/>
  <c r="C165" i="14"/>
  <c r="C166" i="14"/>
  <c r="E150" i="14"/>
  <c r="E149" i="14"/>
  <c r="E148" i="14"/>
  <c r="C144" i="14"/>
  <c r="C145" i="14"/>
  <c r="E137" i="14"/>
  <c r="E136" i="14"/>
  <c r="E135" i="14"/>
  <c r="C130" i="14"/>
  <c r="C131" i="14"/>
  <c r="C133" i="9"/>
  <c r="E114" i="14"/>
  <c r="E113" i="14"/>
  <c r="E112" i="14"/>
  <c r="C106" i="14"/>
  <c r="C107" i="14"/>
  <c r="E98" i="14"/>
  <c r="E97" i="14"/>
  <c r="E96" i="14"/>
  <c r="C87" i="14"/>
  <c r="C88" i="14"/>
  <c r="C89" i="14"/>
  <c r="C90" i="14"/>
  <c r="C91" i="14"/>
  <c r="C92" i="14"/>
  <c r="C93" i="14"/>
  <c r="C86" i="14"/>
  <c r="E76" i="14"/>
  <c r="E75" i="14"/>
  <c r="E74" i="14"/>
  <c r="C66" i="14"/>
  <c r="C67" i="14"/>
  <c r="C68" i="14"/>
  <c r="C70" i="14"/>
  <c r="E58" i="14"/>
  <c r="E57" i="14"/>
  <c r="E56" i="14"/>
  <c r="C47" i="14"/>
  <c r="C48" i="14"/>
  <c r="C49" i="14"/>
  <c r="C50" i="14"/>
  <c r="C51" i="14"/>
  <c r="C52" i="14"/>
  <c r="C53" i="14"/>
  <c r="C46" i="14"/>
  <c r="E36" i="14"/>
  <c r="E37" i="14"/>
  <c r="E35" i="14"/>
  <c r="C30" i="14"/>
  <c r="C31" i="14"/>
  <c r="C32" i="14"/>
  <c r="C29" i="14"/>
  <c r="C14" i="14"/>
  <c r="C15" i="14"/>
  <c r="C16" i="14"/>
  <c r="E20" i="14"/>
  <c r="E21" i="14"/>
  <c r="E19" i="14"/>
  <c r="C13" i="14"/>
  <c r="C159" i="14" l="1"/>
  <c r="C168" i="14" s="1"/>
  <c r="C168" i="9"/>
  <c r="C105" i="14"/>
  <c r="C110" i="14" s="1"/>
  <c r="C110" i="9"/>
  <c r="C65" i="14"/>
  <c r="C72" i="14" s="1"/>
  <c r="C72" i="9"/>
  <c r="C126" i="14"/>
  <c r="C125" i="14"/>
  <c r="C128" i="14"/>
  <c r="C127" i="14"/>
  <c r="C129" i="14"/>
  <c r="C133" i="14" l="1"/>
  <c r="E23" i="8"/>
  <c r="E24" i="8"/>
  <c r="E47" i="8"/>
  <c r="E13" i="8"/>
  <c r="E12" i="8"/>
  <c r="E10" i="8"/>
  <c r="E49" i="4" l="1"/>
  <c r="G105" i="9" l="1"/>
  <c r="I105" i="9" s="1"/>
  <c r="K105" i="9"/>
  <c r="M105" i="9" s="1"/>
  <c r="E43" i="8" l="1"/>
  <c r="E42" i="8"/>
  <c r="E22" i="8"/>
  <c r="E49" i="8" l="1"/>
  <c r="E41" i="8"/>
  <c r="E11" i="8"/>
  <c r="E14" i="8"/>
  <c r="E15" i="8"/>
  <c r="E16" i="8"/>
  <c r="E17" i="8"/>
  <c r="E18" i="8"/>
  <c r="E19" i="8"/>
  <c r="E29" i="8"/>
  <c r="K184" i="9" l="1"/>
  <c r="M184" i="9" s="1"/>
  <c r="K69" i="9"/>
  <c r="M69" i="9" s="1"/>
  <c r="K108" i="9"/>
  <c r="M108" i="9" s="1"/>
  <c r="K71" i="9"/>
  <c r="M71" i="9" s="1"/>
  <c r="K109" i="9"/>
  <c r="M109" i="9" s="1"/>
  <c r="K183" i="9"/>
  <c r="M183" i="9" s="1"/>
  <c r="G24" i="4"/>
  <c r="E43" i="4" l="1"/>
  <c r="E42" i="4"/>
  <c r="E41" i="4" l="1"/>
  <c r="G22" i="4"/>
  <c r="G47" i="4"/>
  <c r="K203" i="14"/>
  <c r="M203" i="14" s="1"/>
  <c r="M204" i="14" s="1"/>
  <c r="K188" i="14"/>
  <c r="M188" i="14" s="1"/>
  <c r="K187" i="14"/>
  <c r="M187" i="14" s="1"/>
  <c r="K180" i="14"/>
  <c r="M180" i="14" s="1"/>
  <c r="K149" i="14"/>
  <c r="M149" i="14" s="1"/>
  <c r="K148" i="14"/>
  <c r="M148" i="14" s="1"/>
  <c r="K137" i="14"/>
  <c r="M137" i="14" s="1"/>
  <c r="K136" i="14"/>
  <c r="M136" i="14" s="1"/>
  <c r="K113" i="14"/>
  <c r="M113" i="14" s="1"/>
  <c r="K97" i="14"/>
  <c r="M97" i="14" s="1"/>
  <c r="K98" i="14"/>
  <c r="M98" i="14" s="1"/>
  <c r="K74" i="14"/>
  <c r="M74" i="14" s="1"/>
  <c r="K57" i="14"/>
  <c r="M57" i="14" s="1"/>
  <c r="K58" i="14"/>
  <c r="M58" i="14" s="1"/>
  <c r="K30" i="14"/>
  <c r="M30" i="14" s="1"/>
  <c r="K20" i="14"/>
  <c r="M20" i="14" s="1"/>
  <c r="E204" i="14"/>
  <c r="C204" i="14"/>
  <c r="G203" i="14"/>
  <c r="I203" i="14" s="1"/>
  <c r="I204" i="14" s="1"/>
  <c r="E201" i="14"/>
  <c r="C201" i="14"/>
  <c r="E190" i="14"/>
  <c r="C190" i="14"/>
  <c r="G189" i="14"/>
  <c r="I189" i="14" s="1"/>
  <c r="G188" i="14"/>
  <c r="I188" i="14" s="1"/>
  <c r="G187" i="14"/>
  <c r="I187" i="14" s="1"/>
  <c r="G182" i="14"/>
  <c r="I182" i="14" s="1"/>
  <c r="G181" i="14"/>
  <c r="I181" i="14" s="1"/>
  <c r="G180" i="14"/>
  <c r="I180" i="14" s="1"/>
  <c r="G179" i="14"/>
  <c r="I179" i="14" s="1"/>
  <c r="E173" i="14"/>
  <c r="C173" i="14"/>
  <c r="G172" i="14"/>
  <c r="I172" i="14" s="1"/>
  <c r="G171" i="14"/>
  <c r="I171" i="14" s="1"/>
  <c r="G170" i="14"/>
  <c r="I170" i="14" s="1"/>
  <c r="G166" i="14"/>
  <c r="I166" i="14" s="1"/>
  <c r="G165" i="14"/>
  <c r="I165" i="14" s="1"/>
  <c r="G164" i="14"/>
  <c r="I164" i="14" s="1"/>
  <c r="G163" i="14"/>
  <c r="I163" i="14" s="1"/>
  <c r="G162" i="14"/>
  <c r="I162" i="14" s="1"/>
  <c r="G161" i="14"/>
  <c r="I161" i="14" s="1"/>
  <c r="G160" i="14"/>
  <c r="I160" i="14" s="1"/>
  <c r="G159" i="14"/>
  <c r="I159" i="14" s="1"/>
  <c r="E151" i="14"/>
  <c r="C151" i="14"/>
  <c r="G150" i="14"/>
  <c r="I150" i="14" s="1"/>
  <c r="G149" i="14"/>
  <c r="I149" i="14" s="1"/>
  <c r="G148" i="14"/>
  <c r="I148" i="14" s="1"/>
  <c r="E146" i="14"/>
  <c r="C146" i="14"/>
  <c r="G145" i="14"/>
  <c r="I145" i="14" s="1"/>
  <c r="G144" i="14"/>
  <c r="I144" i="14" s="1"/>
  <c r="E138" i="14"/>
  <c r="C138" i="14"/>
  <c r="G137" i="14"/>
  <c r="I137" i="14" s="1"/>
  <c r="G136" i="14"/>
  <c r="I136" i="14" s="1"/>
  <c r="G135" i="14"/>
  <c r="I135" i="14" s="1"/>
  <c r="E133" i="14"/>
  <c r="G131" i="14"/>
  <c r="I131" i="14" s="1"/>
  <c r="G130" i="14"/>
  <c r="I130" i="14" s="1"/>
  <c r="G129" i="14"/>
  <c r="I129" i="14" s="1"/>
  <c r="G128" i="14"/>
  <c r="I128" i="14" s="1"/>
  <c r="G127" i="14"/>
  <c r="I127" i="14" s="1"/>
  <c r="G126" i="14"/>
  <c r="I126" i="14" s="1"/>
  <c r="G125" i="14"/>
  <c r="I125" i="14" s="1"/>
  <c r="E115" i="14"/>
  <c r="C115" i="14"/>
  <c r="G114" i="14"/>
  <c r="I114" i="14" s="1"/>
  <c r="G113" i="14"/>
  <c r="I113" i="14" s="1"/>
  <c r="G112" i="14"/>
  <c r="I112" i="14" s="1"/>
  <c r="G107" i="14"/>
  <c r="I107" i="14" s="1"/>
  <c r="G106" i="14"/>
  <c r="I106" i="14" s="1"/>
  <c r="G105" i="14"/>
  <c r="I105" i="14" s="1"/>
  <c r="E99" i="14"/>
  <c r="C99" i="14"/>
  <c r="G98" i="14"/>
  <c r="I98" i="14" s="1"/>
  <c r="G97" i="14"/>
  <c r="I97" i="14" s="1"/>
  <c r="G96" i="14"/>
  <c r="I96" i="14" s="1"/>
  <c r="E94" i="14"/>
  <c r="C94" i="14"/>
  <c r="G93" i="14"/>
  <c r="I93" i="14" s="1"/>
  <c r="G92" i="14"/>
  <c r="I92" i="14" s="1"/>
  <c r="G91" i="14"/>
  <c r="I91" i="14" s="1"/>
  <c r="G90" i="14"/>
  <c r="I90" i="14" s="1"/>
  <c r="G89" i="14"/>
  <c r="I89" i="14" s="1"/>
  <c r="G88" i="14"/>
  <c r="I88" i="14" s="1"/>
  <c r="G87" i="14"/>
  <c r="I87" i="14" s="1"/>
  <c r="G86" i="14"/>
  <c r="I86" i="14" s="1"/>
  <c r="E77" i="14"/>
  <c r="C77" i="14"/>
  <c r="G76" i="14"/>
  <c r="I76" i="14" s="1"/>
  <c r="G75" i="14"/>
  <c r="I75" i="14" s="1"/>
  <c r="G74" i="14"/>
  <c r="I74" i="14" s="1"/>
  <c r="G70" i="14"/>
  <c r="I70" i="14" s="1"/>
  <c r="G68" i="14"/>
  <c r="I68" i="14" s="1"/>
  <c r="G67" i="14"/>
  <c r="I67" i="14" s="1"/>
  <c r="G66" i="14"/>
  <c r="I66" i="14" s="1"/>
  <c r="G65" i="14"/>
  <c r="I65" i="14" s="1"/>
  <c r="E59" i="14"/>
  <c r="C59" i="14"/>
  <c r="G58" i="14"/>
  <c r="I58" i="14" s="1"/>
  <c r="G57" i="14"/>
  <c r="I57" i="14" s="1"/>
  <c r="G56" i="14"/>
  <c r="I56" i="14" s="1"/>
  <c r="E54" i="14"/>
  <c r="C54" i="14"/>
  <c r="G53" i="14"/>
  <c r="I53" i="14" s="1"/>
  <c r="G52" i="14"/>
  <c r="I52" i="14" s="1"/>
  <c r="G51" i="14"/>
  <c r="I51" i="14" s="1"/>
  <c r="G50" i="14"/>
  <c r="I50" i="14" s="1"/>
  <c r="G49" i="14"/>
  <c r="I49" i="14" s="1"/>
  <c r="G48" i="14"/>
  <c r="I48" i="14" s="1"/>
  <c r="G47" i="14"/>
  <c r="I47" i="14" s="1"/>
  <c r="G46" i="14"/>
  <c r="I46" i="14" s="1"/>
  <c r="E38" i="14"/>
  <c r="C38" i="14"/>
  <c r="G37" i="14"/>
  <c r="I37" i="14" s="1"/>
  <c r="G36" i="14"/>
  <c r="I36" i="14" s="1"/>
  <c r="G35" i="14"/>
  <c r="I35" i="14" s="1"/>
  <c r="E33" i="14"/>
  <c r="C33" i="14"/>
  <c r="G32" i="14"/>
  <c r="I32" i="14" s="1"/>
  <c r="G31" i="14"/>
  <c r="I31" i="14" s="1"/>
  <c r="G30" i="14"/>
  <c r="I30" i="14" s="1"/>
  <c r="G29" i="14"/>
  <c r="I29" i="14" s="1"/>
  <c r="E22" i="14"/>
  <c r="C22" i="14"/>
  <c r="G21" i="14"/>
  <c r="I21" i="14" s="1"/>
  <c r="G20" i="14"/>
  <c r="I20" i="14" s="1"/>
  <c r="G19" i="14"/>
  <c r="I19" i="14" s="1"/>
  <c r="E17" i="14"/>
  <c r="C17" i="14"/>
  <c r="G16" i="14"/>
  <c r="I16" i="14" s="1"/>
  <c r="G15" i="14"/>
  <c r="I15" i="14" s="1"/>
  <c r="G14" i="14"/>
  <c r="I14" i="14" s="1"/>
  <c r="G13" i="14"/>
  <c r="I13" i="14" s="1"/>
  <c r="C201" i="9"/>
  <c r="K180" i="9"/>
  <c r="M180" i="9" s="1"/>
  <c r="G180" i="9"/>
  <c r="I180" i="9" s="1"/>
  <c r="E190" i="9"/>
  <c r="C190" i="9"/>
  <c r="E146" i="9"/>
  <c r="C146" i="9"/>
  <c r="E94" i="9"/>
  <c r="C94" i="9"/>
  <c r="E59" i="9"/>
  <c r="C59" i="9"/>
  <c r="E54" i="9"/>
  <c r="C54" i="9"/>
  <c r="C17" i="9"/>
  <c r="K32" i="9"/>
  <c r="M32" i="9" s="1"/>
  <c r="G31" i="9"/>
  <c r="I31" i="9" s="1"/>
  <c r="G32" i="9"/>
  <c r="I32" i="9" s="1"/>
  <c r="E38" i="9"/>
  <c r="C38" i="9"/>
  <c r="C33" i="9"/>
  <c r="G29" i="9"/>
  <c r="I29" i="9" s="1"/>
  <c r="G30" i="9"/>
  <c r="I30" i="9" s="1"/>
  <c r="E33" i="9"/>
  <c r="G35" i="9"/>
  <c r="I35" i="9" s="1"/>
  <c r="G36" i="9"/>
  <c r="I36" i="9" s="1"/>
  <c r="G37" i="9"/>
  <c r="I37" i="9" s="1"/>
  <c r="E17" i="9"/>
  <c r="G57" i="9"/>
  <c r="G58" i="9"/>
  <c r="G56" i="9"/>
  <c r="G20" i="9"/>
  <c r="G21" i="9"/>
  <c r="G19" i="9"/>
  <c r="K172" i="14"/>
  <c r="M172" i="14" s="1"/>
  <c r="K171" i="14"/>
  <c r="M171" i="14" s="1"/>
  <c r="K86" i="14"/>
  <c r="M86" i="14" s="1"/>
  <c r="K21" i="14"/>
  <c r="M21" i="14" s="1"/>
  <c r="K36" i="14"/>
  <c r="M36" i="14" s="1"/>
  <c r="K112" i="14"/>
  <c r="M112" i="14" s="1"/>
  <c r="K145" i="14"/>
  <c r="M145" i="14" s="1"/>
  <c r="K32" i="14"/>
  <c r="M32" i="14" s="1"/>
  <c r="K181" i="14"/>
  <c r="M181" i="14" s="1"/>
  <c r="K66" i="14"/>
  <c r="M66" i="14" s="1"/>
  <c r="K179" i="14"/>
  <c r="M179" i="14" s="1"/>
  <c r="I72" i="14" l="1"/>
  <c r="I110" i="14"/>
  <c r="I185" i="14"/>
  <c r="I168" i="14"/>
  <c r="I133" i="14"/>
  <c r="E206" i="14"/>
  <c r="E140" i="14"/>
  <c r="C192" i="9"/>
  <c r="E117" i="14"/>
  <c r="E153" i="14"/>
  <c r="C140" i="14"/>
  <c r="K56" i="14"/>
  <c r="M56" i="14" s="1"/>
  <c r="M59" i="14" s="1"/>
  <c r="C206" i="14"/>
  <c r="C24" i="14"/>
  <c r="I38" i="14"/>
  <c r="C192" i="14"/>
  <c r="E175" i="14"/>
  <c r="E192" i="14"/>
  <c r="C175" i="14"/>
  <c r="C117" i="14"/>
  <c r="C101" i="14"/>
  <c r="E79" i="14"/>
  <c r="E61" i="14"/>
  <c r="C40" i="14"/>
  <c r="E24" i="14"/>
  <c r="E192" i="9"/>
  <c r="E40" i="9"/>
  <c r="C40" i="9"/>
  <c r="C153" i="14"/>
  <c r="E40" i="14"/>
  <c r="I199" i="14"/>
  <c r="C79" i="14"/>
  <c r="C61" i="14"/>
  <c r="K106" i="14"/>
  <c r="M106" i="14" s="1"/>
  <c r="K31" i="14"/>
  <c r="M31" i="14" s="1"/>
  <c r="K96" i="14"/>
  <c r="M96" i="14" s="1"/>
  <c r="M99" i="14" s="1"/>
  <c r="M199" i="14"/>
  <c r="K67" i="14"/>
  <c r="M67" i="14" s="1"/>
  <c r="K70" i="14"/>
  <c r="M70" i="14" s="1"/>
  <c r="K46" i="14"/>
  <c r="M46" i="14" s="1"/>
  <c r="K105" i="14"/>
  <c r="M105" i="14" s="1"/>
  <c r="K29" i="14"/>
  <c r="M29" i="14" s="1"/>
  <c r="I77" i="14"/>
  <c r="I33" i="14"/>
  <c r="I151" i="14"/>
  <c r="I146" i="14"/>
  <c r="I173" i="14"/>
  <c r="I33" i="9"/>
  <c r="K189" i="14"/>
  <c r="M189" i="14" s="1"/>
  <c r="M190" i="14" s="1"/>
  <c r="K68" i="14"/>
  <c r="M68" i="14" s="1"/>
  <c r="K135" i="14"/>
  <c r="M135" i="14" s="1"/>
  <c r="M138" i="14" s="1"/>
  <c r="K35" i="14"/>
  <c r="M35" i="14" s="1"/>
  <c r="K76" i="14"/>
  <c r="M76" i="14" s="1"/>
  <c r="K107" i="14"/>
  <c r="M107" i="14" s="1"/>
  <c r="K114" i="14"/>
  <c r="M114" i="14" s="1"/>
  <c r="M115" i="14" s="1"/>
  <c r="K13" i="14"/>
  <c r="M13" i="14" s="1"/>
  <c r="K125" i="14"/>
  <c r="M125" i="14" s="1"/>
  <c r="K19" i="14"/>
  <c r="M19" i="14" s="1"/>
  <c r="M22" i="14" s="1"/>
  <c r="K37" i="14"/>
  <c r="M37" i="14" s="1"/>
  <c r="K75" i="14"/>
  <c r="M75" i="14" s="1"/>
  <c r="K144" i="14"/>
  <c r="M144" i="14" s="1"/>
  <c r="K182" i="14"/>
  <c r="M182" i="14" s="1"/>
  <c r="M185" i="14" s="1"/>
  <c r="K150" i="14"/>
  <c r="M150" i="14" s="1"/>
  <c r="M151" i="14" s="1"/>
  <c r="K159" i="14"/>
  <c r="M159" i="14" s="1"/>
  <c r="K65" i="14"/>
  <c r="M65" i="14" s="1"/>
  <c r="K170" i="14"/>
  <c r="M170" i="14" s="1"/>
  <c r="M173" i="14" s="1"/>
  <c r="I54" i="14"/>
  <c r="E101" i="14"/>
  <c r="I22" i="14"/>
  <c r="I17" i="14"/>
  <c r="I59" i="14"/>
  <c r="I94" i="14"/>
  <c r="I115" i="14"/>
  <c r="I99" i="14"/>
  <c r="I138" i="14"/>
  <c r="I190" i="14"/>
  <c r="I200" i="14"/>
  <c r="I38" i="9"/>
  <c r="M72" i="14" l="1"/>
  <c r="M110" i="14"/>
  <c r="M117" i="14" s="1"/>
  <c r="E155" i="14"/>
  <c r="E119" i="14"/>
  <c r="C155" i="14"/>
  <c r="M33" i="14"/>
  <c r="I40" i="14"/>
  <c r="C119" i="14"/>
  <c r="E194" i="14"/>
  <c r="C42" i="14"/>
  <c r="E81" i="14"/>
  <c r="E42" i="14"/>
  <c r="I201" i="14"/>
  <c r="I206" i="14" s="1"/>
  <c r="C194" i="14"/>
  <c r="I140" i="14"/>
  <c r="C81" i="14"/>
  <c r="I40" i="9"/>
  <c r="I153" i="14"/>
  <c r="M192" i="14"/>
  <c r="M200" i="14"/>
  <c r="M201" i="14" s="1"/>
  <c r="M206" i="14" s="1"/>
  <c r="I61" i="14"/>
  <c r="M146" i="14"/>
  <c r="M153" i="14" s="1"/>
  <c r="I79" i="14"/>
  <c r="I175" i="14"/>
  <c r="M77" i="14"/>
  <c r="M38" i="14"/>
  <c r="I101" i="14"/>
  <c r="I192" i="14"/>
  <c r="I24" i="14"/>
  <c r="I117" i="14"/>
  <c r="K136" i="9"/>
  <c r="M136" i="9" s="1"/>
  <c r="K113" i="9"/>
  <c r="M113" i="9" s="1"/>
  <c r="K20" i="9"/>
  <c r="M20" i="9" s="1"/>
  <c r="G49" i="4"/>
  <c r="G10" i="8"/>
  <c r="K148" i="9"/>
  <c r="M148" i="9" s="1"/>
  <c r="K112" i="9"/>
  <c r="M112" i="9" s="1"/>
  <c r="K35" i="9"/>
  <c r="K19" i="9"/>
  <c r="K203" i="9"/>
  <c r="K189" i="9"/>
  <c r="M189" i="9" s="1"/>
  <c r="K150" i="9"/>
  <c r="M150" i="9" s="1"/>
  <c r="K114" i="9"/>
  <c r="M114" i="9" s="1"/>
  <c r="K76" i="9"/>
  <c r="M76" i="9" s="1"/>
  <c r="K46" i="9"/>
  <c r="M46" i="9" s="1"/>
  <c r="K37" i="9"/>
  <c r="M37" i="9" s="1"/>
  <c r="K21" i="9"/>
  <c r="M21" i="9" s="1"/>
  <c r="G13" i="9"/>
  <c r="I13" i="9" s="1"/>
  <c r="G14" i="9"/>
  <c r="I14" i="9" s="1"/>
  <c r="G15" i="9"/>
  <c r="I15" i="9" s="1"/>
  <c r="G16" i="9"/>
  <c r="I16" i="9" s="1"/>
  <c r="I20" i="9"/>
  <c r="I21" i="9"/>
  <c r="C22" i="9"/>
  <c r="C24" i="9" s="1"/>
  <c r="C42" i="9" s="1"/>
  <c r="G46" i="9"/>
  <c r="I46" i="9" s="1"/>
  <c r="G47" i="9"/>
  <c r="I47" i="9" s="1"/>
  <c r="G48" i="9"/>
  <c r="I48" i="9" s="1"/>
  <c r="G49" i="9"/>
  <c r="I49" i="9" s="1"/>
  <c r="G50" i="9"/>
  <c r="I50" i="9" s="1"/>
  <c r="G51" i="9"/>
  <c r="I51" i="9" s="1"/>
  <c r="G52" i="9"/>
  <c r="I52" i="9" s="1"/>
  <c r="G53" i="9"/>
  <c r="I53" i="9" s="1"/>
  <c r="I56" i="9"/>
  <c r="I57" i="9"/>
  <c r="I58" i="9"/>
  <c r="C61" i="9"/>
  <c r="E61" i="9"/>
  <c r="G65" i="9"/>
  <c r="I65" i="9" s="1"/>
  <c r="G74" i="9"/>
  <c r="I74" i="9" s="1"/>
  <c r="G75" i="9"/>
  <c r="I75" i="9" s="1"/>
  <c r="G76" i="9"/>
  <c r="I76" i="9" s="1"/>
  <c r="C77" i="9"/>
  <c r="C79" i="9" s="1"/>
  <c r="E77" i="9"/>
  <c r="E79" i="9" s="1"/>
  <c r="G86" i="9"/>
  <c r="I86" i="9" s="1"/>
  <c r="G87" i="9"/>
  <c r="I87" i="9" s="1"/>
  <c r="G88" i="9"/>
  <c r="I88" i="9" s="1"/>
  <c r="G89" i="9"/>
  <c r="I89" i="9" s="1"/>
  <c r="G90" i="9"/>
  <c r="I90" i="9" s="1"/>
  <c r="G91" i="9"/>
  <c r="I91" i="9" s="1"/>
  <c r="G92" i="9"/>
  <c r="I92" i="9" s="1"/>
  <c r="G93" i="9"/>
  <c r="I93" i="9" s="1"/>
  <c r="G96" i="9"/>
  <c r="I96" i="9" s="1"/>
  <c r="G97" i="9"/>
  <c r="I97" i="9" s="1"/>
  <c r="G98" i="9"/>
  <c r="I98" i="9" s="1"/>
  <c r="C99" i="9"/>
  <c r="C101" i="9" s="1"/>
  <c r="E99" i="9"/>
  <c r="E101" i="9" s="1"/>
  <c r="G112" i="9"/>
  <c r="I112" i="9" s="1"/>
  <c r="G113" i="9"/>
  <c r="I113" i="9" s="1"/>
  <c r="G114" i="9"/>
  <c r="I114" i="9" s="1"/>
  <c r="C115" i="9"/>
  <c r="C117" i="9" s="1"/>
  <c r="E115" i="9"/>
  <c r="E117" i="9" s="1"/>
  <c r="G125" i="9"/>
  <c r="I125" i="9" s="1"/>
  <c r="G126" i="9"/>
  <c r="I126" i="9" s="1"/>
  <c r="G127" i="9"/>
  <c r="I127" i="9" s="1"/>
  <c r="G128" i="9"/>
  <c r="I128" i="9" s="1"/>
  <c r="G129" i="9"/>
  <c r="I129" i="9" s="1"/>
  <c r="G130" i="9"/>
  <c r="I130" i="9" s="1"/>
  <c r="G131" i="9"/>
  <c r="I131" i="9" s="1"/>
  <c r="G135" i="9"/>
  <c r="I135" i="9" s="1"/>
  <c r="G136" i="9"/>
  <c r="I136" i="9" s="1"/>
  <c r="G137" i="9"/>
  <c r="I137" i="9" s="1"/>
  <c r="C138" i="9"/>
  <c r="C140" i="9" s="1"/>
  <c r="E138" i="9"/>
  <c r="G148" i="9"/>
  <c r="I148" i="9" s="1"/>
  <c r="G149" i="9"/>
  <c r="I149" i="9" s="1"/>
  <c r="G150" i="9"/>
  <c r="I150" i="9" s="1"/>
  <c r="C151" i="9"/>
  <c r="C153" i="9" s="1"/>
  <c r="E151" i="9"/>
  <c r="E153" i="9" s="1"/>
  <c r="G159" i="9"/>
  <c r="I159" i="9" s="1"/>
  <c r="G160" i="9"/>
  <c r="I160" i="9" s="1"/>
  <c r="G161" i="9"/>
  <c r="I161" i="9" s="1"/>
  <c r="G162" i="9"/>
  <c r="I162" i="9" s="1"/>
  <c r="G163" i="9"/>
  <c r="I163" i="9" s="1"/>
  <c r="G164" i="9"/>
  <c r="I164" i="9" s="1"/>
  <c r="G165" i="9"/>
  <c r="I165" i="9" s="1"/>
  <c r="G166" i="9"/>
  <c r="I166" i="9" s="1"/>
  <c r="G170" i="9"/>
  <c r="I170" i="9" s="1"/>
  <c r="G171" i="9"/>
  <c r="I171" i="9" s="1"/>
  <c r="G172" i="9"/>
  <c r="I172" i="9" s="1"/>
  <c r="C173" i="9"/>
  <c r="C175" i="9" s="1"/>
  <c r="C194" i="9" s="1"/>
  <c r="E173" i="9"/>
  <c r="E175" i="9" s="1"/>
  <c r="G179" i="9"/>
  <c r="I179" i="9" s="1"/>
  <c r="G187" i="9"/>
  <c r="I187" i="9" s="1"/>
  <c r="G188" i="9"/>
  <c r="I188" i="9" s="1"/>
  <c r="G189" i="9"/>
  <c r="I189" i="9" s="1"/>
  <c r="E201" i="9"/>
  <c r="G203" i="9"/>
  <c r="C204" i="9"/>
  <c r="G22" i="8"/>
  <c r="G23" i="8"/>
  <c r="G24" i="8"/>
  <c r="G29" i="8"/>
  <c r="G47" i="8"/>
  <c r="G29" i="4"/>
  <c r="G10" i="4"/>
  <c r="G23" i="4"/>
  <c r="K179" i="9"/>
  <c r="M179" i="9" s="1"/>
  <c r="K65" i="9"/>
  <c r="M65" i="9" s="1"/>
  <c r="K29" i="9"/>
  <c r="M29" i="9" s="1"/>
  <c r="K125" i="9"/>
  <c r="M125" i="9" s="1"/>
  <c r="K86" i="9"/>
  <c r="M86" i="9" s="1"/>
  <c r="K159" i="9"/>
  <c r="M159" i="9" s="1"/>
  <c r="K13" i="9"/>
  <c r="M13" i="9" s="1"/>
  <c r="G49" i="8"/>
  <c r="K188" i="9"/>
  <c r="M188" i="9" s="1"/>
  <c r="K36" i="9"/>
  <c r="M36" i="9" s="1"/>
  <c r="K149" i="9"/>
  <c r="M149" i="9" s="1"/>
  <c r="K75" i="9"/>
  <c r="M75" i="9" s="1"/>
  <c r="K187" i="9"/>
  <c r="M187" i="9" s="1"/>
  <c r="K74" i="9"/>
  <c r="M74" i="9" s="1"/>
  <c r="G11" i="8"/>
  <c r="K172" i="9"/>
  <c r="M172" i="9" s="1"/>
  <c r="G12" i="8"/>
  <c r="K66" i="9"/>
  <c r="M66" i="9" s="1"/>
  <c r="K30" i="9"/>
  <c r="M30" i="9" s="1"/>
  <c r="G15" i="8"/>
  <c r="K107" i="9"/>
  <c r="M107" i="9" s="1"/>
  <c r="K68" i="9"/>
  <c r="M68" i="9" s="1"/>
  <c r="G14" i="8"/>
  <c r="K182" i="9"/>
  <c r="M182" i="9" s="1"/>
  <c r="G18" i="8"/>
  <c r="K106" i="9"/>
  <c r="M106" i="9" s="1"/>
  <c r="K181" i="9"/>
  <c r="M181" i="9" s="1"/>
  <c r="K67" i="9"/>
  <c r="M67" i="9" s="1"/>
  <c r="K31" i="9"/>
  <c r="M31" i="9" s="1"/>
  <c r="G13" i="8"/>
  <c r="K145" i="9"/>
  <c r="M145" i="9" s="1"/>
  <c r="G19" i="8"/>
  <c r="K70" i="9"/>
  <c r="M70" i="9" s="1"/>
  <c r="G16" i="8"/>
  <c r="K199" i="9"/>
  <c r="M199" i="9" s="1"/>
  <c r="K144" i="9"/>
  <c r="M144" i="9" s="1"/>
  <c r="K200" i="9"/>
  <c r="M200" i="9" s="1"/>
  <c r="G17" i="8"/>
  <c r="M110" i="9" l="1"/>
  <c r="M185" i="9"/>
  <c r="I168" i="9"/>
  <c r="I133" i="9"/>
  <c r="M72" i="9"/>
  <c r="E121" i="14"/>
  <c r="I42" i="14"/>
  <c r="M40" i="14"/>
  <c r="E209" i="14"/>
  <c r="G35" i="4"/>
  <c r="C121" i="14"/>
  <c r="C209" i="14"/>
  <c r="E194" i="9"/>
  <c r="E140" i="9"/>
  <c r="E155" i="9" s="1"/>
  <c r="I81" i="14"/>
  <c r="I155" i="14"/>
  <c r="E81" i="9"/>
  <c r="E119" i="9"/>
  <c r="M33" i="9"/>
  <c r="M79" i="14"/>
  <c r="I119" i="14"/>
  <c r="I194" i="14"/>
  <c r="I17" i="9"/>
  <c r="C155" i="9"/>
  <c r="M19" i="9"/>
  <c r="M22" i="9" s="1"/>
  <c r="M115" i="9"/>
  <c r="K171" i="9"/>
  <c r="M171" i="9" s="1"/>
  <c r="K97" i="9"/>
  <c r="M97" i="9" s="1"/>
  <c r="M201" i="9"/>
  <c r="G43" i="4"/>
  <c r="G41" i="4"/>
  <c r="G37" i="4"/>
  <c r="G30" i="4"/>
  <c r="G33" i="4"/>
  <c r="G36" i="4"/>
  <c r="G32" i="4"/>
  <c r="G38" i="4"/>
  <c r="I138" i="9"/>
  <c r="I54" i="9"/>
  <c r="I190" i="9"/>
  <c r="G11" i="4"/>
  <c r="I77" i="9"/>
  <c r="I151" i="9"/>
  <c r="I94" i="9"/>
  <c r="I203" i="9"/>
  <c r="I204" i="9" s="1"/>
  <c r="E204" i="9"/>
  <c r="E206" i="9" s="1"/>
  <c r="C206" i="9"/>
  <c r="C119" i="9"/>
  <c r="G42" i="8"/>
  <c r="K57" i="9"/>
  <c r="M57" i="9" s="1"/>
  <c r="M146" i="9"/>
  <c r="G42" i="4"/>
  <c r="I115" i="9"/>
  <c r="I99" i="9"/>
  <c r="I59" i="9"/>
  <c r="M190" i="9"/>
  <c r="E22" i="9"/>
  <c r="I19" i="9"/>
  <c r="I22" i="9" s="1"/>
  <c r="I173" i="9"/>
  <c r="C81" i="9"/>
  <c r="G34" i="4"/>
  <c r="M203" i="9"/>
  <c r="M204" i="9" s="1"/>
  <c r="M35" i="9"/>
  <c r="M38" i="9" s="1"/>
  <c r="G41" i="8"/>
  <c r="K170" i="9"/>
  <c r="M170" i="9" s="1"/>
  <c r="K135" i="9"/>
  <c r="M135" i="9" s="1"/>
  <c r="K56" i="9"/>
  <c r="M56" i="9" s="1"/>
  <c r="K96" i="9"/>
  <c r="M96" i="9" s="1"/>
  <c r="G43" i="8"/>
  <c r="K98" i="9"/>
  <c r="M98" i="9" s="1"/>
  <c r="K137" i="9"/>
  <c r="M137" i="9" s="1"/>
  <c r="K58" i="9"/>
  <c r="M58" i="9" s="1"/>
  <c r="M151" i="9"/>
  <c r="M77" i="9"/>
  <c r="E34" i="8" l="1"/>
  <c r="K129" i="14"/>
  <c r="M129" i="14" s="1"/>
  <c r="K90" i="14"/>
  <c r="M90" i="14" s="1"/>
  <c r="K50" i="14"/>
  <c r="M50" i="14" s="1"/>
  <c r="K163" i="14"/>
  <c r="M163" i="14" s="1"/>
  <c r="E32" i="8"/>
  <c r="K88" i="14"/>
  <c r="M88" i="14" s="1"/>
  <c r="K48" i="14"/>
  <c r="M48" i="14" s="1"/>
  <c r="K127" i="14"/>
  <c r="M127" i="14" s="1"/>
  <c r="K161" i="14"/>
  <c r="M161" i="14" s="1"/>
  <c r="K15" i="14"/>
  <c r="M15" i="14" s="1"/>
  <c r="E37" i="8"/>
  <c r="K132" i="9" s="1"/>
  <c r="M132" i="9" s="1"/>
  <c r="K166" i="14"/>
  <c r="M166" i="14" s="1"/>
  <c r="K53" i="14"/>
  <c r="M53" i="14" s="1"/>
  <c r="K93" i="14"/>
  <c r="M93" i="14" s="1"/>
  <c r="E30" i="8"/>
  <c r="E33" i="8"/>
  <c r="K49" i="14"/>
  <c r="M49" i="14" s="1"/>
  <c r="K89" i="14"/>
  <c r="M89" i="14" s="1"/>
  <c r="K128" i="14"/>
  <c r="M128" i="14" s="1"/>
  <c r="K16" i="14"/>
  <c r="M16" i="14" s="1"/>
  <c r="K162" i="14"/>
  <c r="M162" i="14" s="1"/>
  <c r="E35" i="8"/>
  <c r="K91" i="14"/>
  <c r="M91" i="14" s="1"/>
  <c r="K130" i="14"/>
  <c r="M130" i="14" s="1"/>
  <c r="K164" i="14"/>
  <c r="M164" i="14" s="1"/>
  <c r="K51" i="14"/>
  <c r="M51" i="14" s="1"/>
  <c r="E38" i="8"/>
  <c r="K167" i="9" s="1"/>
  <c r="M167" i="9" s="1"/>
  <c r="E36" i="8"/>
  <c r="K165" i="14"/>
  <c r="M165" i="14" s="1"/>
  <c r="K131" i="14"/>
  <c r="M131" i="14" s="1"/>
  <c r="K52" i="14"/>
  <c r="M52" i="14" s="1"/>
  <c r="K92" i="14"/>
  <c r="M92" i="14" s="1"/>
  <c r="E31" i="8"/>
  <c r="K126" i="14"/>
  <c r="M126" i="14" s="1"/>
  <c r="K47" i="14"/>
  <c r="M47" i="14" s="1"/>
  <c r="K87" i="14"/>
  <c r="M87" i="14" s="1"/>
  <c r="K160" i="14"/>
  <c r="M160" i="14" s="1"/>
  <c r="K14" i="14"/>
  <c r="M14" i="14" s="1"/>
  <c r="E24" i="9"/>
  <c r="E121" i="9"/>
  <c r="I209" i="14"/>
  <c r="I121" i="14"/>
  <c r="I175" i="9"/>
  <c r="M173" i="9"/>
  <c r="I140" i="9"/>
  <c r="M117" i="9"/>
  <c r="M206" i="9"/>
  <c r="M40" i="9"/>
  <c r="M192" i="9"/>
  <c r="I61" i="9"/>
  <c r="I101" i="9"/>
  <c r="G31" i="4"/>
  <c r="G17" i="4"/>
  <c r="G144" i="9"/>
  <c r="I144" i="9" s="1"/>
  <c r="G18" i="4"/>
  <c r="G70" i="9"/>
  <c r="I70" i="9" s="1"/>
  <c r="G16" i="4"/>
  <c r="G145" i="9"/>
  <c r="I145" i="9" s="1"/>
  <c r="G66" i="9"/>
  <c r="I66" i="9" s="1"/>
  <c r="G15" i="4"/>
  <c r="G106" i="9"/>
  <c r="I106" i="9" s="1"/>
  <c r="G181" i="9"/>
  <c r="I181" i="9" s="1"/>
  <c r="G67" i="9"/>
  <c r="I67" i="9" s="1"/>
  <c r="G107" i="9"/>
  <c r="I107" i="9" s="1"/>
  <c r="G182" i="9"/>
  <c r="I182" i="9" s="1"/>
  <c r="G68" i="9"/>
  <c r="I68" i="9" s="1"/>
  <c r="G14" i="4"/>
  <c r="I24" i="9"/>
  <c r="I42" i="9" s="1"/>
  <c r="C209" i="9"/>
  <c r="C121" i="9"/>
  <c r="M153" i="9"/>
  <c r="M59" i="9"/>
  <c r="M138" i="9"/>
  <c r="M99" i="9"/>
  <c r="M79" i="9"/>
  <c r="M168" i="14" l="1"/>
  <c r="M175" i="14" s="1"/>
  <c r="M194" i="14" s="1"/>
  <c r="M133" i="14"/>
  <c r="M140" i="14" s="1"/>
  <c r="M155" i="14" s="1"/>
  <c r="I72" i="9"/>
  <c r="I79" i="9" s="1"/>
  <c r="I81" i="9" s="1"/>
  <c r="I110" i="9"/>
  <c r="I117" i="9" s="1"/>
  <c r="I119" i="9" s="1"/>
  <c r="I185" i="9"/>
  <c r="M94" i="14"/>
  <c r="M101" i="14" s="1"/>
  <c r="M119" i="14" s="1"/>
  <c r="M54" i="14"/>
  <c r="M61" i="14" s="1"/>
  <c r="M81" i="14" s="1"/>
  <c r="K49" i="9"/>
  <c r="M49" i="9" s="1"/>
  <c r="K16" i="9"/>
  <c r="M16" i="9" s="1"/>
  <c r="K128" i="9"/>
  <c r="M128" i="9" s="1"/>
  <c r="K162" i="9"/>
  <c r="M162" i="9" s="1"/>
  <c r="K89" i="9"/>
  <c r="M89" i="9" s="1"/>
  <c r="G33" i="8"/>
  <c r="K127" i="9"/>
  <c r="M127" i="9" s="1"/>
  <c r="K48" i="9"/>
  <c r="M48" i="9" s="1"/>
  <c r="K15" i="9"/>
  <c r="M15" i="9" s="1"/>
  <c r="K88" i="9"/>
  <c r="M88" i="9" s="1"/>
  <c r="K161" i="9"/>
  <c r="M161" i="9" s="1"/>
  <c r="G32" i="8"/>
  <c r="K91" i="9"/>
  <c r="M91" i="9" s="1"/>
  <c r="K51" i="9"/>
  <c r="M51" i="9" s="1"/>
  <c r="G35" i="8"/>
  <c r="K164" i="9"/>
  <c r="M164" i="9" s="1"/>
  <c r="K130" i="9"/>
  <c r="M130" i="9" s="1"/>
  <c r="G37" i="8"/>
  <c r="K93" i="9"/>
  <c r="M93" i="9" s="1"/>
  <c r="K166" i="9"/>
  <c r="M166" i="9" s="1"/>
  <c r="K53" i="9"/>
  <c r="M53" i="9" s="1"/>
  <c r="K90" i="9"/>
  <c r="M90" i="9" s="1"/>
  <c r="K129" i="9"/>
  <c r="M129" i="9" s="1"/>
  <c r="K50" i="9"/>
  <c r="M50" i="9" s="1"/>
  <c r="K163" i="9"/>
  <c r="M163" i="9" s="1"/>
  <c r="G34" i="8"/>
  <c r="K47" i="9"/>
  <c r="M47" i="9" s="1"/>
  <c r="K87" i="9"/>
  <c r="M87" i="9" s="1"/>
  <c r="K126" i="9"/>
  <c r="M126" i="9" s="1"/>
  <c r="K160" i="9"/>
  <c r="M160" i="9" s="1"/>
  <c r="K14" i="9"/>
  <c r="M14" i="9" s="1"/>
  <c r="G31" i="8"/>
  <c r="K92" i="9"/>
  <c r="M92" i="9" s="1"/>
  <c r="G36" i="8"/>
  <c r="K165" i="9"/>
  <c r="M165" i="9" s="1"/>
  <c r="K131" i="9"/>
  <c r="M131" i="9" s="1"/>
  <c r="K52" i="9"/>
  <c r="M52" i="9" s="1"/>
  <c r="M17" i="14"/>
  <c r="M24" i="14" s="1"/>
  <c r="M42" i="14" s="1"/>
  <c r="G38" i="8"/>
  <c r="G30" i="8"/>
  <c r="E42" i="9"/>
  <c r="I200" i="9"/>
  <c r="I199" i="9"/>
  <c r="I146" i="9"/>
  <c r="I153" i="9" s="1"/>
  <c r="I155" i="9" s="1"/>
  <c r="G12" i="4"/>
  <c r="G13" i="4"/>
  <c r="G19" i="4"/>
  <c r="E209" i="9" l="1"/>
  <c r="M133" i="9"/>
  <c r="M140" i="9" s="1"/>
  <c r="M155" i="9" s="1"/>
  <c r="M168" i="9"/>
  <c r="M175" i="9" s="1"/>
  <c r="M194" i="9" s="1"/>
  <c r="M121" i="14"/>
  <c r="M17" i="9"/>
  <c r="M24" i="9" s="1"/>
  <c r="M42" i="9" s="1"/>
  <c r="M94" i="9"/>
  <c r="M101" i="9" s="1"/>
  <c r="M119" i="9" s="1"/>
  <c r="M54" i="9"/>
  <c r="M61" i="9" s="1"/>
  <c r="M81" i="9" s="1"/>
  <c r="M209" i="14"/>
  <c r="I201" i="9"/>
  <c r="I206" i="9" s="1"/>
  <c r="I192" i="9"/>
  <c r="I194" i="9" s="1"/>
  <c r="I121" i="9"/>
  <c r="M209" i="9" l="1"/>
  <c r="M121" i="9"/>
  <c r="I209" i="9"/>
</calcChain>
</file>

<file path=xl/sharedStrings.xml><?xml version="1.0" encoding="utf-8"?>
<sst xmlns="http://schemas.openxmlformats.org/spreadsheetml/2006/main" count="513" uniqueCount="120">
  <si>
    <t>Rate Block</t>
  </si>
  <si>
    <t>Number</t>
  </si>
  <si>
    <t>Present</t>
  </si>
  <si>
    <t>Of Bills</t>
  </si>
  <si>
    <t>Consumption</t>
  </si>
  <si>
    <t>Rate</t>
  </si>
  <si>
    <t>Revenue</t>
  </si>
  <si>
    <t>(1)</t>
  </si>
  <si>
    <t>(2)</t>
  </si>
  <si>
    <t>(3)</t>
  </si>
  <si>
    <t>(4)</t>
  </si>
  <si>
    <t>(5)</t>
  </si>
  <si>
    <t>(6)</t>
  </si>
  <si>
    <t>(7)</t>
  </si>
  <si>
    <t>Residential - Monthly</t>
  </si>
  <si>
    <t>Customer Charge</t>
  </si>
  <si>
    <t>5/8</t>
  </si>
  <si>
    <t>1</t>
  </si>
  <si>
    <t>1 1/2</t>
  </si>
  <si>
    <t>2</t>
  </si>
  <si>
    <t>4</t>
  </si>
  <si>
    <t>Subtotal</t>
  </si>
  <si>
    <t>First Block</t>
  </si>
  <si>
    <t xml:space="preserve">     Subtotal</t>
  </si>
  <si>
    <t>Total</t>
  </si>
  <si>
    <t>Commercial - Monthly</t>
  </si>
  <si>
    <t>3</t>
  </si>
  <si>
    <t>6</t>
  </si>
  <si>
    <t>8</t>
  </si>
  <si>
    <t>10</t>
  </si>
  <si>
    <t xml:space="preserve">   Subtotal</t>
  </si>
  <si>
    <t>Industrial - Monthly</t>
  </si>
  <si>
    <t>NORTHERN KENTUCKY WATER DISTRICT</t>
  </si>
  <si>
    <t>Residential - Quarterly</t>
  </si>
  <si>
    <t>First 45</t>
  </si>
  <si>
    <t>Next 4,905</t>
  </si>
  <si>
    <t>Over 4,950</t>
  </si>
  <si>
    <t>Total Residential</t>
  </si>
  <si>
    <t>Commercial - Quarterly</t>
  </si>
  <si>
    <t>First 15</t>
  </si>
  <si>
    <t>Next 1,635</t>
  </si>
  <si>
    <t>Over 1,650</t>
  </si>
  <si>
    <t>Total Commercial</t>
  </si>
  <si>
    <t>Industrial - Quarterly</t>
  </si>
  <si>
    <t>Total Industrial</t>
  </si>
  <si>
    <t>Public - Quarterly</t>
  </si>
  <si>
    <t>Public - Monthly</t>
  </si>
  <si>
    <t>Total Public</t>
  </si>
  <si>
    <t>Total Sales for Resale</t>
  </si>
  <si>
    <t>Multi-Family - Quarterly</t>
  </si>
  <si>
    <t>Multi-Family - Monthly</t>
  </si>
  <si>
    <t>Total Multi-Family</t>
  </si>
  <si>
    <t>3"</t>
  </si>
  <si>
    <t>Fixed Service  Charge</t>
  </si>
  <si>
    <t>5/8"</t>
  </si>
  <si>
    <t>Monthly</t>
  </si>
  <si>
    <t>3/4"</t>
  </si>
  <si>
    <t>1"</t>
  </si>
  <si>
    <t>1 1/2"</t>
  </si>
  <si>
    <t>2"</t>
  </si>
  <si>
    <t>4"</t>
  </si>
  <si>
    <t>10" and Larger</t>
  </si>
  <si>
    <t>Quarterly</t>
  </si>
  <si>
    <t>Consumption Charge</t>
  </si>
  <si>
    <t>First  4,500 CF</t>
  </si>
  <si>
    <t>Next 490,500 CF</t>
  </si>
  <si>
    <t>Over 495,000 CF</t>
  </si>
  <si>
    <t>First  1,500 CF</t>
  </si>
  <si>
    <t>Next 163,500 CF</t>
  </si>
  <si>
    <t>Over 165,000 CF</t>
  </si>
  <si>
    <t>Per 100 CF</t>
  </si>
  <si>
    <t>Rates</t>
  </si>
  <si>
    <t>8"</t>
  </si>
  <si>
    <t>6"</t>
  </si>
  <si>
    <t>Proposed</t>
  </si>
  <si>
    <t>Wholesale Customers</t>
  </si>
  <si>
    <t>Percentage</t>
  </si>
  <si>
    <t>Increase</t>
  </si>
  <si>
    <t>Wholesale - Monthly</t>
  </si>
  <si>
    <t>Total  CCF</t>
  </si>
  <si>
    <t>CCF</t>
  </si>
  <si>
    <t>Total Commercial/Multi-Family</t>
  </si>
  <si>
    <t>Bulk Loading Customers</t>
  </si>
  <si>
    <t>per 1000 gallons</t>
  </si>
  <si>
    <t>APPLICATION OF PRESENT RATES AND STEP 1 RATES TO CONSUMPTION ANALYSIS</t>
  </si>
  <si>
    <t>Step 2</t>
  </si>
  <si>
    <t>Step 1</t>
  </si>
  <si>
    <t>APPLICATION OF PRESENT RATES AND STEP 2 RATES TO CONSUMPTION ANALYSIS</t>
  </si>
  <si>
    <t>`</t>
  </si>
  <si>
    <t>COMPARATIVE SCHEDULE OF PRESENT AND STEP 2 RATES</t>
  </si>
  <si>
    <t>SUMMARY OF PRESENT AND PROPOSED RATES - STEP 1</t>
  </si>
  <si>
    <t>YEAR ENDED DECMEBER 31, 2021</t>
  </si>
  <si>
    <t>SUMMARY OF PROFORMA REVENUES UNDER PRESENT RATES FOR THE TWELVE MONTHS ENDED DECEMBER 31, 2021</t>
  </si>
  <si>
    <t>Pro Forma</t>
  </si>
  <si>
    <t>Customer</t>
  </si>
  <si>
    <t>Revenues</t>
  </si>
  <si>
    <t>Revenues,</t>
  </si>
  <si>
    <t>Classification</t>
  </si>
  <si>
    <t>Present Rates</t>
  </si>
  <si>
    <t>METERED SALES</t>
  </si>
  <si>
    <t>Residential</t>
  </si>
  <si>
    <t>Commercial</t>
  </si>
  <si>
    <t>Multi -Family</t>
  </si>
  <si>
    <t>Industrial</t>
  </si>
  <si>
    <t>Public</t>
  </si>
  <si>
    <t>Wholesale</t>
  </si>
  <si>
    <t xml:space="preserve">  Total Sales of Water</t>
  </si>
  <si>
    <t>Bulk Water Sales</t>
  </si>
  <si>
    <t>Other Operating Revenues</t>
  </si>
  <si>
    <t xml:space="preserve">    Total</t>
  </si>
  <si>
    <t>Percentage of Pro Forma Revenues</t>
  </si>
  <si>
    <t xml:space="preserve">Pro Forma </t>
  </si>
  <si>
    <t>Adjustments</t>
  </si>
  <si>
    <t xml:space="preserve">Calculation of </t>
  </si>
  <si>
    <t>Proposed Rates</t>
  </si>
  <si>
    <t>Proposed Rates*</t>
  </si>
  <si>
    <t>* Step 2 Rates</t>
  </si>
  <si>
    <t>RECONCILIATION OF PRO FORMA ADJUSTMENTS UNDER PRESENT  AND PROPOSED RATES</t>
  </si>
  <si>
    <t>**</t>
  </si>
  <si>
    <t>** See Cost of Service Calculation. Increase based on overall Step 2 increase.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</si>
</sst>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"/>
    <numFmt numFmtId="166" formatCode="#,##0.0000"/>
    <numFmt numFmtId="167" formatCode="_(* #,##0.000_);_(* \(#,##0.000\);_(* &quot;-&quot;??_);_(@_)"/>
    <numFmt numFmtId="168" formatCode="_(* #,##0_);_(* \(#,##0\);_(* &quot;-&quot;??_);_(@_)"/>
    <numFmt numFmtId="169" formatCode="0.000"/>
    <numFmt numFmtId="171" formatCode="#,##0.00000000_);\(#,##0.00000000\)"/>
    <numFmt numFmtId="172" formatCode="0.0000"/>
    <numFmt numFmtId="173" formatCode="_(&quot;$&quot;* #,##0_);_(&quot;$&quot;* \(#,##0\);_(&quot;$&quot;* &quot;-&quot;??_);_(@_)"/>
    <numFmt numFmtId="174" formatCode="_(* #,##0.0000_);_(* \(#,##0.0000\);_(* &quot;-&quot;??_);_(@_)"/>
    <numFmt numFmtId="175" formatCode="0_);\(0\)"/>
    <numFmt numFmtId="176" formatCode="&quot;$&quot;#,##0"/>
    <numFmt numFmtId="177" formatCode="_(* #,##0.0000000_);_(* \(#,##0.0000000\);_(* &quot;-&quot;??_);_(@_)"/>
    <numFmt numFmtId="178" formatCode="&quot;$&quot;#,##0.00"/>
    <numFmt numFmtId="179" formatCode="0.00000000000000%"/>
  </numFmts>
  <fonts count="11" x14ac:knownFonts="1">
    <font>
      <sz val="12"/>
      <name val="Arial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color indexed="10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37" fontId="3" fillId="0" borderId="0" xfId="0" applyNumberFormat="1" applyFont="1" applyAlignment="1">
      <alignment horizontal="center"/>
    </xf>
    <xf numFmtId="37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3" fillId="0" borderId="0" xfId="0" quotePrefix="1" applyFont="1" applyAlignment="1">
      <alignment horizontal="center"/>
    </xf>
    <xf numFmtId="37" fontId="3" fillId="0" borderId="0" xfId="0" quotePrefix="1" applyNumberFormat="1" applyFont="1" applyAlignment="1">
      <alignment horizontal="center"/>
    </xf>
    <xf numFmtId="3" fontId="3" fillId="0" borderId="0" xfId="0" quotePrefix="1" applyNumberFormat="1" applyFont="1" applyAlignment="1">
      <alignment horizontal="center"/>
    </xf>
    <xf numFmtId="37" fontId="3" fillId="0" borderId="0" xfId="0" applyNumberFormat="1" applyFont="1"/>
    <xf numFmtId="3" fontId="3" fillId="0" borderId="0" xfId="0" applyNumberFormat="1" applyFont="1"/>
    <xf numFmtId="0" fontId="3" fillId="0" borderId="0" xfId="0" quotePrefix="1" applyFont="1"/>
    <xf numFmtId="4" fontId="3" fillId="0" borderId="0" xfId="0" applyNumberFormat="1" applyFont="1"/>
    <xf numFmtId="37" fontId="3" fillId="0" borderId="1" xfId="0" applyNumberFormat="1" applyFont="1" applyBorder="1"/>
    <xf numFmtId="3" fontId="3" fillId="0" borderId="0" xfId="0" applyNumberFormat="1" applyFont="1" applyBorder="1"/>
    <xf numFmtId="166" fontId="3" fillId="0" borderId="0" xfId="0" applyNumberFormat="1" applyFont="1"/>
    <xf numFmtId="164" fontId="3" fillId="0" borderId="0" xfId="0" applyNumberFormat="1" applyFont="1"/>
    <xf numFmtId="10" fontId="3" fillId="0" borderId="0" xfId="2" applyNumberFormat="1" applyFont="1"/>
    <xf numFmtId="37" fontId="3" fillId="0" borderId="0" xfId="1" applyNumberFormat="1" applyFont="1"/>
    <xf numFmtId="0" fontId="3" fillId="0" borderId="0" xfId="0" applyFont="1" applyBorder="1"/>
    <xf numFmtId="37" fontId="3" fillId="0" borderId="0" xfId="0" applyNumberFormat="1" applyFont="1" applyBorder="1"/>
    <xf numFmtId="37" fontId="3" fillId="0" borderId="0" xfId="1" applyNumberFormat="1" applyFont="1" applyBorder="1"/>
    <xf numFmtId="37" fontId="3" fillId="0" borderId="1" xfId="1" applyNumberFormat="1" applyFont="1" applyBorder="1"/>
    <xf numFmtId="3" fontId="3" fillId="0" borderId="0" xfId="1" applyNumberFormat="1" applyFont="1"/>
    <xf numFmtId="3" fontId="3" fillId="0" borderId="0" xfId="0" quotePrefix="1" applyNumberFormat="1" applyFont="1"/>
    <xf numFmtId="37" fontId="5" fillId="0" borderId="0" xfId="0" applyNumberFormat="1" applyFont="1"/>
    <xf numFmtId="166" fontId="3" fillId="0" borderId="0" xfId="0" applyNumberFormat="1" applyFont="1" applyBorder="1"/>
    <xf numFmtId="37" fontId="5" fillId="0" borderId="0" xfId="0" applyNumberFormat="1" applyFont="1" applyBorder="1"/>
    <xf numFmtId="0" fontId="5" fillId="0" borderId="0" xfId="0" applyFont="1" applyBorder="1"/>
    <xf numFmtId="171" fontId="3" fillId="0" borderId="0" xfId="0" applyNumberFormat="1" applyFont="1"/>
    <xf numFmtId="0" fontId="0" fillId="0" borderId="0" xfId="0" applyAlignment="1">
      <alignment horizontal="center"/>
    </xf>
    <xf numFmtId="39" fontId="3" fillId="0" borderId="0" xfId="0" applyNumberFormat="1" applyFont="1"/>
    <xf numFmtId="168" fontId="3" fillId="0" borderId="0" xfId="1" applyNumberFormat="1" applyFont="1"/>
    <xf numFmtId="43" fontId="3" fillId="0" borderId="0" xfId="0" applyNumberFormat="1" applyFont="1"/>
    <xf numFmtId="167" fontId="3" fillId="0" borderId="0" xfId="1" applyNumberFormat="1" applyFont="1"/>
    <xf numFmtId="167" fontId="3" fillId="0" borderId="0" xfId="0" applyNumberFormat="1" applyFont="1"/>
    <xf numFmtId="0" fontId="3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0" xfId="0" applyNumberFormat="1"/>
    <xf numFmtId="43" fontId="0" fillId="0" borderId="0" xfId="0" applyNumberForma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5" fontId="3" fillId="0" borderId="0" xfId="0" applyNumberFormat="1" applyFont="1"/>
    <xf numFmtId="44" fontId="3" fillId="0" borderId="0" xfId="0" applyNumberFormat="1" applyFont="1"/>
    <xf numFmtId="10" fontId="0" fillId="0" borderId="0" xfId="2" applyNumberFormat="1" applyFont="1"/>
    <xf numFmtId="168" fontId="0" fillId="0" borderId="0" xfId="1" applyNumberFormat="1" applyFont="1"/>
    <xf numFmtId="43" fontId="0" fillId="0" borderId="0" xfId="1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ill="1"/>
    <xf numFmtId="44" fontId="0" fillId="0" borderId="0" xfId="0" applyNumberFormat="1" applyFill="1"/>
    <xf numFmtId="169" fontId="0" fillId="0" borderId="0" xfId="0" applyNumberFormat="1"/>
    <xf numFmtId="43" fontId="3" fillId="0" borderId="0" xfId="1" applyNumberFormat="1" applyFont="1"/>
    <xf numFmtId="43" fontId="3" fillId="0" borderId="0" xfId="1" applyFont="1"/>
    <xf numFmtId="10" fontId="1" fillId="0" borderId="0" xfId="2" applyNumberFormat="1"/>
    <xf numFmtId="168" fontId="0" fillId="0" borderId="0" xfId="1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center"/>
    </xf>
    <xf numFmtId="37" fontId="1" fillId="0" borderId="0" xfId="0" applyNumberFormat="1" applyFont="1"/>
    <xf numFmtId="37" fontId="1" fillId="0" borderId="1" xfId="0" applyNumberFormat="1" applyFont="1" applyBorder="1"/>
    <xf numFmtId="43" fontId="0" fillId="0" borderId="0" xfId="1" applyNumberFormat="1" applyFont="1"/>
    <xf numFmtId="44" fontId="0" fillId="0" borderId="0" xfId="3" applyFont="1"/>
    <xf numFmtId="37" fontId="3" fillId="0" borderId="2" xfId="0" applyNumberFormat="1" applyFont="1" applyBorder="1"/>
    <xf numFmtId="44" fontId="3" fillId="0" borderId="0" xfId="3" applyFont="1"/>
    <xf numFmtId="173" fontId="3" fillId="0" borderId="0" xfId="3" applyNumberFormat="1" applyFont="1"/>
    <xf numFmtId="37" fontId="3" fillId="0" borderId="0" xfId="0" applyNumberFormat="1" applyFont="1" applyFill="1"/>
    <xf numFmtId="10" fontId="3" fillId="0" borderId="0" xfId="2" applyNumberFormat="1" applyFont="1" applyFill="1"/>
    <xf numFmtId="174" fontId="0" fillId="0" borderId="0" xfId="1" applyNumberFormat="1" applyFont="1"/>
    <xf numFmtId="0" fontId="1" fillId="0" borderId="0" xfId="0" quotePrefix="1" applyFont="1"/>
    <xf numFmtId="44" fontId="1" fillId="0" borderId="0" xfId="0" applyNumberFormat="1" applyFont="1"/>
    <xf numFmtId="43" fontId="1" fillId="0" borderId="0" xfId="0" applyNumberFormat="1" applyFont="1"/>
    <xf numFmtId="0" fontId="7" fillId="0" borderId="0" xfId="0" applyFont="1" applyAlignment="1">
      <alignment horizontal="centerContinuous"/>
    </xf>
    <xf numFmtId="43" fontId="3" fillId="0" borderId="0" xfId="1" applyFont="1" applyBorder="1"/>
    <xf numFmtId="172" fontId="0" fillId="0" borderId="0" xfId="0" applyNumberFormat="1" applyFill="1"/>
    <xf numFmtId="0" fontId="3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Alignment="1"/>
    <xf numFmtId="17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75" fontId="1" fillId="0" borderId="0" xfId="0" applyNumberFormat="1" applyFont="1" applyAlignment="1">
      <alignment horizontal="center"/>
    </xf>
    <xf numFmtId="175" fontId="1" fillId="0" borderId="0" xfId="0" quotePrefix="1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3" fontId="1" fillId="0" borderId="0" xfId="0" applyNumberFormat="1" applyFont="1"/>
    <xf numFmtId="0" fontId="4" fillId="0" borderId="0" xfId="0" applyFont="1"/>
    <xf numFmtId="0" fontId="10" fillId="0" borderId="0" xfId="0" applyFont="1"/>
    <xf numFmtId="176" fontId="1" fillId="0" borderId="0" xfId="0" applyNumberFormat="1" applyFont="1"/>
    <xf numFmtId="173" fontId="1" fillId="0" borderId="0" xfId="5" applyNumberFormat="1" applyFont="1"/>
    <xf numFmtId="177" fontId="0" fillId="0" borderId="0" xfId="1" applyNumberFormat="1" applyFont="1"/>
    <xf numFmtId="173" fontId="0" fillId="0" borderId="0" xfId="5" applyNumberFormat="1" applyFont="1"/>
    <xf numFmtId="176" fontId="0" fillId="0" borderId="0" xfId="0" applyNumberFormat="1"/>
    <xf numFmtId="168" fontId="10" fillId="0" borderId="0" xfId="1" applyNumberFormat="1" applyFont="1"/>
    <xf numFmtId="168" fontId="10" fillId="0" borderId="0" xfId="1" applyNumberFormat="1" applyFont="1" applyBorder="1"/>
    <xf numFmtId="176" fontId="10" fillId="0" borderId="0" xfId="0" applyNumberFormat="1" applyFont="1"/>
    <xf numFmtId="41" fontId="0" fillId="0" borderId="0" xfId="6" applyFont="1"/>
    <xf numFmtId="168" fontId="1" fillId="0" borderId="0" xfId="1" applyNumberFormat="1" applyFont="1"/>
    <xf numFmtId="3" fontId="0" fillId="0" borderId="0" xfId="0" applyNumberFormat="1"/>
    <xf numFmtId="3" fontId="10" fillId="0" borderId="0" xfId="0" applyNumberFormat="1" applyFont="1"/>
    <xf numFmtId="168" fontId="1" fillId="0" borderId="0" xfId="1" applyNumberFormat="1" applyFont="1" applyFill="1"/>
    <xf numFmtId="168" fontId="1" fillId="0" borderId="0" xfId="1" applyNumberFormat="1" applyFont="1" applyBorder="1"/>
    <xf numFmtId="168" fontId="0" fillId="0" borderId="1" xfId="1" applyNumberFormat="1" applyFont="1" applyBorder="1"/>
    <xf numFmtId="168" fontId="1" fillId="0" borderId="2" xfId="1" applyNumberFormat="1" applyFont="1" applyBorder="1"/>
    <xf numFmtId="168" fontId="0" fillId="0" borderId="2" xfId="1" applyNumberFormat="1" applyFont="1" applyBorder="1"/>
    <xf numFmtId="178" fontId="10" fillId="0" borderId="0" xfId="0" applyNumberFormat="1" applyFont="1"/>
    <xf numFmtId="168" fontId="0" fillId="0" borderId="0" xfId="1" applyNumberFormat="1" applyFont="1" applyFill="1"/>
    <xf numFmtId="10" fontId="10" fillId="0" borderId="0" xfId="2" applyNumberFormat="1" applyFont="1"/>
    <xf numFmtId="44" fontId="10" fillId="0" borderId="0" xfId="0" applyNumberFormat="1" applyFont="1"/>
    <xf numFmtId="168" fontId="1" fillId="0" borderId="1" xfId="1" applyNumberFormat="1" applyFont="1" applyBorder="1"/>
    <xf numFmtId="168" fontId="1" fillId="0" borderId="1" xfId="1" applyNumberFormat="1" applyFont="1" applyFill="1" applyBorder="1"/>
    <xf numFmtId="42" fontId="1" fillId="0" borderId="0" xfId="0" applyNumberFormat="1" applyFont="1"/>
    <xf numFmtId="173" fontId="1" fillId="0" borderId="3" xfId="5" applyNumberFormat="1" applyFont="1" applyBorder="1"/>
    <xf numFmtId="42" fontId="0" fillId="0" borderId="0" xfId="0" applyNumberFormat="1"/>
    <xf numFmtId="174" fontId="10" fillId="0" borderId="0" xfId="1" applyNumberFormat="1" applyFont="1"/>
    <xf numFmtId="42" fontId="10" fillId="0" borderId="0" xfId="0" applyNumberFormat="1" applyFont="1"/>
    <xf numFmtId="10" fontId="1" fillId="0" borderId="0" xfId="2" applyNumberFormat="1" applyFont="1"/>
    <xf numFmtId="173" fontId="0" fillId="0" borderId="0" xfId="0" applyNumberFormat="1"/>
    <xf numFmtId="168" fontId="1" fillId="0" borderId="0" xfId="0" applyNumberFormat="1" applyFont="1"/>
    <xf numFmtId="0" fontId="10" fillId="0" borderId="0" xfId="0" quotePrefix="1" applyFont="1"/>
    <xf numFmtId="167" fontId="1" fillId="0" borderId="0" xfId="1" applyNumberFormat="1" applyFont="1"/>
    <xf numFmtId="179" fontId="0" fillId="0" borderId="0" xfId="0" applyNumberFormat="1"/>
    <xf numFmtId="0" fontId="1" fillId="0" borderId="2" xfId="0" applyFont="1" applyBorder="1"/>
    <xf numFmtId="168" fontId="1" fillId="0" borderId="0" xfId="1" applyNumberFormat="1" applyFont="1" applyAlignment="1">
      <alignment horizontal="center"/>
    </xf>
    <xf numFmtId="168" fontId="1" fillId="0" borderId="1" xfId="1" applyNumberFormat="1" applyFont="1" applyBorder="1" applyAlignment="1">
      <alignment horizontal="center"/>
    </xf>
    <xf numFmtId="173" fontId="0" fillId="0" borderId="0" xfId="3" applyNumberFormat="1" applyFont="1" applyBorder="1"/>
    <xf numFmtId="173" fontId="1" fillId="0" borderId="0" xfId="3" applyNumberFormat="1" applyFont="1" applyBorder="1"/>
  </cellXfs>
  <cellStyles count="7">
    <cellStyle name="Comma" xfId="1" builtinId="3"/>
    <cellStyle name="Comma [0] 2" xfId="6" xr:uid="{85587FA3-4F60-41D8-B1AA-5858E5A4AD49}"/>
    <cellStyle name="Comma 2" xfId="4" xr:uid="{00000000-0005-0000-0000-000002000000}"/>
    <cellStyle name="Currency" xfId="3" builtinId="4"/>
    <cellStyle name="Currency 2" xfId="5" xr:uid="{7C6F6C94-B731-495D-AC15-EB295B07150D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-PROJ/NorthKYWtrDist/071557-COS/5-PrjWrk/ClientSupFiles/2021%20Trial%20Balance%20-%20Unaudited%202.08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 Trial Balance"/>
      <sheetName val="TB Classified"/>
    </sheetNames>
    <sheetDataSet>
      <sheetData sheetId="0">
        <row r="7">
          <cell r="A7" t="str">
            <v>108-0000-000</v>
          </cell>
        </row>
      </sheetData>
      <sheetData sheetId="1">
        <row r="48">
          <cell r="D48">
            <v>1341665.3999999999</v>
          </cell>
        </row>
        <row r="437">
          <cell r="C437">
            <v>-36916772.119999997</v>
          </cell>
        </row>
        <row r="440">
          <cell r="C440">
            <v>-7749226.7400000002</v>
          </cell>
        </row>
        <row r="443">
          <cell r="C443">
            <v>-4034072.9</v>
          </cell>
        </row>
        <row r="446">
          <cell r="C446">
            <v>-2243347.6</v>
          </cell>
        </row>
        <row r="451">
          <cell r="C451">
            <v>-5907715.6500000004</v>
          </cell>
        </row>
        <row r="453">
          <cell r="C453">
            <v>-66507.25</v>
          </cell>
        </row>
        <row r="459">
          <cell r="C459">
            <v>-2022745.54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C139F-1DBD-4019-9017-A22A986D5294}">
  <sheetPr>
    <pageSetUpPr fitToPage="1"/>
  </sheetPr>
  <dimension ref="A1:Q36"/>
  <sheetViews>
    <sheetView tabSelected="1" zoomScale="85" zoomScaleNormal="85" workbookViewId="0">
      <selection activeCell="K32" sqref="K32"/>
    </sheetView>
  </sheetViews>
  <sheetFormatPr defaultRowHeight="15" x14ac:dyDescent="0.2"/>
  <cols>
    <col min="1" max="1" width="49.77734375" style="88" customWidth="1"/>
    <col min="2" max="2" width="2.33203125" style="88" customWidth="1"/>
    <col min="3" max="3" width="17.44140625" style="88" customWidth="1"/>
    <col min="4" max="4" width="2.77734375" customWidth="1"/>
    <col min="5" max="5" width="19.33203125" customWidth="1"/>
    <col min="6" max="6" width="2.33203125" customWidth="1"/>
    <col min="7" max="7" width="15.109375" customWidth="1"/>
    <col min="8" max="8" width="4" customWidth="1"/>
    <col min="9" max="9" width="13.109375" customWidth="1"/>
    <col min="10" max="10" width="4.5546875" customWidth="1"/>
    <col min="11" max="11" width="15.6640625" style="106" bestFit="1" customWidth="1"/>
    <col min="12" max="12" width="13.44140625" bestFit="1" customWidth="1"/>
    <col min="13" max="13" width="10.44140625" bestFit="1" customWidth="1"/>
    <col min="17" max="17" width="10.5546875" bestFit="1" customWidth="1"/>
  </cols>
  <sheetData>
    <row r="1" spans="1:17" x14ac:dyDescent="0.2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7" x14ac:dyDescent="0.2">
      <c r="A2" s="87"/>
      <c r="B2" s="87"/>
      <c r="C2" s="87"/>
      <c r="D2" s="47"/>
      <c r="E2" s="47"/>
      <c r="F2" s="47"/>
      <c r="G2" s="47"/>
    </row>
    <row r="3" spans="1:17" x14ac:dyDescent="0.2">
      <c r="A3" s="86" t="s">
        <v>92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7" x14ac:dyDescent="0.2">
      <c r="A4" s="86" t="s">
        <v>117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9" spans="1:17" s="32" customFormat="1" x14ac:dyDescent="0.2">
      <c r="A9" s="89"/>
      <c r="B9" s="89"/>
      <c r="C9" s="89"/>
      <c r="I9" s="89" t="s">
        <v>113</v>
      </c>
      <c r="K9" s="132"/>
    </row>
    <row r="10" spans="1:17" s="32" customFormat="1" x14ac:dyDescent="0.2">
      <c r="A10" s="89"/>
      <c r="B10" s="89"/>
      <c r="C10" s="89" t="s">
        <v>93</v>
      </c>
      <c r="D10" s="89"/>
      <c r="E10" s="89" t="s">
        <v>113</v>
      </c>
      <c r="G10" s="89" t="s">
        <v>93</v>
      </c>
      <c r="I10" s="32" t="s">
        <v>114</v>
      </c>
      <c r="K10" s="132" t="s">
        <v>93</v>
      </c>
    </row>
    <row r="11" spans="1:17" s="32" customFormat="1" x14ac:dyDescent="0.2">
      <c r="A11" s="89" t="s">
        <v>94</v>
      </c>
      <c r="B11" s="89"/>
      <c r="C11" s="89" t="s">
        <v>95</v>
      </c>
      <c r="D11" s="89"/>
      <c r="E11" s="89" t="s">
        <v>111</v>
      </c>
      <c r="G11" s="89" t="s">
        <v>96</v>
      </c>
      <c r="I11" s="89" t="s">
        <v>111</v>
      </c>
      <c r="K11" s="132" t="s">
        <v>96</v>
      </c>
    </row>
    <row r="12" spans="1:17" s="32" customFormat="1" x14ac:dyDescent="0.2">
      <c r="A12" s="90" t="s">
        <v>97</v>
      </c>
      <c r="B12" s="89"/>
      <c r="C12" s="90" t="s">
        <v>98</v>
      </c>
      <c r="D12" s="89"/>
      <c r="E12" s="90" t="s">
        <v>112</v>
      </c>
      <c r="G12" s="90" t="s">
        <v>98</v>
      </c>
      <c r="I12" s="90" t="s">
        <v>112</v>
      </c>
      <c r="K12" s="133" t="s">
        <v>115</v>
      </c>
    </row>
    <row r="13" spans="1:17" s="93" customFormat="1" x14ac:dyDescent="0.2">
      <c r="A13" s="91">
        <v>-1</v>
      </c>
      <c r="B13" s="91"/>
      <c r="C13" s="91">
        <v>-2</v>
      </c>
      <c r="E13" s="92">
        <v>-3</v>
      </c>
      <c r="F13" s="92"/>
      <c r="G13" s="92">
        <v>-4</v>
      </c>
      <c r="I13" s="92">
        <v>-5</v>
      </c>
      <c r="K13" s="92">
        <v>-6</v>
      </c>
    </row>
    <row r="14" spans="1:17" x14ac:dyDescent="0.2">
      <c r="B14" s="94"/>
      <c r="C14" s="94"/>
    </row>
    <row r="15" spans="1:17" x14ac:dyDescent="0.2">
      <c r="A15" s="95" t="s">
        <v>99</v>
      </c>
      <c r="B15" s="94"/>
      <c r="C15" s="94"/>
      <c r="H15" s="96"/>
    </row>
    <row r="16" spans="1:17" s="101" customFormat="1" x14ac:dyDescent="0.2">
      <c r="A16" s="97" t="s">
        <v>100</v>
      </c>
      <c r="B16" s="98"/>
      <c r="C16" s="98">
        <f>-'[1]TB Classified'!$C$437</f>
        <v>36916772.119999997</v>
      </c>
      <c r="D16" s="100"/>
      <c r="E16" s="100">
        <f>+G16-C16</f>
        <v>-11533.880000002682</v>
      </c>
      <c r="F16" s="99"/>
      <c r="G16" s="100">
        <f>+'SCH G - Bill analysis STEP 2'!I42</f>
        <v>36905238.239999995</v>
      </c>
      <c r="H16" s="102"/>
      <c r="I16" s="134">
        <f>+K16-G16</f>
        <v>5644655.3000000045</v>
      </c>
      <c r="J16" s="103"/>
      <c r="K16" s="135">
        <f>+'SCH G - Bill analysis STEP 2'!M42</f>
        <v>42549893.539999999</v>
      </c>
      <c r="L16" s="102"/>
      <c r="M16" s="104"/>
      <c r="Q16" s="105"/>
    </row>
    <row r="17" spans="1:17" s="107" customFormat="1" x14ac:dyDescent="0.2">
      <c r="A17" s="94" t="s">
        <v>101</v>
      </c>
      <c r="B17" s="106"/>
      <c r="C17" s="106">
        <f>-'[1]TB Classified'!$C$440</f>
        <v>7749226.7400000002</v>
      </c>
      <c r="D17" s="106"/>
      <c r="E17" s="51">
        <f>+G17-C17</f>
        <v>59812.259999999776</v>
      </c>
      <c r="F17" s="99"/>
      <c r="G17" s="106">
        <f>+'SCH G - Bill analysis STEP 2'!I81</f>
        <v>7809039</v>
      </c>
      <c r="H17" s="102"/>
      <c r="I17" s="61">
        <f t="shared" ref="I17:I21" si="0">+K17-G17</f>
        <v>1224929.7800000012</v>
      </c>
      <c r="J17" s="103"/>
      <c r="K17" s="110">
        <f>+'SCH G - Bill analysis STEP 2'!M81</f>
        <v>9033968.7800000012</v>
      </c>
      <c r="L17" s="102"/>
      <c r="M17" s="104"/>
      <c r="Q17" s="105"/>
    </row>
    <row r="18" spans="1:17" s="107" customFormat="1" x14ac:dyDescent="0.2">
      <c r="A18" s="94" t="s">
        <v>102</v>
      </c>
      <c r="B18" s="106"/>
      <c r="C18" s="109">
        <f>-'[1]TB Classified'!$C$451</f>
        <v>5907715.6500000004</v>
      </c>
      <c r="D18" s="106"/>
      <c r="E18" s="51">
        <f>+G18-C18</f>
        <v>46372.349999999627</v>
      </c>
      <c r="F18" s="99"/>
      <c r="G18" s="106">
        <f>+'SCH G - Bill analysis STEP 2'!I119</f>
        <v>5954088</v>
      </c>
      <c r="H18" s="102"/>
      <c r="I18" s="61">
        <f t="shared" si="0"/>
        <v>938073</v>
      </c>
      <c r="J18" s="103"/>
      <c r="K18" s="110">
        <f>+'SCH G - Bill analysis STEP 2'!M119</f>
        <v>6892161</v>
      </c>
      <c r="L18" s="102"/>
      <c r="M18" s="104"/>
      <c r="Q18" s="105"/>
    </row>
    <row r="19" spans="1:17" s="107" customFormat="1" x14ac:dyDescent="0.2">
      <c r="A19" s="94" t="s">
        <v>103</v>
      </c>
      <c r="B19" s="106"/>
      <c r="C19" s="106">
        <f>-'[1]TB Classified'!$C$443</f>
        <v>4034072.9</v>
      </c>
      <c r="D19" s="106"/>
      <c r="E19" s="51">
        <f>+G19-C19</f>
        <v>68241.100000000093</v>
      </c>
      <c r="F19" s="99"/>
      <c r="G19" s="106">
        <f>+'SCH G - Bill analysis STEP 2'!I155</f>
        <v>4102314</v>
      </c>
      <c r="H19" s="102"/>
      <c r="I19" s="61">
        <f t="shared" si="0"/>
        <v>667368.09999999963</v>
      </c>
      <c r="J19" s="103"/>
      <c r="K19" s="110">
        <f>+'SCH G - Bill analysis STEP 2'!M155</f>
        <v>4769682.0999999996</v>
      </c>
      <c r="L19" s="102"/>
      <c r="M19" s="104"/>
      <c r="Q19" s="105"/>
    </row>
    <row r="20" spans="1:17" s="107" customFormat="1" x14ac:dyDescent="0.2">
      <c r="A20" s="94" t="s">
        <v>104</v>
      </c>
      <c r="B20" s="110"/>
      <c r="C20" s="110">
        <f>-'[1]TB Classified'!$C$446</f>
        <v>2243347.6</v>
      </c>
      <c r="D20" s="110"/>
      <c r="E20" s="51">
        <f>+G20-C20</f>
        <v>23978.399999999907</v>
      </c>
      <c r="F20" s="99"/>
      <c r="G20" s="110">
        <f>+'SCH G - Bill analysis STEP 2'!I194</f>
        <v>2267326</v>
      </c>
      <c r="H20" s="102"/>
      <c r="I20" s="61">
        <f t="shared" si="0"/>
        <v>360591.62000000011</v>
      </c>
      <c r="J20" s="103"/>
      <c r="K20" s="110">
        <f>+'SCH G - Bill analysis STEP 2'!M194</f>
        <v>2627917.62</v>
      </c>
      <c r="L20" s="102"/>
      <c r="M20" s="104"/>
      <c r="Q20" s="105"/>
    </row>
    <row r="21" spans="1:17" s="107" customFormat="1" x14ac:dyDescent="0.2">
      <c r="A21" s="94" t="s">
        <v>105</v>
      </c>
      <c r="B21" s="110"/>
      <c r="C21" s="110">
        <f>-'[1]TB Classified'!$C$459</f>
        <v>2022745.54</v>
      </c>
      <c r="D21" s="110"/>
      <c r="E21" s="51">
        <f>+G21-C21</f>
        <v>89.459999999962747</v>
      </c>
      <c r="F21" s="99"/>
      <c r="G21" s="110">
        <f>+'SCH G - Bill analysis STEP 2'!I206</f>
        <v>2022835</v>
      </c>
      <c r="H21" s="102"/>
      <c r="I21" s="61">
        <f t="shared" si="0"/>
        <v>305290.99000000022</v>
      </c>
      <c r="J21" s="103"/>
      <c r="K21" s="110">
        <f>+'SCH G - Bill analysis STEP 2'!M206</f>
        <v>2328125.9900000002</v>
      </c>
      <c r="L21" s="102"/>
      <c r="M21" s="104"/>
      <c r="Q21" s="105"/>
    </row>
    <row r="22" spans="1:17" s="107" customFormat="1" x14ac:dyDescent="0.2">
      <c r="A22" s="94"/>
      <c r="B22" s="110"/>
      <c r="C22" s="110"/>
      <c r="D22" s="61"/>
      <c r="E22" s="61"/>
      <c r="F22" s="51"/>
      <c r="G22" s="111"/>
      <c r="H22" s="108"/>
      <c r="I22" s="111"/>
      <c r="J22" s="108"/>
      <c r="K22" s="106"/>
      <c r="L22" s="108"/>
      <c r="M22" s="108"/>
      <c r="Q22" s="105"/>
    </row>
    <row r="23" spans="1:17" x14ac:dyDescent="0.2">
      <c r="B23" s="106"/>
      <c r="C23" s="112"/>
      <c r="D23" s="51"/>
      <c r="E23" s="113"/>
      <c r="F23" s="51"/>
      <c r="G23" s="51"/>
      <c r="H23" s="96"/>
      <c r="I23" s="51"/>
      <c r="J23" s="96"/>
      <c r="K23" s="113"/>
      <c r="L23" s="96"/>
      <c r="M23" s="96"/>
      <c r="Q23" s="105"/>
    </row>
    <row r="24" spans="1:17" s="101" customFormat="1" x14ac:dyDescent="0.2">
      <c r="A24" s="97" t="s">
        <v>106</v>
      </c>
      <c r="B24" s="106"/>
      <c r="C24" s="106">
        <f t="shared" ref="C24" si="1">SUM(C16:C23)</f>
        <v>58873880.549999997</v>
      </c>
      <c r="D24" s="51"/>
      <c r="E24" s="106">
        <f>SUM(E16:E23)</f>
        <v>186959.68999999668</v>
      </c>
      <c r="F24" s="51"/>
      <c r="G24" s="106">
        <f>SUM(G16:G23)</f>
        <v>59060840.239999995</v>
      </c>
      <c r="H24" s="104"/>
      <c r="I24" s="106">
        <f>SUM(I16:I23)</f>
        <v>9140908.7900000047</v>
      </c>
      <c r="J24" s="114"/>
      <c r="K24" s="106">
        <f>SUM(K16:K23)</f>
        <v>68201749.030000001</v>
      </c>
      <c r="L24" s="106"/>
      <c r="M24" s="104"/>
      <c r="Q24" s="105"/>
    </row>
    <row r="25" spans="1:17" x14ac:dyDescent="0.2">
      <c r="B25" s="106"/>
      <c r="C25" s="106"/>
      <c r="D25" s="115"/>
      <c r="E25" s="115"/>
      <c r="F25" s="51"/>
      <c r="G25" s="115"/>
      <c r="H25" s="116"/>
      <c r="I25" s="50"/>
      <c r="J25" s="88"/>
      <c r="L25" s="96"/>
      <c r="M25" s="96"/>
      <c r="Q25" s="105"/>
    </row>
    <row r="26" spans="1:17" x14ac:dyDescent="0.2">
      <c r="A26" s="88" t="s">
        <v>107</v>
      </c>
      <c r="B26" s="106"/>
      <c r="C26" s="110">
        <f>-'[1]TB Classified'!$C$453</f>
        <v>66507.25</v>
      </c>
      <c r="D26" s="115"/>
      <c r="E26" s="51">
        <f>+G26-C26</f>
        <v>0</v>
      </c>
      <c r="F26" s="51"/>
      <c r="G26" s="115">
        <f>-'[1]TB Classified'!$C$453</f>
        <v>66507.25</v>
      </c>
      <c r="H26" s="117"/>
      <c r="I26" s="51">
        <v>10294</v>
      </c>
      <c r="J26" s="88" t="s">
        <v>118</v>
      </c>
      <c r="K26" s="106">
        <f>+G26</f>
        <v>66507.25</v>
      </c>
      <c r="L26" s="96"/>
      <c r="M26" s="96"/>
      <c r="Q26" s="105"/>
    </row>
    <row r="27" spans="1:17" x14ac:dyDescent="0.2">
      <c r="B27" s="106"/>
      <c r="C27" s="106"/>
      <c r="D27" s="109"/>
      <c r="E27" s="109"/>
      <c r="F27" s="51"/>
      <c r="G27" s="109"/>
      <c r="J27" s="88"/>
      <c r="L27" s="96"/>
      <c r="M27" s="96"/>
      <c r="Q27" s="105"/>
    </row>
    <row r="28" spans="1:17" s="94" customFormat="1" x14ac:dyDescent="0.2">
      <c r="A28" s="94" t="s">
        <v>108</v>
      </c>
      <c r="B28" s="106"/>
      <c r="C28" s="118"/>
      <c r="D28" s="106"/>
      <c r="E28" s="119"/>
      <c r="F28" s="106"/>
      <c r="G28" s="119"/>
      <c r="J28" s="108"/>
      <c r="K28" s="119"/>
      <c r="L28" s="108"/>
      <c r="M28" s="108"/>
      <c r="Q28" s="105"/>
    </row>
    <row r="29" spans="1:17" x14ac:dyDescent="0.2">
      <c r="B29" s="106"/>
      <c r="C29" s="106"/>
      <c r="D29" s="51"/>
      <c r="E29" s="106"/>
      <c r="F29" s="51"/>
      <c r="G29" s="106"/>
      <c r="H29" s="51"/>
      <c r="I29" s="112"/>
      <c r="J29" s="96"/>
      <c r="L29" s="96"/>
      <c r="M29" s="96"/>
      <c r="Q29" s="105"/>
    </row>
    <row r="30" spans="1:17" s="122" customFormat="1" ht="15.75" thickBot="1" x14ac:dyDescent="0.25">
      <c r="A30" s="120" t="s">
        <v>109</v>
      </c>
      <c r="B30" s="98"/>
      <c r="C30" s="121">
        <f t="shared" ref="C30" si="2">+C28+C24+C26</f>
        <v>58940387.799999997</v>
      </c>
      <c r="D30" s="98"/>
      <c r="E30" s="121">
        <f>+E28+E24+E26</f>
        <v>186959.68999999668</v>
      </c>
      <c r="F30" s="98"/>
      <c r="G30" s="121">
        <f>+G28+G24+G26</f>
        <v>59127347.489999995</v>
      </c>
      <c r="H30" s="98"/>
      <c r="I30" s="121">
        <f>+I28+I24+I26</f>
        <v>9151202.7900000047</v>
      </c>
      <c r="J30" s="123"/>
      <c r="K30" s="121">
        <f>+K28+K24+K26</f>
        <v>68268256.280000001</v>
      </c>
      <c r="L30" s="124"/>
      <c r="M30" s="124"/>
      <c r="Q30" s="105"/>
    </row>
    <row r="31" spans="1:17" ht="15.75" thickTop="1" x14ac:dyDescent="0.2">
      <c r="B31" s="106"/>
      <c r="C31" s="106"/>
      <c r="D31" s="51"/>
      <c r="E31" s="51"/>
      <c r="F31" s="51"/>
      <c r="G31" s="51"/>
      <c r="H31" s="51"/>
      <c r="I31" s="51"/>
      <c r="Q31" s="105"/>
    </row>
    <row r="32" spans="1:17" x14ac:dyDescent="0.2">
      <c r="A32" s="74" t="s">
        <v>110</v>
      </c>
      <c r="B32" s="125"/>
      <c r="C32" s="125"/>
      <c r="D32" s="126"/>
      <c r="E32" s="50">
        <f>+E30/G30</f>
        <v>3.1619833788690847E-3</v>
      </c>
      <c r="G32" s="126"/>
      <c r="I32" s="126"/>
    </row>
    <row r="33" spans="1:7" x14ac:dyDescent="0.2">
      <c r="A33" s="74"/>
      <c r="B33" s="127"/>
      <c r="C33" s="127"/>
      <c r="D33" s="127"/>
      <c r="E33" s="127"/>
      <c r="F33" s="88"/>
      <c r="G33" s="127"/>
    </row>
    <row r="34" spans="1:7" x14ac:dyDescent="0.2">
      <c r="A34" s="128"/>
      <c r="B34" s="129"/>
      <c r="C34" s="129"/>
    </row>
    <row r="35" spans="1:7" x14ac:dyDescent="0.2">
      <c r="A35" s="131" t="s">
        <v>116</v>
      </c>
      <c r="E35" s="130"/>
    </row>
    <row r="36" spans="1:7" x14ac:dyDescent="0.2">
      <c r="A36" s="88" t="s">
        <v>119</v>
      </c>
    </row>
  </sheetData>
  <mergeCells count="3">
    <mergeCell ref="A1:K1"/>
    <mergeCell ref="A3:K3"/>
    <mergeCell ref="A4:K4"/>
  </mergeCells>
  <printOptions horizontalCentered="1"/>
  <pageMargins left="0.75" right="0.75" top="1" bottom="1" header="0.5" footer="0.5"/>
  <pageSetup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9"/>
  <sheetViews>
    <sheetView zoomScaleNormal="100" workbookViewId="0">
      <selection activeCell="G15" sqref="G15"/>
    </sheetView>
  </sheetViews>
  <sheetFormatPr defaultRowHeight="15" x14ac:dyDescent="0.2"/>
  <cols>
    <col min="1" max="1" width="18.6640625" customWidth="1"/>
    <col min="2" max="2" width="4" customWidth="1"/>
    <col min="4" max="4" width="14.88671875" bestFit="1" customWidth="1"/>
    <col min="5" max="5" width="8.44140625" bestFit="1" customWidth="1"/>
    <col min="6" max="6" width="14.88671875" bestFit="1" customWidth="1"/>
    <col min="7" max="7" width="11.44140625" bestFit="1" customWidth="1"/>
    <col min="9" max="9" width="9.77734375" style="55" bestFit="1" customWidth="1"/>
    <col min="11" max="11" width="6.5546875" bestFit="1" customWidth="1"/>
    <col min="19" max="19" width="2.33203125" bestFit="1" customWidth="1"/>
  </cols>
  <sheetData>
    <row r="1" spans="1:13" x14ac:dyDescent="0.2">
      <c r="A1" s="46" t="s">
        <v>32</v>
      </c>
      <c r="B1" s="46"/>
      <c r="C1" s="46"/>
      <c r="D1" s="46"/>
      <c r="E1" s="46"/>
      <c r="F1" s="46"/>
      <c r="G1" s="46"/>
      <c r="H1" s="38"/>
      <c r="I1" s="54"/>
      <c r="J1" s="38"/>
      <c r="K1" s="38"/>
      <c r="L1" s="38"/>
      <c r="M1" s="38"/>
    </row>
    <row r="2" spans="1:13" ht="15.75" x14ac:dyDescent="0.25">
      <c r="A2" s="77"/>
      <c r="B2" s="47"/>
      <c r="C2" s="47"/>
      <c r="D2" s="47"/>
      <c r="E2" s="47"/>
      <c r="F2" s="47"/>
      <c r="G2" s="47"/>
      <c r="H2" s="79"/>
      <c r="J2" s="44"/>
      <c r="K2" s="52"/>
    </row>
    <row r="3" spans="1:13" x14ac:dyDescent="0.2">
      <c r="A3" s="47" t="s">
        <v>89</v>
      </c>
      <c r="B3" s="47"/>
      <c r="C3" s="47"/>
      <c r="D3" s="47"/>
      <c r="E3" s="47"/>
      <c r="F3" s="47"/>
      <c r="G3" s="47"/>
      <c r="H3" s="79"/>
    </row>
    <row r="4" spans="1:13" x14ac:dyDescent="0.2">
      <c r="H4" s="79"/>
    </row>
    <row r="5" spans="1:13" x14ac:dyDescent="0.2">
      <c r="C5" s="42" t="s">
        <v>2</v>
      </c>
      <c r="E5" s="42" t="s">
        <v>85</v>
      </c>
      <c r="G5" s="42" t="s">
        <v>76</v>
      </c>
      <c r="H5" s="79"/>
    </row>
    <row r="6" spans="1:13" x14ac:dyDescent="0.2">
      <c r="C6" s="43" t="s">
        <v>71</v>
      </c>
      <c r="E6" s="43" t="s">
        <v>71</v>
      </c>
      <c r="G6" s="43" t="s">
        <v>77</v>
      </c>
      <c r="H6" s="79"/>
    </row>
    <row r="7" spans="1:13" ht="15.75" x14ac:dyDescent="0.25">
      <c r="A7" s="41" t="s">
        <v>55</v>
      </c>
      <c r="H7" s="79"/>
    </row>
    <row r="8" spans="1:13" ht="15.75" x14ac:dyDescent="0.25">
      <c r="A8" s="41"/>
    </row>
    <row r="9" spans="1:13" x14ac:dyDescent="0.2">
      <c r="A9" s="39" t="s">
        <v>53</v>
      </c>
    </row>
    <row r="10" spans="1:13" x14ac:dyDescent="0.2">
      <c r="A10" t="s">
        <v>54</v>
      </c>
      <c r="C10" s="44">
        <v>18.5</v>
      </c>
      <c r="D10" s="44"/>
      <c r="E10" s="44">
        <v>20.9</v>
      </c>
      <c r="G10" s="50">
        <f t="shared" ref="G10:G19" si="0">+(E10-C10)/C10</f>
        <v>0.12972972972972965</v>
      </c>
      <c r="H10" s="44"/>
      <c r="K10" s="44"/>
    </row>
    <row r="11" spans="1:13" x14ac:dyDescent="0.2">
      <c r="A11" t="s">
        <v>56</v>
      </c>
      <c r="C11" s="45">
        <v>19</v>
      </c>
      <c r="D11" s="44"/>
      <c r="E11" s="45">
        <f>+ROUND($E$10/$C$10*C11,1)</f>
        <v>21.5</v>
      </c>
      <c r="G11" s="50">
        <f t="shared" si="0"/>
        <v>0.13157894736842105</v>
      </c>
      <c r="J11" s="45"/>
    </row>
    <row r="12" spans="1:13" x14ac:dyDescent="0.2">
      <c r="A12" t="s">
        <v>57</v>
      </c>
      <c r="C12" s="45">
        <v>20.8</v>
      </c>
      <c r="D12" s="44"/>
      <c r="E12" s="45">
        <f t="shared" ref="E12:E19" si="1">+ROUND($E$10/$C$10*C12,1)</f>
        <v>23.5</v>
      </c>
      <c r="F12" s="44"/>
      <c r="G12" s="50">
        <f t="shared" si="0"/>
        <v>0.12980769230769226</v>
      </c>
      <c r="K12" s="44"/>
    </row>
    <row r="13" spans="1:13" x14ac:dyDescent="0.2">
      <c r="A13" t="s">
        <v>58</v>
      </c>
      <c r="C13" s="45">
        <v>23.4</v>
      </c>
      <c r="D13" s="44"/>
      <c r="E13" s="45">
        <f t="shared" si="1"/>
        <v>26.4</v>
      </c>
      <c r="F13" s="44"/>
      <c r="G13" s="50">
        <f t="shared" si="0"/>
        <v>0.12820512820512822</v>
      </c>
      <c r="K13" s="44"/>
    </row>
    <row r="14" spans="1:13" x14ac:dyDescent="0.2">
      <c r="A14" t="s">
        <v>59</v>
      </c>
      <c r="C14" s="45">
        <v>29.6</v>
      </c>
      <c r="D14" s="44"/>
      <c r="E14" s="45">
        <f t="shared" si="1"/>
        <v>33.4</v>
      </c>
      <c r="F14" s="44"/>
      <c r="G14" s="50">
        <f t="shared" si="0"/>
        <v>0.12837837837837829</v>
      </c>
    </row>
    <row r="15" spans="1:13" x14ac:dyDescent="0.2">
      <c r="A15" t="s">
        <v>52</v>
      </c>
      <c r="C15" s="45">
        <v>71.3</v>
      </c>
      <c r="D15" s="44"/>
      <c r="E15" s="45">
        <f t="shared" si="1"/>
        <v>80.5</v>
      </c>
      <c r="F15" s="44"/>
      <c r="G15" s="50">
        <f t="shared" si="0"/>
        <v>0.12903225806451618</v>
      </c>
    </row>
    <row r="16" spans="1:13" x14ac:dyDescent="0.2">
      <c r="A16" t="s">
        <v>60</v>
      </c>
      <c r="C16" s="45">
        <v>89.5</v>
      </c>
      <c r="D16" s="44"/>
      <c r="E16" s="45">
        <f t="shared" si="1"/>
        <v>101.1</v>
      </c>
      <c r="F16" s="44"/>
      <c r="G16" s="50">
        <f t="shared" si="0"/>
        <v>0.12960893854748598</v>
      </c>
    </row>
    <row r="17" spans="1:11" x14ac:dyDescent="0.2">
      <c r="A17" t="s">
        <v>73</v>
      </c>
      <c r="C17" s="45">
        <v>132.4</v>
      </c>
      <c r="D17" s="44"/>
      <c r="E17" s="45">
        <f t="shared" si="1"/>
        <v>149.6</v>
      </c>
      <c r="F17" s="44"/>
      <c r="G17" s="50">
        <f t="shared" si="0"/>
        <v>0.1299093655589123</v>
      </c>
    </row>
    <row r="18" spans="1:11" x14ac:dyDescent="0.2">
      <c r="A18" t="s">
        <v>72</v>
      </c>
      <c r="C18" s="45">
        <v>178.8</v>
      </c>
      <c r="D18" s="44"/>
      <c r="E18" s="45">
        <f t="shared" si="1"/>
        <v>202</v>
      </c>
      <c r="F18" s="44"/>
      <c r="G18" s="50">
        <f t="shared" si="0"/>
        <v>0.12975391498881425</v>
      </c>
    </row>
    <row r="19" spans="1:11" x14ac:dyDescent="0.2">
      <c r="A19" t="s">
        <v>61</v>
      </c>
      <c r="C19" s="45">
        <v>237.8</v>
      </c>
      <c r="D19" s="44"/>
      <c r="E19" s="45">
        <f t="shared" si="1"/>
        <v>268.60000000000002</v>
      </c>
      <c r="F19" s="44"/>
      <c r="G19" s="50">
        <f t="shared" si="0"/>
        <v>0.12952060555088313</v>
      </c>
    </row>
    <row r="20" spans="1:11" x14ac:dyDescent="0.2">
      <c r="G20" s="50"/>
    </row>
    <row r="21" spans="1:11" x14ac:dyDescent="0.2">
      <c r="A21" s="39" t="s">
        <v>63</v>
      </c>
      <c r="G21" s="50"/>
    </row>
    <row r="22" spans="1:11" x14ac:dyDescent="0.2">
      <c r="A22" t="s">
        <v>67</v>
      </c>
      <c r="C22" s="44">
        <v>4.7699999999999996</v>
      </c>
      <c r="D22" s="52" t="s">
        <v>70</v>
      </c>
      <c r="E22" s="67">
        <v>5.58</v>
      </c>
      <c r="F22" t="s">
        <v>70</v>
      </c>
      <c r="G22" s="50">
        <f>+(E22-C22)/C22</f>
        <v>0.16981132075471711</v>
      </c>
      <c r="I22" s="73"/>
      <c r="J22" s="57"/>
    </row>
    <row r="23" spans="1:11" x14ac:dyDescent="0.2">
      <c r="A23" t="s">
        <v>68</v>
      </c>
      <c r="C23" s="45">
        <v>4.4400000000000004</v>
      </c>
      <c r="D23" s="52" t="s">
        <v>70</v>
      </c>
      <c r="E23" s="52">
        <v>5.14</v>
      </c>
      <c r="F23" t="s">
        <v>70</v>
      </c>
      <c r="G23" s="50">
        <f>+(E23-C23)/C23</f>
        <v>0.15765765765765749</v>
      </c>
      <c r="I23" s="73"/>
      <c r="J23" s="57"/>
    </row>
    <row r="24" spans="1:11" x14ac:dyDescent="0.2">
      <c r="A24" t="s">
        <v>69</v>
      </c>
      <c r="C24" s="45">
        <v>3.25</v>
      </c>
      <c r="D24" s="52" t="s">
        <v>70</v>
      </c>
      <c r="E24" s="52">
        <v>3.8000000000000003</v>
      </c>
      <c r="F24" t="s">
        <v>70</v>
      </c>
      <c r="G24" s="50">
        <f>+(E24-C24)/C24</f>
        <v>0.16923076923076932</v>
      </c>
      <c r="I24" s="73"/>
      <c r="J24" s="57"/>
    </row>
    <row r="25" spans="1:11" x14ac:dyDescent="0.2">
      <c r="G25" s="50"/>
    </row>
    <row r="26" spans="1:11" ht="15.75" x14ac:dyDescent="0.25">
      <c r="A26" s="41" t="s">
        <v>62</v>
      </c>
      <c r="G26" s="50"/>
    </row>
    <row r="27" spans="1:11" x14ac:dyDescent="0.2">
      <c r="A27" s="39"/>
      <c r="G27" s="50"/>
    </row>
    <row r="28" spans="1:11" x14ac:dyDescent="0.2">
      <c r="A28" s="39" t="s">
        <v>53</v>
      </c>
      <c r="G28" s="50"/>
    </row>
    <row r="29" spans="1:11" x14ac:dyDescent="0.2">
      <c r="A29" t="s">
        <v>54</v>
      </c>
      <c r="C29" s="75">
        <v>40.5</v>
      </c>
      <c r="E29" s="44">
        <v>45.5</v>
      </c>
      <c r="G29" s="50">
        <f t="shared" ref="G29:G38" si="2">+(E29-C29)/C29</f>
        <v>0.12345679012345678</v>
      </c>
      <c r="I29" s="56"/>
      <c r="J29" s="44"/>
      <c r="K29" s="45"/>
    </row>
    <row r="30" spans="1:11" x14ac:dyDescent="0.2">
      <c r="A30" t="s">
        <v>56</v>
      </c>
      <c r="C30" s="76">
        <v>42.5</v>
      </c>
      <c r="E30" s="45">
        <f>+ROUND(C30/$C$29*$E$29,1)</f>
        <v>47.7</v>
      </c>
      <c r="G30" s="50">
        <f t="shared" si="2"/>
        <v>0.12235294117647065</v>
      </c>
    </row>
    <row r="31" spans="1:11" x14ac:dyDescent="0.2">
      <c r="A31" t="s">
        <v>57</v>
      </c>
      <c r="C31" s="76">
        <v>48.8</v>
      </c>
      <c r="E31" s="45">
        <f t="shared" ref="E31:E38" si="3">+ROUND(C31/$C$29*$E$29,1)</f>
        <v>54.8</v>
      </c>
      <c r="F31" s="44"/>
      <c r="G31" s="50">
        <f t="shared" si="2"/>
        <v>0.12295081967213116</v>
      </c>
    </row>
    <row r="32" spans="1:11" x14ac:dyDescent="0.2">
      <c r="A32" t="s">
        <v>58</v>
      </c>
      <c r="C32" s="76">
        <v>57.7</v>
      </c>
      <c r="E32" s="45">
        <f t="shared" si="3"/>
        <v>64.8</v>
      </c>
      <c r="F32" s="44"/>
      <c r="G32" s="50">
        <f t="shared" si="2"/>
        <v>0.12305025996533785</v>
      </c>
    </row>
    <row r="33" spans="1:9" x14ac:dyDescent="0.2">
      <c r="A33" t="s">
        <v>59</v>
      </c>
      <c r="C33" s="76">
        <v>80.900000000000006</v>
      </c>
      <c r="E33" s="45">
        <f t="shared" si="3"/>
        <v>90.9</v>
      </c>
      <c r="F33" s="44"/>
      <c r="G33" s="50">
        <f t="shared" si="2"/>
        <v>0.12360939431396785</v>
      </c>
    </row>
    <row r="34" spans="1:9" x14ac:dyDescent="0.2">
      <c r="A34" t="s">
        <v>52</v>
      </c>
      <c r="C34" s="76">
        <v>251.8</v>
      </c>
      <c r="E34" s="45">
        <f t="shared" si="3"/>
        <v>282.89999999999998</v>
      </c>
      <c r="F34" s="44"/>
      <c r="G34" s="50">
        <f t="shared" si="2"/>
        <v>0.1235107227958696</v>
      </c>
    </row>
    <row r="35" spans="1:9" x14ac:dyDescent="0.2">
      <c r="A35" t="s">
        <v>60</v>
      </c>
      <c r="C35" s="76">
        <v>315.5</v>
      </c>
      <c r="E35" s="45">
        <f t="shared" si="3"/>
        <v>354.5</v>
      </c>
      <c r="F35" s="44"/>
      <c r="G35" s="50">
        <f t="shared" si="2"/>
        <v>0.12361331220285261</v>
      </c>
    </row>
    <row r="36" spans="1:9" x14ac:dyDescent="0.2">
      <c r="A36" t="s">
        <v>73</v>
      </c>
      <c r="C36" s="76">
        <v>466.2</v>
      </c>
      <c r="E36" s="45">
        <f t="shared" si="3"/>
        <v>523.79999999999995</v>
      </c>
      <c r="F36" s="44"/>
      <c r="G36" s="50">
        <f t="shared" si="2"/>
        <v>0.12355212355212349</v>
      </c>
    </row>
    <row r="37" spans="1:9" x14ac:dyDescent="0.2">
      <c r="A37" t="s">
        <v>72</v>
      </c>
      <c r="C37" s="76">
        <v>637.1</v>
      </c>
      <c r="E37" s="45">
        <f t="shared" si="3"/>
        <v>715.8</v>
      </c>
      <c r="F37" s="44"/>
      <c r="G37" s="50">
        <f t="shared" si="2"/>
        <v>0.12352848846334945</v>
      </c>
    </row>
    <row r="38" spans="1:9" x14ac:dyDescent="0.2">
      <c r="A38" t="s">
        <v>61</v>
      </c>
      <c r="C38" s="76">
        <v>831.9</v>
      </c>
      <c r="E38" s="45">
        <f t="shared" si="3"/>
        <v>934.6</v>
      </c>
      <c r="F38" s="44"/>
      <c r="G38" s="50">
        <f t="shared" si="2"/>
        <v>0.12345233802139687</v>
      </c>
    </row>
    <row r="39" spans="1:9" x14ac:dyDescent="0.2">
      <c r="C39" s="45"/>
      <c r="G39" s="50"/>
    </row>
    <row r="40" spans="1:9" x14ac:dyDescent="0.2">
      <c r="A40" s="39" t="s">
        <v>63</v>
      </c>
      <c r="G40" s="50"/>
    </row>
    <row r="41" spans="1:9" x14ac:dyDescent="0.2">
      <c r="A41" t="s">
        <v>64</v>
      </c>
      <c r="C41" s="44">
        <v>4.7699999999999996</v>
      </c>
      <c r="D41" t="s">
        <v>70</v>
      </c>
      <c r="E41" s="67">
        <f>+E22</f>
        <v>5.58</v>
      </c>
      <c r="F41" t="s">
        <v>70</v>
      </c>
      <c r="G41" s="50">
        <f>+(E41-C41)/C41</f>
        <v>0.16981132075471711</v>
      </c>
    </row>
    <row r="42" spans="1:9" x14ac:dyDescent="0.2">
      <c r="A42" t="s">
        <v>65</v>
      </c>
      <c r="C42" s="52">
        <v>4.4400000000000004</v>
      </c>
      <c r="D42" t="s">
        <v>70</v>
      </c>
      <c r="E42" s="66">
        <f t="shared" ref="E42:E43" si="4">+E23</f>
        <v>5.14</v>
      </c>
      <c r="F42" t="s">
        <v>70</v>
      </c>
      <c r="G42" s="50">
        <f>+(E42-C42)/C42</f>
        <v>0.15765765765765749</v>
      </c>
    </row>
    <row r="43" spans="1:9" x14ac:dyDescent="0.2">
      <c r="A43" t="s">
        <v>66</v>
      </c>
      <c r="C43" s="52">
        <v>3.25</v>
      </c>
      <c r="D43" t="s">
        <v>70</v>
      </c>
      <c r="E43" s="66">
        <f t="shared" si="4"/>
        <v>3.8000000000000003</v>
      </c>
      <c r="F43" t="s">
        <v>70</v>
      </c>
      <c r="G43" s="50">
        <f>+(E43-C43)/C43</f>
        <v>0.16923076923076932</v>
      </c>
    </row>
    <row r="44" spans="1:9" x14ac:dyDescent="0.2">
      <c r="E44" s="45"/>
      <c r="G44" s="50"/>
    </row>
    <row r="45" spans="1:9" ht="15.75" x14ac:dyDescent="0.25">
      <c r="A45" s="40" t="s">
        <v>75</v>
      </c>
      <c r="G45" s="50"/>
    </row>
    <row r="46" spans="1:9" x14ac:dyDescent="0.2">
      <c r="G46" s="50"/>
    </row>
    <row r="47" spans="1:9" x14ac:dyDescent="0.2">
      <c r="A47" t="s">
        <v>63</v>
      </c>
      <c r="C47" s="44">
        <v>2.98</v>
      </c>
      <c r="D47" t="s">
        <v>70</v>
      </c>
      <c r="E47" s="44">
        <v>3.43</v>
      </c>
      <c r="F47" t="s">
        <v>70</v>
      </c>
      <c r="G47" s="50">
        <f>+(E47-C47)/C47</f>
        <v>0.15100671140939603</v>
      </c>
    </row>
    <row r="48" spans="1:9" x14ac:dyDescent="0.2">
      <c r="I48" s="56"/>
    </row>
    <row r="49" spans="1:7" ht="15.75" x14ac:dyDescent="0.25">
      <c r="A49" s="40" t="s">
        <v>82</v>
      </c>
      <c r="C49" s="69">
        <v>6.38</v>
      </c>
      <c r="D49" t="s">
        <v>83</v>
      </c>
      <c r="E49" s="67">
        <f>+ROUND(E22/0.748,2)</f>
        <v>7.46</v>
      </c>
      <c r="F49" t="s">
        <v>83</v>
      </c>
      <c r="G49" s="50">
        <f>+(E49-C49)/C49</f>
        <v>0.16927899686520378</v>
      </c>
    </row>
  </sheetData>
  <phoneticPr fontId="2" type="noConversion"/>
  <printOptions horizontalCentered="1"/>
  <pageMargins left="0.75" right="0.75" top="1" bottom="1" header="0.5" footer="0.5"/>
  <pageSetup scale="79" orientation="portrait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209"/>
  <sheetViews>
    <sheetView topLeftCell="A88" zoomScaleNormal="100" workbookViewId="0">
      <selection activeCell="O27" sqref="O27"/>
    </sheetView>
  </sheetViews>
  <sheetFormatPr defaultColWidth="8.88671875" defaultRowHeight="15" x14ac:dyDescent="0.2"/>
  <cols>
    <col min="1" max="1" width="22.77734375" style="2" customWidth="1"/>
    <col min="2" max="2" width="1.77734375" style="2" customWidth="1"/>
    <col min="3" max="3" width="9.77734375" style="11" bestFit="1" customWidth="1"/>
    <col min="4" max="4" width="1.44140625" style="11" customWidth="1"/>
    <col min="5" max="5" width="11.77734375" style="11" bestFit="1" customWidth="1"/>
    <col min="6" max="6" width="1.44140625" style="2" customWidth="1"/>
    <col min="7" max="7" width="8.77734375" style="2" customWidth="1"/>
    <col min="8" max="8" width="2.109375" style="2" customWidth="1"/>
    <col min="9" max="9" width="12.109375" style="11" customWidth="1"/>
    <col min="10" max="10" width="1.44140625" style="2" customWidth="1"/>
    <col min="11" max="11" width="9.21875" style="2" bestFit="1" customWidth="1"/>
    <col min="12" max="12" width="2.6640625" style="2" customWidth="1"/>
    <col min="13" max="13" width="13.109375" style="11" bestFit="1" customWidth="1"/>
    <col min="14" max="14" width="18.6640625" style="2" bestFit="1" customWidth="1"/>
    <col min="15" max="15" width="18.6640625" style="2" customWidth="1"/>
    <col min="16" max="16" width="18.44140625" style="2" bestFit="1" customWidth="1"/>
    <col min="17" max="17" width="12.44140625" style="2" bestFit="1" customWidth="1"/>
    <col min="18" max="18" width="18.109375" style="2" bestFit="1" customWidth="1"/>
    <col min="19" max="19" width="17" style="2" bestFit="1" customWidth="1"/>
    <col min="20" max="20" width="11" style="2" bestFit="1" customWidth="1"/>
    <col min="21" max="16384" width="8.88671875" style="2"/>
  </cols>
  <sheetData>
    <row r="1" spans="1:16" x14ac:dyDescent="0.2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63"/>
      <c r="O1" s="63"/>
      <c r="P1" s="63"/>
    </row>
    <row r="2" spans="1:16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4" spans="1:16" x14ac:dyDescent="0.2">
      <c r="A4" s="83" t="s">
        <v>87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62"/>
      <c r="O4" s="62"/>
      <c r="P4" s="62"/>
    </row>
    <row r="5" spans="1:16" x14ac:dyDescent="0.2">
      <c r="A5" s="85" t="s">
        <v>91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62"/>
      <c r="O5" s="62"/>
      <c r="P5" s="62"/>
    </row>
    <row r="7" spans="1:16" s="63" customFormat="1" x14ac:dyDescent="0.2">
      <c r="A7" s="63" t="s">
        <v>0</v>
      </c>
      <c r="C7" s="4" t="s">
        <v>1</v>
      </c>
      <c r="D7" s="4"/>
      <c r="E7" s="4" t="s">
        <v>79</v>
      </c>
      <c r="G7" s="63" t="s">
        <v>2</v>
      </c>
      <c r="I7" s="5"/>
      <c r="K7" s="4" t="s">
        <v>85</v>
      </c>
      <c r="M7" s="4" t="s">
        <v>74</v>
      </c>
    </row>
    <row r="8" spans="1:16" s="63" customFormat="1" x14ac:dyDescent="0.2">
      <c r="A8" s="6" t="s">
        <v>80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63" customFormat="1" x14ac:dyDescent="0.2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63" customFormat="1" x14ac:dyDescent="0.2">
      <c r="A10" s="8"/>
      <c r="C10" s="9"/>
      <c r="D10" s="4"/>
      <c r="E10" s="9"/>
      <c r="G10" s="8"/>
      <c r="I10" s="9"/>
      <c r="J10" s="10"/>
      <c r="M10" s="4"/>
    </row>
    <row r="11" spans="1:16" x14ac:dyDescent="0.2">
      <c r="A11" s="81" t="s">
        <v>33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2" t="s">
        <v>15</v>
      </c>
      <c r="J12" s="12"/>
    </row>
    <row r="13" spans="1:16" x14ac:dyDescent="0.2">
      <c r="A13" s="13" t="s">
        <v>16</v>
      </c>
      <c r="C13" s="11">
        <f>+'SCH J - Bill analysis STEP 1'!C13</f>
        <v>301225</v>
      </c>
      <c r="E13" s="11">
        <v>0</v>
      </c>
      <c r="F13" s="12"/>
      <c r="G13" s="44">
        <f>+'SCH F - Rate Sum STEP 2'!C29</f>
        <v>40.5</v>
      </c>
      <c r="I13" s="70">
        <f>ROUND(+C13*G13,0)</f>
        <v>12199613</v>
      </c>
      <c r="J13" s="69"/>
      <c r="K13" s="69">
        <f>+'SCH F - Rate Sum STEP 2'!E29</f>
        <v>45.5</v>
      </c>
      <c r="L13" s="69"/>
      <c r="M13" s="70">
        <f>+K13*C13</f>
        <v>13705737.5</v>
      </c>
      <c r="O13" s="49"/>
    </row>
    <row r="14" spans="1:16" x14ac:dyDescent="0.2">
      <c r="A14" s="13" t="s">
        <v>17</v>
      </c>
      <c r="B14" s="21"/>
      <c r="C14" s="11">
        <f>+'SCH J - Bill analysis STEP 1'!C14</f>
        <v>2107</v>
      </c>
      <c r="E14" s="11">
        <v>0</v>
      </c>
      <c r="F14" s="12"/>
      <c r="G14" s="45">
        <f>+'SCH F - Rate Sum STEP 2'!C31</f>
        <v>48.8</v>
      </c>
      <c r="I14" s="11">
        <f>ROUND(+C14*G14,0)</f>
        <v>102822</v>
      </c>
      <c r="J14" s="12"/>
      <c r="K14" s="59">
        <f>+'SCH F - Rate Sum STEP 2'!E31</f>
        <v>54.8</v>
      </c>
      <c r="L14" s="14"/>
      <c r="M14" s="11">
        <f>+K14*C14</f>
        <v>115463.59999999999</v>
      </c>
    </row>
    <row r="15" spans="1:16" x14ac:dyDescent="0.2">
      <c r="A15" s="13" t="s">
        <v>18</v>
      </c>
      <c r="B15" s="21"/>
      <c r="C15" s="11">
        <f>+'SCH J - Bill analysis STEP 1'!C15</f>
        <v>384.5</v>
      </c>
      <c r="E15" s="11">
        <v>0</v>
      </c>
      <c r="F15" s="12"/>
      <c r="G15" s="45">
        <f>+'SCH F - Rate Sum STEP 2'!C32</f>
        <v>57.7</v>
      </c>
      <c r="I15" s="11">
        <f>ROUND(+C15*G15,0)</f>
        <v>22186</v>
      </c>
      <c r="J15" s="12"/>
      <c r="K15" s="59">
        <f>+'SCH F - Rate Sum STEP 2'!E32</f>
        <v>64.8</v>
      </c>
      <c r="L15" s="14"/>
      <c r="M15" s="22">
        <f>+K15*C15</f>
        <v>24915.599999999999</v>
      </c>
    </row>
    <row r="16" spans="1:16" x14ac:dyDescent="0.2">
      <c r="A16" s="13" t="s">
        <v>19</v>
      </c>
      <c r="B16" s="21"/>
      <c r="C16" s="11">
        <f>+'SCH J - Bill analysis STEP 1'!C16</f>
        <v>116</v>
      </c>
      <c r="E16" s="11">
        <v>0</v>
      </c>
      <c r="F16" s="12"/>
      <c r="G16" s="45">
        <f>+'SCH F - Rate Sum STEP 2'!C33</f>
        <v>80.900000000000006</v>
      </c>
      <c r="I16" s="11">
        <f t="shared" ref="I16" si="0">ROUND(+C16*G16,0)</f>
        <v>9384</v>
      </c>
      <c r="J16" s="12"/>
      <c r="K16" s="59">
        <f>+'SCH F - Rate Sum STEP 2'!E33</f>
        <v>90.9</v>
      </c>
      <c r="L16" s="14"/>
      <c r="M16" s="22">
        <f t="shared" ref="M16" si="1">+K16*C16</f>
        <v>10544.400000000001</v>
      </c>
    </row>
    <row r="17" spans="1:17" x14ac:dyDescent="0.2">
      <c r="A17" s="2" t="s">
        <v>21</v>
      </c>
      <c r="C17" s="68">
        <f>SUM(C13:C16)</f>
        <v>303832.5</v>
      </c>
      <c r="E17" s="68">
        <f>SUM(E13:E16)</f>
        <v>0</v>
      </c>
      <c r="F17" s="12"/>
      <c r="G17" s="12"/>
      <c r="I17" s="68">
        <f>SUM(I13:I16)</f>
        <v>12334005</v>
      </c>
      <c r="J17" s="12"/>
      <c r="K17" s="59"/>
      <c r="M17" s="68">
        <f>SUM(M13:M16)</f>
        <v>13856661.1</v>
      </c>
    </row>
    <row r="18" spans="1:17" x14ac:dyDescent="0.2">
      <c r="F18" s="12"/>
      <c r="G18" s="12"/>
      <c r="J18" s="12"/>
      <c r="K18" s="59"/>
    </row>
    <row r="19" spans="1:17" x14ac:dyDescent="0.2">
      <c r="A19" s="2" t="s">
        <v>34</v>
      </c>
      <c r="C19" s="11">
        <v>0</v>
      </c>
      <c r="E19" s="11">
        <f>+'SCH J - Bill analysis STEP 1'!E19</f>
        <v>4439972</v>
      </c>
      <c r="F19" s="12"/>
      <c r="G19" s="14">
        <f>+'SCH I - Rate Sum STEP 1'!C41</f>
        <v>4.7699999999999996</v>
      </c>
      <c r="I19" s="22">
        <f>+E19*G19</f>
        <v>21178666.439999998</v>
      </c>
      <c r="J19" s="12"/>
      <c r="K19" s="14">
        <f>+'SCH F - Rate Sum STEP 2'!E22</f>
        <v>5.58</v>
      </c>
      <c r="M19" s="22">
        <f>+E19*K19</f>
        <v>24775043.760000002</v>
      </c>
    </row>
    <row r="20" spans="1:17" x14ac:dyDescent="0.2">
      <c r="A20" s="2" t="s">
        <v>35</v>
      </c>
      <c r="C20" s="11">
        <v>0</v>
      </c>
      <c r="E20" s="11">
        <f>+'SCH J - Bill analysis STEP 1'!E20</f>
        <v>329853</v>
      </c>
      <c r="F20" s="12"/>
      <c r="G20" s="14">
        <f>+'SCH I - Rate Sum STEP 1'!C42</f>
        <v>4.4400000000000004</v>
      </c>
      <c r="I20" s="22">
        <f>+E20*G20</f>
        <v>1464547.32</v>
      </c>
      <c r="J20" s="12"/>
      <c r="K20" s="14">
        <f>+'SCH F - Rate Sum STEP 2'!E23</f>
        <v>5.14</v>
      </c>
      <c r="M20" s="22">
        <f>+E20*K20</f>
        <v>1695444.42</v>
      </c>
    </row>
    <row r="21" spans="1:17" x14ac:dyDescent="0.2">
      <c r="A21" s="2" t="s">
        <v>36</v>
      </c>
      <c r="C21" s="15">
        <v>0</v>
      </c>
      <c r="E21" s="15">
        <f>+'SCH J - Bill analysis STEP 1'!E21</f>
        <v>0</v>
      </c>
      <c r="F21" s="12"/>
      <c r="G21" s="14">
        <f>+'SCH I - Rate Sum STEP 1'!C43</f>
        <v>3.25</v>
      </c>
      <c r="I21" s="15">
        <f>+E21*G21</f>
        <v>0</v>
      </c>
      <c r="J21" s="16"/>
      <c r="K21" s="14">
        <f>+'SCH F - Rate Sum STEP 2'!E24</f>
        <v>3.8000000000000003</v>
      </c>
      <c r="L21" s="17"/>
      <c r="M21" s="15">
        <f>+E21*K21</f>
        <v>0</v>
      </c>
    </row>
    <row r="22" spans="1:17" x14ac:dyDescent="0.2">
      <c r="A22" s="2" t="s">
        <v>23</v>
      </c>
      <c r="C22" s="11">
        <f>SUM(C19:C21)</f>
        <v>0</v>
      </c>
      <c r="E22" s="11">
        <f>SUM(E19:E21)</f>
        <v>4769825</v>
      </c>
      <c r="F22" s="12"/>
      <c r="G22" s="14"/>
      <c r="I22" s="11">
        <f>SUM(I19:I21)</f>
        <v>22643213.759999998</v>
      </c>
      <c r="J22" s="12"/>
      <c r="M22" s="11">
        <f>SUM(M19:M21)</f>
        <v>26470488.18</v>
      </c>
    </row>
    <row r="23" spans="1:17" x14ac:dyDescent="0.2">
      <c r="F23" s="12"/>
      <c r="G23" s="12"/>
      <c r="J23" s="12"/>
    </row>
    <row r="24" spans="1:17" x14ac:dyDescent="0.2">
      <c r="A24" s="2" t="s">
        <v>24</v>
      </c>
      <c r="C24" s="11">
        <f>+C22+C17</f>
        <v>303832.5</v>
      </c>
      <c r="E24" s="11">
        <f>+E22+E17</f>
        <v>4769825</v>
      </c>
      <c r="F24" s="12"/>
      <c r="G24" s="12"/>
      <c r="I24" s="11">
        <f>+I22+I17</f>
        <v>34977218.759999998</v>
      </c>
      <c r="J24" s="12"/>
      <c r="M24" s="11">
        <f>+M22+M17</f>
        <v>40327149.280000001</v>
      </c>
      <c r="N24" s="36"/>
      <c r="O24" s="58"/>
      <c r="P24" s="34"/>
      <c r="Q24" s="11"/>
    </row>
    <row r="25" spans="1:17" x14ac:dyDescent="0.2">
      <c r="D25" s="2"/>
      <c r="G25" s="11"/>
      <c r="J25" s="12"/>
      <c r="O25" s="35"/>
      <c r="P25" s="11"/>
    </row>
    <row r="26" spans="1:17" x14ac:dyDescent="0.2">
      <c r="C26" s="71"/>
      <c r="D26" s="72"/>
      <c r="E26" s="71"/>
      <c r="F26" s="72"/>
      <c r="G26" s="72"/>
      <c r="J26" s="19"/>
    </row>
    <row r="27" spans="1:17" x14ac:dyDescent="0.2">
      <c r="A27" s="81" t="s">
        <v>14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7" x14ac:dyDescent="0.2">
      <c r="A28" s="2" t="s">
        <v>15</v>
      </c>
      <c r="J28" s="12"/>
    </row>
    <row r="29" spans="1:17" x14ac:dyDescent="0.2">
      <c r="A29" s="13" t="s">
        <v>16</v>
      </c>
      <c r="C29" s="11">
        <f>+'SCH J - Bill analysis STEP 1'!C29</f>
        <v>40615</v>
      </c>
      <c r="E29" s="11">
        <v>0</v>
      </c>
      <c r="F29" s="12"/>
      <c r="G29" s="14">
        <f>+'SCH F - Rate Sum STEP 2'!C10</f>
        <v>18.5</v>
      </c>
      <c r="I29" s="70">
        <f>ROUND(+C29*G29,0)</f>
        <v>751378</v>
      </c>
      <c r="J29" s="69"/>
      <c r="K29" s="69">
        <f>+'SCH F - Rate Sum STEP 2'!E10</f>
        <v>20.9</v>
      </c>
      <c r="L29" s="69"/>
      <c r="M29" s="70">
        <f>+K29*C29</f>
        <v>848853.5</v>
      </c>
    </row>
    <row r="30" spans="1:17" x14ac:dyDescent="0.2">
      <c r="A30" s="13" t="s">
        <v>17</v>
      </c>
      <c r="C30" s="11">
        <f>+'SCH J - Bill analysis STEP 1'!C30</f>
        <v>1412</v>
      </c>
      <c r="E30" s="11">
        <v>0</v>
      </c>
      <c r="F30" s="12"/>
      <c r="G30" s="14">
        <f>+'SCH F - Rate Sum STEP 2'!C12</f>
        <v>20.8</v>
      </c>
      <c r="I30" s="11">
        <f>ROUND(+C30*G30,0)</f>
        <v>29370</v>
      </c>
      <c r="J30" s="12"/>
      <c r="K30" s="59">
        <f>+'SCH F - Rate Sum STEP 2'!E12</f>
        <v>23.5</v>
      </c>
      <c r="L30" s="14"/>
      <c r="M30" s="11">
        <f>+K30*C30</f>
        <v>33182</v>
      </c>
    </row>
    <row r="31" spans="1:17" x14ac:dyDescent="0.2">
      <c r="A31" s="13" t="s">
        <v>18</v>
      </c>
      <c r="C31" s="11">
        <f>+'SCH J - Bill analysis STEP 1'!C31</f>
        <v>77</v>
      </c>
      <c r="E31" s="11">
        <v>0</v>
      </c>
      <c r="F31" s="12"/>
      <c r="G31" s="14">
        <f>+'SCH F - Rate Sum STEP 2'!C13</f>
        <v>23.4</v>
      </c>
      <c r="I31" s="11">
        <f t="shared" ref="I31:I32" si="2">ROUND(+C31*G31,0)</f>
        <v>1802</v>
      </c>
      <c r="J31" s="12"/>
      <c r="K31" s="59">
        <f>+'SCH F - Rate Sum STEP 2'!E13</f>
        <v>26.4</v>
      </c>
      <c r="L31" s="14"/>
      <c r="M31" s="11">
        <f>+K31*C31</f>
        <v>2032.8</v>
      </c>
    </row>
    <row r="32" spans="1:17" x14ac:dyDescent="0.2">
      <c r="A32" s="13" t="s">
        <v>19</v>
      </c>
      <c r="C32" s="11">
        <f>+'SCH J - Bill analysis STEP 1'!C32</f>
        <v>26</v>
      </c>
      <c r="E32" s="15">
        <v>0</v>
      </c>
      <c r="F32" s="12"/>
      <c r="G32" s="14">
        <f>+'SCH F - Rate Sum STEP 2'!C14</f>
        <v>29.6</v>
      </c>
      <c r="I32" s="15">
        <f t="shared" si="2"/>
        <v>770</v>
      </c>
      <c r="J32" s="12"/>
      <c r="K32" s="59">
        <f>+'SCH F - Rate Sum STEP 2'!E14</f>
        <v>33.4</v>
      </c>
      <c r="L32" s="14"/>
      <c r="M32" s="15">
        <f>+K32*C32</f>
        <v>868.4</v>
      </c>
    </row>
    <row r="33" spans="1:17" x14ac:dyDescent="0.2">
      <c r="A33" s="2" t="s">
        <v>21</v>
      </c>
      <c r="C33" s="68">
        <f>SUM(C29:C32)</f>
        <v>42130</v>
      </c>
      <c r="E33" s="11">
        <f>SUM(E29:E31)</f>
        <v>0</v>
      </c>
      <c r="F33" s="12"/>
      <c r="G33" s="12"/>
      <c r="I33" s="11">
        <f>SUM(I29:I32)</f>
        <v>783320</v>
      </c>
      <c r="J33" s="12"/>
      <c r="M33" s="11">
        <f>SUM(M29:M32)</f>
        <v>884936.70000000007</v>
      </c>
    </row>
    <row r="34" spans="1:17" x14ac:dyDescent="0.2">
      <c r="F34" s="12"/>
      <c r="G34" s="12"/>
      <c r="J34" s="12"/>
    </row>
    <row r="35" spans="1:17" x14ac:dyDescent="0.2">
      <c r="A35" s="2" t="s">
        <v>39</v>
      </c>
      <c r="C35" s="11">
        <v>0</v>
      </c>
      <c r="E35" s="11">
        <f>+'SCH J - Bill analysis STEP 1'!E35</f>
        <v>212573</v>
      </c>
      <c r="F35" s="12"/>
      <c r="G35" s="14">
        <f>+'SCH I - Rate Sum STEP 1'!C22</f>
        <v>4.7699999999999996</v>
      </c>
      <c r="I35" s="22">
        <f>+E35*G35</f>
        <v>1013973.21</v>
      </c>
      <c r="J35" s="12"/>
      <c r="K35" s="14">
        <f>+'SCH F - Rate Sum STEP 2'!E22</f>
        <v>5.58</v>
      </c>
      <c r="M35" s="22">
        <f>+E35*K35</f>
        <v>1186157.3400000001</v>
      </c>
    </row>
    <row r="36" spans="1:17" x14ac:dyDescent="0.2">
      <c r="A36" s="2" t="s">
        <v>40</v>
      </c>
      <c r="C36" s="11">
        <v>0</v>
      </c>
      <c r="E36" s="11">
        <f>+'SCH J - Bill analysis STEP 1'!E36</f>
        <v>23333</v>
      </c>
      <c r="F36" s="12"/>
      <c r="G36" s="14">
        <f>+'SCH I - Rate Sum STEP 1'!C23</f>
        <v>4.4400000000000004</v>
      </c>
      <c r="I36" s="22">
        <f>+E36*G36</f>
        <v>103598.52</v>
      </c>
      <c r="J36" s="12"/>
      <c r="K36" s="14">
        <f>+'SCH F - Rate Sum STEP 2'!E23</f>
        <v>5.14</v>
      </c>
      <c r="M36" s="22">
        <f>+E36*K36</f>
        <v>119931.62</v>
      </c>
    </row>
    <row r="37" spans="1:17" x14ac:dyDescent="0.2">
      <c r="A37" s="2" t="s">
        <v>41</v>
      </c>
      <c r="C37" s="15">
        <v>0</v>
      </c>
      <c r="E37" s="11">
        <f>+'SCH J - Bill analysis STEP 1'!E37</f>
        <v>8347</v>
      </c>
      <c r="F37" s="12"/>
      <c r="G37" s="14">
        <f>+'SCH I - Rate Sum STEP 1'!C24</f>
        <v>3.25</v>
      </c>
      <c r="I37" s="15">
        <f>+E37*G37</f>
        <v>27127.75</v>
      </c>
      <c r="J37" s="16"/>
      <c r="K37" s="14">
        <f>+'SCH F - Rate Sum STEP 2'!E24</f>
        <v>3.8000000000000003</v>
      </c>
      <c r="L37" s="17"/>
      <c r="M37" s="15">
        <f>+E37*K37</f>
        <v>31718.600000000002</v>
      </c>
      <c r="P37" s="11"/>
      <c r="Q37" s="59"/>
    </row>
    <row r="38" spans="1:17" x14ac:dyDescent="0.2">
      <c r="A38" s="2" t="s">
        <v>23</v>
      </c>
      <c r="C38" s="11">
        <f>SUM(C35:C37)</f>
        <v>0</v>
      </c>
      <c r="E38" s="68">
        <f>SUM(E35:E37)</f>
        <v>244253</v>
      </c>
      <c r="F38" s="12"/>
      <c r="G38" s="14"/>
      <c r="I38" s="11">
        <f>SUM(I35:I37)</f>
        <v>1144699.48</v>
      </c>
      <c r="J38" s="12"/>
      <c r="M38" s="11">
        <f>SUM(M35:M37)</f>
        <v>1337807.56</v>
      </c>
    </row>
    <row r="39" spans="1:17" x14ac:dyDescent="0.2">
      <c r="F39" s="12"/>
      <c r="G39" s="12"/>
      <c r="J39" s="12"/>
    </row>
    <row r="40" spans="1:17" x14ac:dyDescent="0.2">
      <c r="A40" s="2" t="s">
        <v>24</v>
      </c>
      <c r="C40" s="11">
        <f>+C38+C33</f>
        <v>42130</v>
      </c>
      <c r="E40" s="11">
        <f>+E38+E33</f>
        <v>244253</v>
      </c>
      <c r="F40" s="12"/>
      <c r="G40" s="12"/>
      <c r="I40" s="11">
        <f>+I38+I33</f>
        <v>1928019.48</v>
      </c>
      <c r="J40" s="12"/>
      <c r="M40" s="11">
        <f>+M38+M33</f>
        <v>2222744.2600000002</v>
      </c>
    </row>
    <row r="41" spans="1:17" x14ac:dyDescent="0.2">
      <c r="F41" s="12"/>
      <c r="G41" s="12"/>
      <c r="J41" s="12"/>
    </row>
    <row r="42" spans="1:17" x14ac:dyDescent="0.2">
      <c r="A42" s="2" t="s">
        <v>37</v>
      </c>
      <c r="C42" s="11">
        <f>+C40+C24</f>
        <v>345962.5</v>
      </c>
      <c r="D42" s="2"/>
      <c r="E42" s="11">
        <f>+E40+E24</f>
        <v>5014078</v>
      </c>
      <c r="F42" s="12"/>
      <c r="G42" s="12"/>
      <c r="I42" s="11">
        <f>+I40+I24</f>
        <v>36905238.239999995</v>
      </c>
      <c r="J42" s="12"/>
      <c r="M42" s="11">
        <f>+M40+M24</f>
        <v>42549893.539999999</v>
      </c>
    </row>
    <row r="43" spans="1:17" x14ac:dyDescent="0.2">
      <c r="F43" s="12"/>
      <c r="G43" s="12"/>
      <c r="J43" s="12"/>
    </row>
    <row r="44" spans="1:17" x14ac:dyDescent="0.2">
      <c r="A44" s="81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7" x14ac:dyDescent="0.2">
      <c r="A45" s="2" t="s">
        <v>15</v>
      </c>
      <c r="J45" s="12"/>
    </row>
    <row r="46" spans="1:17" x14ac:dyDescent="0.2">
      <c r="A46" s="13" t="s">
        <v>16</v>
      </c>
      <c r="C46" s="11">
        <f>+'SCH J - Bill analysis STEP 1'!C46</f>
        <v>10230</v>
      </c>
      <c r="E46" s="11">
        <v>0</v>
      </c>
      <c r="F46" s="12"/>
      <c r="G46" s="14">
        <f>+'SCH F - Rate Sum STEP 2'!C29</f>
        <v>40.5</v>
      </c>
      <c r="I46" s="70">
        <f t="shared" ref="I46:I53" si="3">ROUND(+C46*G46,0)</f>
        <v>414315</v>
      </c>
      <c r="J46" s="69"/>
      <c r="K46" s="69">
        <f>+'SCH F - Rate Sum STEP 2'!E29</f>
        <v>45.5</v>
      </c>
      <c r="L46" s="69"/>
      <c r="M46" s="70">
        <f t="shared" ref="M46:M53" si="4">+C46*K46</f>
        <v>465465</v>
      </c>
    </row>
    <row r="47" spans="1:17" x14ac:dyDescent="0.2">
      <c r="A47" s="13" t="s">
        <v>17</v>
      </c>
      <c r="C47" s="11">
        <f>+'SCH J - Bill analysis STEP 1'!C47</f>
        <v>2582</v>
      </c>
      <c r="E47" s="11">
        <v>0</v>
      </c>
      <c r="F47" s="12"/>
      <c r="G47" s="14">
        <f>+'SCH F - Rate Sum STEP 2'!$C31</f>
        <v>48.8</v>
      </c>
      <c r="I47" s="11">
        <f t="shared" si="3"/>
        <v>126002</v>
      </c>
      <c r="J47" s="12"/>
      <c r="K47" s="59">
        <f>+'SCH F - Rate Sum STEP 2'!E31</f>
        <v>54.8</v>
      </c>
      <c r="L47" s="14"/>
      <c r="M47" s="23">
        <f t="shared" si="4"/>
        <v>141493.6</v>
      </c>
    </row>
    <row r="48" spans="1:17" x14ac:dyDescent="0.2">
      <c r="A48" s="13" t="s">
        <v>18</v>
      </c>
      <c r="C48" s="11">
        <f>+'SCH J - Bill analysis STEP 1'!C48</f>
        <v>1394</v>
      </c>
      <c r="E48" s="11">
        <v>0</v>
      </c>
      <c r="F48" s="12"/>
      <c r="G48" s="14">
        <f>+'SCH F - Rate Sum STEP 2'!$C32</f>
        <v>57.7</v>
      </c>
      <c r="I48" s="11">
        <f t="shared" si="3"/>
        <v>80434</v>
      </c>
      <c r="J48" s="12"/>
      <c r="K48" s="59">
        <f>+'SCH F - Rate Sum STEP 2'!E32</f>
        <v>64.8</v>
      </c>
      <c r="L48" s="14"/>
      <c r="M48" s="23">
        <f t="shared" si="4"/>
        <v>90331.199999999997</v>
      </c>
    </row>
    <row r="49" spans="1:13" x14ac:dyDescent="0.2">
      <c r="A49" s="13" t="s">
        <v>19</v>
      </c>
      <c r="C49" s="11">
        <f>+'SCH J - Bill analysis STEP 1'!C49</f>
        <v>2078</v>
      </c>
      <c r="E49" s="11">
        <v>0</v>
      </c>
      <c r="F49" s="12"/>
      <c r="G49" s="14">
        <f>+'SCH F - Rate Sum STEP 2'!$C33</f>
        <v>80.900000000000006</v>
      </c>
      <c r="I49" s="11">
        <f t="shared" si="3"/>
        <v>168110</v>
      </c>
      <c r="J49" s="12"/>
      <c r="K49" s="59">
        <f>+'SCH F - Rate Sum STEP 2'!E33</f>
        <v>90.9</v>
      </c>
      <c r="L49" s="14"/>
      <c r="M49" s="23">
        <f t="shared" si="4"/>
        <v>188890.2</v>
      </c>
    </row>
    <row r="50" spans="1:13" x14ac:dyDescent="0.2">
      <c r="A50" s="13" t="s">
        <v>26</v>
      </c>
      <c r="C50" s="11">
        <f>+'SCH J - Bill analysis STEP 1'!C50</f>
        <v>250</v>
      </c>
      <c r="E50" s="11">
        <v>0</v>
      </c>
      <c r="F50" s="12"/>
      <c r="G50" s="14">
        <f>+'SCH F - Rate Sum STEP 2'!$C34</f>
        <v>251.8</v>
      </c>
      <c r="I50" s="11">
        <f t="shared" si="3"/>
        <v>62950</v>
      </c>
      <c r="J50" s="12"/>
      <c r="K50" s="59">
        <f>+'SCH F - Rate Sum STEP 2'!E34</f>
        <v>282.89999999999998</v>
      </c>
      <c r="L50" s="14"/>
      <c r="M50" s="23">
        <f t="shared" si="4"/>
        <v>70725</v>
      </c>
    </row>
    <row r="51" spans="1:13" x14ac:dyDescent="0.2">
      <c r="A51" s="13" t="s">
        <v>20</v>
      </c>
      <c r="C51" s="11">
        <f>+'SCH J - Bill analysis STEP 1'!C51</f>
        <v>156</v>
      </c>
      <c r="E51" s="11">
        <v>0</v>
      </c>
      <c r="F51" s="12"/>
      <c r="G51" s="14">
        <f>+'SCH F - Rate Sum STEP 2'!$C35</f>
        <v>315.5</v>
      </c>
      <c r="I51" s="11">
        <f t="shared" si="3"/>
        <v>49218</v>
      </c>
      <c r="J51" s="12"/>
      <c r="K51" s="59">
        <f>+'SCH F - Rate Sum STEP 2'!E35</f>
        <v>354.5</v>
      </c>
      <c r="L51" s="14"/>
      <c r="M51" s="23">
        <f t="shared" si="4"/>
        <v>55302</v>
      </c>
    </row>
    <row r="52" spans="1:13" x14ac:dyDescent="0.2">
      <c r="A52" s="13" t="s">
        <v>27</v>
      </c>
      <c r="C52" s="11">
        <f>+'SCH J - Bill analysis STEP 1'!C52</f>
        <v>79</v>
      </c>
      <c r="E52" s="11">
        <v>0</v>
      </c>
      <c r="F52" s="12"/>
      <c r="G52" s="14">
        <f>+'SCH F - Rate Sum STEP 2'!$C36</f>
        <v>466.2</v>
      </c>
      <c r="I52" s="22">
        <f t="shared" si="3"/>
        <v>36830</v>
      </c>
      <c r="J52" s="12"/>
      <c r="K52" s="59">
        <f>+'SCH F - Rate Sum STEP 2'!E36</f>
        <v>523.79999999999995</v>
      </c>
      <c r="L52" s="14"/>
      <c r="M52" s="23">
        <f t="shared" si="4"/>
        <v>41380.199999999997</v>
      </c>
    </row>
    <row r="53" spans="1:13" x14ac:dyDescent="0.2">
      <c r="A53" s="13" t="s">
        <v>28</v>
      </c>
      <c r="C53" s="11">
        <f>+'SCH J - Bill analysis STEP 1'!C53</f>
        <v>67</v>
      </c>
      <c r="E53" s="11">
        <v>0</v>
      </c>
      <c r="F53" s="12"/>
      <c r="G53" s="14">
        <f>+'SCH F - Rate Sum STEP 2'!$C37</f>
        <v>637.1</v>
      </c>
      <c r="I53" s="22">
        <f t="shared" si="3"/>
        <v>42686</v>
      </c>
      <c r="J53" s="12"/>
      <c r="K53" s="59">
        <f>+'SCH F - Rate Sum STEP 2'!E37</f>
        <v>715.8</v>
      </c>
      <c r="L53" s="14"/>
      <c r="M53" s="23">
        <f t="shared" si="4"/>
        <v>47958.6</v>
      </c>
    </row>
    <row r="54" spans="1:13" x14ac:dyDescent="0.2">
      <c r="A54" s="2" t="s">
        <v>30</v>
      </c>
      <c r="C54" s="68">
        <f>SUM(C46:C53)</f>
        <v>16836</v>
      </c>
      <c r="E54" s="68">
        <f>SUM(E46:E53)</f>
        <v>0</v>
      </c>
      <c r="F54" s="12"/>
      <c r="G54" s="16"/>
      <c r="I54" s="68">
        <f>SUM(I46:I53)</f>
        <v>980545</v>
      </c>
      <c r="J54" s="12"/>
      <c r="M54" s="68">
        <f>SUM(M46:M53)</f>
        <v>1101545.8</v>
      </c>
    </row>
    <row r="55" spans="1:13" x14ac:dyDescent="0.2">
      <c r="F55" s="12"/>
      <c r="G55" s="12"/>
      <c r="J55" s="12"/>
    </row>
    <row r="56" spans="1:13" x14ac:dyDescent="0.2">
      <c r="A56" s="2" t="s">
        <v>34</v>
      </c>
      <c r="C56" s="11">
        <v>0</v>
      </c>
      <c r="E56" s="11">
        <f>+'SCH J - Bill analysis STEP 1'!E56</f>
        <v>325454</v>
      </c>
      <c r="F56" s="12"/>
      <c r="G56" s="36">
        <f>+'SCH I - Rate Sum STEP 1'!C41</f>
        <v>4.7699999999999996</v>
      </c>
      <c r="I56" s="20">
        <f>ROUND(+E56*G56,0)</f>
        <v>1552416</v>
      </c>
      <c r="J56" s="25"/>
      <c r="K56" s="48">
        <f>+'SCH F - Rate Sum STEP 2'!E41</f>
        <v>5.58</v>
      </c>
      <c r="L56" s="17"/>
      <c r="M56" s="20">
        <f>+E56*K56</f>
        <v>1816033.32</v>
      </c>
    </row>
    <row r="57" spans="1:13" x14ac:dyDescent="0.2">
      <c r="A57" s="2" t="s">
        <v>35</v>
      </c>
      <c r="C57" s="22">
        <v>0</v>
      </c>
      <c r="D57" s="22"/>
      <c r="E57" s="22">
        <f>+'SCH J - Bill analysis STEP 1'!E57</f>
        <v>958439</v>
      </c>
      <c r="F57" s="26"/>
      <c r="G57" s="36">
        <f>+'SCH I - Rate Sum STEP 1'!C42</f>
        <v>4.4400000000000004</v>
      </c>
      <c r="I57" s="20">
        <f>ROUND(+E57*G57,0)</f>
        <v>4255469</v>
      </c>
      <c r="J57" s="16"/>
      <c r="K57" s="48">
        <f>+'SCH F - Rate Sum STEP 2'!E42</f>
        <v>5.14</v>
      </c>
      <c r="L57" s="17"/>
      <c r="M57" s="20">
        <f>+E57*K57</f>
        <v>4926376.46</v>
      </c>
    </row>
    <row r="58" spans="1:13" x14ac:dyDescent="0.2">
      <c r="A58" s="2" t="s">
        <v>36</v>
      </c>
      <c r="C58" s="15">
        <v>0</v>
      </c>
      <c r="D58" s="22"/>
      <c r="E58" s="15">
        <f>+'SCH J - Bill analysis STEP 1'!E58</f>
        <v>225461</v>
      </c>
      <c r="F58" s="12"/>
      <c r="G58" s="36">
        <f>+'SCH I - Rate Sum STEP 1'!C43</f>
        <v>3.25</v>
      </c>
      <c r="I58" s="24">
        <f>ROUND(+E58*G58,0)</f>
        <v>732748</v>
      </c>
      <c r="J58" s="12"/>
      <c r="K58" s="48">
        <f>+'SCH F - Rate Sum STEP 2'!E43</f>
        <v>3.8000000000000003</v>
      </c>
      <c r="L58" s="17"/>
      <c r="M58" s="24">
        <f>+E58*K58</f>
        <v>856751.8</v>
      </c>
    </row>
    <row r="59" spans="1:13" x14ac:dyDescent="0.2">
      <c r="A59" s="2" t="s">
        <v>30</v>
      </c>
      <c r="C59" s="22">
        <f>SUM(C56:C58)</f>
        <v>0</v>
      </c>
      <c r="D59" s="2"/>
      <c r="E59" s="22">
        <f>SUM(E56:E58)</f>
        <v>1509354</v>
      </c>
      <c r="F59" s="12"/>
      <c r="G59" s="18"/>
      <c r="I59" s="22">
        <f>SUM(I56:I58)</f>
        <v>6540633</v>
      </c>
      <c r="J59" s="12"/>
      <c r="M59" s="22">
        <f>SUM(M56:M58)</f>
        <v>7599161.5800000001</v>
      </c>
    </row>
    <row r="60" spans="1:13" x14ac:dyDescent="0.2">
      <c r="F60" s="12"/>
      <c r="G60" s="12"/>
      <c r="J60" s="12"/>
    </row>
    <row r="61" spans="1:13" x14ac:dyDescent="0.2">
      <c r="A61" s="2" t="s">
        <v>24</v>
      </c>
      <c r="C61" s="11">
        <f>+C59+C54</f>
        <v>16836</v>
      </c>
      <c r="E61" s="11">
        <f>+E59+E54</f>
        <v>1509354</v>
      </c>
      <c r="F61" s="12"/>
      <c r="G61" s="12"/>
      <c r="I61" s="11">
        <f>+I59+I54</f>
        <v>7521178</v>
      </c>
      <c r="J61" s="12"/>
      <c r="M61" s="11">
        <f>+M59+M54</f>
        <v>8700707.3800000008</v>
      </c>
    </row>
    <row r="62" spans="1:13" x14ac:dyDescent="0.2">
      <c r="A62" s="13"/>
      <c r="F62" s="12"/>
      <c r="G62" s="12"/>
    </row>
    <row r="63" spans="1:13" x14ac:dyDescent="0.2">
      <c r="A63" s="81" t="s">
        <v>25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3" x14ac:dyDescent="0.2">
      <c r="A64" s="2" t="s">
        <v>15</v>
      </c>
      <c r="J64" s="12"/>
    </row>
    <row r="65" spans="1:13" x14ac:dyDescent="0.2">
      <c r="A65" s="13" t="s">
        <v>16</v>
      </c>
      <c r="C65" s="11">
        <f>+'SCH J - Bill analysis STEP 1'!C65</f>
        <v>636.5</v>
      </c>
      <c r="E65" s="11">
        <v>0</v>
      </c>
      <c r="F65" s="12"/>
      <c r="G65" s="14">
        <f>+'SCH F - Rate Sum STEP 2'!C10</f>
        <v>18.5</v>
      </c>
      <c r="I65" s="70">
        <f t="shared" ref="I65:I70" si="5">ROUND(+C65*G65,0)</f>
        <v>11775</v>
      </c>
      <c r="J65" s="69"/>
      <c r="K65" s="69">
        <f>+'SCH F - Rate Sum STEP 2'!E10</f>
        <v>20.9</v>
      </c>
      <c r="L65" s="69"/>
      <c r="M65" s="70">
        <f t="shared" ref="M65:M70" si="6">+C65*K65</f>
        <v>13302.849999999999</v>
      </c>
    </row>
    <row r="66" spans="1:13" x14ac:dyDescent="0.2">
      <c r="A66" s="13" t="s">
        <v>17</v>
      </c>
      <c r="C66" s="11">
        <f>+'SCH J - Bill analysis STEP 1'!C66</f>
        <v>82</v>
      </c>
      <c r="E66" s="11">
        <v>0</v>
      </c>
      <c r="F66" s="12"/>
      <c r="G66" s="14">
        <f>+'SCH F - Rate Sum STEP 2'!C12</f>
        <v>20.8</v>
      </c>
      <c r="I66" s="11">
        <f t="shared" si="5"/>
        <v>1706</v>
      </c>
      <c r="J66" s="12"/>
      <c r="K66" s="59">
        <f>+'SCH F - Rate Sum STEP 2'!E12</f>
        <v>23.5</v>
      </c>
      <c r="L66" s="14"/>
      <c r="M66" s="23">
        <f t="shared" si="6"/>
        <v>1927</v>
      </c>
    </row>
    <row r="67" spans="1:13" x14ac:dyDescent="0.2">
      <c r="A67" s="13" t="s">
        <v>18</v>
      </c>
      <c r="C67" s="11">
        <f>+'SCH J - Bill analysis STEP 1'!C67</f>
        <v>37</v>
      </c>
      <c r="E67" s="11">
        <v>0</v>
      </c>
      <c r="F67" s="12"/>
      <c r="G67" s="14">
        <f>+'SCH F - Rate Sum STEP 2'!C13</f>
        <v>23.4</v>
      </c>
      <c r="I67" s="11">
        <f t="shared" si="5"/>
        <v>866</v>
      </c>
      <c r="J67" s="12"/>
      <c r="K67" s="59">
        <f>+'SCH F - Rate Sum STEP 2'!E13</f>
        <v>26.4</v>
      </c>
      <c r="L67" s="14"/>
      <c r="M67" s="23">
        <f t="shared" si="6"/>
        <v>976.8</v>
      </c>
    </row>
    <row r="68" spans="1:13" x14ac:dyDescent="0.2">
      <c r="A68" s="13" t="s">
        <v>19</v>
      </c>
      <c r="C68" s="11">
        <f>+'SCH J - Bill analysis STEP 1'!C68</f>
        <v>146</v>
      </c>
      <c r="E68" s="11">
        <v>0</v>
      </c>
      <c r="F68" s="12"/>
      <c r="G68" s="14">
        <f>+'SCH F - Rate Sum STEP 2'!C14</f>
        <v>29.6</v>
      </c>
      <c r="I68" s="11">
        <f t="shared" si="5"/>
        <v>4322</v>
      </c>
      <c r="J68" s="12"/>
      <c r="K68" s="59">
        <f>+'SCH F - Rate Sum STEP 2'!E14</f>
        <v>33.4</v>
      </c>
      <c r="L68" s="14"/>
      <c r="M68" s="23">
        <f t="shared" si="6"/>
        <v>4876.3999999999996</v>
      </c>
    </row>
    <row r="69" spans="1:13" x14ac:dyDescent="0.2">
      <c r="A69" s="74" t="s">
        <v>26</v>
      </c>
      <c r="C69" s="11">
        <f>+'SCH J - Bill analysis STEP 1'!C69</f>
        <v>12</v>
      </c>
      <c r="E69" s="11">
        <v>1</v>
      </c>
      <c r="F69" s="12"/>
      <c r="G69" s="14">
        <f>+'SCH F - Rate Sum STEP 2'!C15</f>
        <v>71.3</v>
      </c>
      <c r="I69" s="11">
        <f t="shared" ref="I69" si="7">ROUND(+C69*G69,0)</f>
        <v>856</v>
      </c>
      <c r="J69" s="12"/>
      <c r="K69" s="59">
        <f>+'SCH F - Rate Sum STEP 2'!E15</f>
        <v>80.5</v>
      </c>
      <c r="L69" s="14"/>
      <c r="M69" s="23">
        <f t="shared" ref="M69" si="8">+C69*K69</f>
        <v>966</v>
      </c>
    </row>
    <row r="70" spans="1:13" x14ac:dyDescent="0.2">
      <c r="A70" s="13" t="s">
        <v>20</v>
      </c>
      <c r="C70" s="11">
        <f>+'SCH J - Bill analysis STEP 1'!C70</f>
        <v>61.5</v>
      </c>
      <c r="E70" s="11">
        <v>0</v>
      </c>
      <c r="F70" s="12"/>
      <c r="G70" s="14">
        <f>+'SCH F - Rate Sum STEP 2'!C16</f>
        <v>89.5</v>
      </c>
      <c r="I70" s="11">
        <f t="shared" si="5"/>
        <v>5504</v>
      </c>
      <c r="J70" s="12"/>
      <c r="K70" s="59">
        <f>+'SCH F - Rate Sum STEP 2'!E16</f>
        <v>101.1</v>
      </c>
      <c r="L70" s="14"/>
      <c r="M70" s="23">
        <f t="shared" si="6"/>
        <v>6217.65</v>
      </c>
    </row>
    <row r="71" spans="1:13" x14ac:dyDescent="0.2">
      <c r="A71" s="74" t="s">
        <v>27</v>
      </c>
      <c r="C71" s="11">
        <f>+'SCH J - Bill analysis STEP 1'!C71</f>
        <v>12</v>
      </c>
      <c r="E71" s="11">
        <v>0</v>
      </c>
      <c r="F71" s="12"/>
      <c r="G71" s="14">
        <f>+'SCH F - Rate Sum STEP 2'!C17</f>
        <v>132.4</v>
      </c>
      <c r="I71" s="11">
        <f t="shared" ref="I71" si="9">ROUND(+C71*G71,0)</f>
        <v>1589</v>
      </c>
      <c r="J71" s="12"/>
      <c r="K71" s="59">
        <f>+'SCH F - Rate Sum STEP 2'!E17</f>
        <v>149.6</v>
      </c>
      <c r="L71" s="14"/>
      <c r="M71" s="23">
        <f t="shared" ref="M71" si="10">+C71*K71</f>
        <v>1795.1999999999998</v>
      </c>
    </row>
    <row r="72" spans="1:13" x14ac:dyDescent="0.2">
      <c r="A72" s="2" t="s">
        <v>30</v>
      </c>
      <c r="C72" s="68">
        <f>SUM(C65:C71)</f>
        <v>987</v>
      </c>
      <c r="E72" s="68">
        <f>SUM(E65:E71)</f>
        <v>1</v>
      </c>
      <c r="F72" s="12"/>
      <c r="G72" s="16"/>
      <c r="I72" s="68">
        <f>SUM(I65:I71)</f>
        <v>26618</v>
      </c>
      <c r="J72" s="12"/>
      <c r="M72" s="68">
        <f>SUM(M65:M71)</f>
        <v>30061.899999999998</v>
      </c>
    </row>
    <row r="73" spans="1:13" x14ac:dyDescent="0.2">
      <c r="F73" s="12"/>
      <c r="G73" s="12"/>
      <c r="J73" s="12"/>
    </row>
    <row r="74" spans="1:13" x14ac:dyDescent="0.2">
      <c r="A74" s="2" t="s">
        <v>39</v>
      </c>
      <c r="C74" s="11">
        <v>0</v>
      </c>
      <c r="E74" s="11">
        <f>+'SCH J - Bill analysis STEP 1'!E74</f>
        <v>9922</v>
      </c>
      <c r="F74" s="12"/>
      <c r="G74" s="36">
        <f>+'SCH F - Rate Sum STEP 2'!C22</f>
        <v>4.7699999999999996</v>
      </c>
      <c r="I74" s="20">
        <f>ROUND(+E74*G74,0)</f>
        <v>47328</v>
      </c>
      <c r="J74" s="25"/>
      <c r="K74" s="17">
        <f>+'SCH F - Rate Sum STEP 2'!E22</f>
        <v>5.58</v>
      </c>
      <c r="L74" s="17"/>
      <c r="M74" s="20">
        <f>+E74*K74</f>
        <v>55364.76</v>
      </c>
    </row>
    <row r="75" spans="1:13" x14ac:dyDescent="0.2">
      <c r="A75" s="2" t="s">
        <v>40</v>
      </c>
      <c r="C75" s="22">
        <v>0</v>
      </c>
      <c r="D75" s="22"/>
      <c r="E75" s="22">
        <f>+'SCH J - Bill analysis STEP 1'!E75</f>
        <v>44391</v>
      </c>
      <c r="F75" s="26"/>
      <c r="G75" s="36">
        <f>+'SCH F - Rate Sum STEP 2'!C23</f>
        <v>4.4400000000000004</v>
      </c>
      <c r="I75" s="20">
        <f>ROUND(+E75*G75,0)</f>
        <v>197096</v>
      </c>
      <c r="J75" s="16"/>
      <c r="K75" s="17">
        <f>+'SCH F - Rate Sum STEP 2'!E23</f>
        <v>5.14</v>
      </c>
      <c r="L75" s="17"/>
      <c r="M75" s="20">
        <f>+E75*K75</f>
        <v>228169.74</v>
      </c>
    </row>
    <row r="76" spans="1:13" x14ac:dyDescent="0.2">
      <c r="A76" s="2" t="s">
        <v>41</v>
      </c>
      <c r="C76" s="15">
        <v>0</v>
      </c>
      <c r="D76" s="22"/>
      <c r="E76" s="15">
        <f>+'SCH J - Bill analysis STEP 1'!E76</f>
        <v>5175</v>
      </c>
      <c r="F76" s="12"/>
      <c r="G76" s="37">
        <f>+'SCH F - Rate Sum STEP 2'!C24</f>
        <v>3.25</v>
      </c>
      <c r="I76" s="24">
        <f>ROUND(+E76*G76,0)</f>
        <v>16819</v>
      </c>
      <c r="J76" s="12"/>
      <c r="K76" s="17">
        <f>+'SCH F - Rate Sum STEP 2'!E24</f>
        <v>3.8000000000000003</v>
      </c>
      <c r="L76" s="17"/>
      <c r="M76" s="24">
        <f>+E76*K76</f>
        <v>19665</v>
      </c>
    </row>
    <row r="77" spans="1:13" x14ac:dyDescent="0.2">
      <c r="A77" s="2" t="s">
        <v>30</v>
      </c>
      <c r="C77" s="22">
        <f>SUM(C74:C76)</f>
        <v>0</v>
      </c>
      <c r="D77" s="2"/>
      <c r="E77" s="22">
        <f>SUM(E74:E76)</f>
        <v>59488</v>
      </c>
      <c r="F77" s="12"/>
      <c r="G77" s="18"/>
      <c r="I77" s="22">
        <f>SUM(I74:I76)</f>
        <v>261243</v>
      </c>
      <c r="J77" s="12"/>
      <c r="M77" s="22">
        <f>SUM(M74:M76)</f>
        <v>303199.5</v>
      </c>
    </row>
    <row r="78" spans="1:13" x14ac:dyDescent="0.2">
      <c r="F78" s="12"/>
      <c r="G78" s="12"/>
      <c r="J78" s="12"/>
    </row>
    <row r="79" spans="1:13" x14ac:dyDescent="0.2">
      <c r="A79" s="2" t="s">
        <v>24</v>
      </c>
      <c r="C79" s="11">
        <f>+C77+C72</f>
        <v>987</v>
      </c>
      <c r="E79" s="11">
        <f>+E77+E72</f>
        <v>59489</v>
      </c>
      <c r="F79" s="12"/>
      <c r="G79" s="12"/>
      <c r="I79" s="11">
        <f>+I77+I72</f>
        <v>287861</v>
      </c>
      <c r="J79" s="12"/>
      <c r="M79" s="11">
        <f>+M77+M72</f>
        <v>333261.40000000002</v>
      </c>
    </row>
    <row r="80" spans="1:13" x14ac:dyDescent="0.2">
      <c r="F80" s="12"/>
      <c r="G80" s="12"/>
      <c r="J80" s="12"/>
    </row>
    <row r="81" spans="1:18" x14ac:dyDescent="0.2">
      <c r="A81" s="2" t="s">
        <v>42</v>
      </c>
      <c r="C81" s="11">
        <f>+C79+C61</f>
        <v>17823</v>
      </c>
      <c r="D81" s="2"/>
      <c r="E81" s="11">
        <f>+E79+E61</f>
        <v>1568843</v>
      </c>
      <c r="F81" s="12"/>
      <c r="G81" s="12"/>
      <c r="I81" s="11">
        <f>+I79+I61</f>
        <v>7809039</v>
      </c>
      <c r="J81" s="12"/>
      <c r="M81" s="11">
        <f>+M79+M61</f>
        <v>9033968.7800000012</v>
      </c>
      <c r="O81" s="11"/>
    </row>
    <row r="82" spans="1:18" x14ac:dyDescent="0.2">
      <c r="F82" s="12"/>
      <c r="G82" s="12"/>
      <c r="J82" s="12"/>
      <c r="O82" s="11"/>
      <c r="P82" s="11"/>
      <c r="Q82" s="11"/>
    </row>
    <row r="83" spans="1:18" x14ac:dyDescent="0.2">
      <c r="F83" s="12"/>
      <c r="G83" s="12"/>
    </row>
    <row r="84" spans="1:18" x14ac:dyDescent="0.2">
      <c r="A84" s="81" t="s">
        <v>49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12"/>
      <c r="O84" s="12"/>
      <c r="P84" s="11"/>
      <c r="Q84" s="11"/>
      <c r="R84" s="11"/>
    </row>
    <row r="85" spans="1:18" x14ac:dyDescent="0.2">
      <c r="A85" s="2" t="s">
        <v>15</v>
      </c>
      <c r="J85" s="12"/>
      <c r="P85" s="21"/>
      <c r="Q85" s="21"/>
      <c r="R85" s="21"/>
    </row>
    <row r="86" spans="1:18" x14ac:dyDescent="0.2">
      <c r="A86" s="13" t="s">
        <v>16</v>
      </c>
      <c r="C86" s="11">
        <f>+'SCH J - Bill analysis STEP 1'!C86</f>
        <v>6846</v>
      </c>
      <c r="E86" s="11">
        <v>0</v>
      </c>
      <c r="F86" s="12"/>
      <c r="G86" s="14">
        <f>+'SCH F - Rate Sum STEP 2'!C29</f>
        <v>40.5</v>
      </c>
      <c r="I86" s="70">
        <f t="shared" ref="I86:I93" si="11">ROUND(+C86*G86,0)</f>
        <v>277263</v>
      </c>
      <c r="J86" s="69"/>
      <c r="K86" s="69">
        <f>+'SCH F - Rate Sum STEP 2'!E29</f>
        <v>45.5</v>
      </c>
      <c r="L86" s="69"/>
      <c r="M86" s="70">
        <f t="shared" ref="M86:M93" si="12">ROUND(+K86*C86,0)</f>
        <v>311493</v>
      </c>
      <c r="N86" s="22"/>
      <c r="O86" s="22"/>
      <c r="P86" s="22"/>
      <c r="Q86" s="22"/>
      <c r="R86" s="11"/>
    </row>
    <row r="87" spans="1:18" x14ac:dyDescent="0.2">
      <c r="A87" s="13" t="s">
        <v>17</v>
      </c>
      <c r="C87" s="11">
        <f>+'SCH J - Bill analysis STEP 1'!C87</f>
        <v>6</v>
      </c>
      <c r="E87" s="11">
        <v>0</v>
      </c>
      <c r="F87" s="12"/>
      <c r="G87" s="14">
        <f>+'SCH F - Rate Sum STEP 2'!C31</f>
        <v>48.8</v>
      </c>
      <c r="I87" s="11">
        <f t="shared" si="11"/>
        <v>293</v>
      </c>
      <c r="J87" s="12"/>
      <c r="K87" s="59">
        <f>+'SCH F - Rate Sum STEP 2'!E31</f>
        <v>54.8</v>
      </c>
      <c r="L87" s="14"/>
      <c r="M87" s="11">
        <f t="shared" si="12"/>
        <v>329</v>
      </c>
      <c r="N87" s="11"/>
      <c r="O87" s="11"/>
      <c r="P87" s="22"/>
      <c r="Q87" s="22"/>
      <c r="R87" s="11"/>
    </row>
    <row r="88" spans="1:18" x14ac:dyDescent="0.2">
      <c r="A88" s="13" t="s">
        <v>18</v>
      </c>
      <c r="C88" s="11">
        <f>+'SCH J - Bill analysis STEP 1'!C88</f>
        <v>1605</v>
      </c>
      <c r="E88" s="11">
        <v>0</v>
      </c>
      <c r="F88" s="12"/>
      <c r="G88" s="14">
        <f>+'SCH F - Rate Sum STEP 2'!C32</f>
        <v>57.7</v>
      </c>
      <c r="I88" s="11">
        <f t="shared" si="11"/>
        <v>92609</v>
      </c>
      <c r="J88" s="12"/>
      <c r="K88" s="59">
        <f>+'SCH F - Rate Sum STEP 2'!E32</f>
        <v>64.8</v>
      </c>
      <c r="L88" s="14"/>
      <c r="M88" s="11">
        <f t="shared" si="12"/>
        <v>104004</v>
      </c>
      <c r="N88" s="11"/>
      <c r="O88" s="11"/>
      <c r="P88" s="12"/>
      <c r="Q88" s="12"/>
    </row>
    <row r="89" spans="1:18" x14ac:dyDescent="0.2">
      <c r="A89" s="13" t="s">
        <v>19</v>
      </c>
      <c r="C89" s="11">
        <f>+'SCH J - Bill analysis STEP 1'!C89</f>
        <v>731.5</v>
      </c>
      <c r="E89" s="11">
        <v>0</v>
      </c>
      <c r="F89" s="12"/>
      <c r="G89" s="14">
        <f>+'SCH F - Rate Sum STEP 2'!C33</f>
        <v>80.900000000000006</v>
      </c>
      <c r="I89" s="11">
        <f t="shared" si="11"/>
        <v>59178</v>
      </c>
      <c r="J89" s="12"/>
      <c r="K89" s="59">
        <f>+'SCH F - Rate Sum STEP 2'!E33</f>
        <v>90.9</v>
      </c>
      <c r="L89" s="14"/>
      <c r="M89" s="11">
        <f t="shared" si="12"/>
        <v>66493</v>
      </c>
      <c r="N89" s="11"/>
      <c r="O89" s="11"/>
      <c r="P89" s="11"/>
      <c r="Q89" s="12"/>
      <c r="R89" s="11"/>
    </row>
    <row r="90" spans="1:18" x14ac:dyDescent="0.2">
      <c r="A90" s="13" t="s">
        <v>26</v>
      </c>
      <c r="C90" s="11">
        <f>+'SCH J - Bill analysis STEP 1'!C90</f>
        <v>76</v>
      </c>
      <c r="E90" s="11">
        <v>0</v>
      </c>
      <c r="F90" s="12"/>
      <c r="G90" s="14">
        <f>+'SCH F - Rate Sum STEP 2'!C34</f>
        <v>251.8</v>
      </c>
      <c r="I90" s="11">
        <f t="shared" si="11"/>
        <v>19137</v>
      </c>
      <c r="J90" s="12"/>
      <c r="K90" s="59">
        <f>+'SCH F - Rate Sum STEP 2'!E34</f>
        <v>282.89999999999998</v>
      </c>
      <c r="L90" s="14"/>
      <c r="M90" s="11">
        <f t="shared" si="12"/>
        <v>21500</v>
      </c>
      <c r="N90" s="12"/>
      <c r="O90" s="12"/>
      <c r="P90" s="11"/>
    </row>
    <row r="91" spans="1:18" x14ac:dyDescent="0.2">
      <c r="A91" s="13" t="s">
        <v>20</v>
      </c>
      <c r="C91" s="11">
        <f>+'SCH J - Bill analysis STEP 1'!C91</f>
        <v>50</v>
      </c>
      <c r="E91" s="11">
        <v>0</v>
      </c>
      <c r="F91" s="12"/>
      <c r="G91" s="14">
        <f>+'SCH F - Rate Sum STEP 2'!C35</f>
        <v>315.5</v>
      </c>
      <c r="I91" s="11">
        <f t="shared" si="11"/>
        <v>15775</v>
      </c>
      <c r="J91" s="12"/>
      <c r="K91" s="59">
        <f>+'SCH F - Rate Sum STEP 2'!E35</f>
        <v>354.5</v>
      </c>
      <c r="L91" s="14"/>
      <c r="M91" s="11">
        <f t="shared" si="12"/>
        <v>17725</v>
      </c>
      <c r="P91" s="11"/>
      <c r="Q91" s="12"/>
      <c r="R91" s="11"/>
    </row>
    <row r="92" spans="1:18" x14ac:dyDescent="0.2">
      <c r="A92" s="13" t="s">
        <v>27</v>
      </c>
      <c r="C92" s="11">
        <f>+'SCH J - Bill analysis STEP 1'!C92</f>
        <v>134.5</v>
      </c>
      <c r="E92" s="11">
        <v>0</v>
      </c>
      <c r="F92" s="12"/>
      <c r="G92" s="14">
        <f>+'SCH F - Rate Sum STEP 2'!C36</f>
        <v>466.2</v>
      </c>
      <c r="I92" s="11">
        <f t="shared" si="11"/>
        <v>62704</v>
      </c>
      <c r="J92" s="12"/>
      <c r="K92" s="59">
        <f>+'SCH F - Rate Sum STEP 2'!E36</f>
        <v>523.79999999999995</v>
      </c>
      <c r="L92" s="14"/>
      <c r="M92" s="11">
        <f t="shared" si="12"/>
        <v>70451</v>
      </c>
      <c r="N92" s="12"/>
      <c r="O92" s="12"/>
      <c r="P92" s="11"/>
    </row>
    <row r="93" spans="1:18" x14ac:dyDescent="0.2">
      <c r="A93" s="13" t="s">
        <v>28</v>
      </c>
      <c r="B93" s="13"/>
      <c r="C93" s="15">
        <f>+'SCH J - Bill analysis STEP 1'!C93</f>
        <v>50.5</v>
      </c>
      <c r="E93" s="15">
        <v>0</v>
      </c>
      <c r="F93" s="12"/>
      <c r="G93" s="14">
        <f>+'SCH F - Rate Sum STEP 2'!C37</f>
        <v>637.1</v>
      </c>
      <c r="I93" s="15">
        <f t="shared" si="11"/>
        <v>32174</v>
      </c>
      <c r="J93" s="12"/>
      <c r="K93" s="59">
        <f>+'SCH F - Rate Sum STEP 2'!E37</f>
        <v>715.8</v>
      </c>
      <c r="L93" s="14"/>
      <c r="M93" s="15">
        <f t="shared" si="12"/>
        <v>36148</v>
      </c>
      <c r="N93" s="12"/>
      <c r="O93" s="12"/>
      <c r="P93" s="11"/>
    </row>
    <row r="94" spans="1:18" x14ac:dyDescent="0.2">
      <c r="A94" s="2" t="s">
        <v>30</v>
      </c>
      <c r="C94" s="11">
        <f>SUM(C86:C93)</f>
        <v>9499.5</v>
      </c>
      <c r="E94" s="11">
        <f>SUM(E86:E93)</f>
        <v>0</v>
      </c>
      <c r="F94" s="12"/>
      <c r="G94" s="12"/>
      <c r="I94" s="11">
        <f>SUM(I86:I93)</f>
        <v>559133</v>
      </c>
      <c r="J94" s="12"/>
      <c r="M94" s="11">
        <f>SUM(M86:M93)</f>
        <v>628143</v>
      </c>
    </row>
    <row r="95" spans="1:18" x14ac:dyDescent="0.2">
      <c r="F95" s="12"/>
      <c r="G95" s="12"/>
      <c r="J95" s="12"/>
    </row>
    <row r="96" spans="1:18" x14ac:dyDescent="0.2">
      <c r="A96" s="2" t="s">
        <v>34</v>
      </c>
      <c r="C96" s="11">
        <v>0</v>
      </c>
      <c r="E96" s="11">
        <f>+'SCH J - Bill analysis STEP 1'!E96</f>
        <v>319108</v>
      </c>
      <c r="F96" s="12"/>
      <c r="G96" s="17">
        <f>+'SCH F - Rate Sum STEP 2'!C41</f>
        <v>4.7699999999999996</v>
      </c>
      <c r="I96" s="11">
        <f>ROUND(+E96*G96,0)</f>
        <v>1522145</v>
      </c>
      <c r="J96" s="12"/>
      <c r="K96" s="17">
        <f>+'SCH F - Rate Sum STEP 2'!E41</f>
        <v>5.58</v>
      </c>
      <c r="L96" s="17"/>
      <c r="M96" s="11">
        <f>ROUND(+K96*E96,2)</f>
        <v>1780622.64</v>
      </c>
    </row>
    <row r="97" spans="1:13" x14ac:dyDescent="0.2">
      <c r="A97" s="2" t="s">
        <v>35</v>
      </c>
      <c r="C97" s="11">
        <v>0</v>
      </c>
      <c r="E97" s="11">
        <f>+'SCH J - Bill analysis STEP 1'!E97</f>
        <v>820822</v>
      </c>
      <c r="F97" s="12"/>
      <c r="G97" s="17">
        <f>+'SCH F - Rate Sum STEP 2'!C42</f>
        <v>4.4400000000000004</v>
      </c>
      <c r="I97" s="11">
        <f>ROUND(+E97*G97,0)</f>
        <v>3644450</v>
      </c>
      <c r="J97" s="12"/>
      <c r="K97" s="17">
        <f>+'SCH F - Rate Sum STEP 2'!E42</f>
        <v>5.14</v>
      </c>
      <c r="L97" s="17"/>
      <c r="M97" s="11">
        <f>ROUND(+K97*E97,2)</f>
        <v>4219025.08</v>
      </c>
    </row>
    <row r="98" spans="1:13" x14ac:dyDescent="0.2">
      <c r="A98" s="2" t="s">
        <v>36</v>
      </c>
      <c r="B98" s="21"/>
      <c r="C98" s="15">
        <v>0</v>
      </c>
      <c r="D98" s="22"/>
      <c r="E98" s="15">
        <f>+'SCH J - Bill analysis STEP 1'!E98</f>
        <v>213</v>
      </c>
      <c r="F98" s="16"/>
      <c r="G98" s="17">
        <f>+'SCH F - Rate Sum STEP 2'!C43</f>
        <v>3.25</v>
      </c>
      <c r="H98" s="21"/>
      <c r="I98" s="15">
        <f>ROUND(+E98*G98,0)</f>
        <v>692</v>
      </c>
      <c r="J98" s="16"/>
      <c r="K98" s="17">
        <f>+'SCH F - Rate Sum STEP 2'!E43</f>
        <v>3.8000000000000003</v>
      </c>
      <c r="L98" s="28"/>
      <c r="M98" s="15">
        <f>ROUND(+K98*E98,2)</f>
        <v>809.4</v>
      </c>
    </row>
    <row r="99" spans="1:13" x14ac:dyDescent="0.2">
      <c r="A99" s="2" t="s">
        <v>30</v>
      </c>
      <c r="C99" s="11">
        <f>SUM(C96:C98)</f>
        <v>0</v>
      </c>
      <c r="E99" s="11">
        <f>SUM(E96:E98)</f>
        <v>1140143</v>
      </c>
      <c r="F99" s="12"/>
      <c r="G99" s="18"/>
      <c r="I99" s="11">
        <f>SUM(I96:I98)</f>
        <v>5167287</v>
      </c>
      <c r="J99" s="12"/>
      <c r="K99" s="17"/>
      <c r="M99" s="11">
        <f>SUM(M96:M98)</f>
        <v>6000457.1200000001</v>
      </c>
    </row>
    <row r="100" spans="1:13" x14ac:dyDescent="0.2">
      <c r="F100" s="12"/>
      <c r="G100" s="12"/>
      <c r="J100" s="12"/>
    </row>
    <row r="101" spans="1:13" x14ac:dyDescent="0.2">
      <c r="A101" s="2" t="s">
        <v>24</v>
      </c>
      <c r="C101" s="11">
        <f>+C99+C94</f>
        <v>9499.5</v>
      </c>
      <c r="E101" s="11">
        <f>+E99+E94</f>
        <v>1140143</v>
      </c>
      <c r="F101" s="12"/>
      <c r="G101" s="12"/>
      <c r="I101" s="11">
        <f>+I99+I94</f>
        <v>5726420</v>
      </c>
      <c r="J101" s="12"/>
      <c r="M101" s="11">
        <f>+M99+M94</f>
        <v>6628600.1200000001</v>
      </c>
    </row>
    <row r="102" spans="1:13" x14ac:dyDescent="0.2">
      <c r="F102" s="12"/>
      <c r="G102" s="12"/>
      <c r="J102" s="11"/>
    </row>
    <row r="103" spans="1:13" x14ac:dyDescent="0.2">
      <c r="A103" s="81" t="s">
        <v>50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</row>
    <row r="104" spans="1:13" x14ac:dyDescent="0.2">
      <c r="A104" s="2" t="s">
        <v>15</v>
      </c>
      <c r="J104" s="12"/>
    </row>
    <row r="105" spans="1:13" x14ac:dyDescent="0.2">
      <c r="A105" s="13" t="s">
        <v>16</v>
      </c>
      <c r="C105" s="11">
        <f>+'SCH J - Bill analysis STEP 1'!C105</f>
        <v>9</v>
      </c>
      <c r="E105" s="11">
        <v>0</v>
      </c>
      <c r="G105" s="49">
        <f>+'SCH F - Rate Sum STEP 2'!C10</f>
        <v>18.5</v>
      </c>
      <c r="I105" s="70">
        <f>ROUND(+C105*G105,0)</f>
        <v>167</v>
      </c>
      <c r="J105" s="69"/>
      <c r="K105" s="69">
        <f>+'SCH F - Rate Sum STEP 2'!E10</f>
        <v>20.9</v>
      </c>
      <c r="L105" s="69"/>
      <c r="M105" s="70">
        <f>ROUND(+K105*C105,0)</f>
        <v>188</v>
      </c>
    </row>
    <row r="106" spans="1:13" x14ac:dyDescent="0.2">
      <c r="A106" s="13" t="s">
        <v>18</v>
      </c>
      <c r="C106" s="11">
        <f>+'SCH J - Bill analysis STEP 1'!C106</f>
        <v>213.5</v>
      </c>
      <c r="E106" s="11">
        <v>0</v>
      </c>
      <c r="G106" s="35">
        <f>+'SCH F - Rate Sum STEP 2'!C13</f>
        <v>23.4</v>
      </c>
      <c r="I106" s="11">
        <f>ROUND(+C106*G106,0)</f>
        <v>4996</v>
      </c>
      <c r="J106" s="12"/>
      <c r="K106" s="59">
        <f>+'SCH F - Rate Sum STEP 2'!E13</f>
        <v>26.4</v>
      </c>
      <c r="M106" s="11">
        <f>ROUND(+K106*C106,0)</f>
        <v>5636</v>
      </c>
    </row>
    <row r="107" spans="1:13" x14ac:dyDescent="0.2">
      <c r="A107" s="13" t="s">
        <v>19</v>
      </c>
      <c r="C107" s="11">
        <f>+'SCH J - Bill analysis STEP 1'!C107</f>
        <v>216</v>
      </c>
      <c r="E107" s="11">
        <v>0</v>
      </c>
      <c r="G107" s="35">
        <f>+'SCH F - Rate Sum STEP 2'!C14</f>
        <v>29.6</v>
      </c>
      <c r="I107" s="11">
        <f>ROUND(+C107*G107,0)</f>
        <v>6394</v>
      </c>
      <c r="J107" s="12"/>
      <c r="K107" s="59">
        <f>+'SCH F - Rate Sum STEP 2'!E14</f>
        <v>33.4</v>
      </c>
      <c r="M107" s="11">
        <f>ROUND(+K107*C107,0)</f>
        <v>7214</v>
      </c>
    </row>
    <row r="108" spans="1:13" x14ac:dyDescent="0.2">
      <c r="A108" s="74" t="s">
        <v>26</v>
      </c>
      <c r="C108" s="11">
        <f>+'SCH J - Bill analysis STEP 1'!C108</f>
        <v>10</v>
      </c>
      <c r="E108" s="11">
        <v>0</v>
      </c>
      <c r="G108" s="35">
        <f>+'SCH F - Rate Sum STEP 2'!C15</f>
        <v>71.3</v>
      </c>
      <c r="I108" s="11">
        <f t="shared" ref="I108:I109" si="13">ROUND(+C108*G108,0)</f>
        <v>713</v>
      </c>
      <c r="J108" s="12"/>
      <c r="K108" s="59">
        <f>+'SCH F - Rate Sum STEP 2'!E15</f>
        <v>80.5</v>
      </c>
      <c r="M108" s="11">
        <f t="shared" ref="M108:M109" si="14">ROUND(+K108*C108,0)</f>
        <v>805</v>
      </c>
    </row>
    <row r="109" spans="1:13" x14ac:dyDescent="0.2">
      <c r="A109" s="74" t="s">
        <v>27</v>
      </c>
      <c r="C109" s="11">
        <f>+'SCH J - Bill analysis STEP 1'!C109</f>
        <v>12</v>
      </c>
      <c r="E109" s="11">
        <v>0</v>
      </c>
      <c r="G109" s="35">
        <f>+'SCH F - Rate Sum STEP 2'!C17</f>
        <v>132.4</v>
      </c>
      <c r="I109" s="11">
        <f t="shared" si="13"/>
        <v>1589</v>
      </c>
      <c r="J109" s="12"/>
      <c r="K109" s="59">
        <f>+'SCH F - Rate Sum STEP 2'!E17</f>
        <v>149.6</v>
      </c>
      <c r="M109" s="11">
        <f t="shared" si="14"/>
        <v>1795</v>
      </c>
    </row>
    <row r="110" spans="1:13" x14ac:dyDescent="0.2">
      <c r="A110" s="2" t="s">
        <v>30</v>
      </c>
      <c r="C110" s="68">
        <f>SUM(C105:C109)</f>
        <v>460.5</v>
      </c>
      <c r="E110" s="68">
        <f>SUM(E105:E109)</f>
        <v>0</v>
      </c>
      <c r="F110" s="12"/>
      <c r="G110" s="12"/>
      <c r="I110" s="68">
        <f>SUM(I105:I109)</f>
        <v>13859</v>
      </c>
      <c r="J110" s="12"/>
      <c r="K110" s="59"/>
      <c r="M110" s="68">
        <f>SUM(M105:M109)</f>
        <v>15638</v>
      </c>
    </row>
    <row r="111" spans="1:13" x14ac:dyDescent="0.2">
      <c r="F111" s="12"/>
      <c r="G111" s="12"/>
      <c r="J111" s="12"/>
    </row>
    <row r="112" spans="1:13" x14ac:dyDescent="0.2">
      <c r="A112" s="2" t="s">
        <v>39</v>
      </c>
      <c r="C112" s="11">
        <v>0</v>
      </c>
      <c r="E112" s="11">
        <f>+'SCH J - Bill analysis STEP 1'!E112</f>
        <v>6986</v>
      </c>
      <c r="F112" s="12"/>
      <c r="G112" s="17">
        <f>+'SCH F - Rate Sum STEP 2'!C22</f>
        <v>4.7699999999999996</v>
      </c>
      <c r="I112" s="11">
        <f>ROUND(+E112*G112,0)</f>
        <v>33323</v>
      </c>
      <c r="J112" s="12"/>
      <c r="K112" s="17">
        <f>+'SCH F - Rate Sum STEP 2'!E22</f>
        <v>5.58</v>
      </c>
      <c r="L112" s="17"/>
      <c r="M112" s="11">
        <f>ROUND(+K112*E112,2)</f>
        <v>38981.879999999997</v>
      </c>
    </row>
    <row r="113" spans="1:16" x14ac:dyDescent="0.2">
      <c r="A113" s="2" t="s">
        <v>40</v>
      </c>
      <c r="C113" s="11">
        <v>0</v>
      </c>
      <c r="E113" s="11">
        <f>+'SCH J - Bill analysis STEP 1'!E113</f>
        <v>40650</v>
      </c>
      <c r="F113" s="12"/>
      <c r="G113" s="17">
        <f>+'SCH F - Rate Sum STEP 2'!C23</f>
        <v>4.4400000000000004</v>
      </c>
      <c r="I113" s="11">
        <f>ROUND(+E113*G113,0)</f>
        <v>180486</v>
      </c>
      <c r="J113" s="12"/>
      <c r="K113" s="17">
        <f>+'SCH F - Rate Sum STEP 2'!E23</f>
        <v>5.14</v>
      </c>
      <c r="L113" s="17"/>
      <c r="M113" s="11">
        <f>ROUND(+K113*E113,2)</f>
        <v>208941</v>
      </c>
    </row>
    <row r="114" spans="1:16" x14ac:dyDescent="0.2">
      <c r="A114" s="2" t="s">
        <v>41</v>
      </c>
      <c r="B114" s="21"/>
      <c r="C114" s="15">
        <v>0</v>
      </c>
      <c r="D114" s="22"/>
      <c r="E114" s="15">
        <f>+'SCH J - Bill analysis STEP 1'!E114</f>
        <v>0</v>
      </c>
      <c r="F114" s="16"/>
      <c r="G114" s="17">
        <f>+'SCH F - Rate Sum STEP 2'!C24</f>
        <v>3.25</v>
      </c>
      <c r="H114" s="21"/>
      <c r="I114" s="15">
        <f>ROUND(+E114*G114,0)</f>
        <v>0</v>
      </c>
      <c r="J114" s="16"/>
      <c r="K114" s="17">
        <f>+'SCH F - Rate Sum STEP 2'!E24</f>
        <v>3.8000000000000003</v>
      </c>
      <c r="L114" s="28"/>
      <c r="M114" s="15">
        <f>ROUND(+K114*E114,2)</f>
        <v>0</v>
      </c>
    </row>
    <row r="115" spans="1:16" x14ac:dyDescent="0.2">
      <c r="A115" s="2" t="s">
        <v>30</v>
      </c>
      <c r="C115" s="11">
        <f>SUM(C112:C114)</f>
        <v>0</v>
      </c>
      <c r="E115" s="11">
        <f>SUM(E112:E114)</f>
        <v>47636</v>
      </c>
      <c r="F115" s="12"/>
      <c r="G115" s="18"/>
      <c r="I115" s="11">
        <f>SUM(I112:I114)</f>
        <v>213809</v>
      </c>
      <c r="J115" s="12"/>
      <c r="K115" s="17"/>
      <c r="M115" s="11">
        <f>SUM(M112:M114)</f>
        <v>247922.88</v>
      </c>
    </row>
    <row r="116" spans="1:16" x14ac:dyDescent="0.2">
      <c r="F116" s="12"/>
      <c r="G116" s="12"/>
      <c r="J116" s="12"/>
    </row>
    <row r="117" spans="1:16" x14ac:dyDescent="0.2">
      <c r="A117" s="2" t="s">
        <v>24</v>
      </c>
      <c r="C117" s="11">
        <f>+C115+C110</f>
        <v>460.5</v>
      </c>
      <c r="E117" s="11">
        <f>+E115+E110</f>
        <v>47636</v>
      </c>
      <c r="F117" s="12"/>
      <c r="G117" s="12"/>
      <c r="I117" s="11">
        <f>+I115+I110</f>
        <v>227668</v>
      </c>
      <c r="J117" s="12"/>
      <c r="M117" s="11">
        <f>+M115+M110</f>
        <v>263560.88</v>
      </c>
      <c r="P117" s="11"/>
    </row>
    <row r="118" spans="1:16" s="21" customFormat="1" x14ac:dyDescent="0.2">
      <c r="A118" s="2"/>
      <c r="B118" s="2"/>
      <c r="C118" s="11"/>
      <c r="D118" s="11"/>
      <c r="E118" s="11"/>
      <c r="F118" s="12"/>
      <c r="G118" s="12"/>
      <c r="H118" s="2"/>
      <c r="I118" s="11"/>
      <c r="J118" s="12"/>
      <c r="K118" s="2"/>
      <c r="L118" s="2"/>
      <c r="M118" s="11"/>
      <c r="N118" s="2"/>
      <c r="O118" s="2"/>
      <c r="P118" s="22"/>
    </row>
    <row r="119" spans="1:16" s="21" customFormat="1" x14ac:dyDescent="0.2">
      <c r="A119" s="2" t="s">
        <v>51</v>
      </c>
      <c r="B119" s="2"/>
      <c r="C119" s="11">
        <f>+C117+C101</f>
        <v>9960</v>
      </c>
      <c r="D119" s="2"/>
      <c r="E119" s="11">
        <f>+E117+E101</f>
        <v>1187779</v>
      </c>
      <c r="F119" s="2"/>
      <c r="G119" s="12"/>
      <c r="H119" s="2"/>
      <c r="I119" s="11">
        <f>+I117+I101</f>
        <v>5954088</v>
      </c>
      <c r="J119" s="12"/>
      <c r="K119" s="2"/>
      <c r="L119" s="2"/>
      <c r="M119" s="11">
        <f>+M117+M101</f>
        <v>6892161</v>
      </c>
      <c r="N119" s="2"/>
      <c r="O119" s="11"/>
    </row>
    <row r="120" spans="1:16" s="21" customFormat="1" x14ac:dyDescent="0.2">
      <c r="A120" s="2"/>
      <c r="B120" s="2"/>
      <c r="C120" s="11"/>
      <c r="D120" s="2"/>
      <c r="E120" s="11"/>
      <c r="F120" s="2"/>
      <c r="G120" s="12"/>
      <c r="H120" s="2"/>
      <c r="I120" s="11"/>
      <c r="J120" s="12"/>
      <c r="K120" s="2"/>
      <c r="L120" s="2"/>
      <c r="M120" s="11"/>
      <c r="N120" s="2"/>
      <c r="O120" s="11"/>
      <c r="P120" s="22"/>
    </row>
    <row r="121" spans="1:16" s="21" customFormat="1" x14ac:dyDescent="0.2">
      <c r="A121" s="2" t="s">
        <v>81</v>
      </c>
      <c r="B121" s="2"/>
      <c r="C121" s="11">
        <f>+C119+C81</f>
        <v>27783</v>
      </c>
      <c r="D121" s="2"/>
      <c r="E121" s="11">
        <f>+E119+E81</f>
        <v>2756622</v>
      </c>
      <c r="F121" s="2"/>
      <c r="G121" s="12"/>
      <c r="H121" s="2"/>
      <c r="I121" s="11">
        <f>+I119+I81</f>
        <v>13763127</v>
      </c>
      <c r="J121" s="12"/>
      <c r="K121" s="2"/>
      <c r="L121" s="2"/>
      <c r="M121" s="11">
        <f>+M119+M81</f>
        <v>15926129.780000001</v>
      </c>
      <c r="N121" s="2"/>
      <c r="O121" s="2"/>
    </row>
    <row r="122" spans="1:16" s="21" customFormat="1" x14ac:dyDescent="0.2">
      <c r="A122" s="2"/>
      <c r="B122" s="2"/>
      <c r="C122" s="11"/>
      <c r="D122" s="2"/>
      <c r="E122" s="11"/>
      <c r="F122" s="2"/>
      <c r="G122" s="12"/>
      <c r="H122" s="2"/>
      <c r="I122" s="11"/>
      <c r="J122" s="12"/>
      <c r="K122" s="2"/>
      <c r="L122" s="2"/>
      <c r="M122" s="11"/>
      <c r="N122" s="2"/>
      <c r="O122" s="2"/>
    </row>
    <row r="123" spans="1:16" x14ac:dyDescent="0.2">
      <c r="A123" s="81" t="s">
        <v>43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</row>
    <row r="124" spans="1:16" x14ac:dyDescent="0.2">
      <c r="A124" s="2" t="s">
        <v>15</v>
      </c>
      <c r="J124" s="12"/>
    </row>
    <row r="125" spans="1:16" x14ac:dyDescent="0.2">
      <c r="A125" s="13" t="s">
        <v>16</v>
      </c>
      <c r="C125" s="11">
        <f>+'SCH J - Bill analysis STEP 1'!C125</f>
        <v>51</v>
      </c>
      <c r="E125" s="11">
        <v>0</v>
      </c>
      <c r="F125" s="12"/>
      <c r="G125" s="14">
        <f>+'SCH F - Rate Sum STEP 2'!C29</f>
        <v>40.5</v>
      </c>
      <c r="I125" s="70">
        <f t="shared" ref="I125:I131" si="15">ROUND(+C125*G125,0)</f>
        <v>2066</v>
      </c>
      <c r="J125" s="69"/>
      <c r="K125" s="69">
        <f>+'SCH F - Rate Sum STEP 2'!E29</f>
        <v>45.5</v>
      </c>
      <c r="L125" s="69"/>
      <c r="M125" s="70">
        <f t="shared" ref="M125:M131" si="16">ROUND(+K125*C125,0)</f>
        <v>2321</v>
      </c>
    </row>
    <row r="126" spans="1:16" x14ac:dyDescent="0.2">
      <c r="A126" s="13" t="s">
        <v>17</v>
      </c>
      <c r="C126" s="11">
        <f>+'SCH J - Bill analysis STEP 1'!C126</f>
        <v>36</v>
      </c>
      <c r="E126" s="11">
        <v>0</v>
      </c>
      <c r="F126" s="12"/>
      <c r="G126" s="14">
        <f>+'SCH F - Rate Sum STEP 2'!C31</f>
        <v>48.8</v>
      </c>
      <c r="I126" s="11">
        <f t="shared" si="15"/>
        <v>1757</v>
      </c>
      <c r="J126" s="12"/>
      <c r="K126" s="59">
        <f>+'SCH F - Rate Sum STEP 2'!E31</f>
        <v>54.8</v>
      </c>
      <c r="L126" s="14"/>
      <c r="M126" s="11">
        <f t="shared" si="16"/>
        <v>1973</v>
      </c>
    </row>
    <row r="127" spans="1:16" x14ac:dyDescent="0.2">
      <c r="A127" s="13" t="s">
        <v>18</v>
      </c>
      <c r="C127" s="11">
        <f>+'SCH J - Bill analysis STEP 1'!C127</f>
        <v>48</v>
      </c>
      <c r="E127" s="11">
        <v>0</v>
      </c>
      <c r="F127" s="12"/>
      <c r="G127" s="14">
        <f>+'SCH F - Rate Sum STEP 2'!C32</f>
        <v>57.7</v>
      </c>
      <c r="I127" s="11">
        <f t="shared" si="15"/>
        <v>2770</v>
      </c>
      <c r="J127" s="12"/>
      <c r="K127" s="59">
        <f>+'SCH F - Rate Sum STEP 2'!E32</f>
        <v>64.8</v>
      </c>
      <c r="L127" s="14"/>
      <c r="M127" s="11">
        <f t="shared" si="16"/>
        <v>3110</v>
      </c>
    </row>
    <row r="128" spans="1:16" x14ac:dyDescent="0.2">
      <c r="A128" s="13" t="s">
        <v>19</v>
      </c>
      <c r="C128" s="11">
        <f>+'SCH J - Bill analysis STEP 1'!C128</f>
        <v>152</v>
      </c>
      <c r="E128" s="11">
        <v>0</v>
      </c>
      <c r="F128" s="12"/>
      <c r="G128" s="14">
        <f>+'SCH F - Rate Sum STEP 2'!C33</f>
        <v>80.900000000000006</v>
      </c>
      <c r="I128" s="11">
        <f t="shared" si="15"/>
        <v>12297</v>
      </c>
      <c r="J128" s="12"/>
      <c r="K128" s="59">
        <f>+'SCH F - Rate Sum STEP 2'!E33</f>
        <v>90.9</v>
      </c>
      <c r="L128" s="14"/>
      <c r="M128" s="11">
        <f t="shared" si="16"/>
        <v>13817</v>
      </c>
    </row>
    <row r="129" spans="1:18" x14ac:dyDescent="0.2">
      <c r="A129" s="13" t="s">
        <v>26</v>
      </c>
      <c r="C129" s="11">
        <f>+'SCH J - Bill analysis STEP 1'!C129</f>
        <v>56</v>
      </c>
      <c r="E129" s="11">
        <v>0</v>
      </c>
      <c r="F129" s="12"/>
      <c r="G129" s="14">
        <f>+'SCH F - Rate Sum STEP 2'!C34</f>
        <v>251.8</v>
      </c>
      <c r="I129" s="11">
        <f t="shared" si="15"/>
        <v>14101</v>
      </c>
      <c r="J129" s="12"/>
      <c r="K129" s="59">
        <f>+'SCH F - Rate Sum STEP 2'!E34</f>
        <v>282.89999999999998</v>
      </c>
      <c r="L129" s="14"/>
      <c r="M129" s="11">
        <f t="shared" si="16"/>
        <v>15842</v>
      </c>
    </row>
    <row r="130" spans="1:18" x14ac:dyDescent="0.2">
      <c r="A130" s="13" t="s">
        <v>20</v>
      </c>
      <c r="C130" s="11">
        <f>+'SCH J - Bill analysis STEP 1'!C130</f>
        <v>52</v>
      </c>
      <c r="E130" s="11">
        <v>0</v>
      </c>
      <c r="F130" s="12"/>
      <c r="G130" s="14">
        <f>+'SCH F - Rate Sum STEP 2'!C35</f>
        <v>315.5</v>
      </c>
      <c r="I130" s="11">
        <f t="shared" si="15"/>
        <v>16406</v>
      </c>
      <c r="J130" s="12"/>
      <c r="K130" s="59">
        <f>+'SCH F - Rate Sum STEP 2'!E35</f>
        <v>354.5</v>
      </c>
      <c r="L130" s="14"/>
      <c r="M130" s="11">
        <f t="shared" si="16"/>
        <v>18434</v>
      </c>
    </row>
    <row r="131" spans="1:18" x14ac:dyDescent="0.2">
      <c r="A131" s="13" t="s">
        <v>27</v>
      </c>
      <c r="C131" s="11">
        <f>+'SCH J - Bill analysis STEP 1'!C131</f>
        <v>29</v>
      </c>
      <c r="E131" s="11">
        <v>0</v>
      </c>
      <c r="F131" s="12"/>
      <c r="G131" s="14">
        <f>+'SCH F - Rate Sum STEP 2'!C36</f>
        <v>466.2</v>
      </c>
      <c r="I131" s="11">
        <f t="shared" si="15"/>
        <v>13520</v>
      </c>
      <c r="J131" s="12"/>
      <c r="K131" s="59">
        <f>+'SCH F - Rate Sum STEP 2'!E36</f>
        <v>523.79999999999995</v>
      </c>
      <c r="L131" s="14"/>
      <c r="M131" s="11">
        <f t="shared" si="16"/>
        <v>15190</v>
      </c>
    </row>
    <row r="132" spans="1:18" x14ac:dyDescent="0.2">
      <c r="A132" s="74" t="s">
        <v>29</v>
      </c>
      <c r="C132" s="11">
        <f>+'SCH J - Bill analysis STEP 1'!C132</f>
        <v>13</v>
      </c>
      <c r="E132" s="11">
        <v>0</v>
      </c>
      <c r="F132" s="12"/>
      <c r="G132" s="14">
        <f>+'SCH F - Rate Sum STEP 2'!C37</f>
        <v>637.1</v>
      </c>
      <c r="I132" s="11">
        <f t="shared" ref="I132" si="17">ROUND(+C132*G132,0)</f>
        <v>8282</v>
      </c>
      <c r="J132" s="12"/>
      <c r="K132" s="59">
        <f>+'SCH F - Rate Sum STEP 2'!E37</f>
        <v>715.8</v>
      </c>
      <c r="L132" s="14"/>
      <c r="M132" s="11">
        <f t="shared" ref="M132" si="18">ROUND(+K132*C132,0)</f>
        <v>9305</v>
      </c>
    </row>
    <row r="133" spans="1:18" x14ac:dyDescent="0.2">
      <c r="A133" s="2" t="s">
        <v>30</v>
      </c>
      <c r="C133" s="68">
        <f>SUM(C125:C132)</f>
        <v>437</v>
      </c>
      <c r="E133" s="68">
        <f>SUM(E125:E131)</f>
        <v>0</v>
      </c>
      <c r="F133" s="12"/>
      <c r="G133" s="12"/>
      <c r="I133" s="68">
        <f>SUM(I125:I132)</f>
        <v>71199</v>
      </c>
      <c r="J133" s="12"/>
      <c r="M133" s="68">
        <f>SUM(M125:M132)</f>
        <v>79992</v>
      </c>
    </row>
    <row r="134" spans="1:18" x14ac:dyDescent="0.2">
      <c r="F134" s="12"/>
      <c r="G134" s="12"/>
      <c r="J134" s="12"/>
    </row>
    <row r="135" spans="1:18" x14ac:dyDescent="0.2">
      <c r="A135" s="2" t="s">
        <v>34</v>
      </c>
      <c r="C135" s="11">
        <v>0</v>
      </c>
      <c r="E135" s="11">
        <f>+'SCH J - Bill analysis STEP 1'!E135</f>
        <v>17124</v>
      </c>
      <c r="F135" s="12"/>
      <c r="G135" s="17">
        <f>+'SCH F - Rate Sum STEP 2'!C41</f>
        <v>4.7699999999999996</v>
      </c>
      <c r="I135" s="11">
        <f>ROUND(+E135*G135,0)</f>
        <v>81681</v>
      </c>
      <c r="J135" s="12"/>
      <c r="K135" s="17">
        <f>+'SCH F - Rate Sum STEP 2'!E41</f>
        <v>5.58</v>
      </c>
      <c r="L135" s="17"/>
      <c r="M135" s="11">
        <f>ROUND(+K135*E135,2)</f>
        <v>95551.92</v>
      </c>
    </row>
    <row r="136" spans="1:18" x14ac:dyDescent="0.2">
      <c r="A136" s="2" t="s">
        <v>35</v>
      </c>
      <c r="C136" s="11">
        <v>0</v>
      </c>
      <c r="E136" s="11">
        <f>+'SCH J - Bill analysis STEP 1'!E136</f>
        <v>426037</v>
      </c>
      <c r="F136" s="12"/>
      <c r="G136" s="17">
        <f>+'SCH F - Rate Sum STEP 2'!C42</f>
        <v>4.4400000000000004</v>
      </c>
      <c r="I136" s="11">
        <f>ROUND(+E136*G136,0)</f>
        <v>1891604</v>
      </c>
      <c r="J136" s="12"/>
      <c r="K136" s="17">
        <f>+'SCH F - Rate Sum STEP 2'!E42</f>
        <v>5.14</v>
      </c>
      <c r="L136" s="17"/>
      <c r="M136" s="11">
        <f>ROUND(+K136*E136,2)</f>
        <v>2189830.1800000002</v>
      </c>
      <c r="N136" s="27"/>
      <c r="O136" s="27"/>
      <c r="P136" s="11"/>
      <c r="Q136" s="11"/>
      <c r="R136" s="11"/>
    </row>
    <row r="137" spans="1:18" s="21" customFormat="1" x14ac:dyDescent="0.2">
      <c r="A137" s="2" t="s">
        <v>36</v>
      </c>
      <c r="C137" s="15">
        <v>0</v>
      </c>
      <c r="D137" s="22"/>
      <c r="E137" s="15">
        <f>+'SCH J - Bill analysis STEP 1'!E137</f>
        <v>414133</v>
      </c>
      <c r="F137" s="16"/>
      <c r="G137" s="17">
        <f>+'SCH F - Rate Sum STEP 2'!C43</f>
        <v>3.25</v>
      </c>
      <c r="I137" s="15">
        <f>ROUND(+E137*G137,0)</f>
        <v>1345932</v>
      </c>
      <c r="J137" s="16"/>
      <c r="K137" s="17">
        <f>+'SCH F - Rate Sum STEP 2'!E43</f>
        <v>3.8000000000000003</v>
      </c>
      <c r="L137" s="28"/>
      <c r="M137" s="15">
        <f>ROUND(+K137*E137,2)</f>
        <v>1573705.4</v>
      </c>
      <c r="N137" s="29"/>
      <c r="O137" s="29"/>
      <c r="P137" s="30"/>
    </row>
    <row r="138" spans="1:18" x14ac:dyDescent="0.2">
      <c r="A138" s="2" t="s">
        <v>30</v>
      </c>
      <c r="C138" s="11">
        <f>SUM(C135:C137)</f>
        <v>0</v>
      </c>
      <c r="E138" s="11">
        <f>SUM(E135:E137)</f>
        <v>857294</v>
      </c>
      <c r="F138" s="12"/>
      <c r="G138" s="18"/>
      <c r="I138" s="11">
        <f>SUM(I135:I137)</f>
        <v>3319217</v>
      </c>
      <c r="J138" s="12"/>
      <c r="K138" s="17"/>
      <c r="M138" s="11">
        <f>SUM(M135:M137)</f>
        <v>3859087.5</v>
      </c>
      <c r="N138" s="27"/>
      <c r="O138" s="27"/>
      <c r="P138" s="11"/>
      <c r="Q138" s="11"/>
      <c r="R138" s="11"/>
    </row>
    <row r="139" spans="1:18" x14ac:dyDescent="0.2">
      <c r="F139" s="12"/>
      <c r="G139" s="12"/>
      <c r="J139" s="12"/>
      <c r="N139" s="11"/>
      <c r="O139" s="11"/>
      <c r="P139" s="11"/>
      <c r="Q139" s="11"/>
      <c r="R139" s="11"/>
    </row>
    <row r="140" spans="1:18" x14ac:dyDescent="0.2">
      <c r="A140" s="2" t="s">
        <v>24</v>
      </c>
      <c r="C140" s="11">
        <f>+C138+C133</f>
        <v>437</v>
      </c>
      <c r="E140" s="11">
        <f>+E138+E133</f>
        <v>857294</v>
      </c>
      <c r="F140" s="12"/>
      <c r="G140" s="12"/>
      <c r="I140" s="11">
        <f>+I138+I133</f>
        <v>3390416</v>
      </c>
      <c r="J140" s="12"/>
      <c r="M140" s="11">
        <f>+M138+M133</f>
        <v>3939079.5</v>
      </c>
      <c r="N140" s="11"/>
      <c r="O140" s="11"/>
    </row>
    <row r="141" spans="1:18" x14ac:dyDescent="0.2">
      <c r="F141" s="12"/>
      <c r="G141" s="12"/>
      <c r="J141" s="11"/>
      <c r="N141" s="11"/>
      <c r="O141" s="11"/>
      <c r="P141" s="11"/>
    </row>
    <row r="142" spans="1:18" x14ac:dyDescent="0.2">
      <c r="A142" s="81" t="s">
        <v>31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</row>
    <row r="143" spans="1:18" x14ac:dyDescent="0.2">
      <c r="A143" s="2" t="s">
        <v>15</v>
      </c>
      <c r="J143" s="12"/>
    </row>
    <row r="144" spans="1:18" x14ac:dyDescent="0.2">
      <c r="A144" s="13" t="s">
        <v>27</v>
      </c>
      <c r="C144" s="11">
        <f>+'SCH J - Bill analysis STEP 1'!C144</f>
        <v>0</v>
      </c>
      <c r="E144" s="11">
        <v>0</v>
      </c>
      <c r="F144" s="12"/>
      <c r="G144" s="14">
        <f>+'SCH F - Rate Sum STEP 2'!C17</f>
        <v>132.4</v>
      </c>
      <c r="I144" s="70">
        <f>ROUND(+C144*G144,0)</f>
        <v>0</v>
      </c>
      <c r="J144" s="69"/>
      <c r="K144" s="69">
        <f>+'SCH F - Rate Sum STEP 2'!E17</f>
        <v>149.6</v>
      </c>
      <c r="L144" s="69"/>
      <c r="M144" s="70">
        <f>ROUND(+K144*C144,0)</f>
        <v>0</v>
      </c>
    </row>
    <row r="145" spans="1:18" x14ac:dyDescent="0.2">
      <c r="A145" s="13" t="s">
        <v>29</v>
      </c>
      <c r="C145" s="15">
        <f>+'SCH J - Bill analysis STEP 1'!C145</f>
        <v>18.5</v>
      </c>
      <c r="E145" s="15">
        <v>0</v>
      </c>
      <c r="F145" s="12"/>
      <c r="G145" s="14">
        <f>+'SCH F - Rate Sum STEP 2'!C19</f>
        <v>237.8</v>
      </c>
      <c r="I145" s="15">
        <f>ROUND(+C145*G145,0)</f>
        <v>4399</v>
      </c>
      <c r="J145" s="12"/>
      <c r="K145" s="59">
        <f>+'SCH F - Rate Sum STEP 2'!E19</f>
        <v>268.60000000000002</v>
      </c>
      <c r="L145" s="14"/>
      <c r="M145" s="15">
        <f>ROUND(+K145*C145,0)</f>
        <v>4969</v>
      </c>
    </row>
    <row r="146" spans="1:18" x14ac:dyDescent="0.2">
      <c r="A146" s="2" t="s">
        <v>30</v>
      </c>
      <c r="C146" s="11">
        <f>SUM(C144:C145)</f>
        <v>18.5</v>
      </c>
      <c r="E146" s="11">
        <f>SUM(E144:E145)</f>
        <v>0</v>
      </c>
      <c r="F146" s="12"/>
      <c r="G146" s="12"/>
      <c r="I146" s="11">
        <f>SUM(I144:I145)</f>
        <v>4399</v>
      </c>
      <c r="J146" s="12"/>
      <c r="M146" s="11">
        <f>SUM(M144:M145)</f>
        <v>4969</v>
      </c>
    </row>
    <row r="147" spans="1:18" x14ac:dyDescent="0.2">
      <c r="F147" s="12"/>
      <c r="G147" s="12"/>
      <c r="J147" s="12"/>
    </row>
    <row r="148" spans="1:18" x14ac:dyDescent="0.2">
      <c r="A148" s="2" t="s">
        <v>39</v>
      </c>
      <c r="C148" s="11">
        <v>0</v>
      </c>
      <c r="E148" s="11">
        <f>+'SCH J - Bill analysis STEP 1'!E148</f>
        <v>285</v>
      </c>
      <c r="F148" s="12"/>
      <c r="G148" s="17">
        <f>+'SCH F - Rate Sum STEP 2'!C22</f>
        <v>4.7699999999999996</v>
      </c>
      <c r="I148" s="11">
        <f>ROUND(+E148*G148,0)</f>
        <v>1359</v>
      </c>
      <c r="J148" s="12"/>
      <c r="K148" s="17">
        <f>+'SCH F - Rate Sum STEP 2'!E22</f>
        <v>5.58</v>
      </c>
      <c r="L148" s="17"/>
      <c r="M148" s="11">
        <f>ROUND(+K148*E148,2)</f>
        <v>1590.3</v>
      </c>
    </row>
    <row r="149" spans="1:18" x14ac:dyDescent="0.2">
      <c r="A149" s="2" t="s">
        <v>40</v>
      </c>
      <c r="C149" s="11">
        <v>0</v>
      </c>
      <c r="E149" s="11">
        <f>+'SCH J - Bill analysis STEP 1'!E149</f>
        <v>31065</v>
      </c>
      <c r="F149" s="12"/>
      <c r="G149" s="17">
        <f>+'SCH F - Rate Sum STEP 2'!C23</f>
        <v>4.4400000000000004</v>
      </c>
      <c r="I149" s="11">
        <f>ROUND(+E149*G149,0)</f>
        <v>137929</v>
      </c>
      <c r="J149" s="12"/>
      <c r="K149" s="17">
        <f>+'SCH F - Rate Sum STEP 2'!E23</f>
        <v>5.14</v>
      </c>
      <c r="L149" s="17"/>
      <c r="M149" s="11">
        <f>ROUND(+K149*E149,2)</f>
        <v>159674.1</v>
      </c>
      <c r="N149" s="27"/>
      <c r="O149" s="27"/>
      <c r="P149" s="11"/>
      <c r="Q149" s="11"/>
      <c r="R149" s="11"/>
    </row>
    <row r="150" spans="1:18" s="21" customFormat="1" x14ac:dyDescent="0.2">
      <c r="A150" s="2" t="s">
        <v>41</v>
      </c>
      <c r="C150" s="15">
        <v>0</v>
      </c>
      <c r="D150" s="22"/>
      <c r="E150" s="11">
        <f>+'SCH J - Bill analysis STEP 1'!E150</f>
        <v>174834</v>
      </c>
      <c r="F150" s="16"/>
      <c r="G150" s="17">
        <f>+'SCH F - Rate Sum STEP 2'!C24</f>
        <v>3.25</v>
      </c>
      <c r="I150" s="15">
        <f>ROUND(+E150*G150,0)</f>
        <v>568211</v>
      </c>
      <c r="J150" s="16"/>
      <c r="K150" s="17">
        <f>+'SCH F - Rate Sum STEP 2'!E24</f>
        <v>3.8000000000000003</v>
      </c>
      <c r="L150" s="28"/>
      <c r="M150" s="15">
        <f>ROUND(+K150*E150,2)</f>
        <v>664369.19999999995</v>
      </c>
      <c r="N150" s="29"/>
      <c r="O150" s="29"/>
      <c r="P150" s="30"/>
    </row>
    <row r="151" spans="1:18" x14ac:dyDescent="0.2">
      <c r="A151" s="2" t="s">
        <v>30</v>
      </c>
      <c r="C151" s="11">
        <f>SUM(C148:C150)</f>
        <v>0</v>
      </c>
      <c r="E151" s="68">
        <f>SUM(E148:E150)</f>
        <v>206184</v>
      </c>
      <c r="F151" s="12"/>
      <c r="G151" s="18"/>
      <c r="I151" s="11">
        <f>SUM(I148:I150)</f>
        <v>707499</v>
      </c>
      <c r="J151" s="12"/>
      <c r="K151" s="17"/>
      <c r="M151" s="11">
        <f>SUM(M148:M150)</f>
        <v>825633.6</v>
      </c>
      <c r="N151" s="27"/>
      <c r="O151" s="27"/>
      <c r="P151" s="11"/>
      <c r="Q151" s="11"/>
      <c r="R151" s="11"/>
    </row>
    <row r="152" spans="1:18" x14ac:dyDescent="0.2">
      <c r="F152" s="12"/>
      <c r="G152" s="12"/>
      <c r="J152" s="12"/>
      <c r="N152" s="11"/>
      <c r="O152" s="11"/>
      <c r="P152" s="11"/>
      <c r="Q152" s="11"/>
      <c r="R152" s="11"/>
    </row>
    <row r="153" spans="1:18" x14ac:dyDescent="0.2">
      <c r="A153" s="2" t="s">
        <v>24</v>
      </c>
      <c r="C153" s="11">
        <f>+C151+C146</f>
        <v>18.5</v>
      </c>
      <c r="E153" s="11">
        <f>+E151+E146</f>
        <v>206184</v>
      </c>
      <c r="F153" s="12"/>
      <c r="G153" s="12"/>
      <c r="I153" s="11">
        <f>+I151+I146</f>
        <v>711898</v>
      </c>
      <c r="J153" s="12"/>
      <c r="M153" s="11">
        <f>+M151+M146</f>
        <v>830602.6</v>
      </c>
      <c r="N153" s="11"/>
      <c r="O153" s="11"/>
    </row>
    <row r="154" spans="1:18" x14ac:dyDescent="0.2">
      <c r="F154" s="12"/>
      <c r="G154" s="12"/>
      <c r="J154" s="12"/>
      <c r="N154" s="11"/>
      <c r="O154" s="11"/>
    </row>
    <row r="155" spans="1:18" x14ac:dyDescent="0.2">
      <c r="A155" s="2" t="s">
        <v>44</v>
      </c>
      <c r="C155" s="11">
        <f>+C153+C140</f>
        <v>455.5</v>
      </c>
      <c r="D155" s="2"/>
      <c r="E155" s="11">
        <f>+E153+E140</f>
        <v>1063478</v>
      </c>
      <c r="G155" s="12"/>
      <c r="I155" s="11">
        <f>+I153+I140</f>
        <v>4102314</v>
      </c>
      <c r="J155" s="12"/>
      <c r="M155" s="11">
        <f>+M153+M140</f>
        <v>4769682.0999999996</v>
      </c>
      <c r="N155" s="11"/>
      <c r="O155" s="11"/>
    </row>
    <row r="156" spans="1:18" x14ac:dyDescent="0.2">
      <c r="F156" s="12"/>
      <c r="G156" s="12"/>
      <c r="J156" s="12"/>
      <c r="N156" s="11"/>
      <c r="O156" s="11"/>
    </row>
    <row r="157" spans="1:18" x14ac:dyDescent="0.2">
      <c r="A157" s="81" t="s">
        <v>45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12"/>
      <c r="O157" s="12"/>
      <c r="P157" s="11"/>
      <c r="Q157" s="11"/>
      <c r="R157" s="11"/>
    </row>
    <row r="158" spans="1:18" x14ac:dyDescent="0.2">
      <c r="A158" s="2" t="s">
        <v>15</v>
      </c>
      <c r="J158" s="12"/>
      <c r="P158" s="21"/>
      <c r="Q158" s="21"/>
      <c r="R158" s="21"/>
    </row>
    <row r="159" spans="1:18" x14ac:dyDescent="0.2">
      <c r="A159" s="13" t="s">
        <v>16</v>
      </c>
      <c r="C159" s="11">
        <f>+'SCH J - Bill analysis STEP 1'!C159</f>
        <v>652.5</v>
      </c>
      <c r="E159" s="11">
        <v>0</v>
      </c>
      <c r="F159" s="12"/>
      <c r="G159" s="14">
        <f>+'SCH F - Rate Sum STEP 2'!C29</f>
        <v>40.5</v>
      </c>
      <c r="I159" s="70">
        <f t="shared" ref="I159:I166" si="19">ROUND(+C159*G159,0)</f>
        <v>26426</v>
      </c>
      <c r="J159" s="69"/>
      <c r="K159" s="69">
        <f>+'SCH F - Rate Sum STEP 2'!E29</f>
        <v>45.5</v>
      </c>
      <c r="L159" s="69"/>
      <c r="M159" s="70">
        <f t="shared" ref="M159:M166" si="20">ROUND(+K159*C159,0)</f>
        <v>29689</v>
      </c>
      <c r="N159" s="22"/>
      <c r="O159" s="22"/>
      <c r="P159" s="22"/>
      <c r="Q159" s="22"/>
      <c r="R159" s="11"/>
    </row>
    <row r="160" spans="1:18" x14ac:dyDescent="0.2">
      <c r="A160" s="13" t="s">
        <v>17</v>
      </c>
      <c r="C160" s="11">
        <f>+'SCH J - Bill analysis STEP 1'!C160</f>
        <v>296</v>
      </c>
      <c r="E160" s="11">
        <v>0</v>
      </c>
      <c r="F160" s="12"/>
      <c r="G160" s="14">
        <f>+'SCH F - Rate Sum STEP 2'!C31</f>
        <v>48.8</v>
      </c>
      <c r="I160" s="11">
        <f t="shared" si="19"/>
        <v>14445</v>
      </c>
      <c r="J160" s="12"/>
      <c r="K160" s="59">
        <f>+'SCH F - Rate Sum STEP 2'!E31</f>
        <v>54.8</v>
      </c>
      <c r="L160" s="14"/>
      <c r="M160" s="11">
        <f t="shared" si="20"/>
        <v>16221</v>
      </c>
      <c r="N160" s="11"/>
      <c r="O160" s="11"/>
      <c r="P160" s="22"/>
      <c r="Q160" s="22"/>
      <c r="R160" s="11"/>
    </row>
    <row r="161" spans="1:18" x14ac:dyDescent="0.2">
      <c r="A161" s="13" t="s">
        <v>18</v>
      </c>
      <c r="C161" s="11">
        <f>+'SCH J - Bill analysis STEP 1'!C161</f>
        <v>186</v>
      </c>
      <c r="E161" s="11">
        <v>0</v>
      </c>
      <c r="F161" s="12"/>
      <c r="G161" s="14">
        <f>+'SCH F - Rate Sum STEP 2'!C32</f>
        <v>57.7</v>
      </c>
      <c r="I161" s="11">
        <f t="shared" si="19"/>
        <v>10732</v>
      </c>
      <c r="J161" s="12"/>
      <c r="K161" s="59">
        <f>+'SCH F - Rate Sum STEP 2'!E32</f>
        <v>64.8</v>
      </c>
      <c r="L161" s="14"/>
      <c r="M161" s="11">
        <f t="shared" si="20"/>
        <v>12053</v>
      </c>
      <c r="N161" s="11"/>
      <c r="O161" s="11"/>
      <c r="P161" s="12"/>
      <c r="Q161" s="12"/>
    </row>
    <row r="162" spans="1:18" x14ac:dyDescent="0.2">
      <c r="A162" s="13" t="s">
        <v>19</v>
      </c>
      <c r="C162" s="11">
        <f>+'SCH J - Bill analysis STEP 1'!C162</f>
        <v>538</v>
      </c>
      <c r="E162" s="11">
        <v>0</v>
      </c>
      <c r="F162" s="12"/>
      <c r="G162" s="14">
        <f>+'SCH F - Rate Sum STEP 2'!C33</f>
        <v>80.900000000000006</v>
      </c>
      <c r="I162" s="11">
        <f t="shared" si="19"/>
        <v>43524</v>
      </c>
      <c r="J162" s="12"/>
      <c r="K162" s="59">
        <f>+'SCH F - Rate Sum STEP 2'!E33</f>
        <v>90.9</v>
      </c>
      <c r="L162" s="14"/>
      <c r="M162" s="11">
        <f t="shared" si="20"/>
        <v>48904</v>
      </c>
      <c r="N162" s="11"/>
      <c r="O162" s="11"/>
      <c r="P162" s="11"/>
      <c r="Q162" s="12"/>
      <c r="R162" s="11"/>
    </row>
    <row r="163" spans="1:18" x14ac:dyDescent="0.2">
      <c r="A163" s="13" t="s">
        <v>26</v>
      </c>
      <c r="C163" s="11">
        <f>+'SCH J - Bill analysis STEP 1'!C163</f>
        <v>165.5</v>
      </c>
      <c r="E163" s="11">
        <v>0</v>
      </c>
      <c r="F163" s="12"/>
      <c r="G163" s="14">
        <f>+'SCH F - Rate Sum STEP 2'!C34</f>
        <v>251.8</v>
      </c>
      <c r="I163" s="11">
        <f t="shared" si="19"/>
        <v>41673</v>
      </c>
      <c r="J163" s="12"/>
      <c r="K163" s="59">
        <f>+'SCH F - Rate Sum STEP 2'!E34</f>
        <v>282.89999999999998</v>
      </c>
      <c r="L163" s="14"/>
      <c r="M163" s="11">
        <f t="shared" si="20"/>
        <v>46820</v>
      </c>
      <c r="N163" s="12"/>
      <c r="O163" s="12"/>
      <c r="P163" s="11"/>
    </row>
    <row r="164" spans="1:18" x14ac:dyDescent="0.2">
      <c r="A164" s="13" t="s">
        <v>20</v>
      </c>
      <c r="C164" s="11">
        <f>+'SCH J - Bill analysis STEP 1'!C164</f>
        <v>68</v>
      </c>
      <c r="E164" s="11">
        <v>0</v>
      </c>
      <c r="F164" s="12"/>
      <c r="G164" s="14">
        <f>+'SCH F - Rate Sum STEP 2'!C35</f>
        <v>315.5</v>
      </c>
      <c r="I164" s="11">
        <f t="shared" si="19"/>
        <v>21454</v>
      </c>
      <c r="J164" s="12"/>
      <c r="K164" s="59">
        <f>+'SCH F - Rate Sum STEP 2'!E35</f>
        <v>354.5</v>
      </c>
      <c r="L164" s="14"/>
      <c r="M164" s="11">
        <f t="shared" si="20"/>
        <v>24106</v>
      </c>
      <c r="P164" s="11"/>
      <c r="Q164" s="12"/>
      <c r="R164" s="11"/>
    </row>
    <row r="165" spans="1:18" x14ac:dyDescent="0.2">
      <c r="A165" s="13" t="s">
        <v>27</v>
      </c>
      <c r="C165" s="11">
        <f>+'SCH J - Bill analysis STEP 1'!C165</f>
        <v>26</v>
      </c>
      <c r="E165" s="11">
        <v>0</v>
      </c>
      <c r="F165" s="12"/>
      <c r="G165" s="14">
        <f>+'SCH F - Rate Sum STEP 2'!C36</f>
        <v>466.2</v>
      </c>
      <c r="I165" s="11">
        <f t="shared" si="19"/>
        <v>12121</v>
      </c>
      <c r="J165" s="12"/>
      <c r="K165" s="59">
        <f>+'SCH F - Rate Sum STEP 2'!E36</f>
        <v>523.79999999999995</v>
      </c>
      <c r="L165" s="14"/>
      <c r="M165" s="11">
        <f t="shared" si="20"/>
        <v>13619</v>
      </c>
      <c r="N165" s="12"/>
      <c r="O165" s="12"/>
      <c r="P165" s="11"/>
    </row>
    <row r="166" spans="1:18" x14ac:dyDescent="0.2">
      <c r="A166" s="13" t="s">
        <v>28</v>
      </c>
      <c r="B166" s="13"/>
      <c r="C166" s="11">
        <f>+'SCH J - Bill analysis STEP 1'!C166</f>
        <v>13</v>
      </c>
      <c r="E166" s="11">
        <v>0</v>
      </c>
      <c r="F166" s="12"/>
      <c r="G166" s="14">
        <f>+'SCH F - Rate Sum STEP 2'!C37</f>
        <v>637.1</v>
      </c>
      <c r="I166" s="11">
        <f t="shared" si="19"/>
        <v>8282</v>
      </c>
      <c r="J166" s="12"/>
      <c r="K166" s="59">
        <f>+'SCH F - Rate Sum STEP 2'!E37</f>
        <v>715.8</v>
      </c>
      <c r="L166" s="14"/>
      <c r="M166" s="11">
        <f t="shared" si="20"/>
        <v>9305</v>
      </c>
      <c r="N166" s="12"/>
      <c r="O166" s="12"/>
      <c r="P166" s="11"/>
    </row>
    <row r="167" spans="1:18" x14ac:dyDescent="0.2">
      <c r="A167" s="13" t="s">
        <v>29</v>
      </c>
      <c r="B167" s="13"/>
      <c r="C167" s="11">
        <f>+'SCH J - Bill analysis STEP 1'!C167</f>
        <v>4</v>
      </c>
      <c r="E167" s="11">
        <v>0</v>
      </c>
      <c r="F167" s="12"/>
      <c r="G167" s="14">
        <f>+'SCH F - Rate Sum STEP 2'!C38</f>
        <v>831.9</v>
      </c>
      <c r="I167" s="11">
        <f t="shared" ref="I167" si="21">ROUND(+C167*G167,0)</f>
        <v>3328</v>
      </c>
      <c r="J167" s="12"/>
      <c r="K167" s="59">
        <f>+'SCH F - Rate Sum STEP 2'!E38</f>
        <v>934.6</v>
      </c>
      <c r="L167" s="14"/>
      <c r="M167" s="11">
        <f t="shared" ref="M167" si="22">ROUND(+K167*C167,0)</f>
        <v>3738</v>
      </c>
      <c r="N167" s="12"/>
      <c r="O167" s="12"/>
      <c r="P167" s="11"/>
    </row>
    <row r="168" spans="1:18" x14ac:dyDescent="0.2">
      <c r="A168" s="2" t="s">
        <v>30</v>
      </c>
      <c r="C168" s="68">
        <f>SUM(C159:C167)</f>
        <v>1949</v>
      </c>
      <c r="E168" s="68">
        <f>SUM(E159:E167)</f>
        <v>0</v>
      </c>
      <c r="F168" s="12"/>
      <c r="G168" s="12"/>
      <c r="I168" s="68">
        <f>SUM(I159:I167)</f>
        <v>181985</v>
      </c>
      <c r="J168" s="12"/>
      <c r="M168" s="68">
        <f>SUM(M159:M167)</f>
        <v>204455</v>
      </c>
    </row>
    <row r="169" spans="1:18" x14ac:dyDescent="0.2">
      <c r="F169" s="12"/>
      <c r="G169" s="12"/>
      <c r="J169" s="12"/>
    </row>
    <row r="170" spans="1:18" x14ac:dyDescent="0.2">
      <c r="A170" s="2" t="s">
        <v>34</v>
      </c>
      <c r="C170" s="11">
        <v>0</v>
      </c>
      <c r="E170" s="11">
        <f>+'SCH J - Bill analysis STEP 1'!E170</f>
        <v>42614</v>
      </c>
      <c r="F170" s="12"/>
      <c r="G170" s="17">
        <f>+'SCH F - Rate Sum STEP 2'!C41</f>
        <v>4.7699999999999996</v>
      </c>
      <c r="I170" s="11">
        <f>ROUND(+E170*G170,0)</f>
        <v>203269</v>
      </c>
      <c r="J170" s="12"/>
      <c r="K170" s="17">
        <f>+'SCH F - Rate Sum STEP 2'!E41</f>
        <v>5.58</v>
      </c>
      <c r="L170" s="17"/>
      <c r="M170" s="11">
        <f>ROUND(+K170*E170,2)</f>
        <v>237786.12</v>
      </c>
    </row>
    <row r="171" spans="1:18" x14ac:dyDescent="0.2">
      <c r="A171" s="2" t="s">
        <v>35</v>
      </c>
      <c r="C171" s="11">
        <v>0</v>
      </c>
      <c r="E171" s="11">
        <f>+'SCH J - Bill analysis STEP 1'!E171</f>
        <v>240863</v>
      </c>
      <c r="F171" s="12"/>
      <c r="G171" s="17">
        <f>+'SCH F - Rate Sum STEP 2'!C42</f>
        <v>4.4400000000000004</v>
      </c>
      <c r="I171" s="11">
        <f>ROUND(+E171*G171,0)</f>
        <v>1069432</v>
      </c>
      <c r="J171" s="12"/>
      <c r="K171" s="17">
        <f>+'SCH F - Rate Sum STEP 2'!E42</f>
        <v>5.14</v>
      </c>
      <c r="L171" s="17"/>
      <c r="M171" s="11">
        <f>ROUND(+K171*E171,2)</f>
        <v>1238035.82</v>
      </c>
    </row>
    <row r="172" spans="1:18" x14ac:dyDescent="0.2">
      <c r="A172" s="2" t="s">
        <v>36</v>
      </c>
      <c r="B172" s="21"/>
      <c r="C172" s="15">
        <v>0</v>
      </c>
      <c r="D172" s="22"/>
      <c r="E172" s="15">
        <f>+'SCH J - Bill analysis STEP 1'!E172</f>
        <v>48442</v>
      </c>
      <c r="F172" s="16"/>
      <c r="G172" s="17">
        <f>+'SCH F - Rate Sum STEP 2'!C43</f>
        <v>3.25</v>
      </c>
      <c r="H172" s="21"/>
      <c r="I172" s="15">
        <f>ROUND(+E172*G172,0)</f>
        <v>157437</v>
      </c>
      <c r="J172" s="16"/>
      <c r="K172" s="17">
        <f>+'SCH F - Rate Sum STEP 2'!E43</f>
        <v>3.8000000000000003</v>
      </c>
      <c r="L172" s="28"/>
      <c r="M172" s="15">
        <f>ROUND(+K172*E172,2)</f>
        <v>184079.6</v>
      </c>
    </row>
    <row r="173" spans="1:18" x14ac:dyDescent="0.2">
      <c r="A173" s="2" t="s">
        <v>30</v>
      </c>
      <c r="C173" s="11">
        <f>SUM(C170:C172)</f>
        <v>0</v>
      </c>
      <c r="E173" s="11">
        <f>SUM(E170:E172)</f>
        <v>331919</v>
      </c>
      <c r="F173" s="12"/>
      <c r="G173" s="18"/>
      <c r="I173" s="11">
        <f>SUM(I170:I172)</f>
        <v>1430138</v>
      </c>
      <c r="J173" s="12"/>
      <c r="K173" s="17"/>
      <c r="M173" s="11">
        <f>SUM(M170:M172)</f>
        <v>1659901.54</v>
      </c>
    </row>
    <row r="174" spans="1:18" x14ac:dyDescent="0.2">
      <c r="F174" s="12"/>
      <c r="G174" s="12"/>
      <c r="J174" s="12"/>
    </row>
    <row r="175" spans="1:18" x14ac:dyDescent="0.2">
      <c r="A175" s="2" t="s">
        <v>24</v>
      </c>
      <c r="C175" s="11">
        <f>+C173+C168</f>
        <v>1949</v>
      </c>
      <c r="E175" s="11">
        <f>+E173+E168</f>
        <v>331919</v>
      </c>
      <c r="F175" s="12"/>
      <c r="G175" s="12"/>
      <c r="I175" s="11">
        <f>+I173+I168</f>
        <v>1612123</v>
      </c>
      <c r="J175" s="12"/>
      <c r="M175" s="11">
        <f>+M173+M168</f>
        <v>1864356.54</v>
      </c>
    </row>
    <row r="176" spans="1:18" x14ac:dyDescent="0.2">
      <c r="F176" s="12"/>
      <c r="G176" s="12"/>
      <c r="J176" s="11"/>
    </row>
    <row r="177" spans="1:16" ht="15.75" customHeight="1" x14ac:dyDescent="0.2">
      <c r="A177" s="81" t="s">
        <v>46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</row>
    <row r="178" spans="1:16" x14ac:dyDescent="0.2">
      <c r="A178" s="2" t="s">
        <v>15</v>
      </c>
      <c r="J178" s="12"/>
    </row>
    <row r="179" spans="1:16" x14ac:dyDescent="0.2">
      <c r="A179" s="13" t="s">
        <v>16</v>
      </c>
      <c r="C179" s="11">
        <f>+'SCH J - Bill analysis STEP 1'!C179</f>
        <v>77</v>
      </c>
      <c r="E179" s="11">
        <v>0</v>
      </c>
      <c r="G179" s="49">
        <f>+'SCH F - Rate Sum STEP 2'!C10</f>
        <v>18.5</v>
      </c>
      <c r="I179" s="70">
        <f t="shared" ref="I179:I184" si="23">ROUND(+C179*G179,0)</f>
        <v>1425</v>
      </c>
      <c r="J179" s="69"/>
      <c r="K179" s="69">
        <f>+'SCH F - Rate Sum STEP 2'!E10</f>
        <v>20.9</v>
      </c>
      <c r="L179" s="69"/>
      <c r="M179" s="70">
        <f t="shared" ref="M179:M184" si="24">ROUND(+K179*C179,0)</f>
        <v>1609</v>
      </c>
    </row>
    <row r="180" spans="1:16" x14ac:dyDescent="0.2">
      <c r="A180" s="13" t="s">
        <v>17</v>
      </c>
      <c r="C180" s="11">
        <f>+'SCH J - Bill analysis STEP 1'!C180</f>
        <v>12</v>
      </c>
      <c r="E180" s="11">
        <v>0</v>
      </c>
      <c r="G180" s="35">
        <f>+'SCH F - Rate Sum STEP 2'!C12</f>
        <v>20.8</v>
      </c>
      <c r="I180" s="11">
        <f t="shared" si="23"/>
        <v>250</v>
      </c>
      <c r="J180" s="12"/>
      <c r="K180" s="59">
        <f>+'SCH F - Rate Sum STEP 2'!E12</f>
        <v>23.5</v>
      </c>
      <c r="M180" s="11">
        <f t="shared" si="24"/>
        <v>282</v>
      </c>
    </row>
    <row r="181" spans="1:16" x14ac:dyDescent="0.2">
      <c r="A181" s="13" t="s">
        <v>18</v>
      </c>
      <c r="C181" s="11">
        <f>+'SCH J - Bill analysis STEP 1'!C181</f>
        <v>14</v>
      </c>
      <c r="E181" s="11">
        <v>0</v>
      </c>
      <c r="G181" s="35">
        <f>+'SCH F - Rate Sum STEP 2'!C13</f>
        <v>23.4</v>
      </c>
      <c r="I181" s="11">
        <f t="shared" si="23"/>
        <v>328</v>
      </c>
      <c r="J181" s="12"/>
      <c r="K181" s="59">
        <f>+'SCH F - Rate Sum STEP 2'!E13</f>
        <v>26.4</v>
      </c>
      <c r="M181" s="11">
        <f t="shared" si="24"/>
        <v>370</v>
      </c>
    </row>
    <row r="182" spans="1:16" x14ac:dyDescent="0.2">
      <c r="A182" s="13" t="s">
        <v>19</v>
      </c>
      <c r="C182" s="11">
        <f>+'SCH J - Bill analysis STEP 1'!C182</f>
        <v>26</v>
      </c>
      <c r="E182" s="11">
        <v>0</v>
      </c>
      <c r="G182" s="35">
        <f>+'SCH F - Rate Sum STEP 2'!C14</f>
        <v>29.6</v>
      </c>
      <c r="I182" s="11">
        <f t="shared" si="23"/>
        <v>770</v>
      </c>
      <c r="J182" s="12"/>
      <c r="K182" s="59">
        <f>+'SCH F - Rate Sum STEP 2'!E14</f>
        <v>33.4</v>
      </c>
      <c r="M182" s="11">
        <f t="shared" si="24"/>
        <v>868</v>
      </c>
    </row>
    <row r="183" spans="1:16" x14ac:dyDescent="0.2">
      <c r="A183" s="74" t="s">
        <v>20</v>
      </c>
      <c r="C183" s="11">
        <f>+'SCH J - Bill analysis STEP 1'!C183</f>
        <v>25</v>
      </c>
      <c r="E183" s="11">
        <v>0</v>
      </c>
      <c r="G183" s="35">
        <f>+'SCH F - Rate Sum STEP 2'!C16</f>
        <v>89.5</v>
      </c>
      <c r="I183" s="11">
        <f t="shared" si="23"/>
        <v>2238</v>
      </c>
      <c r="J183" s="12"/>
      <c r="K183" s="59">
        <f>+'SCH F - Rate Sum STEP 2'!E16</f>
        <v>101.1</v>
      </c>
      <c r="M183" s="11">
        <f t="shared" si="24"/>
        <v>2528</v>
      </c>
    </row>
    <row r="184" spans="1:16" x14ac:dyDescent="0.2">
      <c r="A184" s="74" t="s">
        <v>29</v>
      </c>
      <c r="C184" s="11">
        <f>+'SCH J - Bill analysis STEP 1'!C184</f>
        <v>12</v>
      </c>
      <c r="E184" s="11">
        <v>0</v>
      </c>
      <c r="G184" s="35">
        <f>+'SCH F - Rate Sum STEP 2'!C19</f>
        <v>237.8</v>
      </c>
      <c r="I184" s="11">
        <f t="shared" si="23"/>
        <v>2854</v>
      </c>
      <c r="J184" s="12"/>
      <c r="K184" s="78">
        <f>+'SCH F - Rate Sum STEP 2'!E19</f>
        <v>268.60000000000002</v>
      </c>
      <c r="M184" s="11">
        <f t="shared" si="24"/>
        <v>3223</v>
      </c>
    </row>
    <row r="185" spans="1:16" x14ac:dyDescent="0.2">
      <c r="A185" s="2" t="s">
        <v>30</v>
      </c>
      <c r="C185" s="68">
        <f>SUM(C179:C184)</f>
        <v>166</v>
      </c>
      <c r="E185" s="68">
        <f>SUM(E179:E184)</f>
        <v>0</v>
      </c>
      <c r="F185" s="12"/>
      <c r="G185" s="12"/>
      <c r="I185" s="68">
        <f>SUM(I179:I184)</f>
        <v>7865</v>
      </c>
      <c r="J185" s="12"/>
      <c r="K185" s="22"/>
      <c r="M185" s="68">
        <f>SUM(M179:M184)</f>
        <v>8880</v>
      </c>
    </row>
    <row r="186" spans="1:16" x14ac:dyDescent="0.2">
      <c r="F186" s="12"/>
      <c r="G186" s="12"/>
      <c r="J186" s="12"/>
    </row>
    <row r="187" spans="1:16" x14ac:dyDescent="0.2">
      <c r="A187" s="2" t="s">
        <v>39</v>
      </c>
      <c r="C187" s="11">
        <v>0</v>
      </c>
      <c r="E187" s="11">
        <f>+'SCH J - Bill analysis STEP 1'!E187</f>
        <v>1326</v>
      </c>
      <c r="F187" s="12"/>
      <c r="G187" s="17">
        <f>+'SCH F - Rate Sum STEP 2'!C22</f>
        <v>4.7699999999999996</v>
      </c>
      <c r="I187" s="11">
        <f>ROUND(+E187*G187,0)</f>
        <v>6325</v>
      </c>
      <c r="J187" s="12"/>
      <c r="K187" s="17">
        <f>+'SCH F - Rate Sum STEP 2'!E22</f>
        <v>5.58</v>
      </c>
      <c r="L187" s="17"/>
      <c r="M187" s="11">
        <f>ROUND(+K187*E187,2)</f>
        <v>7399.08</v>
      </c>
    </row>
    <row r="188" spans="1:16" x14ac:dyDescent="0.2">
      <c r="A188" s="2" t="s">
        <v>40</v>
      </c>
      <c r="C188" s="11">
        <v>0</v>
      </c>
      <c r="E188" s="11">
        <f>+'SCH J - Bill analysis STEP 1'!E188</f>
        <v>43000</v>
      </c>
      <c r="F188" s="12"/>
      <c r="G188" s="17">
        <f>+'SCH F - Rate Sum STEP 2'!C23</f>
        <v>4.4400000000000004</v>
      </c>
      <c r="I188" s="11">
        <f>ROUND(+E188*G188,0)</f>
        <v>190920</v>
      </c>
      <c r="J188" s="12"/>
      <c r="K188" s="17">
        <f>+'SCH F - Rate Sum STEP 2'!E23</f>
        <v>5.14</v>
      </c>
      <c r="L188" s="17"/>
      <c r="M188" s="11">
        <f>ROUND(+K188*E188,2)</f>
        <v>221020</v>
      </c>
    </row>
    <row r="189" spans="1:16" x14ac:dyDescent="0.2">
      <c r="A189" s="2" t="s">
        <v>41</v>
      </c>
      <c r="B189" s="21"/>
      <c r="C189" s="15">
        <v>0</v>
      </c>
      <c r="D189" s="22"/>
      <c r="E189" s="11">
        <f>+'SCH J - Bill analysis STEP 1'!E189</f>
        <v>138490</v>
      </c>
      <c r="F189" s="16"/>
      <c r="G189" s="17">
        <f>+'SCH F - Rate Sum STEP 2'!C24</f>
        <v>3.25</v>
      </c>
      <c r="H189" s="21"/>
      <c r="I189" s="15">
        <f>ROUND(+E189*G189,0)</f>
        <v>450093</v>
      </c>
      <c r="J189" s="16"/>
      <c r="K189" s="17">
        <f>+'SCH F - Rate Sum STEP 2'!E24</f>
        <v>3.8000000000000003</v>
      </c>
      <c r="L189" s="28"/>
      <c r="M189" s="15">
        <f>ROUND(+K189*E189,2)</f>
        <v>526262</v>
      </c>
    </row>
    <row r="190" spans="1:16" x14ac:dyDescent="0.2">
      <c r="A190" s="2" t="s">
        <v>30</v>
      </c>
      <c r="C190" s="11">
        <f>SUM(C187:C189)</f>
        <v>0</v>
      </c>
      <c r="E190" s="68">
        <f>SUM(E187:E189)</f>
        <v>182816</v>
      </c>
      <c r="F190" s="12"/>
      <c r="G190" s="18"/>
      <c r="I190" s="11">
        <f>SUM(I187:I189)</f>
        <v>647338</v>
      </c>
      <c r="J190" s="12"/>
      <c r="K190" s="17"/>
      <c r="M190" s="11">
        <f>SUM(M187:M189)</f>
        <v>754681.08</v>
      </c>
    </row>
    <row r="191" spans="1:16" x14ac:dyDescent="0.2">
      <c r="F191" s="12"/>
      <c r="G191" s="12"/>
      <c r="J191" s="12"/>
    </row>
    <row r="192" spans="1:16" x14ac:dyDescent="0.2">
      <c r="A192" s="2" t="s">
        <v>24</v>
      </c>
      <c r="C192" s="11">
        <f>+C190+C185</f>
        <v>166</v>
      </c>
      <c r="E192" s="11">
        <f>+E190+E185</f>
        <v>182816</v>
      </c>
      <c r="F192" s="12"/>
      <c r="G192" s="12"/>
      <c r="I192" s="11">
        <f>+I190+I185</f>
        <v>655203</v>
      </c>
      <c r="J192" s="12"/>
      <c r="M192" s="11">
        <f>+M190+M185</f>
        <v>763561.08</v>
      </c>
      <c r="P192" s="11"/>
    </row>
    <row r="193" spans="1:20" s="21" customFormat="1" x14ac:dyDescent="0.2">
      <c r="A193" s="2"/>
      <c r="B193" s="2"/>
      <c r="C193" s="11"/>
      <c r="D193" s="11"/>
      <c r="E193" s="11"/>
      <c r="F193" s="12"/>
      <c r="G193" s="12"/>
      <c r="H193" s="2"/>
      <c r="I193" s="11"/>
      <c r="J193" s="12"/>
      <c r="K193" s="2"/>
      <c r="L193" s="2"/>
      <c r="M193" s="11"/>
      <c r="N193" s="2"/>
      <c r="O193" s="2"/>
    </row>
    <row r="194" spans="1:20" s="21" customFormat="1" x14ac:dyDescent="0.2">
      <c r="A194" s="2" t="s">
        <v>47</v>
      </c>
      <c r="B194" s="2"/>
      <c r="C194" s="11">
        <f>+C192+C175</f>
        <v>2115</v>
      </c>
      <c r="D194" s="2"/>
      <c r="E194" s="11">
        <f>+E192+E175</f>
        <v>514735</v>
      </c>
      <c r="F194" s="2"/>
      <c r="G194" s="12"/>
      <c r="H194" s="2"/>
      <c r="I194" s="11">
        <f>+I192+I175</f>
        <v>2267326</v>
      </c>
      <c r="J194" s="12"/>
      <c r="K194" s="2"/>
      <c r="L194" s="2"/>
      <c r="M194" s="11">
        <f>+M192+M175</f>
        <v>2627917.62</v>
      </c>
      <c r="N194" s="2"/>
      <c r="O194" s="2"/>
    </row>
    <row r="195" spans="1:20" x14ac:dyDescent="0.2">
      <c r="F195" s="12"/>
      <c r="G195" s="12"/>
      <c r="J195" s="12"/>
      <c r="N195" s="11"/>
      <c r="O195" s="11"/>
    </row>
    <row r="196" spans="1:20" x14ac:dyDescent="0.2">
      <c r="A196" s="13"/>
      <c r="F196" s="12"/>
      <c r="G196" s="12"/>
      <c r="P196" s="11"/>
      <c r="Q196" s="11"/>
      <c r="R196" s="11"/>
      <c r="S196" s="11"/>
      <c r="T196" s="11"/>
    </row>
    <row r="197" spans="1:20" x14ac:dyDescent="0.2">
      <c r="A197" s="81" t="s">
        <v>78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P197" s="31"/>
      <c r="Q197" s="31"/>
      <c r="R197" s="31"/>
      <c r="S197" s="31"/>
      <c r="T197" s="31"/>
    </row>
    <row r="198" spans="1:20" x14ac:dyDescent="0.2">
      <c r="A198" s="2" t="s">
        <v>15</v>
      </c>
      <c r="C198" s="64"/>
      <c r="J198" s="12"/>
      <c r="P198" s="12"/>
      <c r="Q198" s="12"/>
      <c r="R198" s="12"/>
      <c r="S198" s="12"/>
    </row>
    <row r="199" spans="1:20" x14ac:dyDescent="0.2">
      <c r="A199" s="13" t="s">
        <v>20</v>
      </c>
      <c r="C199" s="64">
        <f>+'SCH J - Bill analysis STEP 1'!C199</f>
        <v>37</v>
      </c>
      <c r="E199" s="11">
        <v>0</v>
      </c>
      <c r="F199" s="12"/>
      <c r="G199" s="14">
        <f>'SCH F - Rate Sum STEP 2'!C16</f>
        <v>89.5</v>
      </c>
      <c r="I199" s="70">
        <f>ROUND(+C199*G199,0)</f>
        <v>3312</v>
      </c>
      <c r="J199" s="69"/>
      <c r="K199" s="69">
        <f>'SCH F - Rate Sum STEP 2'!E16</f>
        <v>101.1</v>
      </c>
      <c r="L199" s="69"/>
      <c r="M199" s="70">
        <f>ROUND(+K199*C199,0)</f>
        <v>3741</v>
      </c>
      <c r="P199" s="12"/>
      <c r="Q199" s="12"/>
      <c r="R199" s="12"/>
      <c r="S199" s="12"/>
    </row>
    <row r="200" spans="1:20" x14ac:dyDescent="0.2">
      <c r="A200" s="13" t="s">
        <v>27</v>
      </c>
      <c r="C200" s="65">
        <f>+'SCH J - Bill analysis STEP 1'!C200</f>
        <v>36</v>
      </c>
      <c r="E200" s="15">
        <v>0</v>
      </c>
      <c r="F200" s="12"/>
      <c r="G200" s="14">
        <f>'SCH F - Rate Sum STEP 2'!C17</f>
        <v>132.4</v>
      </c>
      <c r="I200" s="15">
        <f>ROUND(+C200*G200,0)</f>
        <v>4766</v>
      </c>
      <c r="J200" s="16"/>
      <c r="K200" s="69">
        <f>'SCH F - Rate Sum STEP 2'!E17</f>
        <v>149.6</v>
      </c>
      <c r="L200" s="14"/>
      <c r="M200" s="15">
        <f>ROUND(+K200*C200,0)</f>
        <v>5386</v>
      </c>
      <c r="P200" s="12"/>
      <c r="Q200" s="12"/>
      <c r="R200" s="12"/>
      <c r="S200" s="12"/>
    </row>
    <row r="201" spans="1:20" x14ac:dyDescent="0.2">
      <c r="A201" s="2" t="s">
        <v>30</v>
      </c>
      <c r="C201" s="64">
        <f>SUM(C199:C200)</f>
        <v>73</v>
      </c>
      <c r="E201" s="11">
        <f>SUM(E199:E200)</f>
        <v>0</v>
      </c>
      <c r="F201" s="12"/>
      <c r="G201" s="12"/>
      <c r="I201" s="11">
        <f>SUM(I199:I200)</f>
        <v>8078</v>
      </c>
      <c r="J201" s="12"/>
      <c r="K201" s="14"/>
      <c r="L201" s="14"/>
      <c r="M201" s="11">
        <f>SUM(M199:M200)</f>
        <v>9127</v>
      </c>
      <c r="Q201" s="12"/>
    </row>
    <row r="202" spans="1:20" x14ac:dyDescent="0.2">
      <c r="F202" s="12"/>
      <c r="G202" s="12"/>
      <c r="J202" s="12"/>
      <c r="K202" s="14"/>
      <c r="L202" s="14"/>
      <c r="P202" s="33"/>
    </row>
    <row r="203" spans="1:20" x14ac:dyDescent="0.2">
      <c r="A203" s="2" t="s">
        <v>22</v>
      </c>
      <c r="C203" s="15">
        <v>0</v>
      </c>
      <c r="E203" s="15">
        <f>+'SCH J - Bill analysis STEP 1'!E203</f>
        <v>676093</v>
      </c>
      <c r="F203" s="12"/>
      <c r="G203" s="17">
        <f>+'SCH F - Rate Sum STEP 2'!C47</f>
        <v>2.98</v>
      </c>
      <c r="I203" s="15">
        <f>ROUND(+E203*G203,0)</f>
        <v>2014757</v>
      </c>
      <c r="J203" s="16"/>
      <c r="K203" s="17">
        <f>+'SCH F - Rate Sum STEP 2'!E47</f>
        <v>3.43</v>
      </c>
      <c r="L203" s="14"/>
      <c r="M203" s="15">
        <f>ROUND(+K203*E203,2)</f>
        <v>2318998.9900000002</v>
      </c>
    </row>
    <row r="204" spans="1:20" x14ac:dyDescent="0.2">
      <c r="A204" s="2" t="s">
        <v>30</v>
      </c>
      <c r="C204" s="11">
        <f>SUM(C203:C203)</f>
        <v>0</v>
      </c>
      <c r="E204" s="11">
        <f>SUM(E203:E203)</f>
        <v>676093</v>
      </c>
      <c r="F204" s="12"/>
      <c r="G204" s="18"/>
      <c r="I204" s="11">
        <f>SUM(I203:I203)</f>
        <v>2014757</v>
      </c>
      <c r="J204" s="12"/>
      <c r="M204" s="11">
        <f>SUM(M203:M203)</f>
        <v>2318998.9900000002</v>
      </c>
    </row>
    <row r="205" spans="1:20" x14ac:dyDescent="0.2">
      <c r="F205" s="12"/>
      <c r="G205" s="12"/>
      <c r="J205" s="12"/>
    </row>
    <row r="206" spans="1:20" x14ac:dyDescent="0.2">
      <c r="A206" s="2" t="s">
        <v>48</v>
      </c>
      <c r="C206" s="11">
        <f>+C204+C201</f>
        <v>73</v>
      </c>
      <c r="E206" s="11">
        <f>+E204+E201</f>
        <v>676093</v>
      </c>
      <c r="F206" s="12"/>
      <c r="G206" s="12"/>
      <c r="I206" s="11">
        <f>+I204+I201</f>
        <v>2022835</v>
      </c>
      <c r="J206" s="12"/>
      <c r="M206" s="11">
        <f>+M204+M201</f>
        <v>2328125.9900000002</v>
      </c>
    </row>
    <row r="207" spans="1:20" s="21" customFormat="1" x14ac:dyDescent="0.2">
      <c r="A207" s="2"/>
      <c r="B207" s="2"/>
      <c r="C207" s="11"/>
      <c r="D207" s="2"/>
      <c r="E207" s="11"/>
      <c r="F207" s="2"/>
      <c r="G207" s="12"/>
      <c r="H207" s="2"/>
      <c r="I207" s="11"/>
      <c r="J207" s="12"/>
      <c r="K207" s="2"/>
      <c r="L207" s="2"/>
      <c r="M207" s="11"/>
      <c r="N207" s="2"/>
      <c r="O207" s="2"/>
    </row>
    <row r="209" spans="1:13" x14ac:dyDescent="0.2">
      <c r="A209" s="2" t="s">
        <v>24</v>
      </c>
      <c r="C209" s="11">
        <f>+C119+C206+C194+C155+C81+C42</f>
        <v>376389</v>
      </c>
      <c r="D209" s="2"/>
      <c r="E209" s="11">
        <f>+E119+E206+E194+E155+E81+E42</f>
        <v>10025006</v>
      </c>
      <c r="G209" s="11"/>
      <c r="I209" s="11">
        <f>+I119+I206+I194+I155+I81+I42</f>
        <v>59060840.239999995</v>
      </c>
      <c r="K209" s="11"/>
      <c r="M209" s="11">
        <f>+M119+M206+M194+M155+M81+M42</f>
        <v>68201749.030000001</v>
      </c>
    </row>
  </sheetData>
  <mergeCells count="15">
    <mergeCell ref="A27:M27"/>
    <mergeCell ref="A1:M1"/>
    <mergeCell ref="A2:M2"/>
    <mergeCell ref="A4:M4"/>
    <mergeCell ref="A5:M5"/>
    <mergeCell ref="A11:M11"/>
    <mergeCell ref="A157:M157"/>
    <mergeCell ref="A177:M177"/>
    <mergeCell ref="A197:M197"/>
    <mergeCell ref="A44:M44"/>
    <mergeCell ref="A63:M63"/>
    <mergeCell ref="A84:M84"/>
    <mergeCell ref="A103:M103"/>
    <mergeCell ref="A123:M123"/>
    <mergeCell ref="A142:M142"/>
  </mergeCells>
  <phoneticPr fontId="2" type="noConversion"/>
  <pageMargins left="0.75" right="0.75" top="1" bottom="1" header="0.5" footer="0.5"/>
  <pageSetup scale="74" orientation="portrait" r:id="rId1"/>
  <headerFooter alignWithMargins="0"/>
  <rowBreaks count="6" manualBreakCount="6">
    <brk id="42" max="12" man="1"/>
    <brk id="82" max="12" man="1"/>
    <brk id="121" max="12" man="1"/>
    <brk id="155" max="12" man="1"/>
    <brk id="195" max="12" man="1"/>
    <brk id="238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M49"/>
  <sheetViews>
    <sheetView zoomScaleNormal="100" workbookViewId="0">
      <selection activeCell="O10" sqref="O10"/>
    </sheetView>
  </sheetViews>
  <sheetFormatPr defaultRowHeight="15" x14ac:dyDescent="0.2"/>
  <cols>
    <col min="1" max="1" width="18.6640625" customWidth="1"/>
    <col min="2" max="2" width="4" customWidth="1"/>
    <col min="4" max="4" width="14.88671875" bestFit="1" customWidth="1"/>
    <col min="5" max="5" width="8.44140625" style="2" bestFit="1" customWidth="1"/>
    <col min="6" max="6" width="14.88671875" bestFit="1" customWidth="1"/>
    <col min="7" max="7" width="11.44140625" bestFit="1" customWidth="1"/>
    <col min="9" max="9" width="8.88671875" style="55"/>
    <col min="11" max="11" width="7" bestFit="1" customWidth="1"/>
    <col min="19" max="19" width="2.33203125" bestFit="1" customWidth="1"/>
  </cols>
  <sheetData>
    <row r="1" spans="1:13" x14ac:dyDescent="0.2">
      <c r="A1" s="46" t="s">
        <v>32</v>
      </c>
      <c r="B1" s="46"/>
      <c r="C1" s="46"/>
      <c r="D1" s="46"/>
      <c r="E1" s="46"/>
      <c r="F1" s="46"/>
      <c r="G1" s="46"/>
      <c r="H1" s="80"/>
      <c r="I1" s="54"/>
      <c r="J1" s="38"/>
      <c r="K1" s="38"/>
      <c r="L1" s="38"/>
      <c r="M1" s="38"/>
    </row>
    <row r="2" spans="1:13" x14ac:dyDescent="0.2">
      <c r="A2" s="47"/>
      <c r="B2" s="47"/>
      <c r="C2" s="47"/>
      <c r="D2" s="47"/>
      <c r="E2" s="46"/>
      <c r="F2" s="47"/>
      <c r="G2" s="47"/>
      <c r="H2" s="57"/>
    </row>
    <row r="3" spans="1:13" x14ac:dyDescent="0.2">
      <c r="A3" s="47" t="s">
        <v>90</v>
      </c>
      <c r="B3" s="47"/>
      <c r="C3" s="47"/>
      <c r="D3" s="47"/>
      <c r="E3" s="46"/>
      <c r="F3" s="47"/>
      <c r="G3" s="47"/>
    </row>
    <row r="5" spans="1:13" x14ac:dyDescent="0.2">
      <c r="C5" s="42" t="s">
        <v>2</v>
      </c>
      <c r="E5" s="53" t="s">
        <v>86</v>
      </c>
      <c r="G5" s="42" t="s">
        <v>76</v>
      </c>
    </row>
    <row r="6" spans="1:13" x14ac:dyDescent="0.2">
      <c r="C6" s="43" t="s">
        <v>71</v>
      </c>
      <c r="E6" s="6" t="s">
        <v>71</v>
      </c>
      <c r="G6" s="43" t="s">
        <v>77</v>
      </c>
    </row>
    <row r="7" spans="1:13" ht="15.75" x14ac:dyDescent="0.25">
      <c r="A7" s="41" t="s">
        <v>55</v>
      </c>
    </row>
    <row r="8" spans="1:13" ht="15.75" x14ac:dyDescent="0.25">
      <c r="A8" s="41"/>
    </row>
    <row r="9" spans="1:13" x14ac:dyDescent="0.2">
      <c r="A9" s="39" t="s">
        <v>53</v>
      </c>
    </row>
    <row r="10" spans="1:13" x14ac:dyDescent="0.2">
      <c r="A10" t="s">
        <v>54</v>
      </c>
      <c r="C10" s="44">
        <v>18.5</v>
      </c>
      <c r="E10" s="49">
        <f>+ROUND(('SCH F - Rate Sum STEP 2'!E10-'SCH F - Rate Sum STEP 2'!C10)/2+'SCH F - Rate Sum STEP 2'!C10,1)</f>
        <v>19.7</v>
      </c>
      <c r="G10" s="60">
        <f t="shared" ref="G10:G19" si="0">+(E10-C10)/C10</f>
        <v>6.4864864864864827E-2</v>
      </c>
      <c r="I10" s="56"/>
      <c r="J10" s="50"/>
    </row>
    <row r="11" spans="1:13" x14ac:dyDescent="0.2">
      <c r="A11" t="s">
        <v>56</v>
      </c>
      <c r="C11" s="45">
        <v>19</v>
      </c>
      <c r="E11" s="35">
        <f>+ROUND(('SCH F - Rate Sum STEP 2'!E11-'SCH F - Rate Sum STEP 2'!C11)/2+'SCH F - Rate Sum STEP 2'!C11,1)</f>
        <v>20.3</v>
      </c>
      <c r="G11" s="60">
        <f t="shared" si="0"/>
        <v>6.842105263157898E-2</v>
      </c>
      <c r="I11" s="56"/>
      <c r="J11" s="50"/>
    </row>
    <row r="12" spans="1:13" x14ac:dyDescent="0.2">
      <c r="A12" t="s">
        <v>57</v>
      </c>
      <c r="C12" s="45">
        <v>20.8</v>
      </c>
      <c r="E12" s="35">
        <f>+ROUND(('SCH F - Rate Sum STEP 2'!E12-'SCH F - Rate Sum STEP 2'!C12)/2+'SCH F - Rate Sum STEP 2'!C12,1)</f>
        <v>22.2</v>
      </c>
      <c r="G12" s="60">
        <f t="shared" si="0"/>
        <v>6.7307692307692235E-2</v>
      </c>
      <c r="I12" s="56"/>
      <c r="J12" s="50"/>
    </row>
    <row r="13" spans="1:13" x14ac:dyDescent="0.2">
      <c r="A13" t="s">
        <v>58</v>
      </c>
      <c r="C13" s="45">
        <v>23.4</v>
      </c>
      <c r="E13" s="35">
        <f>+ROUND(('SCH F - Rate Sum STEP 2'!E13-'SCH F - Rate Sum STEP 2'!C13)/2+'SCH F - Rate Sum STEP 2'!C13,1)</f>
        <v>24.9</v>
      </c>
      <c r="G13" s="60">
        <f t="shared" si="0"/>
        <v>6.4102564102564111E-2</v>
      </c>
      <c r="I13" s="56"/>
      <c r="J13" s="50"/>
    </row>
    <row r="14" spans="1:13" x14ac:dyDescent="0.2">
      <c r="A14" t="s">
        <v>59</v>
      </c>
      <c r="C14" s="45">
        <v>29.6</v>
      </c>
      <c r="E14" s="35">
        <f>+ROUND(('SCH F - Rate Sum STEP 2'!E14-'SCH F - Rate Sum STEP 2'!C14)/2+'SCH F - Rate Sum STEP 2'!C14,1)</f>
        <v>31.5</v>
      </c>
      <c r="G14" s="60">
        <f t="shared" si="0"/>
        <v>6.4189189189189144E-2</v>
      </c>
      <c r="I14" s="56"/>
      <c r="J14" s="50"/>
    </row>
    <row r="15" spans="1:13" x14ac:dyDescent="0.2">
      <c r="A15" t="s">
        <v>52</v>
      </c>
      <c r="C15" s="45">
        <v>71.3</v>
      </c>
      <c r="E15" s="35">
        <f>+ROUND(('SCH F - Rate Sum STEP 2'!E15-'SCH F - Rate Sum STEP 2'!C15)/2+'SCH F - Rate Sum STEP 2'!C15,1)</f>
        <v>75.900000000000006</v>
      </c>
      <c r="G15" s="60">
        <f t="shared" si="0"/>
        <v>6.4516129032258188E-2</v>
      </c>
      <c r="I15" s="56"/>
      <c r="J15" s="50"/>
    </row>
    <row r="16" spans="1:13" x14ac:dyDescent="0.2">
      <c r="A16" t="s">
        <v>60</v>
      </c>
      <c r="C16" s="45">
        <v>89.5</v>
      </c>
      <c r="E16" s="35">
        <f>+ROUND(('SCH F - Rate Sum STEP 2'!E16-'SCH F - Rate Sum STEP 2'!C16)/2+'SCH F - Rate Sum STEP 2'!C16,1)</f>
        <v>95.3</v>
      </c>
      <c r="G16" s="60">
        <f t="shared" si="0"/>
        <v>6.480446927374299E-2</v>
      </c>
      <c r="I16" s="56"/>
      <c r="J16" s="50"/>
    </row>
    <row r="17" spans="1:11" x14ac:dyDescent="0.2">
      <c r="A17" t="s">
        <v>73</v>
      </c>
      <c r="C17" s="45">
        <v>132.4</v>
      </c>
      <c r="E17" s="35">
        <f>+ROUND(('SCH F - Rate Sum STEP 2'!E17-'SCH F - Rate Sum STEP 2'!C17)/2+'SCH F - Rate Sum STEP 2'!C17,1)</f>
        <v>141</v>
      </c>
      <c r="G17" s="60">
        <f t="shared" si="0"/>
        <v>6.4954682779456152E-2</v>
      </c>
      <c r="I17" s="56"/>
      <c r="J17" s="50"/>
    </row>
    <row r="18" spans="1:11" x14ac:dyDescent="0.2">
      <c r="A18" t="s">
        <v>72</v>
      </c>
      <c r="C18" s="45">
        <v>178.8</v>
      </c>
      <c r="E18" s="35">
        <f>+ROUND(('SCH F - Rate Sum STEP 2'!E18-'SCH F - Rate Sum STEP 2'!C18)/2+'SCH F - Rate Sum STEP 2'!C18,1)</f>
        <v>190.4</v>
      </c>
      <c r="G18" s="60">
        <f t="shared" si="0"/>
        <v>6.4876957494407125E-2</v>
      </c>
      <c r="I18" s="56"/>
      <c r="J18" s="50"/>
    </row>
    <row r="19" spans="1:11" x14ac:dyDescent="0.2">
      <c r="A19" t="s">
        <v>61</v>
      </c>
      <c r="C19" s="45">
        <v>237.8</v>
      </c>
      <c r="E19" s="35">
        <f>+ROUND(('SCH F - Rate Sum STEP 2'!E19-'SCH F - Rate Sum STEP 2'!C19)/2+'SCH F - Rate Sum STEP 2'!C19,1)</f>
        <v>253.2</v>
      </c>
      <c r="G19" s="60">
        <f t="shared" si="0"/>
        <v>6.4760302775441453E-2</v>
      </c>
      <c r="I19" s="56"/>
      <c r="J19" s="50"/>
    </row>
    <row r="20" spans="1:11" x14ac:dyDescent="0.2">
      <c r="G20" s="60"/>
    </row>
    <row r="21" spans="1:11" x14ac:dyDescent="0.2">
      <c r="A21" s="39" t="s">
        <v>63</v>
      </c>
      <c r="G21" s="60"/>
    </row>
    <row r="22" spans="1:11" x14ac:dyDescent="0.2">
      <c r="A22" t="s">
        <v>67</v>
      </c>
      <c r="C22" s="44">
        <v>4.7699999999999996</v>
      </c>
      <c r="D22" t="s">
        <v>70</v>
      </c>
      <c r="E22" s="69">
        <f>+ROUND(('SCH F - Rate Sum STEP 2'!E22-'SCH F - Rate Sum STEP 2'!C22)/2+'SCH F - Rate Sum STEP 2'!C22,2)</f>
        <v>5.18</v>
      </c>
      <c r="F22" t="s">
        <v>70</v>
      </c>
      <c r="G22" s="60">
        <f>+(E22-C22)/C22</f>
        <v>8.5953878406708636E-2</v>
      </c>
      <c r="I22" s="56"/>
    </row>
    <row r="23" spans="1:11" x14ac:dyDescent="0.2">
      <c r="A23" t="s">
        <v>68</v>
      </c>
      <c r="C23" s="45">
        <v>4.4400000000000004</v>
      </c>
      <c r="D23" t="s">
        <v>70</v>
      </c>
      <c r="E23" s="35">
        <f>+ROUND(('SCH F - Rate Sum STEP 2'!E23-'SCH F - Rate Sum STEP 2'!C23)/2+'SCH F - Rate Sum STEP 2'!C23,2)</f>
        <v>4.79</v>
      </c>
      <c r="F23" t="s">
        <v>70</v>
      </c>
      <c r="G23" s="60">
        <f>+(E23-C23)/C23</f>
        <v>7.8828828828828745E-2</v>
      </c>
    </row>
    <row r="24" spans="1:11" x14ac:dyDescent="0.2">
      <c r="A24" t="s">
        <v>69</v>
      </c>
      <c r="C24" s="45">
        <v>3.25</v>
      </c>
      <c r="D24" t="s">
        <v>70</v>
      </c>
      <c r="E24" s="35">
        <f>+ROUND(('SCH F - Rate Sum STEP 2'!E24-'SCH F - Rate Sum STEP 2'!C24)/2+'SCH F - Rate Sum STEP 2'!C24,2)</f>
        <v>3.53</v>
      </c>
      <c r="F24" t="s">
        <v>70</v>
      </c>
      <c r="G24" s="60">
        <f>+(E24-C24)/C24</f>
        <v>8.6153846153846095E-2</v>
      </c>
    </row>
    <row r="25" spans="1:11" x14ac:dyDescent="0.2">
      <c r="G25" s="60"/>
    </row>
    <row r="26" spans="1:11" ht="15.75" x14ac:dyDescent="0.25">
      <c r="A26" s="41" t="s">
        <v>62</v>
      </c>
      <c r="G26" s="60"/>
    </row>
    <row r="27" spans="1:11" x14ac:dyDescent="0.2">
      <c r="A27" s="39"/>
      <c r="G27" s="60"/>
    </row>
    <row r="28" spans="1:11" x14ac:dyDescent="0.2">
      <c r="A28" s="39" t="s">
        <v>53</v>
      </c>
      <c r="G28" s="60"/>
    </row>
    <row r="29" spans="1:11" x14ac:dyDescent="0.2">
      <c r="A29" t="s">
        <v>54</v>
      </c>
      <c r="C29" s="75">
        <v>40.5</v>
      </c>
      <c r="D29" s="44"/>
      <c r="E29" s="69">
        <f>+ROUND(('SCH F - Rate Sum STEP 2'!E29-'SCH F - Rate Sum STEP 2'!C29)/2+'SCH F - Rate Sum STEP 2'!C29,2)</f>
        <v>43</v>
      </c>
      <c r="G29" s="60">
        <f t="shared" ref="G29:G38" si="1">+(E29-C29)/C29</f>
        <v>6.1728395061728392E-2</v>
      </c>
      <c r="K29" s="45"/>
    </row>
    <row r="30" spans="1:11" x14ac:dyDescent="0.2">
      <c r="A30" t="s">
        <v>56</v>
      </c>
      <c r="C30" s="76">
        <v>42.5</v>
      </c>
      <c r="D30" s="44"/>
      <c r="E30" s="35">
        <f>+ROUND(('SCH F - Rate Sum STEP 2'!E30-'SCH F - Rate Sum STEP 2'!C30)/2+'SCH F - Rate Sum STEP 2'!C30,2)</f>
        <v>45.1</v>
      </c>
      <c r="G30" s="60">
        <f t="shared" si="1"/>
        <v>6.1176470588235325E-2</v>
      </c>
    </row>
    <row r="31" spans="1:11" x14ac:dyDescent="0.2">
      <c r="A31" t="s">
        <v>57</v>
      </c>
      <c r="C31" s="76">
        <v>48.8</v>
      </c>
      <c r="D31" s="44"/>
      <c r="E31" s="35">
        <f>+ROUND(('SCH F - Rate Sum STEP 2'!E31-'SCH F - Rate Sum STEP 2'!C31)/2+'SCH F - Rate Sum STEP 2'!C31,2)</f>
        <v>51.8</v>
      </c>
      <c r="G31" s="60">
        <f t="shared" si="1"/>
        <v>6.147540983606558E-2</v>
      </c>
    </row>
    <row r="32" spans="1:11" x14ac:dyDescent="0.2">
      <c r="A32" t="s">
        <v>58</v>
      </c>
      <c r="C32" s="76">
        <v>57.7</v>
      </c>
      <c r="D32" s="44"/>
      <c r="E32" s="35">
        <f>+ROUND(('SCH F - Rate Sum STEP 2'!E32-'SCH F - Rate Sum STEP 2'!C32)/2+'SCH F - Rate Sum STEP 2'!C32,2)</f>
        <v>61.25</v>
      </c>
      <c r="G32" s="60">
        <f t="shared" si="1"/>
        <v>6.1525129982668923E-2</v>
      </c>
    </row>
    <row r="33" spans="1:9" x14ac:dyDescent="0.2">
      <c r="A33" t="s">
        <v>59</v>
      </c>
      <c r="C33" s="76">
        <v>80.900000000000006</v>
      </c>
      <c r="D33" s="44"/>
      <c r="E33" s="35">
        <f>+ROUND(('SCH F - Rate Sum STEP 2'!E33-'SCH F - Rate Sum STEP 2'!C33)/2+'SCH F - Rate Sum STEP 2'!C33,2)</f>
        <v>85.9</v>
      </c>
      <c r="G33" s="60">
        <f t="shared" si="1"/>
        <v>6.1804697156983925E-2</v>
      </c>
    </row>
    <row r="34" spans="1:9" x14ac:dyDescent="0.2">
      <c r="A34" t="s">
        <v>52</v>
      </c>
      <c r="C34" s="76">
        <v>251.8</v>
      </c>
      <c r="D34" s="44"/>
      <c r="E34" s="35">
        <f>+ROUND(('SCH F - Rate Sum STEP 2'!E34-'SCH F - Rate Sum STEP 2'!C34)/2+'SCH F - Rate Sum STEP 2'!C34,2)</f>
        <v>267.35000000000002</v>
      </c>
      <c r="G34" s="60">
        <f t="shared" si="1"/>
        <v>6.1755361397934909E-2</v>
      </c>
    </row>
    <row r="35" spans="1:9" x14ac:dyDescent="0.2">
      <c r="A35" t="s">
        <v>60</v>
      </c>
      <c r="C35" s="76">
        <v>315.5</v>
      </c>
      <c r="D35" s="44"/>
      <c r="E35" s="35">
        <f>+ROUND(('SCH F - Rate Sum STEP 2'!E35-'SCH F - Rate Sum STEP 2'!C35)/2+'SCH F - Rate Sum STEP 2'!C35,2)</f>
        <v>335</v>
      </c>
      <c r="G35" s="60">
        <f t="shared" si="1"/>
        <v>6.1806656101426306E-2</v>
      </c>
    </row>
    <row r="36" spans="1:9" x14ac:dyDescent="0.2">
      <c r="A36" t="s">
        <v>73</v>
      </c>
      <c r="C36" s="76">
        <v>466.2</v>
      </c>
      <c r="D36" s="44"/>
      <c r="E36" s="35">
        <f>+ROUND(('SCH F - Rate Sum STEP 2'!E36-'SCH F - Rate Sum STEP 2'!C36)/2+'SCH F - Rate Sum STEP 2'!C36,2)</f>
        <v>495</v>
      </c>
      <c r="G36" s="60">
        <f t="shared" si="1"/>
        <v>6.1776061776061805E-2</v>
      </c>
    </row>
    <row r="37" spans="1:9" x14ac:dyDescent="0.2">
      <c r="A37" t="s">
        <v>72</v>
      </c>
      <c r="C37" s="76">
        <v>637.1</v>
      </c>
      <c r="D37" s="44"/>
      <c r="E37" s="35">
        <f>+ROUND(('SCH F - Rate Sum STEP 2'!E37-'SCH F - Rate Sum STEP 2'!C37)/2+'SCH F - Rate Sum STEP 2'!C37,2)</f>
        <v>676.45</v>
      </c>
      <c r="G37" s="60">
        <f t="shared" si="1"/>
        <v>6.1764244231674807E-2</v>
      </c>
    </row>
    <row r="38" spans="1:9" x14ac:dyDescent="0.2">
      <c r="A38" t="s">
        <v>61</v>
      </c>
      <c r="C38" s="76">
        <v>831.9</v>
      </c>
      <c r="D38" s="44"/>
      <c r="E38" s="35">
        <f>+ROUND(('SCH F - Rate Sum STEP 2'!E38-'SCH F - Rate Sum STEP 2'!C38)/2+'SCH F - Rate Sum STEP 2'!C38,2)</f>
        <v>883.25</v>
      </c>
      <c r="G38" s="60">
        <f t="shared" si="1"/>
        <v>6.1726169010698433E-2</v>
      </c>
    </row>
    <row r="39" spans="1:9" x14ac:dyDescent="0.2">
      <c r="C39" s="45"/>
      <c r="G39" s="60"/>
    </row>
    <row r="40" spans="1:9" x14ac:dyDescent="0.2">
      <c r="A40" s="39" t="s">
        <v>63</v>
      </c>
      <c r="G40" s="60"/>
    </row>
    <row r="41" spans="1:9" x14ac:dyDescent="0.2">
      <c r="A41" t="s">
        <v>64</v>
      </c>
      <c r="C41" s="44">
        <v>4.7699999999999996</v>
      </c>
      <c r="D41" t="s">
        <v>70</v>
      </c>
      <c r="E41" s="49">
        <f>+E22</f>
        <v>5.18</v>
      </c>
      <c r="F41" t="s">
        <v>70</v>
      </c>
      <c r="G41" s="60">
        <f>+(E41-C41)/C41</f>
        <v>8.5953878406708636E-2</v>
      </c>
    </row>
    <row r="42" spans="1:9" x14ac:dyDescent="0.2">
      <c r="A42" t="s">
        <v>65</v>
      </c>
      <c r="C42" s="52">
        <v>4.4400000000000004</v>
      </c>
      <c r="D42" t="s">
        <v>70</v>
      </c>
      <c r="E42" s="59">
        <f t="shared" ref="E42:E43" si="2">+E23</f>
        <v>4.79</v>
      </c>
      <c r="F42" t="s">
        <v>70</v>
      </c>
      <c r="G42" s="60">
        <f>+(E42-C42)/C42</f>
        <v>7.8828828828828745E-2</v>
      </c>
    </row>
    <row r="43" spans="1:9" x14ac:dyDescent="0.2">
      <c r="A43" t="s">
        <v>66</v>
      </c>
      <c r="C43" s="52">
        <v>3.25</v>
      </c>
      <c r="D43" t="s">
        <v>70</v>
      </c>
      <c r="E43" s="59">
        <f t="shared" si="2"/>
        <v>3.53</v>
      </c>
      <c r="F43" t="s">
        <v>70</v>
      </c>
      <c r="G43" s="60">
        <f>+(E43-C43)/C43</f>
        <v>8.6153846153846095E-2</v>
      </c>
    </row>
    <row r="44" spans="1:9" x14ac:dyDescent="0.2">
      <c r="E44" s="35"/>
      <c r="G44" s="60"/>
    </row>
    <row r="45" spans="1:9" ht="15.75" x14ac:dyDescent="0.25">
      <c r="A45" s="40" t="s">
        <v>75</v>
      </c>
      <c r="G45" s="60"/>
    </row>
    <row r="46" spans="1:9" x14ac:dyDescent="0.2">
      <c r="G46" s="60"/>
    </row>
    <row r="47" spans="1:9" x14ac:dyDescent="0.2">
      <c r="A47" t="s">
        <v>63</v>
      </c>
      <c r="C47" s="44">
        <v>2.98</v>
      </c>
      <c r="D47" t="s">
        <v>70</v>
      </c>
      <c r="E47" s="44">
        <f>+ROUND(('SCH F - Rate Sum STEP 2'!E47-'SCH F - Rate Sum STEP 2'!C47)/2+'SCH F - Rate Sum STEP 2'!C47,2)</f>
        <v>3.21</v>
      </c>
      <c r="F47" t="s">
        <v>70</v>
      </c>
      <c r="G47" s="60">
        <f>+(E47-C47)/C47</f>
        <v>7.7181208053691275E-2</v>
      </c>
    </row>
    <row r="48" spans="1:9" x14ac:dyDescent="0.2">
      <c r="I48" s="56"/>
    </row>
    <row r="49" spans="1:7" ht="15.75" x14ac:dyDescent="0.25">
      <c r="A49" s="40" t="s">
        <v>82</v>
      </c>
      <c r="C49" s="69">
        <v>6.38</v>
      </c>
      <c r="D49" t="s">
        <v>83</v>
      </c>
      <c r="E49" s="69">
        <f>ROUND(+E22/0.748,2)</f>
        <v>6.93</v>
      </c>
      <c r="F49" t="s">
        <v>83</v>
      </c>
      <c r="G49" s="60">
        <f>+(E49-C49)/C49</f>
        <v>8.6206896551724116E-2</v>
      </c>
    </row>
  </sheetData>
  <phoneticPr fontId="2" type="noConversion"/>
  <printOptions horizontalCentered="1"/>
  <pageMargins left="0.75" right="0.75" top="1" bottom="1" header="0.5" footer="0.5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T213"/>
  <sheetViews>
    <sheetView zoomScaleNormal="100" workbookViewId="0">
      <selection activeCell="A3" sqref="A3"/>
    </sheetView>
  </sheetViews>
  <sheetFormatPr defaultColWidth="8.88671875" defaultRowHeight="15" x14ac:dyDescent="0.2"/>
  <cols>
    <col min="1" max="1" width="22.77734375" style="2" customWidth="1"/>
    <col min="2" max="2" width="1.77734375" style="2" customWidth="1"/>
    <col min="3" max="3" width="9.77734375" style="11" bestFit="1" customWidth="1"/>
    <col min="4" max="4" width="1.44140625" style="11" customWidth="1"/>
    <col min="5" max="5" width="11.77734375" style="11" bestFit="1" customWidth="1"/>
    <col min="6" max="6" width="1.44140625" style="2" customWidth="1"/>
    <col min="7" max="7" width="8.77734375" style="2" customWidth="1"/>
    <col min="8" max="8" width="2.109375" style="2" customWidth="1"/>
    <col min="9" max="9" width="13.44140625" style="11" bestFit="1" customWidth="1"/>
    <col min="10" max="10" width="1.44140625" style="2" customWidth="1"/>
    <col min="11" max="11" width="8.6640625" style="2" bestFit="1" customWidth="1"/>
    <col min="12" max="12" width="2.6640625" style="2" customWidth="1"/>
    <col min="13" max="13" width="13.44140625" style="11" bestFit="1" customWidth="1"/>
    <col min="14" max="14" width="18.6640625" style="2" bestFit="1" customWidth="1"/>
    <col min="15" max="15" width="18.6640625" style="2" customWidth="1"/>
    <col min="16" max="16" width="18.44140625" style="2" bestFit="1" customWidth="1"/>
    <col min="17" max="17" width="12.44140625" style="2" bestFit="1" customWidth="1"/>
    <col min="18" max="18" width="18.109375" style="2" bestFit="1" customWidth="1"/>
    <col min="19" max="19" width="17" style="2" bestFit="1" customWidth="1"/>
    <col min="20" max="20" width="11" style="2" bestFit="1" customWidth="1"/>
    <col min="21" max="16384" width="8.88671875" style="2"/>
  </cols>
  <sheetData>
    <row r="1" spans="1:16" x14ac:dyDescent="0.2">
      <c r="A1" s="83" t="s">
        <v>32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1"/>
      <c r="O1" s="1"/>
      <c r="P1" s="1"/>
    </row>
    <row r="2" spans="1:16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4" spans="1:16" x14ac:dyDescent="0.2">
      <c r="A4" s="83" t="s">
        <v>84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3"/>
      <c r="O4" s="3"/>
      <c r="P4" s="3"/>
    </row>
    <row r="5" spans="1:16" x14ac:dyDescent="0.2">
      <c r="A5" s="85" t="s">
        <v>91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3"/>
      <c r="O5" s="3"/>
      <c r="P5" s="3"/>
    </row>
    <row r="7" spans="1:16" s="1" customFormat="1" x14ac:dyDescent="0.2">
      <c r="A7" s="1" t="s">
        <v>0</v>
      </c>
      <c r="C7" s="4" t="s">
        <v>1</v>
      </c>
      <c r="D7" s="4"/>
      <c r="E7" s="4" t="s">
        <v>79</v>
      </c>
      <c r="G7" s="1" t="s">
        <v>2</v>
      </c>
      <c r="I7" s="5"/>
      <c r="K7" s="4" t="s">
        <v>86</v>
      </c>
      <c r="M7" s="4" t="s">
        <v>74</v>
      </c>
    </row>
    <row r="8" spans="1:16" s="1" customFormat="1" x14ac:dyDescent="0.2">
      <c r="A8" s="6" t="s">
        <v>80</v>
      </c>
      <c r="C8" s="7" t="s">
        <v>3</v>
      </c>
      <c r="D8" s="4"/>
      <c r="E8" s="7" t="s">
        <v>4</v>
      </c>
      <c r="G8" s="6" t="s">
        <v>5</v>
      </c>
      <c r="I8" s="7" t="s">
        <v>6</v>
      </c>
      <c r="K8" s="6" t="s">
        <v>5</v>
      </c>
      <c r="M8" s="7" t="s">
        <v>6</v>
      </c>
    </row>
    <row r="9" spans="1:16" s="1" customFormat="1" x14ac:dyDescent="0.2">
      <c r="A9" s="8" t="s">
        <v>7</v>
      </c>
      <c r="C9" s="9" t="s">
        <v>8</v>
      </c>
      <c r="D9" s="4"/>
      <c r="E9" s="9" t="s">
        <v>9</v>
      </c>
      <c r="G9" s="8" t="s">
        <v>10</v>
      </c>
      <c r="I9" s="9" t="s">
        <v>11</v>
      </c>
      <c r="J9" s="8"/>
      <c r="K9" s="8" t="s">
        <v>12</v>
      </c>
      <c r="L9" s="8"/>
      <c r="M9" s="9" t="s">
        <v>13</v>
      </c>
    </row>
    <row r="10" spans="1:16" s="1" customFormat="1" x14ac:dyDescent="0.2">
      <c r="A10" s="8"/>
      <c r="C10" s="9"/>
      <c r="D10" s="4"/>
      <c r="E10" s="9"/>
      <c r="G10" s="8"/>
      <c r="I10" s="9"/>
      <c r="J10" s="10"/>
      <c r="M10" s="4"/>
    </row>
    <row r="11" spans="1:16" x14ac:dyDescent="0.2">
      <c r="A11" s="81" t="s">
        <v>33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</row>
    <row r="12" spans="1:16" x14ac:dyDescent="0.2">
      <c r="A12" s="2" t="s">
        <v>15</v>
      </c>
      <c r="J12" s="12"/>
    </row>
    <row r="13" spans="1:16" x14ac:dyDescent="0.2">
      <c r="A13" s="13" t="s">
        <v>16</v>
      </c>
      <c r="C13" s="11">
        <v>301225</v>
      </c>
      <c r="E13" s="11">
        <v>0</v>
      </c>
      <c r="F13" s="12"/>
      <c r="G13" s="44">
        <f>+'SCH F - Rate Sum STEP 2'!C29</f>
        <v>40.5</v>
      </c>
      <c r="I13" s="70">
        <f>ROUND(+C13*G13,0)</f>
        <v>12199613</v>
      </c>
      <c r="J13" s="12"/>
      <c r="K13" s="69">
        <f>+'SCH I - Rate Sum STEP 1'!E29</f>
        <v>43</v>
      </c>
      <c r="L13" s="14"/>
      <c r="M13" s="70">
        <f>+K13*C13</f>
        <v>12952675</v>
      </c>
      <c r="N13" s="11"/>
    </row>
    <row r="14" spans="1:16" x14ac:dyDescent="0.2">
      <c r="A14" s="13" t="s">
        <v>17</v>
      </c>
      <c r="B14" s="21"/>
      <c r="C14" s="11">
        <v>2107</v>
      </c>
      <c r="E14" s="11">
        <v>0</v>
      </c>
      <c r="F14" s="12"/>
      <c r="G14" s="45">
        <f>+'SCH F - Rate Sum STEP 2'!C31</f>
        <v>48.8</v>
      </c>
      <c r="I14" s="11">
        <f>ROUND(+C14*G14,0)</f>
        <v>102822</v>
      </c>
      <c r="J14" s="12"/>
      <c r="K14" s="59">
        <f>+'SCH I - Rate Sum STEP 1'!E31</f>
        <v>51.8</v>
      </c>
      <c r="L14" s="14"/>
      <c r="M14" s="11">
        <f>+K14*C14</f>
        <v>109142.59999999999</v>
      </c>
      <c r="N14" s="11"/>
    </row>
    <row r="15" spans="1:16" x14ac:dyDescent="0.2">
      <c r="A15" s="13" t="s">
        <v>18</v>
      </c>
      <c r="B15" s="21"/>
      <c r="C15" s="11">
        <v>384.5</v>
      </c>
      <c r="E15" s="11">
        <v>0</v>
      </c>
      <c r="F15" s="12"/>
      <c r="G15" s="45">
        <f>+'SCH F - Rate Sum STEP 2'!C32</f>
        <v>57.7</v>
      </c>
      <c r="I15" s="11">
        <f>ROUND(+C15*G15,0)</f>
        <v>22186</v>
      </c>
      <c r="J15" s="12"/>
      <c r="K15" s="59">
        <f>+'SCH I - Rate Sum STEP 1'!E32</f>
        <v>61.25</v>
      </c>
      <c r="L15" s="14"/>
      <c r="M15" s="22">
        <f>+K15*C15</f>
        <v>23550.625</v>
      </c>
      <c r="N15" s="11"/>
    </row>
    <row r="16" spans="1:16" x14ac:dyDescent="0.2">
      <c r="A16" s="13" t="s">
        <v>19</v>
      </c>
      <c r="B16" s="21"/>
      <c r="C16" s="11">
        <v>116</v>
      </c>
      <c r="E16" s="11">
        <v>0</v>
      </c>
      <c r="F16" s="12"/>
      <c r="G16" s="45">
        <f>+'SCH F - Rate Sum STEP 2'!C33</f>
        <v>80.900000000000006</v>
      </c>
      <c r="I16" s="11">
        <f t="shared" ref="I16" si="0">ROUND(+C16*G16,0)</f>
        <v>9384</v>
      </c>
      <c r="J16" s="12"/>
      <c r="K16" s="59">
        <f>+'SCH I - Rate Sum STEP 1'!E33</f>
        <v>85.9</v>
      </c>
      <c r="L16" s="14"/>
      <c r="M16" s="22">
        <f t="shared" ref="M16" si="1">+K16*C16</f>
        <v>9964.4000000000015</v>
      </c>
      <c r="N16" s="11"/>
    </row>
    <row r="17" spans="1:17" x14ac:dyDescent="0.2">
      <c r="A17" s="2" t="s">
        <v>21</v>
      </c>
      <c r="C17" s="68">
        <f>SUM(C13:C16)</f>
        <v>303832.5</v>
      </c>
      <c r="E17" s="68">
        <f>SUM(E13:E16)</f>
        <v>0</v>
      </c>
      <c r="F17" s="12"/>
      <c r="G17" s="12"/>
      <c r="I17" s="68">
        <f>SUM(I13:I16)</f>
        <v>12334005</v>
      </c>
      <c r="J17" s="12"/>
      <c r="M17" s="68">
        <f>SUM(M13:M16)</f>
        <v>13095332.625</v>
      </c>
      <c r="N17" s="11"/>
    </row>
    <row r="18" spans="1:17" x14ac:dyDescent="0.2">
      <c r="F18" s="12"/>
      <c r="G18" s="12"/>
      <c r="J18" s="12"/>
      <c r="N18" s="11"/>
    </row>
    <row r="19" spans="1:17" x14ac:dyDescent="0.2">
      <c r="A19" s="2" t="s">
        <v>34</v>
      </c>
      <c r="C19" s="11">
        <v>0</v>
      </c>
      <c r="E19" s="11">
        <v>4439972</v>
      </c>
      <c r="F19" s="12"/>
      <c r="G19" s="14">
        <f>+'SCH I - Rate Sum STEP 1'!C41</f>
        <v>4.7699999999999996</v>
      </c>
      <c r="I19" s="22">
        <f>+E19*G19</f>
        <v>21178666.439999998</v>
      </c>
      <c r="J19" s="12"/>
      <c r="K19" s="14">
        <f>+'SCH I - Rate Sum STEP 1'!E22</f>
        <v>5.18</v>
      </c>
      <c r="M19" s="22">
        <f>+E19*K19</f>
        <v>22999054.959999997</v>
      </c>
      <c r="N19" s="11"/>
    </row>
    <row r="20" spans="1:17" x14ac:dyDescent="0.2">
      <c r="A20" s="2" t="s">
        <v>35</v>
      </c>
      <c r="C20" s="11">
        <v>0</v>
      </c>
      <c r="E20" s="11">
        <v>329853</v>
      </c>
      <c r="F20" s="12"/>
      <c r="G20" s="14">
        <f>+'SCH I - Rate Sum STEP 1'!C42</f>
        <v>4.4400000000000004</v>
      </c>
      <c r="I20" s="22">
        <f>+E20*G20</f>
        <v>1464547.32</v>
      </c>
      <c r="J20" s="12"/>
      <c r="K20" s="14">
        <f>+'SCH I - Rate Sum STEP 1'!E23</f>
        <v>4.79</v>
      </c>
      <c r="M20" s="22">
        <f>+E20*K20</f>
        <v>1579995.87</v>
      </c>
      <c r="N20" s="11"/>
    </row>
    <row r="21" spans="1:17" x14ac:dyDescent="0.2">
      <c r="A21" s="2" t="s">
        <v>36</v>
      </c>
      <c r="C21" s="15">
        <v>0</v>
      </c>
      <c r="E21" s="11">
        <v>0</v>
      </c>
      <c r="F21" s="12"/>
      <c r="G21" s="14">
        <f>+'SCH I - Rate Sum STEP 1'!C43</f>
        <v>3.25</v>
      </c>
      <c r="I21" s="15">
        <f>+E21*G21</f>
        <v>0</v>
      </c>
      <c r="J21" s="16"/>
      <c r="K21" s="14">
        <f>+'SCH I - Rate Sum STEP 1'!E24</f>
        <v>3.53</v>
      </c>
      <c r="L21" s="17"/>
      <c r="M21" s="15">
        <f>+E21*K21</f>
        <v>0</v>
      </c>
      <c r="N21" s="11"/>
    </row>
    <row r="22" spans="1:17" x14ac:dyDescent="0.2">
      <c r="A22" s="2" t="s">
        <v>23</v>
      </c>
      <c r="C22" s="11">
        <f>SUM(C19:C21)</f>
        <v>0</v>
      </c>
      <c r="E22" s="68">
        <f>SUM(E19:E21)</f>
        <v>4769825</v>
      </c>
      <c r="F22" s="12"/>
      <c r="G22" s="14"/>
      <c r="I22" s="11">
        <f>SUM(I19:I21)</f>
        <v>22643213.759999998</v>
      </c>
      <c r="J22" s="12"/>
      <c r="M22" s="11">
        <f>SUM(M19:M21)</f>
        <v>24579050.829999998</v>
      </c>
      <c r="N22" s="11"/>
    </row>
    <row r="23" spans="1:17" x14ac:dyDescent="0.2">
      <c r="F23" s="12"/>
      <c r="G23" s="12"/>
      <c r="J23" s="12"/>
      <c r="N23" s="11"/>
    </row>
    <row r="24" spans="1:17" x14ac:dyDescent="0.2">
      <c r="A24" s="2" t="s">
        <v>24</v>
      </c>
      <c r="C24" s="11">
        <f>+C22+C17</f>
        <v>303832.5</v>
      </c>
      <c r="E24" s="11">
        <f>+E22+E17</f>
        <v>4769825</v>
      </c>
      <c r="F24" s="12"/>
      <c r="G24" s="12"/>
      <c r="I24" s="11">
        <f>+I22+I17</f>
        <v>34977218.759999998</v>
      </c>
      <c r="J24" s="12"/>
      <c r="M24" s="11">
        <f>+M22+M17</f>
        <v>37674383.454999998</v>
      </c>
      <c r="N24" s="11"/>
      <c r="O24" s="58"/>
      <c r="P24" s="34"/>
      <c r="Q24" s="11"/>
    </row>
    <row r="25" spans="1:17" x14ac:dyDescent="0.2">
      <c r="D25" s="2"/>
      <c r="G25" s="11"/>
      <c r="J25" s="12"/>
      <c r="N25" s="11"/>
      <c r="P25" s="11"/>
    </row>
    <row r="26" spans="1:17" x14ac:dyDescent="0.2">
      <c r="D26" s="19"/>
      <c r="F26" s="19"/>
      <c r="G26" s="19"/>
      <c r="J26" s="19"/>
      <c r="N26" s="11"/>
    </row>
    <row r="27" spans="1:17" x14ac:dyDescent="0.2">
      <c r="A27" s="81" t="s">
        <v>14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11"/>
    </row>
    <row r="28" spans="1:17" x14ac:dyDescent="0.2">
      <c r="A28" s="2" t="s">
        <v>15</v>
      </c>
      <c r="J28" s="12"/>
      <c r="N28" s="11"/>
    </row>
    <row r="29" spans="1:17" x14ac:dyDescent="0.2">
      <c r="A29" s="13" t="s">
        <v>16</v>
      </c>
      <c r="C29" s="11">
        <v>40615</v>
      </c>
      <c r="E29" s="11">
        <v>0</v>
      </c>
      <c r="F29" s="12"/>
      <c r="G29" s="14">
        <f>+'SCH F - Rate Sum STEP 2'!C10</f>
        <v>18.5</v>
      </c>
      <c r="I29" s="70">
        <f>ROUND(+C29*G29,0)</f>
        <v>751378</v>
      </c>
      <c r="J29" s="12"/>
      <c r="K29" s="69">
        <f>+'SCH I - Rate Sum STEP 1'!E10</f>
        <v>19.7</v>
      </c>
      <c r="L29" s="14"/>
      <c r="M29" s="70">
        <f>+K29*C29</f>
        <v>800115.5</v>
      </c>
      <c r="N29" s="11"/>
    </row>
    <row r="30" spans="1:17" x14ac:dyDescent="0.2">
      <c r="A30" s="13" t="s">
        <v>17</v>
      </c>
      <c r="C30" s="11">
        <v>1412</v>
      </c>
      <c r="E30" s="11">
        <v>0</v>
      </c>
      <c r="F30" s="12"/>
      <c r="G30" s="14">
        <f>+'SCH F - Rate Sum STEP 2'!C12</f>
        <v>20.8</v>
      </c>
      <c r="I30" s="11">
        <f>ROUND(+C30*G30,0)</f>
        <v>29370</v>
      </c>
      <c r="J30" s="12"/>
      <c r="K30" s="59">
        <f>+'SCH I - Rate Sum STEP 1'!E12</f>
        <v>22.2</v>
      </c>
      <c r="L30" s="14"/>
      <c r="M30" s="11">
        <f>+K30*C30</f>
        <v>31346.399999999998</v>
      </c>
      <c r="N30" s="11"/>
    </row>
    <row r="31" spans="1:17" x14ac:dyDescent="0.2">
      <c r="A31" s="13" t="s">
        <v>18</v>
      </c>
      <c r="C31" s="11">
        <v>77</v>
      </c>
      <c r="E31" s="11">
        <v>0</v>
      </c>
      <c r="F31" s="12"/>
      <c r="G31" s="14">
        <f>+'SCH F - Rate Sum STEP 2'!C13</f>
        <v>23.4</v>
      </c>
      <c r="I31" s="11">
        <f t="shared" ref="I31:I32" si="2">ROUND(+C31*G31,0)</f>
        <v>1802</v>
      </c>
      <c r="J31" s="12"/>
      <c r="K31" s="59">
        <f>+'SCH I - Rate Sum STEP 1'!E13</f>
        <v>24.9</v>
      </c>
      <c r="L31" s="14"/>
      <c r="M31" s="11">
        <f>+K31*C31</f>
        <v>1917.3</v>
      </c>
      <c r="N31" s="11"/>
    </row>
    <row r="32" spans="1:17" x14ac:dyDescent="0.2">
      <c r="A32" s="13" t="s">
        <v>19</v>
      </c>
      <c r="C32" s="11">
        <v>26</v>
      </c>
      <c r="E32" s="15">
        <v>0</v>
      </c>
      <c r="F32" s="12"/>
      <c r="G32" s="14">
        <f>+'SCH F - Rate Sum STEP 2'!C14</f>
        <v>29.6</v>
      </c>
      <c r="I32" s="15">
        <f t="shared" si="2"/>
        <v>770</v>
      </c>
      <c r="J32" s="12"/>
      <c r="K32" s="59">
        <f>+'SCH I - Rate Sum STEP 1'!E14</f>
        <v>31.5</v>
      </c>
      <c r="L32" s="14"/>
      <c r="M32" s="15">
        <f>+K32*C32</f>
        <v>819</v>
      </c>
      <c r="N32" s="11"/>
    </row>
    <row r="33" spans="1:17" x14ac:dyDescent="0.2">
      <c r="A33" s="2" t="s">
        <v>21</v>
      </c>
      <c r="C33" s="68">
        <f>SUM(C29:C32)</f>
        <v>42130</v>
      </c>
      <c r="E33" s="11">
        <f>SUM(E29:E31)</f>
        <v>0</v>
      </c>
      <c r="F33" s="12"/>
      <c r="G33" s="12"/>
      <c r="I33" s="11">
        <f>SUM(I29:I32)</f>
        <v>783320</v>
      </c>
      <c r="J33" s="12"/>
      <c r="M33" s="11">
        <f>SUM(M29:M32)</f>
        <v>834198.20000000007</v>
      </c>
      <c r="N33" s="11"/>
    </row>
    <row r="34" spans="1:17" x14ac:dyDescent="0.2">
      <c r="F34" s="12"/>
      <c r="G34" s="12"/>
      <c r="J34" s="12"/>
      <c r="N34" s="11"/>
    </row>
    <row r="35" spans="1:17" x14ac:dyDescent="0.2">
      <c r="A35" s="2" t="s">
        <v>39</v>
      </c>
      <c r="C35" s="11">
        <v>0</v>
      </c>
      <c r="E35" s="11">
        <v>212573</v>
      </c>
      <c r="F35" s="12"/>
      <c r="G35" s="14">
        <f>+'SCH I - Rate Sum STEP 1'!C22</f>
        <v>4.7699999999999996</v>
      </c>
      <c r="I35" s="22">
        <f>+E35*G35</f>
        <v>1013973.21</v>
      </c>
      <c r="J35" s="12"/>
      <c r="K35" s="14">
        <f>+'SCH I - Rate Sum STEP 1'!E22</f>
        <v>5.18</v>
      </c>
      <c r="M35" s="22">
        <f>+E35*K35</f>
        <v>1101128.1399999999</v>
      </c>
      <c r="N35" s="11"/>
    </row>
    <row r="36" spans="1:17" x14ac:dyDescent="0.2">
      <c r="A36" s="2" t="s">
        <v>40</v>
      </c>
      <c r="C36" s="11">
        <v>0</v>
      </c>
      <c r="E36" s="11">
        <v>23333</v>
      </c>
      <c r="F36" s="12"/>
      <c r="G36" s="14">
        <f>+'SCH I - Rate Sum STEP 1'!C23</f>
        <v>4.4400000000000004</v>
      </c>
      <c r="I36" s="22">
        <f>+E36*G36</f>
        <v>103598.52</v>
      </c>
      <c r="J36" s="12"/>
      <c r="K36" s="14">
        <f>+'SCH I - Rate Sum STEP 1'!E23</f>
        <v>4.79</v>
      </c>
      <c r="M36" s="22">
        <f>+E36*K36</f>
        <v>111765.07</v>
      </c>
      <c r="N36" s="11"/>
    </row>
    <row r="37" spans="1:17" x14ac:dyDescent="0.2">
      <c r="A37" s="2" t="s">
        <v>41</v>
      </c>
      <c r="C37" s="15">
        <v>0</v>
      </c>
      <c r="E37" s="11">
        <v>8347</v>
      </c>
      <c r="F37" s="12"/>
      <c r="G37" s="14">
        <f>+'SCH I - Rate Sum STEP 1'!C24</f>
        <v>3.25</v>
      </c>
      <c r="I37" s="15">
        <f>+E37*G37</f>
        <v>27127.75</v>
      </c>
      <c r="J37" s="16"/>
      <c r="K37" s="14">
        <f>+'SCH I - Rate Sum STEP 1'!E24</f>
        <v>3.53</v>
      </c>
      <c r="L37" s="17"/>
      <c r="M37" s="15">
        <f>+E37*K37</f>
        <v>29464.91</v>
      </c>
      <c r="N37" s="11"/>
      <c r="P37" s="11"/>
      <c r="Q37" s="59"/>
    </row>
    <row r="38" spans="1:17" x14ac:dyDescent="0.2">
      <c r="A38" s="2" t="s">
        <v>23</v>
      </c>
      <c r="C38" s="11">
        <f>SUM(C35:C37)</f>
        <v>0</v>
      </c>
      <c r="E38" s="68">
        <f>SUM(E35:E37)</f>
        <v>244253</v>
      </c>
      <c r="F38" s="12"/>
      <c r="G38" s="14"/>
      <c r="I38" s="11">
        <f>SUM(I35:I37)</f>
        <v>1144699.48</v>
      </c>
      <c r="J38" s="12"/>
      <c r="M38" s="11">
        <f>SUM(M35:M37)</f>
        <v>1242358.1199999999</v>
      </c>
      <c r="N38" s="11"/>
    </row>
    <row r="39" spans="1:17" x14ac:dyDescent="0.2">
      <c r="F39" s="12"/>
      <c r="G39" s="12"/>
      <c r="J39" s="12"/>
      <c r="N39" s="11"/>
    </row>
    <row r="40" spans="1:17" x14ac:dyDescent="0.2">
      <c r="A40" s="2" t="s">
        <v>24</v>
      </c>
      <c r="C40" s="11">
        <f>+C38+C33</f>
        <v>42130</v>
      </c>
      <c r="E40" s="11">
        <f>+E38+E33</f>
        <v>244253</v>
      </c>
      <c r="F40" s="12"/>
      <c r="G40" s="12"/>
      <c r="I40" s="11">
        <f>+I38+I33</f>
        <v>1928019.48</v>
      </c>
      <c r="J40" s="12"/>
      <c r="M40" s="11">
        <f>+M38+M33</f>
        <v>2076556.3199999998</v>
      </c>
      <c r="N40" s="11"/>
    </row>
    <row r="41" spans="1:17" x14ac:dyDescent="0.2">
      <c r="F41" s="12"/>
      <c r="G41" s="12"/>
      <c r="J41" s="12"/>
      <c r="N41" s="11"/>
    </row>
    <row r="42" spans="1:17" x14ac:dyDescent="0.2">
      <c r="A42" s="2" t="s">
        <v>37</v>
      </c>
      <c r="C42" s="11">
        <f>+C40+C24</f>
        <v>345962.5</v>
      </c>
      <c r="D42" s="2"/>
      <c r="E42" s="11">
        <f>+E40+E24</f>
        <v>5014078</v>
      </c>
      <c r="F42" s="12"/>
      <c r="G42" s="12"/>
      <c r="I42" s="11">
        <f>+I40+I24</f>
        <v>36905238.239999995</v>
      </c>
      <c r="J42" s="12"/>
      <c r="M42" s="11">
        <f>+M40+M24</f>
        <v>39750939.774999999</v>
      </c>
      <c r="N42" s="11"/>
    </row>
    <row r="43" spans="1:17" x14ac:dyDescent="0.2">
      <c r="F43" s="12"/>
      <c r="G43" s="12"/>
      <c r="J43" s="12"/>
      <c r="N43" s="11"/>
    </row>
    <row r="44" spans="1:17" x14ac:dyDescent="0.2">
      <c r="A44" s="81" t="s">
        <v>38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11"/>
      <c r="O44" s="34"/>
    </row>
    <row r="45" spans="1:17" x14ac:dyDescent="0.2">
      <c r="A45" s="2" t="s">
        <v>15</v>
      </c>
      <c r="J45" s="12"/>
      <c r="N45" s="11"/>
      <c r="O45" s="35"/>
    </row>
    <row r="46" spans="1:17" x14ac:dyDescent="0.2">
      <c r="A46" s="13" t="s">
        <v>16</v>
      </c>
      <c r="C46" s="11">
        <v>10230</v>
      </c>
      <c r="E46" s="11">
        <v>0</v>
      </c>
      <c r="F46" s="12"/>
      <c r="G46" s="14">
        <f>+'SCH F - Rate Sum STEP 2'!C29</f>
        <v>40.5</v>
      </c>
      <c r="I46" s="70">
        <f t="shared" ref="I46:I53" si="3">ROUND(+C46*G46,0)</f>
        <v>414315</v>
      </c>
      <c r="J46" s="12"/>
      <c r="K46" s="69">
        <f>+'SCH I - Rate Sum STEP 1'!E29</f>
        <v>43</v>
      </c>
      <c r="L46" s="14"/>
      <c r="M46" s="70">
        <f t="shared" ref="M46:M53" si="4">+C46*K46</f>
        <v>439890</v>
      </c>
      <c r="N46" s="11"/>
    </row>
    <row r="47" spans="1:17" x14ac:dyDescent="0.2">
      <c r="A47" s="13" t="s">
        <v>17</v>
      </c>
      <c r="C47" s="11">
        <v>2582</v>
      </c>
      <c r="E47" s="11">
        <v>0</v>
      </c>
      <c r="F47" s="12"/>
      <c r="G47" s="14">
        <f>+'SCH F - Rate Sum STEP 2'!$C31</f>
        <v>48.8</v>
      </c>
      <c r="I47" s="11">
        <f t="shared" si="3"/>
        <v>126002</v>
      </c>
      <c r="J47" s="12"/>
      <c r="K47" s="59">
        <f>+'SCH I - Rate Sum STEP 1'!E31</f>
        <v>51.8</v>
      </c>
      <c r="L47" s="14"/>
      <c r="M47" s="23">
        <f t="shared" si="4"/>
        <v>133747.6</v>
      </c>
      <c r="N47" s="11"/>
    </row>
    <row r="48" spans="1:17" x14ac:dyDescent="0.2">
      <c r="A48" s="13" t="s">
        <v>18</v>
      </c>
      <c r="C48" s="11">
        <v>1394</v>
      </c>
      <c r="E48" s="11">
        <v>0</v>
      </c>
      <c r="F48" s="12"/>
      <c r="G48" s="14">
        <f>+'SCH F - Rate Sum STEP 2'!$C32</f>
        <v>57.7</v>
      </c>
      <c r="I48" s="11">
        <f t="shared" si="3"/>
        <v>80434</v>
      </c>
      <c r="J48" s="12"/>
      <c r="K48" s="59">
        <f>+'SCH I - Rate Sum STEP 1'!E32</f>
        <v>61.25</v>
      </c>
      <c r="L48" s="14"/>
      <c r="M48" s="23">
        <f t="shared" si="4"/>
        <v>85382.5</v>
      </c>
      <c r="N48" s="11"/>
    </row>
    <row r="49" spans="1:14" x14ac:dyDescent="0.2">
      <c r="A49" s="13" t="s">
        <v>19</v>
      </c>
      <c r="C49" s="11">
        <v>2078</v>
      </c>
      <c r="E49" s="11">
        <v>0</v>
      </c>
      <c r="F49" s="12"/>
      <c r="G49" s="14">
        <f>+'SCH F - Rate Sum STEP 2'!$C33</f>
        <v>80.900000000000006</v>
      </c>
      <c r="I49" s="11">
        <f t="shared" si="3"/>
        <v>168110</v>
      </c>
      <c r="J49" s="12"/>
      <c r="K49" s="59">
        <f>+'SCH I - Rate Sum STEP 1'!E33</f>
        <v>85.9</v>
      </c>
      <c r="L49" s="14"/>
      <c r="M49" s="23">
        <f t="shared" si="4"/>
        <v>178500.2</v>
      </c>
      <c r="N49" s="11"/>
    </row>
    <row r="50" spans="1:14" x14ac:dyDescent="0.2">
      <c r="A50" s="13" t="s">
        <v>26</v>
      </c>
      <c r="C50" s="11">
        <v>250</v>
      </c>
      <c r="E50" s="11">
        <v>0</v>
      </c>
      <c r="F50" s="12"/>
      <c r="G50" s="14">
        <f>+'SCH F - Rate Sum STEP 2'!$C34</f>
        <v>251.8</v>
      </c>
      <c r="I50" s="11">
        <f t="shared" si="3"/>
        <v>62950</v>
      </c>
      <c r="J50" s="12"/>
      <c r="K50" s="59">
        <f>+'SCH I - Rate Sum STEP 1'!E34</f>
        <v>267.35000000000002</v>
      </c>
      <c r="L50" s="14"/>
      <c r="M50" s="23">
        <f t="shared" si="4"/>
        <v>66837.5</v>
      </c>
      <c r="N50" s="11"/>
    </row>
    <row r="51" spans="1:14" x14ac:dyDescent="0.2">
      <c r="A51" s="13" t="s">
        <v>20</v>
      </c>
      <c r="C51" s="11">
        <v>156</v>
      </c>
      <c r="E51" s="11">
        <v>0</v>
      </c>
      <c r="F51" s="12"/>
      <c r="G51" s="14">
        <f>+'SCH F - Rate Sum STEP 2'!$C35</f>
        <v>315.5</v>
      </c>
      <c r="I51" s="11">
        <f t="shared" si="3"/>
        <v>49218</v>
      </c>
      <c r="J51" s="12"/>
      <c r="K51" s="59">
        <f>+'SCH I - Rate Sum STEP 1'!E35</f>
        <v>335</v>
      </c>
      <c r="L51" s="14"/>
      <c r="M51" s="23">
        <f t="shared" si="4"/>
        <v>52260</v>
      </c>
      <c r="N51" s="11"/>
    </row>
    <row r="52" spans="1:14" x14ac:dyDescent="0.2">
      <c r="A52" s="13" t="s">
        <v>27</v>
      </c>
      <c r="C52" s="11">
        <v>79</v>
      </c>
      <c r="E52" s="11">
        <v>0</v>
      </c>
      <c r="F52" s="12"/>
      <c r="G52" s="14">
        <f>+'SCH F - Rate Sum STEP 2'!$C36</f>
        <v>466.2</v>
      </c>
      <c r="I52" s="22">
        <f t="shared" si="3"/>
        <v>36830</v>
      </c>
      <c r="J52" s="12"/>
      <c r="K52" s="59">
        <f>+'SCH I - Rate Sum STEP 1'!E36</f>
        <v>495</v>
      </c>
      <c r="L52" s="14"/>
      <c r="M52" s="23">
        <f t="shared" si="4"/>
        <v>39105</v>
      </c>
      <c r="N52" s="11"/>
    </row>
    <row r="53" spans="1:14" x14ac:dyDescent="0.2">
      <c r="A53" s="13" t="s">
        <v>28</v>
      </c>
      <c r="C53" s="11">
        <v>67</v>
      </c>
      <c r="E53" s="11">
        <v>0</v>
      </c>
      <c r="F53" s="12"/>
      <c r="G53" s="14">
        <f>+'SCH F - Rate Sum STEP 2'!$C37</f>
        <v>637.1</v>
      </c>
      <c r="I53" s="22">
        <f t="shared" si="3"/>
        <v>42686</v>
      </c>
      <c r="J53" s="12"/>
      <c r="K53" s="59">
        <f>+'SCH I - Rate Sum STEP 1'!E37</f>
        <v>676.45</v>
      </c>
      <c r="L53" s="14"/>
      <c r="M53" s="23">
        <f t="shared" si="4"/>
        <v>45322.15</v>
      </c>
      <c r="N53" s="11"/>
    </row>
    <row r="54" spans="1:14" x14ac:dyDescent="0.2">
      <c r="A54" s="2" t="s">
        <v>30</v>
      </c>
      <c r="C54" s="68">
        <f>SUM(C46:C53)</f>
        <v>16836</v>
      </c>
      <c r="E54" s="68">
        <f>SUM(E46:E53)</f>
        <v>0</v>
      </c>
      <c r="F54" s="12"/>
      <c r="G54" s="16"/>
      <c r="I54" s="68">
        <f>SUM(I46:I53)</f>
        <v>980545</v>
      </c>
      <c r="J54" s="12"/>
      <c r="M54" s="68">
        <f>SUM(M46:M53)</f>
        <v>1041044.9500000001</v>
      </c>
      <c r="N54" s="11"/>
    </row>
    <row r="55" spans="1:14" x14ac:dyDescent="0.2">
      <c r="F55" s="12"/>
      <c r="G55" s="12"/>
      <c r="J55" s="12"/>
      <c r="N55" s="11"/>
    </row>
    <row r="56" spans="1:14" x14ac:dyDescent="0.2">
      <c r="A56" s="2" t="s">
        <v>34</v>
      </c>
      <c r="C56" s="11">
        <v>0</v>
      </c>
      <c r="E56" s="11">
        <v>325454</v>
      </c>
      <c r="F56" s="12"/>
      <c r="G56" s="36">
        <f>+'SCH I - Rate Sum STEP 1'!C41</f>
        <v>4.7699999999999996</v>
      </c>
      <c r="I56" s="20">
        <f>ROUND(+E56*G56,0)</f>
        <v>1552416</v>
      </c>
      <c r="J56" s="25"/>
      <c r="K56" s="48">
        <f>+'SCH I - Rate Sum STEP 1'!E41</f>
        <v>5.18</v>
      </c>
      <c r="L56" s="17"/>
      <c r="M56" s="20">
        <f>+E56*K56</f>
        <v>1685851.72</v>
      </c>
      <c r="N56" s="11"/>
    </row>
    <row r="57" spans="1:14" x14ac:dyDescent="0.2">
      <c r="A57" s="2" t="s">
        <v>35</v>
      </c>
      <c r="C57" s="22">
        <v>0</v>
      </c>
      <c r="D57" s="22"/>
      <c r="E57" s="11">
        <v>958439</v>
      </c>
      <c r="F57" s="26"/>
      <c r="G57" s="36">
        <f>+'SCH I - Rate Sum STEP 1'!C42</f>
        <v>4.4400000000000004</v>
      </c>
      <c r="I57" s="20">
        <f>ROUND(+E57*G57,0)</f>
        <v>4255469</v>
      </c>
      <c r="J57" s="16"/>
      <c r="K57" s="48">
        <f>+'SCH I - Rate Sum STEP 1'!E42</f>
        <v>4.79</v>
      </c>
      <c r="L57" s="17"/>
      <c r="M57" s="20">
        <f>+E57*K57</f>
        <v>4590922.8099999996</v>
      </c>
      <c r="N57" s="11"/>
    </row>
    <row r="58" spans="1:14" x14ac:dyDescent="0.2">
      <c r="A58" s="2" t="s">
        <v>36</v>
      </c>
      <c r="C58" s="15">
        <v>0</v>
      </c>
      <c r="D58" s="22"/>
      <c r="E58" s="11">
        <v>225461</v>
      </c>
      <c r="F58" s="12"/>
      <c r="G58" s="36">
        <f>+'SCH I - Rate Sum STEP 1'!C43</f>
        <v>3.25</v>
      </c>
      <c r="I58" s="24">
        <f>ROUND(+E58*G58,0)</f>
        <v>732748</v>
      </c>
      <c r="J58" s="12"/>
      <c r="K58" s="48">
        <f>+'SCH I - Rate Sum STEP 1'!E43</f>
        <v>3.53</v>
      </c>
      <c r="L58" s="17"/>
      <c r="M58" s="24">
        <f>+E58*K58</f>
        <v>795877.33</v>
      </c>
      <c r="N58" s="11"/>
    </row>
    <row r="59" spans="1:14" x14ac:dyDescent="0.2">
      <c r="A59" s="2" t="s">
        <v>30</v>
      </c>
      <c r="C59" s="22">
        <f>SUM(C56:C58)</f>
        <v>0</v>
      </c>
      <c r="D59" s="2"/>
      <c r="E59" s="68">
        <f>SUM(E56:E58)</f>
        <v>1509354</v>
      </c>
      <c r="F59" s="12"/>
      <c r="G59" s="18"/>
      <c r="I59" s="22">
        <f>SUM(I56:I58)</f>
        <v>6540633</v>
      </c>
      <c r="J59" s="12"/>
      <c r="M59" s="22">
        <f>SUM(M56:M58)</f>
        <v>7072651.8599999994</v>
      </c>
      <c r="N59" s="11"/>
    </row>
    <row r="60" spans="1:14" x14ac:dyDescent="0.2">
      <c r="F60" s="12"/>
      <c r="G60" s="12"/>
      <c r="J60" s="12"/>
      <c r="N60" s="11"/>
    </row>
    <row r="61" spans="1:14" x14ac:dyDescent="0.2">
      <c r="A61" s="2" t="s">
        <v>24</v>
      </c>
      <c r="C61" s="11">
        <f>+C59+C54</f>
        <v>16836</v>
      </c>
      <c r="E61" s="11">
        <f>+E59+E54</f>
        <v>1509354</v>
      </c>
      <c r="F61" s="12"/>
      <c r="G61" s="12"/>
      <c r="I61" s="11">
        <f>+I59+I54</f>
        <v>7521178</v>
      </c>
      <c r="J61" s="12"/>
      <c r="M61" s="11">
        <f>+M59+M54</f>
        <v>8113696.8099999996</v>
      </c>
      <c r="N61" s="11"/>
    </row>
    <row r="62" spans="1:14" x14ac:dyDescent="0.2">
      <c r="A62" s="13"/>
      <c r="F62" s="12"/>
      <c r="G62" s="12"/>
      <c r="N62" s="11"/>
    </row>
    <row r="63" spans="1:14" x14ac:dyDescent="0.2">
      <c r="A63" s="81" t="s">
        <v>25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11"/>
    </row>
    <row r="64" spans="1:14" x14ac:dyDescent="0.2">
      <c r="A64" s="2" t="s">
        <v>15</v>
      </c>
      <c r="J64" s="12"/>
      <c r="N64" s="11"/>
    </row>
    <row r="65" spans="1:14" x14ac:dyDescent="0.2">
      <c r="A65" s="13" t="s">
        <v>16</v>
      </c>
      <c r="C65" s="11">
        <v>636.5</v>
      </c>
      <c r="E65" s="11">
        <v>0</v>
      </c>
      <c r="F65" s="12"/>
      <c r="G65" s="14">
        <f>+'SCH F - Rate Sum STEP 2'!C10</f>
        <v>18.5</v>
      </c>
      <c r="I65" s="70">
        <f t="shared" ref="I65:I70" si="5">ROUND(+C65*G65,0)</f>
        <v>11775</v>
      </c>
      <c r="J65" s="12"/>
      <c r="K65" s="69">
        <f>+'SCH I - Rate Sum STEP 1'!E10</f>
        <v>19.7</v>
      </c>
      <c r="L65" s="14"/>
      <c r="M65" s="70">
        <f t="shared" ref="M65:M70" si="6">+C65*K65</f>
        <v>12539.05</v>
      </c>
      <c r="N65" s="11"/>
    </row>
    <row r="66" spans="1:14" x14ac:dyDescent="0.2">
      <c r="A66" s="13" t="s">
        <v>17</v>
      </c>
      <c r="C66" s="11">
        <v>82</v>
      </c>
      <c r="E66" s="11">
        <v>0</v>
      </c>
      <c r="F66" s="12"/>
      <c r="G66" s="14">
        <f>+'SCH F - Rate Sum STEP 2'!C12</f>
        <v>20.8</v>
      </c>
      <c r="I66" s="11">
        <f t="shared" si="5"/>
        <v>1706</v>
      </c>
      <c r="J66" s="12"/>
      <c r="K66" s="59">
        <f>+'SCH I - Rate Sum STEP 1'!E12</f>
        <v>22.2</v>
      </c>
      <c r="L66" s="14"/>
      <c r="M66" s="23">
        <f t="shared" si="6"/>
        <v>1820.3999999999999</v>
      </c>
      <c r="N66" s="11"/>
    </row>
    <row r="67" spans="1:14" x14ac:dyDescent="0.2">
      <c r="A67" s="13" t="s">
        <v>18</v>
      </c>
      <c r="C67" s="11">
        <v>37</v>
      </c>
      <c r="E67" s="11">
        <v>0</v>
      </c>
      <c r="F67" s="12"/>
      <c r="G67" s="14">
        <f>+'SCH F - Rate Sum STEP 2'!C13</f>
        <v>23.4</v>
      </c>
      <c r="I67" s="11">
        <f t="shared" si="5"/>
        <v>866</v>
      </c>
      <c r="J67" s="12"/>
      <c r="K67" s="59">
        <f>+'SCH I - Rate Sum STEP 1'!E13</f>
        <v>24.9</v>
      </c>
      <c r="L67" s="14"/>
      <c r="M67" s="23">
        <f t="shared" si="6"/>
        <v>921.3</v>
      </c>
      <c r="N67" s="11"/>
    </row>
    <row r="68" spans="1:14" x14ac:dyDescent="0.2">
      <c r="A68" s="13" t="s">
        <v>19</v>
      </c>
      <c r="C68" s="11">
        <v>146</v>
      </c>
      <c r="E68" s="11">
        <v>0</v>
      </c>
      <c r="F68" s="12"/>
      <c r="G68" s="14">
        <f>+'SCH F - Rate Sum STEP 2'!C14</f>
        <v>29.6</v>
      </c>
      <c r="I68" s="11">
        <f t="shared" si="5"/>
        <v>4322</v>
      </c>
      <c r="J68" s="12"/>
      <c r="K68" s="59">
        <f>+'SCH I - Rate Sum STEP 1'!E14</f>
        <v>31.5</v>
      </c>
      <c r="L68" s="14"/>
      <c r="M68" s="23">
        <f t="shared" si="6"/>
        <v>4599</v>
      </c>
      <c r="N68" s="11"/>
    </row>
    <row r="69" spans="1:14" x14ac:dyDescent="0.2">
      <c r="A69" s="74" t="s">
        <v>26</v>
      </c>
      <c r="C69" s="11">
        <v>12</v>
      </c>
      <c r="E69" s="11">
        <v>0</v>
      </c>
      <c r="F69" s="12"/>
      <c r="G69" s="14">
        <f>+'SCH F - Rate Sum STEP 2'!C15</f>
        <v>71.3</v>
      </c>
      <c r="I69" s="11">
        <f t="shared" ref="I69" si="7">ROUND(+C69*G69,0)</f>
        <v>856</v>
      </c>
      <c r="J69" s="12"/>
      <c r="K69" s="59">
        <f>+'SCH I - Rate Sum STEP 1'!E15</f>
        <v>75.900000000000006</v>
      </c>
      <c r="L69" s="14"/>
      <c r="M69" s="23">
        <f t="shared" ref="M69" si="8">+C69*K69</f>
        <v>910.80000000000007</v>
      </c>
      <c r="N69" s="11"/>
    </row>
    <row r="70" spans="1:14" x14ac:dyDescent="0.2">
      <c r="A70" s="13" t="s">
        <v>20</v>
      </c>
      <c r="C70" s="11">
        <v>61.5</v>
      </c>
      <c r="E70" s="11">
        <v>0</v>
      </c>
      <c r="F70" s="12"/>
      <c r="G70" s="14">
        <f>+'SCH F - Rate Sum STEP 2'!C16</f>
        <v>89.5</v>
      </c>
      <c r="I70" s="11">
        <f t="shared" si="5"/>
        <v>5504</v>
      </c>
      <c r="J70" s="12"/>
      <c r="K70" s="59">
        <f>+'SCH I - Rate Sum STEP 1'!E16</f>
        <v>95.3</v>
      </c>
      <c r="L70" s="14"/>
      <c r="M70" s="23">
        <f t="shared" si="6"/>
        <v>5860.95</v>
      </c>
      <c r="N70" s="11"/>
    </row>
    <row r="71" spans="1:14" x14ac:dyDescent="0.2">
      <c r="A71" s="74" t="s">
        <v>27</v>
      </c>
      <c r="C71" s="11">
        <v>12</v>
      </c>
      <c r="E71" s="11">
        <v>0</v>
      </c>
      <c r="F71" s="12"/>
      <c r="G71" s="14">
        <f>+'SCH F - Rate Sum STEP 2'!C17</f>
        <v>132.4</v>
      </c>
      <c r="I71" s="11">
        <f t="shared" ref="I71" si="9">ROUND(+C71*G71,0)</f>
        <v>1589</v>
      </c>
      <c r="J71" s="12"/>
      <c r="K71" s="59">
        <f>+'SCH I - Rate Sum STEP 1'!E17</f>
        <v>141</v>
      </c>
      <c r="L71" s="14"/>
      <c r="M71" s="23">
        <f t="shared" ref="M71" si="10">+C71*K71</f>
        <v>1692</v>
      </c>
      <c r="N71" s="11"/>
    </row>
    <row r="72" spans="1:14" x14ac:dyDescent="0.2">
      <c r="A72" s="2" t="s">
        <v>30</v>
      </c>
      <c r="C72" s="68">
        <f>SUM(C65:C71)</f>
        <v>987</v>
      </c>
      <c r="E72" s="68">
        <f>SUM(E65:E71)</f>
        <v>0</v>
      </c>
      <c r="F72" s="12"/>
      <c r="G72" s="16"/>
      <c r="I72" s="68">
        <f>SUM(I65:I71)</f>
        <v>26618</v>
      </c>
      <c r="J72" s="12"/>
      <c r="M72" s="68">
        <f>SUM(M65:M71)</f>
        <v>28343.5</v>
      </c>
      <c r="N72" s="11"/>
    </row>
    <row r="73" spans="1:14" x14ac:dyDescent="0.2">
      <c r="F73" s="12"/>
      <c r="G73" s="12"/>
      <c r="J73" s="12"/>
      <c r="N73" s="11"/>
    </row>
    <row r="74" spans="1:14" x14ac:dyDescent="0.2">
      <c r="A74" s="2" t="s">
        <v>39</v>
      </c>
      <c r="C74" s="11">
        <v>0</v>
      </c>
      <c r="E74" s="11">
        <v>9922</v>
      </c>
      <c r="F74" s="12"/>
      <c r="G74" s="36">
        <f>+'SCH F - Rate Sum STEP 2'!C22</f>
        <v>4.7699999999999996</v>
      </c>
      <c r="I74" s="20">
        <f>ROUND(+E74*G74,0)</f>
        <v>47328</v>
      </c>
      <c r="J74" s="25"/>
      <c r="K74" s="17">
        <f>+'SCH I - Rate Sum STEP 1'!E22</f>
        <v>5.18</v>
      </c>
      <c r="L74" s="17"/>
      <c r="M74" s="20">
        <f>+E74*K74</f>
        <v>51395.96</v>
      </c>
      <c r="N74" s="11"/>
    </row>
    <row r="75" spans="1:14" x14ac:dyDescent="0.2">
      <c r="A75" s="2" t="s">
        <v>40</v>
      </c>
      <c r="C75" s="22">
        <v>0</v>
      </c>
      <c r="D75" s="22"/>
      <c r="E75" s="22">
        <v>44391</v>
      </c>
      <c r="F75" s="26"/>
      <c r="G75" s="36">
        <f>+'SCH F - Rate Sum STEP 2'!C23</f>
        <v>4.4400000000000004</v>
      </c>
      <c r="I75" s="20">
        <f>ROUND(+E75*G75,0)</f>
        <v>197096</v>
      </c>
      <c r="J75" s="16"/>
      <c r="K75" s="17">
        <f>+'SCH I - Rate Sum STEP 1'!E23</f>
        <v>4.79</v>
      </c>
      <c r="L75" s="17"/>
      <c r="M75" s="20">
        <f>+E75*K75</f>
        <v>212632.89</v>
      </c>
      <c r="N75" s="11"/>
    </row>
    <row r="76" spans="1:14" x14ac:dyDescent="0.2">
      <c r="A76" s="2" t="s">
        <v>41</v>
      </c>
      <c r="C76" s="15">
        <v>0</v>
      </c>
      <c r="D76" s="22"/>
      <c r="E76" s="15">
        <v>5175</v>
      </c>
      <c r="F76" s="12"/>
      <c r="G76" s="37">
        <f>+'SCH F - Rate Sum STEP 2'!C24</f>
        <v>3.25</v>
      </c>
      <c r="I76" s="24">
        <f>ROUND(+E76*G76,0)</f>
        <v>16819</v>
      </c>
      <c r="J76" s="12"/>
      <c r="K76" s="17">
        <f>+'SCH I - Rate Sum STEP 1'!E24</f>
        <v>3.53</v>
      </c>
      <c r="L76" s="17"/>
      <c r="M76" s="24">
        <f>+E76*K76</f>
        <v>18267.75</v>
      </c>
      <c r="N76" s="11"/>
    </row>
    <row r="77" spans="1:14" x14ac:dyDescent="0.2">
      <c r="A77" s="2" t="s">
        <v>30</v>
      </c>
      <c r="C77" s="22">
        <f>SUM(C74:C76)</f>
        <v>0</v>
      </c>
      <c r="D77" s="2"/>
      <c r="E77" s="22">
        <f>SUM(E74:E76)</f>
        <v>59488</v>
      </c>
      <c r="F77" s="12"/>
      <c r="G77" s="18"/>
      <c r="I77" s="22">
        <f>SUM(I74:I76)</f>
        <v>261243</v>
      </c>
      <c r="J77" s="12"/>
      <c r="M77" s="22">
        <f>SUM(M74:M76)</f>
        <v>282296.60000000003</v>
      </c>
      <c r="N77" s="11"/>
    </row>
    <row r="78" spans="1:14" x14ac:dyDescent="0.2">
      <c r="F78" s="12"/>
      <c r="G78" s="12"/>
      <c r="J78" s="12"/>
      <c r="N78" s="11"/>
    </row>
    <row r="79" spans="1:14" x14ac:dyDescent="0.2">
      <c r="A79" s="2" t="s">
        <v>24</v>
      </c>
      <c r="C79" s="11">
        <f>+C77+C72</f>
        <v>987</v>
      </c>
      <c r="E79" s="11">
        <f>+E77+E72</f>
        <v>59488</v>
      </c>
      <c r="F79" s="12"/>
      <c r="G79" s="12"/>
      <c r="I79" s="11">
        <f>+I77+I72</f>
        <v>287861</v>
      </c>
      <c r="J79" s="12"/>
      <c r="M79" s="11">
        <f>+M77+M72</f>
        <v>310640.10000000003</v>
      </c>
      <c r="N79" s="11"/>
    </row>
    <row r="80" spans="1:14" x14ac:dyDescent="0.2">
      <c r="F80" s="12"/>
      <c r="G80" s="12"/>
      <c r="J80" s="12"/>
      <c r="N80" s="11"/>
    </row>
    <row r="81" spans="1:18" x14ac:dyDescent="0.2">
      <c r="A81" s="2" t="s">
        <v>42</v>
      </c>
      <c r="C81" s="11">
        <f>+C79+C61</f>
        <v>17823</v>
      </c>
      <c r="D81" s="2"/>
      <c r="E81" s="11">
        <f>+E79+E61</f>
        <v>1568842</v>
      </c>
      <c r="F81" s="12"/>
      <c r="G81" s="12"/>
      <c r="I81" s="11">
        <f>+I79+I61</f>
        <v>7809039</v>
      </c>
      <c r="J81" s="12"/>
      <c r="M81" s="11">
        <f>+M79+M61</f>
        <v>8424336.9100000001</v>
      </c>
      <c r="N81" s="11"/>
    </row>
    <row r="82" spans="1:18" x14ac:dyDescent="0.2">
      <c r="F82" s="12"/>
      <c r="G82" s="12"/>
      <c r="J82" s="12"/>
      <c r="N82" s="11"/>
    </row>
    <row r="83" spans="1:18" x14ac:dyDescent="0.2">
      <c r="F83" s="12"/>
      <c r="G83" s="12"/>
      <c r="N83" s="11"/>
    </row>
    <row r="84" spans="1:18" x14ac:dyDescent="0.2">
      <c r="A84" s="81" t="s">
        <v>49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11"/>
      <c r="O84" s="12"/>
      <c r="P84" s="11"/>
      <c r="Q84" s="11"/>
      <c r="R84" s="11"/>
    </row>
    <row r="85" spans="1:18" x14ac:dyDescent="0.2">
      <c r="A85" s="2" t="s">
        <v>15</v>
      </c>
      <c r="J85" s="12"/>
      <c r="N85" s="11"/>
      <c r="P85" s="21"/>
      <c r="Q85" s="21"/>
      <c r="R85" s="21"/>
    </row>
    <row r="86" spans="1:18" x14ac:dyDescent="0.2">
      <c r="A86" s="13" t="s">
        <v>16</v>
      </c>
      <c r="C86" s="11">
        <v>6846</v>
      </c>
      <c r="E86" s="11">
        <v>0</v>
      </c>
      <c r="F86" s="12"/>
      <c r="G86" s="14">
        <f>+'SCH F - Rate Sum STEP 2'!C29</f>
        <v>40.5</v>
      </c>
      <c r="I86" s="70">
        <f t="shared" ref="I86:I93" si="11">ROUND(+C86*G86,0)</f>
        <v>277263</v>
      </c>
      <c r="J86" s="12"/>
      <c r="K86" s="69">
        <f>+'SCH I - Rate Sum STEP 1'!E29</f>
        <v>43</v>
      </c>
      <c r="L86" s="14"/>
      <c r="M86" s="70">
        <f t="shared" ref="M86:M93" si="12">ROUND(+K86*C86,0)</f>
        <v>294378</v>
      </c>
      <c r="N86" s="11"/>
      <c r="O86" s="22"/>
      <c r="P86" s="22"/>
      <c r="Q86" s="22"/>
      <c r="R86" s="11"/>
    </row>
    <row r="87" spans="1:18" x14ac:dyDescent="0.2">
      <c r="A87" s="13" t="s">
        <v>17</v>
      </c>
      <c r="C87" s="11">
        <v>6</v>
      </c>
      <c r="E87" s="11">
        <v>0</v>
      </c>
      <c r="F87" s="12"/>
      <c r="G87" s="14">
        <f>+'SCH F - Rate Sum STEP 2'!C31</f>
        <v>48.8</v>
      </c>
      <c r="I87" s="11">
        <f t="shared" si="11"/>
        <v>293</v>
      </c>
      <c r="J87" s="12"/>
      <c r="K87" s="59">
        <f>+'SCH I - Rate Sum STEP 1'!E31</f>
        <v>51.8</v>
      </c>
      <c r="L87" s="14"/>
      <c r="M87" s="11">
        <f t="shared" si="12"/>
        <v>311</v>
      </c>
      <c r="N87" s="11"/>
      <c r="O87" s="11"/>
      <c r="P87" s="22"/>
      <c r="Q87" s="22"/>
      <c r="R87" s="11"/>
    </row>
    <row r="88" spans="1:18" x14ac:dyDescent="0.2">
      <c r="A88" s="13" t="s">
        <v>18</v>
      </c>
      <c r="C88" s="11">
        <v>1605</v>
      </c>
      <c r="E88" s="11">
        <v>0</v>
      </c>
      <c r="F88" s="12"/>
      <c r="G88" s="14">
        <f>+'SCH F - Rate Sum STEP 2'!C32</f>
        <v>57.7</v>
      </c>
      <c r="I88" s="11">
        <f t="shared" si="11"/>
        <v>92609</v>
      </c>
      <c r="J88" s="12"/>
      <c r="K88" s="59">
        <f>+'SCH I - Rate Sum STEP 1'!E32</f>
        <v>61.25</v>
      </c>
      <c r="L88" s="14"/>
      <c r="M88" s="11">
        <f t="shared" si="12"/>
        <v>98306</v>
      </c>
      <c r="N88" s="11"/>
      <c r="O88" s="11"/>
      <c r="P88" s="12"/>
      <c r="Q88" s="12"/>
    </row>
    <row r="89" spans="1:18" x14ac:dyDescent="0.2">
      <c r="A89" s="13" t="s">
        <v>19</v>
      </c>
      <c r="C89" s="11">
        <v>731.5</v>
      </c>
      <c r="E89" s="11">
        <v>0</v>
      </c>
      <c r="F89" s="12"/>
      <c r="G89" s="14">
        <f>+'SCH F - Rate Sum STEP 2'!C33</f>
        <v>80.900000000000006</v>
      </c>
      <c r="I89" s="11">
        <f t="shared" si="11"/>
        <v>59178</v>
      </c>
      <c r="J89" s="12"/>
      <c r="K89" s="59">
        <f>+'SCH I - Rate Sum STEP 1'!E33</f>
        <v>85.9</v>
      </c>
      <c r="L89" s="14"/>
      <c r="M89" s="11">
        <f t="shared" si="12"/>
        <v>62836</v>
      </c>
      <c r="N89" s="11"/>
      <c r="O89" s="11"/>
      <c r="P89" s="11"/>
      <c r="Q89" s="12"/>
      <c r="R89" s="11"/>
    </row>
    <row r="90" spans="1:18" x14ac:dyDescent="0.2">
      <c r="A90" s="13" t="s">
        <v>26</v>
      </c>
      <c r="C90" s="11">
        <v>76</v>
      </c>
      <c r="E90" s="11">
        <v>0</v>
      </c>
      <c r="F90" s="12"/>
      <c r="G90" s="14">
        <f>+'SCH F - Rate Sum STEP 2'!C34</f>
        <v>251.8</v>
      </c>
      <c r="I90" s="11">
        <f t="shared" si="11"/>
        <v>19137</v>
      </c>
      <c r="J90" s="12"/>
      <c r="K90" s="59">
        <f>+'SCH I - Rate Sum STEP 1'!E34</f>
        <v>267.35000000000002</v>
      </c>
      <c r="L90" s="14"/>
      <c r="M90" s="11">
        <f t="shared" si="12"/>
        <v>20319</v>
      </c>
      <c r="N90" s="11"/>
      <c r="O90" s="12"/>
      <c r="P90" s="11"/>
    </row>
    <row r="91" spans="1:18" x14ac:dyDescent="0.2">
      <c r="A91" s="13" t="s">
        <v>20</v>
      </c>
      <c r="C91" s="11">
        <v>50</v>
      </c>
      <c r="E91" s="11">
        <v>0</v>
      </c>
      <c r="F91" s="12"/>
      <c r="G91" s="14">
        <f>+'SCH F - Rate Sum STEP 2'!C35</f>
        <v>315.5</v>
      </c>
      <c r="I91" s="11">
        <f t="shared" si="11"/>
        <v>15775</v>
      </c>
      <c r="J91" s="12"/>
      <c r="K91" s="59">
        <f>+'SCH I - Rate Sum STEP 1'!E35</f>
        <v>335</v>
      </c>
      <c r="L91" s="14"/>
      <c r="M91" s="11">
        <f t="shared" si="12"/>
        <v>16750</v>
      </c>
      <c r="N91" s="11"/>
      <c r="P91" s="11"/>
      <c r="Q91" s="12"/>
      <c r="R91" s="11"/>
    </row>
    <row r="92" spans="1:18" x14ac:dyDescent="0.2">
      <c r="A92" s="13" t="s">
        <v>27</v>
      </c>
      <c r="C92" s="11">
        <v>134.5</v>
      </c>
      <c r="E92" s="11">
        <v>0</v>
      </c>
      <c r="F92" s="12"/>
      <c r="G92" s="14">
        <f>+'SCH F - Rate Sum STEP 2'!C36</f>
        <v>466.2</v>
      </c>
      <c r="I92" s="11">
        <f t="shared" si="11"/>
        <v>62704</v>
      </c>
      <c r="J92" s="12"/>
      <c r="K92" s="59">
        <f>+'SCH I - Rate Sum STEP 1'!E36</f>
        <v>495</v>
      </c>
      <c r="L92" s="14"/>
      <c r="M92" s="11">
        <f t="shared" si="12"/>
        <v>66578</v>
      </c>
      <c r="N92" s="11"/>
      <c r="O92" s="12"/>
      <c r="P92" s="11"/>
    </row>
    <row r="93" spans="1:18" x14ac:dyDescent="0.2">
      <c r="A93" s="13" t="s">
        <v>28</v>
      </c>
      <c r="B93" s="13"/>
      <c r="C93" s="11">
        <v>50.5</v>
      </c>
      <c r="E93" s="15">
        <v>0</v>
      </c>
      <c r="F93" s="12"/>
      <c r="G93" s="14">
        <f>+'SCH F - Rate Sum STEP 2'!C37</f>
        <v>637.1</v>
      </c>
      <c r="I93" s="15">
        <f t="shared" si="11"/>
        <v>32174</v>
      </c>
      <c r="J93" s="12"/>
      <c r="K93" s="59">
        <f>+'SCH I - Rate Sum STEP 1'!E37</f>
        <v>676.45</v>
      </c>
      <c r="L93" s="14"/>
      <c r="M93" s="15">
        <f t="shared" si="12"/>
        <v>34161</v>
      </c>
      <c r="N93" s="11"/>
      <c r="O93" s="12"/>
      <c r="P93" s="11"/>
    </row>
    <row r="94" spans="1:18" x14ac:dyDescent="0.2">
      <c r="A94" s="2" t="s">
        <v>30</v>
      </c>
      <c r="C94" s="68">
        <f>SUM(C86:C93)</f>
        <v>9499.5</v>
      </c>
      <c r="E94" s="11">
        <f>SUM(E86:E93)</f>
        <v>0</v>
      </c>
      <c r="F94" s="12"/>
      <c r="G94" s="12"/>
      <c r="I94" s="11">
        <f>SUM(I86:I93)</f>
        <v>559133</v>
      </c>
      <c r="J94" s="12"/>
      <c r="K94" s="59"/>
      <c r="M94" s="11">
        <f>SUM(M86:M93)</f>
        <v>593639</v>
      </c>
      <c r="N94" s="11"/>
    </row>
    <row r="95" spans="1:18" x14ac:dyDescent="0.2">
      <c r="F95" s="12"/>
      <c r="G95" s="12"/>
      <c r="J95" s="12"/>
      <c r="N95" s="11"/>
    </row>
    <row r="96" spans="1:18" x14ac:dyDescent="0.2">
      <c r="A96" s="2" t="s">
        <v>34</v>
      </c>
      <c r="C96" s="11">
        <v>0</v>
      </c>
      <c r="E96" s="11">
        <v>319108</v>
      </c>
      <c r="F96" s="12"/>
      <c r="G96" s="17">
        <f>+'SCH F - Rate Sum STEP 2'!C41</f>
        <v>4.7699999999999996</v>
      </c>
      <c r="I96" s="11">
        <f>ROUND(+E96*G96,0)</f>
        <v>1522145</v>
      </c>
      <c r="J96" s="12"/>
      <c r="K96" s="17">
        <f>+'SCH I - Rate Sum STEP 1'!E41</f>
        <v>5.18</v>
      </c>
      <c r="L96" s="17"/>
      <c r="M96" s="11">
        <f>ROUND(+K96*E96,2)</f>
        <v>1652979.44</v>
      </c>
      <c r="N96" s="11"/>
    </row>
    <row r="97" spans="1:14" x14ac:dyDescent="0.2">
      <c r="A97" s="2" t="s">
        <v>35</v>
      </c>
      <c r="C97" s="11">
        <v>0</v>
      </c>
      <c r="E97" s="11">
        <v>820822</v>
      </c>
      <c r="F97" s="12"/>
      <c r="G97" s="17">
        <f>+'SCH F - Rate Sum STEP 2'!C42</f>
        <v>4.4400000000000004</v>
      </c>
      <c r="I97" s="11">
        <f>ROUND(+E97*G97,0)</f>
        <v>3644450</v>
      </c>
      <c r="J97" s="12"/>
      <c r="K97" s="17">
        <f>+'SCH I - Rate Sum STEP 1'!E42</f>
        <v>4.79</v>
      </c>
      <c r="L97" s="17"/>
      <c r="M97" s="11">
        <f>ROUND(+K97*E97,2)</f>
        <v>3931737.38</v>
      </c>
      <c r="N97" s="11"/>
    </row>
    <row r="98" spans="1:14" x14ac:dyDescent="0.2">
      <c r="A98" s="2" t="s">
        <v>36</v>
      </c>
      <c r="B98" s="21"/>
      <c r="C98" s="15">
        <v>0</v>
      </c>
      <c r="D98" s="22"/>
      <c r="E98" s="11">
        <v>213</v>
      </c>
      <c r="F98" s="16"/>
      <c r="G98" s="17">
        <f>+'SCH F - Rate Sum STEP 2'!C43</f>
        <v>3.25</v>
      </c>
      <c r="H98" s="21"/>
      <c r="I98" s="15">
        <f>ROUND(+E98*G98,0)</f>
        <v>692</v>
      </c>
      <c r="J98" s="16"/>
      <c r="K98" s="17">
        <f>+'SCH I - Rate Sum STEP 1'!E43</f>
        <v>3.53</v>
      </c>
      <c r="L98" s="28"/>
      <c r="M98" s="15">
        <f>ROUND(+K98*E98,2)</f>
        <v>751.89</v>
      </c>
      <c r="N98" s="11"/>
    </row>
    <row r="99" spans="1:14" x14ac:dyDescent="0.2">
      <c r="A99" s="2" t="s">
        <v>30</v>
      </c>
      <c r="C99" s="11">
        <f>SUM(C96:C98)</f>
        <v>0</v>
      </c>
      <c r="E99" s="68">
        <f>SUM(E96:E98)</f>
        <v>1140143</v>
      </c>
      <c r="F99" s="12"/>
      <c r="G99" s="18"/>
      <c r="I99" s="11">
        <f>SUM(I96:I98)</f>
        <v>5167287</v>
      </c>
      <c r="J99" s="12"/>
      <c r="K99" s="17"/>
      <c r="M99" s="11">
        <f>SUM(M96:M98)</f>
        <v>5585468.71</v>
      </c>
      <c r="N99" s="11"/>
    </row>
    <row r="100" spans="1:14" x14ac:dyDescent="0.2">
      <c r="F100" s="12"/>
      <c r="G100" s="12"/>
      <c r="J100" s="12"/>
      <c r="N100" s="11"/>
    </row>
    <row r="101" spans="1:14" x14ac:dyDescent="0.2">
      <c r="A101" s="2" t="s">
        <v>24</v>
      </c>
      <c r="C101" s="11">
        <f>+C99+C94</f>
        <v>9499.5</v>
      </c>
      <c r="E101" s="11">
        <f>+E99+E94</f>
        <v>1140143</v>
      </c>
      <c r="F101" s="12"/>
      <c r="G101" s="12"/>
      <c r="I101" s="11">
        <f>+I99+I94</f>
        <v>5726420</v>
      </c>
      <c r="J101" s="12"/>
      <c r="M101" s="11">
        <f>+M99+M94</f>
        <v>6179107.71</v>
      </c>
      <c r="N101" s="11"/>
    </row>
    <row r="102" spans="1:14" x14ac:dyDescent="0.2">
      <c r="F102" s="12"/>
      <c r="G102" s="12"/>
      <c r="J102" s="11"/>
      <c r="N102" s="11"/>
    </row>
    <row r="103" spans="1:14" x14ac:dyDescent="0.2">
      <c r="A103" s="81" t="s">
        <v>50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11"/>
    </row>
    <row r="104" spans="1:14" x14ac:dyDescent="0.2">
      <c r="A104" s="2" t="s">
        <v>15</v>
      </c>
      <c r="J104" s="12"/>
      <c r="N104" s="11"/>
    </row>
    <row r="105" spans="1:14" x14ac:dyDescent="0.2">
      <c r="A105" s="13" t="s">
        <v>16</v>
      </c>
      <c r="C105" s="11">
        <v>9</v>
      </c>
      <c r="E105" s="11">
        <v>0</v>
      </c>
      <c r="G105" s="14">
        <f>+'SCH F - Rate Sum STEP 2'!C10</f>
        <v>18.5</v>
      </c>
      <c r="I105" s="70">
        <f>ROUND(+C105*G105,0)</f>
        <v>167</v>
      </c>
      <c r="J105" s="12"/>
      <c r="K105" s="69">
        <f>+'SCH I - Rate Sum STEP 1'!E10</f>
        <v>19.7</v>
      </c>
      <c r="L105" s="14"/>
      <c r="M105" s="70">
        <f>ROUND(+K105*C105,0)</f>
        <v>177</v>
      </c>
      <c r="N105" s="11"/>
    </row>
    <row r="106" spans="1:14" x14ac:dyDescent="0.2">
      <c r="A106" s="13" t="s">
        <v>18</v>
      </c>
      <c r="C106" s="11">
        <v>213.5</v>
      </c>
      <c r="E106" s="11">
        <v>0</v>
      </c>
      <c r="G106" s="14">
        <f>+'SCH F - Rate Sum STEP 2'!C13</f>
        <v>23.4</v>
      </c>
      <c r="I106" s="11">
        <f>ROUND(+C106*G106,0)</f>
        <v>4996</v>
      </c>
      <c r="J106" s="12"/>
      <c r="K106" s="59">
        <f>+'SCH I - Rate Sum STEP 1'!E13</f>
        <v>24.9</v>
      </c>
      <c r="M106" s="11">
        <f>ROUND(+K106*C106,0)</f>
        <v>5316</v>
      </c>
      <c r="N106" s="11"/>
    </row>
    <row r="107" spans="1:14" x14ac:dyDescent="0.2">
      <c r="A107" s="13" t="s">
        <v>19</v>
      </c>
      <c r="C107" s="11">
        <v>216</v>
      </c>
      <c r="E107" s="11">
        <v>0</v>
      </c>
      <c r="G107" s="14">
        <f>+'SCH F - Rate Sum STEP 2'!C14</f>
        <v>29.6</v>
      </c>
      <c r="I107" s="11">
        <f>ROUND(+C107*G107,0)</f>
        <v>6394</v>
      </c>
      <c r="J107" s="12"/>
      <c r="K107" s="59">
        <f>+'SCH I - Rate Sum STEP 1'!E14</f>
        <v>31.5</v>
      </c>
      <c r="M107" s="11">
        <f>ROUND(+K107*C107,0)</f>
        <v>6804</v>
      </c>
      <c r="N107" s="11"/>
    </row>
    <row r="108" spans="1:14" x14ac:dyDescent="0.2">
      <c r="A108" s="74" t="s">
        <v>26</v>
      </c>
      <c r="C108" s="11">
        <v>10</v>
      </c>
      <c r="E108" s="11">
        <v>0</v>
      </c>
      <c r="G108" s="14">
        <f>+'SCH F - Rate Sum STEP 2'!C15</f>
        <v>71.3</v>
      </c>
      <c r="I108" s="11">
        <f t="shared" ref="I108:I109" si="13">ROUND(+C108*G108,0)</f>
        <v>713</v>
      </c>
      <c r="J108" s="12"/>
      <c r="K108" s="59">
        <f>+'SCH I - Rate Sum STEP 1'!E15</f>
        <v>75.900000000000006</v>
      </c>
      <c r="M108" s="11">
        <f t="shared" ref="M108:M109" si="14">ROUND(+K108*C108,0)</f>
        <v>759</v>
      </c>
      <c r="N108" s="11"/>
    </row>
    <row r="109" spans="1:14" x14ac:dyDescent="0.2">
      <c r="A109" s="74" t="s">
        <v>27</v>
      </c>
      <c r="C109" s="11">
        <v>12</v>
      </c>
      <c r="E109" s="11">
        <v>0</v>
      </c>
      <c r="G109" s="14">
        <f>+'SCH F - Rate Sum STEP 2'!C17</f>
        <v>132.4</v>
      </c>
      <c r="I109" s="11">
        <f t="shared" si="13"/>
        <v>1589</v>
      </c>
      <c r="J109" s="12"/>
      <c r="K109" s="59">
        <f>+'SCH I - Rate Sum STEP 1'!E17</f>
        <v>141</v>
      </c>
      <c r="M109" s="11">
        <f t="shared" si="14"/>
        <v>1692</v>
      </c>
      <c r="N109" s="11"/>
    </row>
    <row r="110" spans="1:14" x14ac:dyDescent="0.2">
      <c r="A110" s="2" t="s">
        <v>30</v>
      </c>
      <c r="C110" s="68">
        <f>SUM(C105:C109)</f>
        <v>460.5</v>
      </c>
      <c r="E110" s="68">
        <f>SUM(E105:E109)</f>
        <v>0</v>
      </c>
      <c r="F110" s="12"/>
      <c r="G110" s="14"/>
      <c r="I110" s="68">
        <f>SUM(I105:I109)</f>
        <v>13859</v>
      </c>
      <c r="J110" s="12"/>
      <c r="K110" s="59"/>
      <c r="M110" s="68">
        <f>SUM(M105:M109)</f>
        <v>14748</v>
      </c>
      <c r="N110" s="11"/>
    </row>
    <row r="111" spans="1:14" x14ac:dyDescent="0.2">
      <c r="F111" s="12"/>
      <c r="G111" s="14"/>
      <c r="J111" s="12"/>
      <c r="N111" s="11"/>
    </row>
    <row r="112" spans="1:14" x14ac:dyDescent="0.2">
      <c r="A112" s="2" t="s">
        <v>39</v>
      </c>
      <c r="C112" s="11">
        <v>0</v>
      </c>
      <c r="E112" s="11">
        <v>6986</v>
      </c>
      <c r="F112" s="12"/>
      <c r="G112" s="17">
        <f>+'SCH F - Rate Sum STEP 2'!C22</f>
        <v>4.7699999999999996</v>
      </c>
      <c r="I112" s="11">
        <f>ROUND(+E112*G112,0)</f>
        <v>33323</v>
      </c>
      <c r="J112" s="12"/>
      <c r="K112" s="17">
        <f>+'SCH I - Rate Sum STEP 1'!E22</f>
        <v>5.18</v>
      </c>
      <c r="L112" s="17"/>
      <c r="M112" s="11">
        <f>ROUND(+K112*E112,2)</f>
        <v>36187.480000000003</v>
      </c>
      <c r="N112" s="11"/>
    </row>
    <row r="113" spans="1:16" x14ac:dyDescent="0.2">
      <c r="A113" s="2" t="s">
        <v>40</v>
      </c>
      <c r="C113" s="11">
        <v>0</v>
      </c>
      <c r="E113" s="11">
        <v>40650</v>
      </c>
      <c r="F113" s="12"/>
      <c r="G113" s="17">
        <f>+'SCH F - Rate Sum STEP 2'!C23</f>
        <v>4.4400000000000004</v>
      </c>
      <c r="I113" s="11">
        <f>ROUND(+E113*G113,0)</f>
        <v>180486</v>
      </c>
      <c r="J113" s="12"/>
      <c r="K113" s="17">
        <f>+'SCH I - Rate Sum STEP 1'!E23</f>
        <v>4.79</v>
      </c>
      <c r="L113" s="17"/>
      <c r="M113" s="11">
        <f>ROUND(+K113*E113,2)</f>
        <v>194713.5</v>
      </c>
      <c r="N113" s="11"/>
    </row>
    <row r="114" spans="1:16" x14ac:dyDescent="0.2">
      <c r="A114" s="2" t="s">
        <v>41</v>
      </c>
      <c r="B114" s="21"/>
      <c r="C114" s="15">
        <v>0</v>
      </c>
      <c r="D114" s="22"/>
      <c r="E114" s="15">
        <v>0</v>
      </c>
      <c r="F114" s="16"/>
      <c r="G114" s="17">
        <f>+'SCH F - Rate Sum STEP 2'!C24</f>
        <v>3.25</v>
      </c>
      <c r="H114" s="21"/>
      <c r="I114" s="15">
        <f>ROUND(+E114*G114,0)</f>
        <v>0</v>
      </c>
      <c r="J114" s="16"/>
      <c r="K114" s="17">
        <f>+'SCH I - Rate Sum STEP 1'!E24</f>
        <v>3.53</v>
      </c>
      <c r="L114" s="28"/>
      <c r="M114" s="15">
        <f>ROUND(+K114*E114,2)</f>
        <v>0</v>
      </c>
      <c r="N114" s="11"/>
    </row>
    <row r="115" spans="1:16" x14ac:dyDescent="0.2">
      <c r="A115" s="2" t="s">
        <v>30</v>
      </c>
      <c r="C115" s="11">
        <f>SUM(C112:C114)</f>
        <v>0</v>
      </c>
      <c r="E115" s="11">
        <f>SUM(E112:E114)</f>
        <v>47636</v>
      </c>
      <c r="F115" s="12"/>
      <c r="G115" s="18"/>
      <c r="I115" s="11">
        <f>SUM(I112:I114)</f>
        <v>213809</v>
      </c>
      <c r="J115" s="12"/>
      <c r="K115" s="17"/>
      <c r="M115" s="11">
        <f>SUM(M112:M114)</f>
        <v>230900.98</v>
      </c>
      <c r="N115" s="11"/>
    </row>
    <row r="116" spans="1:16" x14ac:dyDescent="0.2">
      <c r="F116" s="12"/>
      <c r="G116" s="12"/>
      <c r="J116" s="12"/>
      <c r="N116" s="11"/>
    </row>
    <row r="117" spans="1:16" x14ac:dyDescent="0.2">
      <c r="A117" s="2" t="s">
        <v>24</v>
      </c>
      <c r="C117" s="11">
        <f>+C115+C110</f>
        <v>460.5</v>
      </c>
      <c r="E117" s="11">
        <f>+E115+E110</f>
        <v>47636</v>
      </c>
      <c r="F117" s="12"/>
      <c r="G117" s="12"/>
      <c r="I117" s="11">
        <f>+I115+I110</f>
        <v>227668</v>
      </c>
      <c r="J117" s="12"/>
      <c r="M117" s="11">
        <f>+M115+M110</f>
        <v>245648.98</v>
      </c>
      <c r="N117" s="11"/>
      <c r="P117" s="11"/>
    </row>
    <row r="118" spans="1:16" s="21" customFormat="1" x14ac:dyDescent="0.2">
      <c r="A118" s="2"/>
      <c r="B118" s="2"/>
      <c r="C118" s="11"/>
      <c r="D118" s="11"/>
      <c r="E118" s="11"/>
      <c r="F118" s="12"/>
      <c r="G118" s="12"/>
      <c r="H118" s="2"/>
      <c r="I118" s="11"/>
      <c r="J118" s="12"/>
      <c r="K118" s="2"/>
      <c r="L118" s="2"/>
      <c r="M118" s="11"/>
      <c r="N118" s="11"/>
      <c r="O118" s="2"/>
    </row>
    <row r="119" spans="1:16" s="21" customFormat="1" x14ac:dyDescent="0.2">
      <c r="A119" s="2" t="s">
        <v>51</v>
      </c>
      <c r="B119" s="2"/>
      <c r="C119" s="11">
        <f>+C117+C101</f>
        <v>9960</v>
      </c>
      <c r="D119" s="2"/>
      <c r="E119" s="11">
        <f>+E117+E101</f>
        <v>1187779</v>
      </c>
      <c r="F119" s="2"/>
      <c r="G119" s="12"/>
      <c r="H119" s="2"/>
      <c r="I119" s="11">
        <f>+I117+I101</f>
        <v>5954088</v>
      </c>
      <c r="J119" s="12"/>
      <c r="K119" s="2"/>
      <c r="L119" s="2"/>
      <c r="M119" s="11">
        <f>+M117+M101</f>
        <v>6424756.6900000004</v>
      </c>
      <c r="N119" s="11"/>
      <c r="O119" s="2"/>
    </row>
    <row r="120" spans="1:16" s="21" customFormat="1" x14ac:dyDescent="0.2">
      <c r="A120" s="2"/>
      <c r="B120" s="2"/>
      <c r="C120" s="11"/>
      <c r="D120" s="2"/>
      <c r="E120" s="11"/>
      <c r="F120" s="2"/>
      <c r="G120" s="12"/>
      <c r="H120" s="2"/>
      <c r="I120" s="11"/>
      <c r="J120" s="12"/>
      <c r="K120" s="2"/>
      <c r="L120" s="2"/>
      <c r="M120" s="11"/>
      <c r="N120" s="11"/>
      <c r="O120" s="2"/>
    </row>
    <row r="121" spans="1:16" s="21" customFormat="1" x14ac:dyDescent="0.2">
      <c r="A121" s="2" t="s">
        <v>81</v>
      </c>
      <c r="B121" s="2"/>
      <c r="C121" s="11">
        <f>+C119+C81</f>
        <v>27783</v>
      </c>
      <c r="D121" s="2"/>
      <c r="E121" s="11">
        <f>+E119+E81</f>
        <v>2756621</v>
      </c>
      <c r="F121" s="2"/>
      <c r="G121" s="12"/>
      <c r="H121" s="2"/>
      <c r="I121" s="11">
        <f>+I119+I81</f>
        <v>13763127</v>
      </c>
      <c r="J121" s="12"/>
      <c r="K121" s="2"/>
      <c r="L121" s="2"/>
      <c r="M121" s="11">
        <f>+M119+M81</f>
        <v>14849093.600000001</v>
      </c>
      <c r="N121" s="11"/>
      <c r="O121" s="2"/>
    </row>
    <row r="122" spans="1:16" s="21" customFormat="1" x14ac:dyDescent="0.2">
      <c r="A122" s="2"/>
      <c r="B122" s="2"/>
      <c r="C122" s="11"/>
      <c r="D122" s="2"/>
      <c r="E122" s="11"/>
      <c r="F122" s="2"/>
      <c r="G122" s="12"/>
      <c r="H122" s="2"/>
      <c r="I122" s="11"/>
      <c r="J122" s="12"/>
      <c r="K122" s="2"/>
      <c r="L122" s="2"/>
      <c r="M122" s="11"/>
      <c r="N122" s="11"/>
      <c r="O122" s="2"/>
    </row>
    <row r="123" spans="1:16" x14ac:dyDescent="0.2">
      <c r="A123" s="81" t="s">
        <v>43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11"/>
    </row>
    <row r="124" spans="1:16" x14ac:dyDescent="0.2">
      <c r="A124" s="2" t="s">
        <v>15</v>
      </c>
      <c r="J124" s="12"/>
      <c r="N124" s="11"/>
    </row>
    <row r="125" spans="1:16" x14ac:dyDescent="0.2">
      <c r="A125" s="13" t="s">
        <v>16</v>
      </c>
      <c r="C125" s="11">
        <v>51</v>
      </c>
      <c r="E125" s="11">
        <v>0</v>
      </c>
      <c r="F125" s="12"/>
      <c r="G125" s="14">
        <f>+'SCH F - Rate Sum STEP 2'!C29</f>
        <v>40.5</v>
      </c>
      <c r="I125" s="70">
        <f t="shared" ref="I125:I131" si="15">ROUND(+C125*G125,0)</f>
        <v>2066</v>
      </c>
      <c r="J125" s="12"/>
      <c r="K125" s="69">
        <f>+'SCH I - Rate Sum STEP 1'!E29</f>
        <v>43</v>
      </c>
      <c r="L125" s="14"/>
      <c r="M125" s="70">
        <f t="shared" ref="M125:M131" si="16">ROUND(+K125*C125,0)</f>
        <v>2193</v>
      </c>
      <c r="N125" s="11"/>
    </row>
    <row r="126" spans="1:16" x14ac:dyDescent="0.2">
      <c r="A126" s="13" t="s">
        <v>17</v>
      </c>
      <c r="C126" s="11">
        <v>36</v>
      </c>
      <c r="E126" s="11">
        <v>0</v>
      </c>
      <c r="F126" s="12"/>
      <c r="G126" s="14">
        <f>+'SCH F - Rate Sum STEP 2'!C31</f>
        <v>48.8</v>
      </c>
      <c r="I126" s="11">
        <f t="shared" si="15"/>
        <v>1757</v>
      </c>
      <c r="J126" s="12"/>
      <c r="K126" s="59">
        <f>+'SCH I - Rate Sum STEP 1'!E31</f>
        <v>51.8</v>
      </c>
      <c r="L126" s="14"/>
      <c r="M126" s="11">
        <f t="shared" si="16"/>
        <v>1865</v>
      </c>
      <c r="N126" s="11"/>
    </row>
    <row r="127" spans="1:16" x14ac:dyDescent="0.2">
      <c r="A127" s="13" t="s">
        <v>18</v>
      </c>
      <c r="C127" s="11">
        <v>48</v>
      </c>
      <c r="E127" s="11">
        <v>0</v>
      </c>
      <c r="F127" s="12"/>
      <c r="G127" s="14">
        <f>+'SCH F - Rate Sum STEP 2'!C32</f>
        <v>57.7</v>
      </c>
      <c r="I127" s="11">
        <f t="shared" si="15"/>
        <v>2770</v>
      </c>
      <c r="J127" s="12"/>
      <c r="K127" s="59">
        <f>+'SCH I - Rate Sum STEP 1'!E32</f>
        <v>61.25</v>
      </c>
      <c r="L127" s="14"/>
      <c r="M127" s="11">
        <f t="shared" si="16"/>
        <v>2940</v>
      </c>
      <c r="N127" s="11"/>
    </row>
    <row r="128" spans="1:16" x14ac:dyDescent="0.2">
      <c r="A128" s="13" t="s">
        <v>19</v>
      </c>
      <c r="C128" s="11">
        <v>152</v>
      </c>
      <c r="E128" s="11">
        <v>0</v>
      </c>
      <c r="F128" s="12"/>
      <c r="G128" s="14">
        <f>+'SCH F - Rate Sum STEP 2'!C33</f>
        <v>80.900000000000006</v>
      </c>
      <c r="I128" s="11">
        <f t="shared" si="15"/>
        <v>12297</v>
      </c>
      <c r="J128" s="12"/>
      <c r="K128" s="59">
        <f>+'SCH I - Rate Sum STEP 1'!E33</f>
        <v>85.9</v>
      </c>
      <c r="L128" s="14"/>
      <c r="M128" s="11">
        <f t="shared" si="16"/>
        <v>13057</v>
      </c>
      <c r="N128" s="11"/>
    </row>
    <row r="129" spans="1:18" x14ac:dyDescent="0.2">
      <c r="A129" s="13" t="s">
        <v>26</v>
      </c>
      <c r="C129" s="11">
        <v>56</v>
      </c>
      <c r="E129" s="11">
        <v>0</v>
      </c>
      <c r="F129" s="12"/>
      <c r="G129" s="14">
        <f>+'SCH F - Rate Sum STEP 2'!C34</f>
        <v>251.8</v>
      </c>
      <c r="I129" s="11">
        <f t="shared" si="15"/>
        <v>14101</v>
      </c>
      <c r="J129" s="12"/>
      <c r="K129" s="59">
        <f>+'SCH I - Rate Sum STEP 1'!E34</f>
        <v>267.35000000000002</v>
      </c>
      <c r="L129" s="14"/>
      <c r="M129" s="11">
        <f t="shared" si="16"/>
        <v>14972</v>
      </c>
      <c r="N129" s="11"/>
    </row>
    <row r="130" spans="1:18" x14ac:dyDescent="0.2">
      <c r="A130" s="13" t="s">
        <v>20</v>
      </c>
      <c r="C130" s="11">
        <v>52</v>
      </c>
      <c r="E130" s="11">
        <v>0</v>
      </c>
      <c r="F130" s="12"/>
      <c r="G130" s="14">
        <f>+'SCH F - Rate Sum STEP 2'!C35</f>
        <v>315.5</v>
      </c>
      <c r="I130" s="11">
        <f t="shared" si="15"/>
        <v>16406</v>
      </c>
      <c r="J130" s="12"/>
      <c r="K130" s="59">
        <f>+'SCH I - Rate Sum STEP 1'!E35</f>
        <v>335</v>
      </c>
      <c r="L130" s="14"/>
      <c r="M130" s="11">
        <f t="shared" si="16"/>
        <v>17420</v>
      </c>
      <c r="N130" s="11"/>
    </row>
    <row r="131" spans="1:18" x14ac:dyDescent="0.2">
      <c r="A131" s="13" t="s">
        <v>27</v>
      </c>
      <c r="C131" s="11">
        <v>29</v>
      </c>
      <c r="E131" s="11">
        <v>0</v>
      </c>
      <c r="F131" s="12"/>
      <c r="G131" s="14">
        <f>+'SCH F - Rate Sum STEP 2'!C36</f>
        <v>466.2</v>
      </c>
      <c r="I131" s="11">
        <f t="shared" si="15"/>
        <v>13520</v>
      </c>
      <c r="J131" s="12"/>
      <c r="K131" s="59">
        <f>+'SCH I - Rate Sum STEP 1'!E36</f>
        <v>495</v>
      </c>
      <c r="L131" s="14"/>
      <c r="M131" s="11">
        <f t="shared" si="16"/>
        <v>14355</v>
      </c>
      <c r="N131" s="11"/>
    </row>
    <row r="132" spans="1:18" x14ac:dyDescent="0.2">
      <c r="A132" s="74" t="s">
        <v>28</v>
      </c>
      <c r="C132" s="11">
        <v>13</v>
      </c>
      <c r="E132" s="11">
        <v>0</v>
      </c>
      <c r="F132" s="12"/>
      <c r="G132" s="14">
        <f>+'SCH F - Rate Sum STEP 2'!C37</f>
        <v>637.1</v>
      </c>
      <c r="I132" s="11">
        <f t="shared" ref="I132" si="17">ROUND(+C132*G132,0)</f>
        <v>8282</v>
      </c>
      <c r="J132" s="12"/>
      <c r="K132" s="59">
        <f>+'SCH I - Rate Sum STEP 1'!E37</f>
        <v>676.45</v>
      </c>
      <c r="L132" s="14"/>
      <c r="M132" s="11">
        <f t="shared" ref="M132" si="18">ROUND(+K132*C132,0)</f>
        <v>8794</v>
      </c>
      <c r="N132" s="11"/>
    </row>
    <row r="133" spans="1:18" x14ac:dyDescent="0.2">
      <c r="A133" s="2" t="s">
        <v>30</v>
      </c>
      <c r="C133" s="68">
        <f>SUM(C125:C132)</f>
        <v>437</v>
      </c>
      <c r="E133" s="68">
        <f>SUM(E125:E132)</f>
        <v>0</v>
      </c>
      <c r="F133" s="12"/>
      <c r="G133" s="12"/>
      <c r="I133" s="68">
        <f>SUM(I125:I132)</f>
        <v>71199</v>
      </c>
      <c r="J133" s="12"/>
      <c r="M133" s="68">
        <f>SUM(M125:M132)</f>
        <v>75596</v>
      </c>
      <c r="N133" s="11"/>
    </row>
    <row r="134" spans="1:18" x14ac:dyDescent="0.2">
      <c r="F134" s="12"/>
      <c r="G134" s="12"/>
      <c r="J134" s="12"/>
      <c r="N134" s="11"/>
    </row>
    <row r="135" spans="1:18" x14ac:dyDescent="0.2">
      <c r="A135" s="2" t="s">
        <v>34</v>
      </c>
      <c r="C135" s="11">
        <v>0</v>
      </c>
      <c r="E135" s="11">
        <v>17124</v>
      </c>
      <c r="F135" s="12"/>
      <c r="G135" s="17">
        <f>+'SCH F - Rate Sum STEP 2'!C41</f>
        <v>4.7699999999999996</v>
      </c>
      <c r="I135" s="11">
        <f>ROUND(+E135*G135,0)</f>
        <v>81681</v>
      </c>
      <c r="J135" s="12"/>
      <c r="K135" s="17">
        <f>+'SCH I - Rate Sum STEP 1'!E41</f>
        <v>5.18</v>
      </c>
      <c r="L135" s="17"/>
      <c r="M135" s="11">
        <f>ROUND(+K135*E135,2)</f>
        <v>88702.32</v>
      </c>
      <c r="N135" s="11"/>
    </row>
    <row r="136" spans="1:18" x14ac:dyDescent="0.2">
      <c r="A136" s="2" t="s">
        <v>35</v>
      </c>
      <c r="C136" s="11">
        <v>0</v>
      </c>
      <c r="E136" s="11">
        <v>426037</v>
      </c>
      <c r="F136" s="12"/>
      <c r="G136" s="17">
        <f>+'SCH F - Rate Sum STEP 2'!C42</f>
        <v>4.4400000000000004</v>
      </c>
      <c r="I136" s="11">
        <f>ROUND(+E136*G136,0)</f>
        <v>1891604</v>
      </c>
      <c r="J136" s="12"/>
      <c r="K136" s="17">
        <f>+'SCH I - Rate Sum STEP 1'!E42</f>
        <v>4.79</v>
      </c>
      <c r="L136" s="17"/>
      <c r="M136" s="11">
        <f>ROUND(+K136*E136,2)</f>
        <v>2040717.23</v>
      </c>
      <c r="N136" s="11"/>
      <c r="O136" s="27"/>
      <c r="P136" s="11"/>
      <c r="Q136" s="11"/>
      <c r="R136" s="11"/>
    </row>
    <row r="137" spans="1:18" s="21" customFormat="1" x14ac:dyDescent="0.2">
      <c r="A137" s="2" t="s">
        <v>36</v>
      </c>
      <c r="C137" s="15">
        <v>0</v>
      </c>
      <c r="D137" s="22"/>
      <c r="E137" s="11">
        <v>414133</v>
      </c>
      <c r="F137" s="16"/>
      <c r="G137" s="17">
        <f>+'SCH F - Rate Sum STEP 2'!C43</f>
        <v>3.25</v>
      </c>
      <c r="I137" s="15">
        <f>ROUND(+E137*G137,0)</f>
        <v>1345932</v>
      </c>
      <c r="J137" s="16"/>
      <c r="K137" s="17">
        <f>+'SCH I - Rate Sum STEP 1'!E43</f>
        <v>3.53</v>
      </c>
      <c r="L137" s="28"/>
      <c r="M137" s="15">
        <f>ROUND(+K137*E137,2)</f>
        <v>1461889.49</v>
      </c>
      <c r="N137" s="11"/>
      <c r="O137" s="29"/>
      <c r="P137" s="30"/>
    </row>
    <row r="138" spans="1:18" x14ac:dyDescent="0.2">
      <c r="A138" s="2" t="s">
        <v>30</v>
      </c>
      <c r="C138" s="11">
        <f>SUM(C135:C137)</f>
        <v>0</v>
      </c>
      <c r="E138" s="68">
        <f>SUM(E135:E137)</f>
        <v>857294</v>
      </c>
      <c r="F138" s="12"/>
      <c r="G138" s="18"/>
      <c r="I138" s="11">
        <f>SUM(I135:I137)</f>
        <v>3319217</v>
      </c>
      <c r="J138" s="12"/>
      <c r="K138" s="17"/>
      <c r="M138" s="11">
        <f>SUM(M135:M137)</f>
        <v>3591309.04</v>
      </c>
      <c r="N138" s="11"/>
      <c r="O138" s="27"/>
      <c r="P138" s="11"/>
      <c r="Q138" s="11"/>
      <c r="R138" s="11"/>
    </row>
    <row r="139" spans="1:18" x14ac:dyDescent="0.2">
      <c r="F139" s="12"/>
      <c r="G139" s="12"/>
      <c r="J139" s="12"/>
      <c r="N139" s="11"/>
      <c r="O139" s="11"/>
      <c r="P139" s="11"/>
      <c r="Q139" s="11"/>
      <c r="R139" s="11"/>
    </row>
    <row r="140" spans="1:18" x14ac:dyDescent="0.2">
      <c r="A140" s="2" t="s">
        <v>24</v>
      </c>
      <c r="C140" s="11">
        <f>+C138+C133</f>
        <v>437</v>
      </c>
      <c r="E140" s="11">
        <f>+E138+E133</f>
        <v>857294</v>
      </c>
      <c r="F140" s="12"/>
      <c r="G140" s="12"/>
      <c r="I140" s="11">
        <f>+I138+I133</f>
        <v>3390416</v>
      </c>
      <c r="J140" s="12"/>
      <c r="M140" s="11">
        <f>+M138+M133</f>
        <v>3666905.04</v>
      </c>
      <c r="N140" s="11"/>
      <c r="O140" s="11"/>
    </row>
    <row r="141" spans="1:18" x14ac:dyDescent="0.2">
      <c r="F141" s="12"/>
      <c r="G141" s="12"/>
      <c r="J141" s="11"/>
      <c r="N141" s="11"/>
      <c r="O141" s="11"/>
      <c r="P141" s="11"/>
    </row>
    <row r="142" spans="1:18" x14ac:dyDescent="0.2">
      <c r="A142" s="81" t="s">
        <v>31</v>
      </c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11"/>
    </row>
    <row r="143" spans="1:18" x14ac:dyDescent="0.2">
      <c r="A143" s="2" t="s">
        <v>15</v>
      </c>
      <c r="J143" s="12"/>
      <c r="N143" s="11"/>
    </row>
    <row r="144" spans="1:18" x14ac:dyDescent="0.2">
      <c r="A144" s="13" t="s">
        <v>27</v>
      </c>
      <c r="C144" s="11">
        <v>0</v>
      </c>
      <c r="E144" s="11">
        <v>0</v>
      </c>
      <c r="F144" s="12"/>
      <c r="G144" s="14">
        <f>+'SCH F - Rate Sum STEP 2'!C17</f>
        <v>132.4</v>
      </c>
      <c r="I144" s="70">
        <f>ROUND(+C144*G144,0)</f>
        <v>0</v>
      </c>
      <c r="J144" s="12"/>
      <c r="K144" s="69">
        <f>+'SCH I - Rate Sum STEP 1'!E17</f>
        <v>141</v>
      </c>
      <c r="L144" s="14"/>
      <c r="M144" s="70">
        <f>ROUND(+K144*C144,0)</f>
        <v>0</v>
      </c>
      <c r="N144" s="11"/>
    </row>
    <row r="145" spans="1:18" x14ac:dyDescent="0.2">
      <c r="A145" s="13" t="s">
        <v>29</v>
      </c>
      <c r="C145" s="11">
        <v>18.5</v>
      </c>
      <c r="E145" s="15">
        <v>0</v>
      </c>
      <c r="F145" s="12"/>
      <c r="G145" s="14">
        <f>+'SCH F - Rate Sum STEP 2'!C19</f>
        <v>237.8</v>
      </c>
      <c r="I145" s="15">
        <f>ROUND(+C145*G145,0)</f>
        <v>4399</v>
      </c>
      <c r="J145" s="12"/>
      <c r="K145" s="59">
        <f>+'SCH I - Rate Sum STEP 1'!E19</f>
        <v>253.2</v>
      </c>
      <c r="L145" s="14"/>
      <c r="M145" s="15">
        <f>ROUND(+K145*C145,0)</f>
        <v>4684</v>
      </c>
      <c r="N145" s="11"/>
    </row>
    <row r="146" spans="1:18" x14ac:dyDescent="0.2">
      <c r="A146" s="2" t="s">
        <v>30</v>
      </c>
      <c r="C146" s="68">
        <f>SUM(C144:C145)</f>
        <v>18.5</v>
      </c>
      <c r="E146" s="11">
        <f>SUM(E144:E145)</f>
        <v>0</v>
      </c>
      <c r="F146" s="12"/>
      <c r="G146" s="12"/>
      <c r="I146" s="11">
        <f>SUM(I144:I145)</f>
        <v>4399</v>
      </c>
      <c r="J146" s="12"/>
      <c r="M146" s="11">
        <f>SUM(M144:M145)</f>
        <v>4684</v>
      </c>
      <c r="N146" s="11"/>
    </row>
    <row r="147" spans="1:18" x14ac:dyDescent="0.2">
      <c r="F147" s="12"/>
      <c r="G147" s="12"/>
      <c r="J147" s="12"/>
      <c r="N147" s="11"/>
    </row>
    <row r="148" spans="1:18" x14ac:dyDescent="0.2">
      <c r="A148" s="2" t="s">
        <v>39</v>
      </c>
      <c r="C148" s="11">
        <v>0</v>
      </c>
      <c r="E148" s="11">
        <v>285</v>
      </c>
      <c r="F148" s="12"/>
      <c r="G148" s="17">
        <f>+'SCH F - Rate Sum STEP 2'!C22</f>
        <v>4.7699999999999996</v>
      </c>
      <c r="I148" s="11">
        <f>ROUND(+E148*G148,0)</f>
        <v>1359</v>
      </c>
      <c r="J148" s="12"/>
      <c r="K148" s="17">
        <f>+'SCH I - Rate Sum STEP 1'!E22</f>
        <v>5.18</v>
      </c>
      <c r="L148" s="17"/>
      <c r="M148" s="11">
        <f>ROUND(+K148*E148,2)</f>
        <v>1476.3</v>
      </c>
      <c r="N148" s="11"/>
    </row>
    <row r="149" spans="1:18" x14ac:dyDescent="0.2">
      <c r="A149" s="2" t="s">
        <v>40</v>
      </c>
      <c r="C149" s="11">
        <v>0</v>
      </c>
      <c r="E149" s="11">
        <v>31065</v>
      </c>
      <c r="F149" s="12"/>
      <c r="G149" s="17">
        <f>+'SCH F - Rate Sum STEP 2'!C23</f>
        <v>4.4400000000000004</v>
      </c>
      <c r="I149" s="11">
        <f>ROUND(+E149*G149,0)</f>
        <v>137929</v>
      </c>
      <c r="J149" s="12"/>
      <c r="K149" s="17">
        <f>+'SCH I - Rate Sum STEP 1'!E23</f>
        <v>4.79</v>
      </c>
      <c r="L149" s="17"/>
      <c r="M149" s="11">
        <f>ROUND(+K149*E149,2)</f>
        <v>148801.35</v>
      </c>
      <c r="N149" s="11"/>
      <c r="O149" s="27"/>
      <c r="P149" s="11"/>
      <c r="Q149" s="11"/>
      <c r="R149" s="11"/>
    </row>
    <row r="150" spans="1:18" s="21" customFormat="1" x14ac:dyDescent="0.2">
      <c r="A150" s="2" t="s">
        <v>41</v>
      </c>
      <c r="C150" s="15">
        <v>0</v>
      </c>
      <c r="D150" s="22"/>
      <c r="E150" s="15">
        <v>174834</v>
      </c>
      <c r="F150" s="16"/>
      <c r="G150" s="17">
        <f>+'SCH F - Rate Sum STEP 2'!C24</f>
        <v>3.25</v>
      </c>
      <c r="I150" s="15">
        <f>ROUND(+E150*G150,0)</f>
        <v>568211</v>
      </c>
      <c r="J150" s="16"/>
      <c r="K150" s="17">
        <f>+'SCH I - Rate Sum STEP 1'!E24</f>
        <v>3.53</v>
      </c>
      <c r="L150" s="28"/>
      <c r="M150" s="15">
        <f>ROUND(+K150*E150,2)</f>
        <v>617164.02</v>
      </c>
      <c r="N150" s="11"/>
      <c r="O150" s="29"/>
      <c r="P150" s="30"/>
    </row>
    <row r="151" spans="1:18" x14ac:dyDescent="0.2">
      <c r="A151" s="2" t="s">
        <v>30</v>
      </c>
      <c r="C151" s="11">
        <f>SUM(C148:C150)</f>
        <v>0</v>
      </c>
      <c r="E151" s="11">
        <f>SUM(E148:E150)</f>
        <v>206184</v>
      </c>
      <c r="F151" s="12"/>
      <c r="G151" s="18"/>
      <c r="I151" s="11">
        <f>SUM(I148:I150)</f>
        <v>707499</v>
      </c>
      <c r="J151" s="12"/>
      <c r="K151" s="17"/>
      <c r="M151" s="11">
        <f>SUM(M148:M150)</f>
        <v>767441.67</v>
      </c>
      <c r="N151" s="11"/>
      <c r="O151" s="27"/>
      <c r="P151" s="11"/>
      <c r="Q151" s="11"/>
      <c r="R151" s="11"/>
    </row>
    <row r="152" spans="1:18" x14ac:dyDescent="0.2">
      <c r="F152" s="12"/>
      <c r="G152" s="12"/>
      <c r="J152" s="12"/>
      <c r="N152" s="11"/>
      <c r="O152" s="11"/>
      <c r="P152" s="11"/>
      <c r="Q152" s="11"/>
      <c r="R152" s="11"/>
    </row>
    <row r="153" spans="1:18" x14ac:dyDescent="0.2">
      <c r="A153" s="2" t="s">
        <v>24</v>
      </c>
      <c r="C153" s="11">
        <f>+C151+C146</f>
        <v>18.5</v>
      </c>
      <c r="E153" s="11">
        <f>+E151+E146</f>
        <v>206184</v>
      </c>
      <c r="F153" s="12"/>
      <c r="G153" s="12"/>
      <c r="I153" s="11">
        <f>+I151+I146</f>
        <v>711898</v>
      </c>
      <c r="J153" s="12"/>
      <c r="M153" s="11">
        <f>+M151+M146</f>
        <v>772125.67</v>
      </c>
      <c r="N153" s="11"/>
      <c r="O153" s="11"/>
    </row>
    <row r="154" spans="1:18" x14ac:dyDescent="0.2">
      <c r="F154" s="12"/>
      <c r="G154" s="12"/>
      <c r="J154" s="12"/>
      <c r="N154" s="11"/>
      <c r="O154" s="11"/>
    </row>
    <row r="155" spans="1:18" x14ac:dyDescent="0.2">
      <c r="A155" s="2" t="s">
        <v>44</v>
      </c>
      <c r="C155" s="11">
        <f>+C153+C140</f>
        <v>455.5</v>
      </c>
      <c r="D155" s="2"/>
      <c r="E155" s="11">
        <f>+E153+E140</f>
        <v>1063478</v>
      </c>
      <c r="G155" s="12"/>
      <c r="I155" s="11">
        <f>+I153+I140</f>
        <v>4102314</v>
      </c>
      <c r="J155" s="12"/>
      <c r="M155" s="11">
        <f>+M153+M140</f>
        <v>4439030.71</v>
      </c>
      <c r="N155" s="11"/>
      <c r="O155" s="11"/>
    </row>
    <row r="156" spans="1:18" x14ac:dyDescent="0.2">
      <c r="F156" s="12"/>
      <c r="G156" s="12"/>
      <c r="J156" s="12"/>
      <c r="N156" s="11"/>
      <c r="O156" s="11"/>
    </row>
    <row r="157" spans="1:18" x14ac:dyDescent="0.2">
      <c r="A157" s="81" t="s">
        <v>45</v>
      </c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11"/>
      <c r="O157" s="12"/>
      <c r="P157" s="11"/>
      <c r="Q157" s="11"/>
      <c r="R157" s="11"/>
    </row>
    <row r="158" spans="1:18" x14ac:dyDescent="0.2">
      <c r="A158" s="2" t="s">
        <v>15</v>
      </c>
      <c r="J158" s="12"/>
      <c r="N158" s="11"/>
      <c r="P158" s="21"/>
      <c r="Q158" s="21"/>
      <c r="R158" s="21"/>
    </row>
    <row r="159" spans="1:18" x14ac:dyDescent="0.2">
      <c r="A159" s="13" t="s">
        <v>16</v>
      </c>
      <c r="C159" s="11">
        <v>652.5</v>
      </c>
      <c r="E159" s="11">
        <v>0</v>
      </c>
      <c r="F159" s="12"/>
      <c r="G159" s="14">
        <f>+'SCH F - Rate Sum STEP 2'!C29</f>
        <v>40.5</v>
      </c>
      <c r="I159" s="70">
        <f t="shared" ref="I159:I166" si="19">ROUND(+C159*G159,0)</f>
        <v>26426</v>
      </c>
      <c r="J159" s="12"/>
      <c r="K159" s="69">
        <f>+'SCH I - Rate Sum STEP 1'!E29</f>
        <v>43</v>
      </c>
      <c r="L159" s="14"/>
      <c r="M159" s="70">
        <f t="shared" ref="M159:M166" si="20">ROUND(+K159*C159,0)</f>
        <v>28058</v>
      </c>
      <c r="N159" s="11"/>
      <c r="O159" s="22"/>
      <c r="P159" s="22"/>
      <c r="Q159" s="22"/>
      <c r="R159" s="11"/>
    </row>
    <row r="160" spans="1:18" x14ac:dyDescent="0.2">
      <c r="A160" s="13" t="s">
        <v>17</v>
      </c>
      <c r="C160" s="11">
        <v>296</v>
      </c>
      <c r="E160" s="11">
        <v>0</v>
      </c>
      <c r="F160" s="12"/>
      <c r="G160" s="14">
        <f>+'SCH F - Rate Sum STEP 2'!C31</f>
        <v>48.8</v>
      </c>
      <c r="I160" s="11">
        <f t="shared" si="19"/>
        <v>14445</v>
      </c>
      <c r="J160" s="12"/>
      <c r="K160" s="59">
        <f>+'SCH I - Rate Sum STEP 1'!E31</f>
        <v>51.8</v>
      </c>
      <c r="L160" s="14"/>
      <c r="M160" s="11">
        <f t="shared" si="20"/>
        <v>15333</v>
      </c>
      <c r="N160" s="11"/>
      <c r="O160" s="11"/>
      <c r="P160" s="22"/>
      <c r="Q160" s="22"/>
      <c r="R160" s="11"/>
    </row>
    <row r="161" spans="1:18" x14ac:dyDescent="0.2">
      <c r="A161" s="13" t="s">
        <v>18</v>
      </c>
      <c r="C161" s="11">
        <v>186</v>
      </c>
      <c r="E161" s="11">
        <v>0</v>
      </c>
      <c r="F161" s="12"/>
      <c r="G161" s="14">
        <f>+'SCH F - Rate Sum STEP 2'!C32</f>
        <v>57.7</v>
      </c>
      <c r="I161" s="11">
        <f t="shared" si="19"/>
        <v>10732</v>
      </c>
      <c r="J161" s="12"/>
      <c r="K161" s="59">
        <f>+'SCH I - Rate Sum STEP 1'!E32</f>
        <v>61.25</v>
      </c>
      <c r="L161" s="14"/>
      <c r="M161" s="11">
        <f t="shared" si="20"/>
        <v>11393</v>
      </c>
      <c r="N161" s="11"/>
      <c r="O161" s="11"/>
      <c r="P161" s="12"/>
      <c r="Q161" s="12"/>
    </row>
    <row r="162" spans="1:18" x14ac:dyDescent="0.2">
      <c r="A162" s="13" t="s">
        <v>19</v>
      </c>
      <c r="C162" s="11">
        <v>538</v>
      </c>
      <c r="E162" s="11">
        <v>0</v>
      </c>
      <c r="F162" s="12"/>
      <c r="G162" s="14">
        <f>+'SCH F - Rate Sum STEP 2'!C33</f>
        <v>80.900000000000006</v>
      </c>
      <c r="I162" s="11">
        <f t="shared" si="19"/>
        <v>43524</v>
      </c>
      <c r="J162" s="12"/>
      <c r="K162" s="59">
        <f>+'SCH I - Rate Sum STEP 1'!E33</f>
        <v>85.9</v>
      </c>
      <c r="L162" s="14"/>
      <c r="M162" s="11">
        <f t="shared" si="20"/>
        <v>46214</v>
      </c>
      <c r="N162" s="11"/>
      <c r="O162" s="11"/>
      <c r="P162" s="11"/>
      <c r="Q162" s="12"/>
      <c r="R162" s="11"/>
    </row>
    <row r="163" spans="1:18" x14ac:dyDescent="0.2">
      <c r="A163" s="13" t="s">
        <v>26</v>
      </c>
      <c r="C163" s="11">
        <v>165.5</v>
      </c>
      <c r="E163" s="11">
        <v>0</v>
      </c>
      <c r="F163" s="12"/>
      <c r="G163" s="14">
        <f>+'SCH F - Rate Sum STEP 2'!C34</f>
        <v>251.8</v>
      </c>
      <c r="I163" s="11">
        <f t="shared" si="19"/>
        <v>41673</v>
      </c>
      <c r="J163" s="12"/>
      <c r="K163" s="59">
        <f>+'SCH I - Rate Sum STEP 1'!E34</f>
        <v>267.35000000000002</v>
      </c>
      <c r="L163" s="14"/>
      <c r="M163" s="11">
        <f t="shared" si="20"/>
        <v>44246</v>
      </c>
      <c r="N163" s="11"/>
      <c r="O163" s="12"/>
      <c r="P163" s="11"/>
    </row>
    <row r="164" spans="1:18" x14ac:dyDescent="0.2">
      <c r="A164" s="13" t="s">
        <v>20</v>
      </c>
      <c r="C164" s="11">
        <v>68</v>
      </c>
      <c r="E164" s="11">
        <v>0</v>
      </c>
      <c r="F164" s="12"/>
      <c r="G164" s="14">
        <f>+'SCH F - Rate Sum STEP 2'!C35</f>
        <v>315.5</v>
      </c>
      <c r="I164" s="11">
        <f t="shared" si="19"/>
        <v>21454</v>
      </c>
      <c r="J164" s="12"/>
      <c r="K164" s="59">
        <f>+'SCH I - Rate Sum STEP 1'!E35</f>
        <v>335</v>
      </c>
      <c r="L164" s="14"/>
      <c r="M164" s="11">
        <f t="shared" si="20"/>
        <v>22780</v>
      </c>
      <c r="N164" s="11"/>
      <c r="P164" s="11"/>
      <c r="Q164" s="12"/>
      <c r="R164" s="11"/>
    </row>
    <row r="165" spans="1:18" x14ac:dyDescent="0.2">
      <c r="A165" s="13" t="s">
        <v>27</v>
      </c>
      <c r="C165" s="11">
        <v>26</v>
      </c>
      <c r="E165" s="11">
        <v>0</v>
      </c>
      <c r="F165" s="12"/>
      <c r="G165" s="14">
        <f>+'SCH F - Rate Sum STEP 2'!C36</f>
        <v>466.2</v>
      </c>
      <c r="I165" s="11">
        <f t="shared" si="19"/>
        <v>12121</v>
      </c>
      <c r="J165" s="12"/>
      <c r="K165" s="59">
        <f>+'SCH I - Rate Sum STEP 1'!E36</f>
        <v>495</v>
      </c>
      <c r="L165" s="14"/>
      <c r="M165" s="11">
        <f t="shared" si="20"/>
        <v>12870</v>
      </c>
      <c r="N165" s="11"/>
      <c r="O165" s="12"/>
      <c r="P165" s="11"/>
    </row>
    <row r="166" spans="1:18" x14ac:dyDescent="0.2">
      <c r="A166" s="13" t="s">
        <v>28</v>
      </c>
      <c r="B166" s="13"/>
      <c r="C166" s="11">
        <v>13</v>
      </c>
      <c r="E166" s="11">
        <v>0</v>
      </c>
      <c r="F166" s="12"/>
      <c r="G166" s="14">
        <f>+'SCH F - Rate Sum STEP 2'!C37</f>
        <v>637.1</v>
      </c>
      <c r="I166" s="11">
        <f t="shared" si="19"/>
        <v>8282</v>
      </c>
      <c r="J166" s="12"/>
      <c r="K166" s="59">
        <f>+'SCH I - Rate Sum STEP 1'!E37</f>
        <v>676.45</v>
      </c>
      <c r="L166" s="14"/>
      <c r="M166" s="11">
        <f t="shared" si="20"/>
        <v>8794</v>
      </c>
      <c r="N166" s="11"/>
      <c r="O166" s="12"/>
      <c r="P166" s="11"/>
    </row>
    <row r="167" spans="1:18" x14ac:dyDescent="0.2">
      <c r="A167" s="74" t="s">
        <v>29</v>
      </c>
      <c r="B167" s="13"/>
      <c r="C167" s="11">
        <v>4</v>
      </c>
      <c r="E167" s="11">
        <v>0</v>
      </c>
      <c r="F167" s="12"/>
      <c r="G167" s="14">
        <f>+'SCH F - Rate Sum STEP 2'!C38</f>
        <v>831.9</v>
      </c>
      <c r="I167" s="11">
        <f t="shared" ref="I167" si="21">ROUND(+C167*G167,0)</f>
        <v>3328</v>
      </c>
      <c r="J167" s="12"/>
      <c r="K167" s="59">
        <f>+'SCH I - Rate Sum STEP 1'!E38</f>
        <v>883.25</v>
      </c>
      <c r="L167" s="14"/>
      <c r="M167" s="11">
        <f t="shared" ref="M167" si="22">ROUND(+K167*C167,0)</f>
        <v>3533</v>
      </c>
      <c r="N167" s="11"/>
      <c r="O167" s="12"/>
      <c r="P167" s="11"/>
    </row>
    <row r="168" spans="1:18" x14ac:dyDescent="0.2">
      <c r="A168" s="2" t="s">
        <v>30</v>
      </c>
      <c r="C168" s="68">
        <f>SUM(C159:C167)</f>
        <v>1949</v>
      </c>
      <c r="E168" s="68">
        <f>SUM(E159:E167)</f>
        <v>0</v>
      </c>
      <c r="F168" s="12"/>
      <c r="G168" s="12"/>
      <c r="I168" s="68">
        <f>SUM(I159:I167)</f>
        <v>181985</v>
      </c>
      <c r="J168" s="12"/>
      <c r="M168" s="68">
        <f>SUM(M159:M167)</f>
        <v>193221</v>
      </c>
      <c r="N168" s="11"/>
    </row>
    <row r="169" spans="1:18" x14ac:dyDescent="0.2">
      <c r="F169" s="12"/>
      <c r="G169" s="12"/>
      <c r="J169" s="12"/>
      <c r="N169" s="11"/>
    </row>
    <row r="170" spans="1:18" x14ac:dyDescent="0.2">
      <c r="A170" s="2" t="s">
        <v>34</v>
      </c>
      <c r="C170" s="11">
        <v>0</v>
      </c>
      <c r="E170" s="11">
        <v>42614</v>
      </c>
      <c r="F170" s="12"/>
      <c r="G170" s="17">
        <f>+'SCH F - Rate Sum STEP 2'!C41</f>
        <v>4.7699999999999996</v>
      </c>
      <c r="I170" s="11">
        <f>ROUND(+E170*G170,0)</f>
        <v>203269</v>
      </c>
      <c r="J170" s="12"/>
      <c r="K170" s="17">
        <f>+'SCH I - Rate Sum STEP 1'!E41</f>
        <v>5.18</v>
      </c>
      <c r="L170" s="17"/>
      <c r="M170" s="11">
        <f>ROUND(+K170*E170,2)</f>
        <v>220740.52</v>
      </c>
      <c r="N170" s="11"/>
    </row>
    <row r="171" spans="1:18" x14ac:dyDescent="0.2">
      <c r="A171" s="2" t="s">
        <v>35</v>
      </c>
      <c r="C171" s="11">
        <v>0</v>
      </c>
      <c r="E171" s="11">
        <v>240863</v>
      </c>
      <c r="F171" s="12"/>
      <c r="G171" s="17">
        <f>+'SCH F - Rate Sum STEP 2'!C42</f>
        <v>4.4400000000000004</v>
      </c>
      <c r="I171" s="11">
        <f>ROUND(+E171*G171,0)</f>
        <v>1069432</v>
      </c>
      <c r="J171" s="12"/>
      <c r="K171" s="17">
        <f>+'SCH I - Rate Sum STEP 1'!E42</f>
        <v>4.79</v>
      </c>
      <c r="L171" s="17"/>
      <c r="M171" s="11">
        <f>ROUND(+K171*E171,2)</f>
        <v>1153733.77</v>
      </c>
      <c r="N171" s="11"/>
    </row>
    <row r="172" spans="1:18" x14ac:dyDescent="0.2">
      <c r="A172" s="2" t="s">
        <v>36</v>
      </c>
      <c r="B172" s="21"/>
      <c r="C172" s="15">
        <v>0</v>
      </c>
      <c r="D172" s="22"/>
      <c r="E172" s="11">
        <v>48442</v>
      </c>
      <c r="F172" s="16"/>
      <c r="G172" s="17">
        <f>+'SCH F - Rate Sum STEP 2'!C43</f>
        <v>3.25</v>
      </c>
      <c r="H172" s="21"/>
      <c r="I172" s="15">
        <f>ROUND(+E172*G172,0)</f>
        <v>157437</v>
      </c>
      <c r="J172" s="16"/>
      <c r="K172" s="17">
        <f>+'SCH I - Rate Sum STEP 1'!E43</f>
        <v>3.53</v>
      </c>
      <c r="L172" s="28"/>
      <c r="M172" s="15">
        <f>ROUND(+K172*E172,2)</f>
        <v>171000.26</v>
      </c>
      <c r="N172" s="11"/>
    </row>
    <row r="173" spans="1:18" x14ac:dyDescent="0.2">
      <c r="A173" s="2" t="s">
        <v>30</v>
      </c>
      <c r="C173" s="11">
        <f>SUM(C170:C172)</f>
        <v>0</v>
      </c>
      <c r="E173" s="68">
        <f>SUM(E170:E172)</f>
        <v>331919</v>
      </c>
      <c r="F173" s="12"/>
      <c r="G173" s="18"/>
      <c r="I173" s="11">
        <f>SUM(I170:I172)</f>
        <v>1430138</v>
      </c>
      <c r="J173" s="12"/>
      <c r="K173" s="17"/>
      <c r="M173" s="11">
        <f>SUM(M170:M172)</f>
        <v>1545474.55</v>
      </c>
      <c r="N173" s="11"/>
    </row>
    <row r="174" spans="1:18" x14ac:dyDescent="0.2">
      <c r="F174" s="12"/>
      <c r="G174" s="12"/>
      <c r="J174" s="12"/>
      <c r="N174" s="11"/>
    </row>
    <row r="175" spans="1:18" x14ac:dyDescent="0.2">
      <c r="A175" s="2" t="s">
        <v>24</v>
      </c>
      <c r="C175" s="11">
        <f>+C173+C168</f>
        <v>1949</v>
      </c>
      <c r="E175" s="11">
        <f>+E173+E168</f>
        <v>331919</v>
      </c>
      <c r="F175" s="12"/>
      <c r="G175" s="12"/>
      <c r="I175" s="11">
        <f>+I173+I168</f>
        <v>1612123</v>
      </c>
      <c r="J175" s="12"/>
      <c r="M175" s="11">
        <f>+M173+M168</f>
        <v>1738695.55</v>
      </c>
      <c r="N175" s="11"/>
    </row>
    <row r="176" spans="1:18" x14ac:dyDescent="0.2">
      <c r="F176" s="12"/>
      <c r="G176" s="12"/>
      <c r="J176" s="11"/>
      <c r="N176" s="11"/>
    </row>
    <row r="177" spans="1:16" ht="15.75" customHeight="1" x14ac:dyDescent="0.2">
      <c r="A177" s="81" t="s">
        <v>46</v>
      </c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11"/>
    </row>
    <row r="178" spans="1:16" x14ac:dyDescent="0.2">
      <c r="A178" s="2" t="s">
        <v>15</v>
      </c>
      <c r="E178" s="11" t="s">
        <v>88</v>
      </c>
      <c r="J178" s="12"/>
      <c r="N178" s="11"/>
    </row>
    <row r="179" spans="1:16" x14ac:dyDescent="0.2">
      <c r="A179" s="13" t="s">
        <v>16</v>
      </c>
      <c r="C179" s="11">
        <v>77</v>
      </c>
      <c r="E179" s="11">
        <v>0</v>
      </c>
      <c r="G179" s="49">
        <f>+'SCH F - Rate Sum STEP 2'!C10</f>
        <v>18.5</v>
      </c>
      <c r="I179" s="70">
        <f t="shared" ref="I179:I182" si="23">ROUND(+C179*G179,0)</f>
        <v>1425</v>
      </c>
      <c r="J179" s="12"/>
      <c r="K179" s="69">
        <f>+'SCH I - Rate Sum STEP 1'!E10</f>
        <v>19.7</v>
      </c>
      <c r="L179" s="14"/>
      <c r="M179" s="70">
        <f t="shared" ref="M179:M182" si="24">ROUND(+K179*C179,0)</f>
        <v>1517</v>
      </c>
      <c r="N179" s="11"/>
    </row>
    <row r="180" spans="1:16" x14ac:dyDescent="0.2">
      <c r="A180" s="13" t="s">
        <v>17</v>
      </c>
      <c r="C180" s="11">
        <v>12</v>
      </c>
      <c r="E180" s="11">
        <v>0</v>
      </c>
      <c r="G180" s="35">
        <f>+'SCH F - Rate Sum STEP 2'!C12</f>
        <v>20.8</v>
      </c>
      <c r="I180" s="11">
        <f t="shared" si="23"/>
        <v>250</v>
      </c>
      <c r="J180" s="12"/>
      <c r="K180" s="59">
        <f>+'SCH I - Rate Sum STEP 1'!E12</f>
        <v>22.2</v>
      </c>
      <c r="M180" s="11">
        <f t="shared" si="24"/>
        <v>266</v>
      </c>
      <c r="N180" s="11"/>
    </row>
    <row r="181" spans="1:16" x14ac:dyDescent="0.2">
      <c r="A181" s="13" t="s">
        <v>18</v>
      </c>
      <c r="C181" s="11">
        <v>14</v>
      </c>
      <c r="E181" s="11">
        <v>0</v>
      </c>
      <c r="G181" s="35">
        <f>+'SCH F - Rate Sum STEP 2'!C13</f>
        <v>23.4</v>
      </c>
      <c r="I181" s="11">
        <f t="shared" si="23"/>
        <v>328</v>
      </c>
      <c r="J181" s="12"/>
      <c r="K181" s="59">
        <f>+'SCH I - Rate Sum STEP 1'!E13</f>
        <v>24.9</v>
      </c>
      <c r="M181" s="11">
        <f t="shared" si="24"/>
        <v>349</v>
      </c>
      <c r="N181" s="11"/>
    </row>
    <row r="182" spans="1:16" x14ac:dyDescent="0.2">
      <c r="A182" s="13" t="s">
        <v>19</v>
      </c>
      <c r="C182" s="11">
        <v>26</v>
      </c>
      <c r="E182" s="11">
        <v>0</v>
      </c>
      <c r="G182" s="35">
        <f>+'SCH F - Rate Sum STEP 2'!C14</f>
        <v>29.6</v>
      </c>
      <c r="I182" s="11">
        <f t="shared" si="23"/>
        <v>770</v>
      </c>
      <c r="J182" s="12"/>
      <c r="K182" s="59">
        <f>+'SCH I - Rate Sum STEP 1'!E14</f>
        <v>31.5</v>
      </c>
      <c r="M182" s="11">
        <f t="shared" si="24"/>
        <v>819</v>
      </c>
      <c r="N182" s="11"/>
    </row>
    <row r="183" spans="1:16" x14ac:dyDescent="0.2">
      <c r="A183" s="74" t="s">
        <v>20</v>
      </c>
      <c r="C183" s="11">
        <v>25</v>
      </c>
      <c r="E183" s="11">
        <v>0</v>
      </c>
      <c r="G183" s="35">
        <f>+'SCH F - Rate Sum STEP 2'!C16</f>
        <v>89.5</v>
      </c>
      <c r="I183" s="11">
        <f t="shared" ref="I183:I184" si="25">ROUND(+C183*G183,0)</f>
        <v>2238</v>
      </c>
      <c r="J183" s="12"/>
      <c r="K183" s="59">
        <f>+'SCH I - Rate Sum STEP 1'!E16</f>
        <v>95.3</v>
      </c>
      <c r="M183" s="11">
        <f t="shared" ref="M183:M184" si="26">ROUND(+K183*C183,0)</f>
        <v>2383</v>
      </c>
      <c r="N183" s="11"/>
    </row>
    <row r="184" spans="1:16" x14ac:dyDescent="0.2">
      <c r="A184" s="74" t="s">
        <v>29</v>
      </c>
      <c r="C184" s="11">
        <v>12</v>
      </c>
      <c r="E184" s="11">
        <v>0</v>
      </c>
      <c r="G184" s="35">
        <f>+'SCH F - Rate Sum STEP 2'!C19</f>
        <v>237.8</v>
      </c>
      <c r="I184" s="11">
        <f t="shared" si="25"/>
        <v>2854</v>
      </c>
      <c r="J184" s="12"/>
      <c r="K184" s="59">
        <f>+'SCH I - Rate Sum STEP 1'!E19</f>
        <v>253.2</v>
      </c>
      <c r="M184" s="11">
        <f t="shared" si="26"/>
        <v>3038</v>
      </c>
      <c r="N184" s="11"/>
    </row>
    <row r="185" spans="1:16" x14ac:dyDescent="0.2">
      <c r="A185" s="2" t="s">
        <v>30</v>
      </c>
      <c r="C185" s="68">
        <f>SUM(C179:C184)</f>
        <v>166</v>
      </c>
      <c r="E185" s="68">
        <f>SUM(E179:E184)</f>
        <v>0</v>
      </c>
      <c r="F185" s="12"/>
      <c r="G185" s="12"/>
      <c r="I185" s="68">
        <f>SUM(I179:I184)</f>
        <v>7865</v>
      </c>
      <c r="J185" s="12"/>
      <c r="M185" s="68">
        <f>SUM(M179:M184)</f>
        <v>8372</v>
      </c>
      <c r="N185" s="11"/>
    </row>
    <row r="186" spans="1:16" x14ac:dyDescent="0.2">
      <c r="F186" s="12"/>
      <c r="G186" s="12"/>
      <c r="J186" s="12"/>
      <c r="N186" s="11"/>
    </row>
    <row r="187" spans="1:16" x14ac:dyDescent="0.2">
      <c r="A187" s="2" t="s">
        <v>39</v>
      </c>
      <c r="C187" s="11">
        <v>0</v>
      </c>
      <c r="E187" s="11">
        <v>1326</v>
      </c>
      <c r="F187" s="12"/>
      <c r="G187" s="17">
        <f>+'SCH F - Rate Sum STEP 2'!C22</f>
        <v>4.7699999999999996</v>
      </c>
      <c r="I187" s="11">
        <f>ROUND(+E187*G187,0)</f>
        <v>6325</v>
      </c>
      <c r="J187" s="12"/>
      <c r="K187" s="17">
        <f>+'SCH I - Rate Sum STEP 1'!E22</f>
        <v>5.18</v>
      </c>
      <c r="L187" s="17"/>
      <c r="M187" s="11">
        <f>ROUND(+K187*E187,2)</f>
        <v>6868.68</v>
      </c>
      <c r="N187" s="11"/>
    </row>
    <row r="188" spans="1:16" x14ac:dyDescent="0.2">
      <c r="A188" s="2" t="s">
        <v>40</v>
      </c>
      <c r="C188" s="11">
        <v>0</v>
      </c>
      <c r="E188" s="11">
        <v>43000</v>
      </c>
      <c r="F188" s="12"/>
      <c r="G188" s="17">
        <f>+'SCH F - Rate Sum STEP 2'!C23</f>
        <v>4.4400000000000004</v>
      </c>
      <c r="I188" s="11">
        <f>ROUND(+E188*G188,0)</f>
        <v>190920</v>
      </c>
      <c r="J188" s="12"/>
      <c r="K188" s="17">
        <f>+'SCH I - Rate Sum STEP 1'!E23</f>
        <v>4.79</v>
      </c>
      <c r="L188" s="17"/>
      <c r="M188" s="11">
        <f>ROUND(+K188*E188,2)</f>
        <v>205970</v>
      </c>
      <c r="N188" s="11"/>
    </row>
    <row r="189" spans="1:16" x14ac:dyDescent="0.2">
      <c r="A189" s="2" t="s">
        <v>41</v>
      </c>
      <c r="B189" s="21"/>
      <c r="C189" s="15">
        <v>0</v>
      </c>
      <c r="D189" s="22"/>
      <c r="E189" s="11">
        <v>138490</v>
      </c>
      <c r="F189" s="16"/>
      <c r="G189" s="17">
        <f>+'SCH F - Rate Sum STEP 2'!C24</f>
        <v>3.25</v>
      </c>
      <c r="H189" s="21"/>
      <c r="I189" s="15">
        <f>ROUND(+E189*G189,0)</f>
        <v>450093</v>
      </c>
      <c r="J189" s="16"/>
      <c r="K189" s="17">
        <f>+'SCH I - Rate Sum STEP 1'!E24</f>
        <v>3.53</v>
      </c>
      <c r="L189" s="28"/>
      <c r="M189" s="15">
        <f>ROUND(+K189*E189,2)</f>
        <v>488869.7</v>
      </c>
      <c r="N189" s="11"/>
    </row>
    <row r="190" spans="1:16" x14ac:dyDescent="0.2">
      <c r="A190" s="2" t="s">
        <v>30</v>
      </c>
      <c r="C190" s="11">
        <f>SUM(C187:C189)</f>
        <v>0</v>
      </c>
      <c r="E190" s="68">
        <f>SUM(E187:E189)</f>
        <v>182816</v>
      </c>
      <c r="F190" s="12"/>
      <c r="G190" s="18"/>
      <c r="I190" s="11">
        <f>SUM(I187:I189)</f>
        <v>647338</v>
      </c>
      <c r="J190" s="12"/>
      <c r="K190" s="17"/>
      <c r="M190" s="11">
        <f>SUM(M187:M189)</f>
        <v>701708.38</v>
      </c>
      <c r="N190" s="11"/>
    </row>
    <row r="191" spans="1:16" x14ac:dyDescent="0.2">
      <c r="F191" s="12"/>
      <c r="G191" s="12"/>
      <c r="J191" s="12"/>
      <c r="N191" s="11"/>
    </row>
    <row r="192" spans="1:16" x14ac:dyDescent="0.2">
      <c r="A192" s="2" t="s">
        <v>24</v>
      </c>
      <c r="C192" s="11">
        <f>+C190+C185</f>
        <v>166</v>
      </c>
      <c r="E192" s="11">
        <f>+E190+E185</f>
        <v>182816</v>
      </c>
      <c r="F192" s="12"/>
      <c r="G192" s="12"/>
      <c r="I192" s="11">
        <f>+I190+I185</f>
        <v>655203</v>
      </c>
      <c r="J192" s="12"/>
      <c r="M192" s="11">
        <f>+M190+M185</f>
        <v>710080.38</v>
      </c>
      <c r="N192" s="11"/>
      <c r="P192" s="11"/>
    </row>
    <row r="193" spans="1:20" s="21" customFormat="1" x14ac:dyDescent="0.2">
      <c r="A193" s="2"/>
      <c r="B193" s="2"/>
      <c r="C193" s="11"/>
      <c r="D193" s="11"/>
      <c r="E193" s="11"/>
      <c r="F193" s="12"/>
      <c r="G193" s="12"/>
      <c r="H193" s="2"/>
      <c r="I193" s="11"/>
      <c r="J193" s="12"/>
      <c r="K193" s="2"/>
      <c r="L193" s="2"/>
      <c r="M193" s="11"/>
      <c r="N193" s="11"/>
      <c r="O193" s="2"/>
    </row>
    <row r="194" spans="1:20" s="21" customFormat="1" x14ac:dyDescent="0.2">
      <c r="A194" s="2" t="s">
        <v>47</v>
      </c>
      <c r="B194" s="2"/>
      <c r="C194" s="11">
        <f>+C192+C175</f>
        <v>2115</v>
      </c>
      <c r="D194" s="2"/>
      <c r="E194" s="11">
        <f>+E192+E175</f>
        <v>514735</v>
      </c>
      <c r="F194" s="2"/>
      <c r="G194" s="12"/>
      <c r="H194" s="2"/>
      <c r="I194" s="11">
        <f>+I192+I175</f>
        <v>2267326</v>
      </c>
      <c r="J194" s="12"/>
      <c r="K194" s="2"/>
      <c r="L194" s="2"/>
      <c r="M194" s="11">
        <f>+M192+M175</f>
        <v>2448775.9300000002</v>
      </c>
      <c r="N194" s="11"/>
      <c r="O194" s="2"/>
    </row>
    <row r="195" spans="1:20" x14ac:dyDescent="0.2">
      <c r="F195" s="12"/>
      <c r="G195" s="12"/>
      <c r="J195" s="12"/>
      <c r="N195" s="11"/>
      <c r="O195" s="11"/>
    </row>
    <row r="196" spans="1:20" x14ac:dyDescent="0.2">
      <c r="A196" s="13"/>
      <c r="F196" s="12"/>
      <c r="G196" s="12"/>
      <c r="N196" s="11"/>
      <c r="P196" s="11"/>
      <c r="Q196" s="11"/>
      <c r="R196" s="11"/>
      <c r="S196" s="11"/>
      <c r="T196" s="11"/>
    </row>
    <row r="197" spans="1:20" x14ac:dyDescent="0.2">
      <c r="A197" s="81" t="s">
        <v>78</v>
      </c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11"/>
      <c r="P197" s="31"/>
      <c r="Q197" s="31"/>
      <c r="R197" s="31"/>
      <c r="S197" s="31"/>
      <c r="T197" s="31"/>
    </row>
    <row r="198" spans="1:20" x14ac:dyDescent="0.2">
      <c r="A198" s="2" t="s">
        <v>15</v>
      </c>
      <c r="C198" s="64"/>
      <c r="J198" s="12"/>
      <c r="N198" s="11"/>
      <c r="P198" s="12"/>
      <c r="Q198" s="12"/>
      <c r="R198" s="12"/>
      <c r="S198" s="12"/>
    </row>
    <row r="199" spans="1:20" x14ac:dyDescent="0.2">
      <c r="A199" s="13" t="s">
        <v>20</v>
      </c>
      <c r="C199" s="64">
        <v>37</v>
      </c>
      <c r="E199" s="11">
        <v>0</v>
      </c>
      <c r="F199" s="12"/>
      <c r="G199" s="14">
        <f>'SCH F - Rate Sum STEP 2'!C16</f>
        <v>89.5</v>
      </c>
      <c r="I199" s="70">
        <f>ROUND(+C199*G199,0)</f>
        <v>3312</v>
      </c>
      <c r="J199" s="12"/>
      <c r="K199" s="69">
        <f>+'SCH I - Rate Sum STEP 1'!E16</f>
        <v>95.3</v>
      </c>
      <c r="L199" s="14"/>
      <c r="M199" s="70">
        <f>ROUND(+K199*C199,0)</f>
        <v>3526</v>
      </c>
      <c r="N199" s="11"/>
      <c r="P199" s="12"/>
      <c r="Q199" s="12"/>
      <c r="R199" s="12"/>
      <c r="S199" s="12"/>
    </row>
    <row r="200" spans="1:20" x14ac:dyDescent="0.2">
      <c r="A200" s="13" t="s">
        <v>27</v>
      </c>
      <c r="C200" s="65">
        <v>36</v>
      </c>
      <c r="E200" s="15">
        <v>0</v>
      </c>
      <c r="F200" s="12"/>
      <c r="G200" s="14">
        <f>'SCH F - Rate Sum STEP 2'!C17</f>
        <v>132.4</v>
      </c>
      <c r="I200" s="15">
        <f>ROUND(+C200*G200,0)</f>
        <v>4766</v>
      </c>
      <c r="J200" s="16"/>
      <c r="K200" s="59">
        <f>+'SCH I - Rate Sum STEP 1'!E17</f>
        <v>141</v>
      </c>
      <c r="L200" s="14"/>
      <c r="M200" s="15">
        <f>ROUND(+K200*C200,0)</f>
        <v>5076</v>
      </c>
      <c r="N200" s="11"/>
      <c r="P200" s="12"/>
      <c r="Q200" s="12"/>
      <c r="R200" s="12"/>
      <c r="S200" s="12"/>
    </row>
    <row r="201" spans="1:20" x14ac:dyDescent="0.2">
      <c r="A201" s="2" t="s">
        <v>30</v>
      </c>
      <c r="C201" s="64">
        <f>SUM(C199:C200)</f>
        <v>73</v>
      </c>
      <c r="E201" s="11">
        <f>SUM(E199:E200)</f>
        <v>0</v>
      </c>
      <c r="F201" s="12"/>
      <c r="G201" s="12"/>
      <c r="I201" s="11">
        <f>SUM(I199:I200)</f>
        <v>8078</v>
      </c>
      <c r="J201" s="12"/>
      <c r="K201" s="14"/>
      <c r="L201" s="14"/>
      <c r="M201" s="11">
        <f>SUM(M199:M200)</f>
        <v>8602</v>
      </c>
      <c r="N201" s="11"/>
      <c r="Q201" s="12"/>
    </row>
    <row r="202" spans="1:20" x14ac:dyDescent="0.2">
      <c r="F202" s="12"/>
      <c r="G202" s="12"/>
      <c r="J202" s="12"/>
      <c r="K202" s="14"/>
      <c r="L202" s="14"/>
      <c r="N202" s="11"/>
      <c r="P202" s="33"/>
    </row>
    <row r="203" spans="1:20" x14ac:dyDescent="0.2">
      <c r="A203" s="2" t="s">
        <v>22</v>
      </c>
      <c r="C203" s="15">
        <v>0</v>
      </c>
      <c r="E203" s="15">
        <v>676093</v>
      </c>
      <c r="F203" s="12"/>
      <c r="G203" s="17">
        <f>+'SCH F - Rate Sum STEP 2'!C47</f>
        <v>2.98</v>
      </c>
      <c r="I203" s="15">
        <f>ROUND(+E203*G203,0)</f>
        <v>2014757</v>
      </c>
      <c r="J203" s="16"/>
      <c r="K203" s="17">
        <f>+'SCH I - Rate Sum STEP 1'!E47</f>
        <v>3.21</v>
      </c>
      <c r="L203" s="14"/>
      <c r="M203" s="15">
        <f>ROUND(+K203*E203,2)</f>
        <v>2170258.5299999998</v>
      </c>
      <c r="N203" s="11"/>
    </row>
    <row r="204" spans="1:20" x14ac:dyDescent="0.2">
      <c r="A204" s="2" t="s">
        <v>30</v>
      </c>
      <c r="C204" s="11">
        <f>SUM(C203:C203)</f>
        <v>0</v>
      </c>
      <c r="E204" s="11">
        <f>SUM(E203:E203)</f>
        <v>676093</v>
      </c>
      <c r="F204" s="12"/>
      <c r="G204" s="18"/>
      <c r="I204" s="11">
        <f>SUM(I203:I203)</f>
        <v>2014757</v>
      </c>
      <c r="J204" s="12"/>
      <c r="M204" s="11">
        <f>SUM(M203:M203)</f>
        <v>2170258.5299999998</v>
      </c>
      <c r="N204" s="11"/>
    </row>
    <row r="205" spans="1:20" x14ac:dyDescent="0.2">
      <c r="F205" s="12"/>
      <c r="G205" s="12"/>
      <c r="J205" s="12"/>
      <c r="N205" s="11"/>
    </row>
    <row r="206" spans="1:20" x14ac:dyDescent="0.2">
      <c r="A206" s="2" t="s">
        <v>48</v>
      </c>
      <c r="C206" s="11">
        <f>+C204+C201</f>
        <v>73</v>
      </c>
      <c r="E206" s="11">
        <f>+E204+E201</f>
        <v>676093</v>
      </c>
      <c r="F206" s="12"/>
      <c r="G206" s="12"/>
      <c r="I206" s="11">
        <f>+I204+I201</f>
        <v>2022835</v>
      </c>
      <c r="J206" s="12"/>
      <c r="M206" s="11">
        <f>+M204+M201</f>
        <v>2178860.5299999998</v>
      </c>
      <c r="N206" s="11"/>
    </row>
    <row r="207" spans="1:20" s="21" customFormat="1" x14ac:dyDescent="0.2">
      <c r="A207" s="2"/>
      <c r="B207" s="2"/>
      <c r="C207" s="11"/>
      <c r="D207" s="2"/>
      <c r="E207" s="11"/>
      <c r="F207" s="2"/>
      <c r="G207" s="12"/>
      <c r="H207" s="2"/>
      <c r="I207" s="11"/>
      <c r="J207" s="12"/>
      <c r="K207" s="2"/>
      <c r="L207" s="2"/>
      <c r="M207" s="11"/>
      <c r="N207" s="11"/>
      <c r="O207" s="2"/>
    </row>
    <row r="208" spans="1:20" x14ac:dyDescent="0.2">
      <c r="N208" s="11"/>
    </row>
    <row r="209" spans="1:14" x14ac:dyDescent="0.2">
      <c r="A209" s="2" t="s">
        <v>24</v>
      </c>
      <c r="C209" s="11">
        <f>+C119+C206+C194+C155+C81+C42</f>
        <v>376389</v>
      </c>
      <c r="D209" s="2"/>
      <c r="E209" s="11">
        <f>+E119+E206+E194+E155+E81+E42</f>
        <v>10025005</v>
      </c>
      <c r="G209" s="11"/>
      <c r="I209" s="70">
        <f>+I119+I206+I194+I155+I81+I42</f>
        <v>59060840.239999995</v>
      </c>
      <c r="J209" s="70"/>
      <c r="K209" s="70"/>
      <c r="L209" s="70"/>
      <c r="M209" s="70">
        <f>+M119+M206+M194+M155+M81+M42</f>
        <v>63666700.545000002</v>
      </c>
      <c r="N209" s="11"/>
    </row>
    <row r="210" spans="1:14" x14ac:dyDescent="0.2">
      <c r="N210" s="11"/>
    </row>
    <row r="212" spans="1:14" x14ac:dyDescent="0.2">
      <c r="I212" s="34"/>
    </row>
    <row r="213" spans="1:14" x14ac:dyDescent="0.2">
      <c r="I213" s="19"/>
    </row>
  </sheetData>
  <mergeCells count="15">
    <mergeCell ref="A197:M197"/>
    <mergeCell ref="A2:M2"/>
    <mergeCell ref="A1:M1"/>
    <mergeCell ref="A4:M4"/>
    <mergeCell ref="A5:M5"/>
    <mergeCell ref="A11:M11"/>
    <mergeCell ref="A44:M44"/>
    <mergeCell ref="A123:M123"/>
    <mergeCell ref="A157:M157"/>
    <mergeCell ref="A27:M27"/>
    <mergeCell ref="A63:M63"/>
    <mergeCell ref="A142:M142"/>
    <mergeCell ref="A84:M84"/>
    <mergeCell ref="A103:M103"/>
    <mergeCell ref="A177:M177"/>
  </mergeCells>
  <phoneticPr fontId="2" type="noConversion"/>
  <pageMargins left="0.75" right="0.75" top="1" bottom="1" header="0.5" footer="0.5"/>
  <pageSetup scale="74" orientation="portrait" r:id="rId1"/>
  <headerFooter alignWithMargins="0"/>
  <rowBreaks count="6" manualBreakCount="6">
    <brk id="42" max="12" man="1"/>
    <brk id="82" max="12" man="1"/>
    <brk id="121" max="12" man="1"/>
    <brk id="155" max="12" man="1"/>
    <brk id="195" max="12" man="1"/>
    <brk id="23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Reconciliation of Adj</vt:lpstr>
      <vt:lpstr>SCH F - Rate Sum STEP 2</vt:lpstr>
      <vt:lpstr>SCH G - Bill analysis STEP 2</vt:lpstr>
      <vt:lpstr>SCH I - Rate Sum STEP 1</vt:lpstr>
      <vt:lpstr>SCH J - Bill analysis STEP 1</vt:lpstr>
      <vt:lpstr>'Reconciliation of Adj'!Print_Area</vt:lpstr>
      <vt:lpstr>'SCH F - Rate Sum STEP 2'!Print_Area</vt:lpstr>
      <vt:lpstr>'SCH G - Bill analysis STEP 2'!Print_Area</vt:lpstr>
      <vt:lpstr>'SCH I - Rate Sum STEP 1'!Print_Area</vt:lpstr>
      <vt:lpstr>'SCH J - Bill analysis STEP 1'!Print_Area</vt:lpstr>
      <vt:lpstr>'SCH F - Rate Sum STEP 2'!Print_Titles</vt:lpstr>
      <vt:lpstr>'SCH G - Bill analysis STEP 2'!Print_Titles</vt:lpstr>
      <vt:lpstr>'SCH I - Rate Sum STEP 1'!Print_Titles</vt:lpstr>
      <vt:lpstr>'SCH J - Bill analysis STEP 1'!Print_Titles</vt:lpstr>
    </vt:vector>
  </TitlesOfParts>
  <Company>Gannett Fleming,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cheppenstall</dc:creator>
  <cp:lastModifiedBy>Heppenstall, Constance E.</cp:lastModifiedBy>
  <cp:lastPrinted>2022-06-23T15:58:22Z</cp:lastPrinted>
  <dcterms:created xsi:type="dcterms:W3CDTF">2010-03-15T23:27:15Z</dcterms:created>
  <dcterms:modified xsi:type="dcterms:W3CDTF">2022-09-30T16:48:48Z</dcterms:modified>
</cp:coreProperties>
</file>