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Union County WD/"/>
    </mc:Choice>
  </mc:AlternateContent>
  <xr:revisionPtr revIDLastSave="97" documentId="8_{9A227E6F-2EEB-4337-80E3-1D8FBDF168D5}" xr6:coauthVersionLast="47" xr6:coauthVersionMax="47" xr10:uidLastSave="{D8D6B552-2372-4A51-A88F-6C4D93E031C4}"/>
  <bookViews>
    <workbookView xWindow="-98" yWindow="-98" windowWidth="20715" windowHeight="13155" activeTab="7" xr2:uid="{00000000-000D-0000-FFFF-FFFF00000000}"/>
  </bookViews>
  <sheets>
    <sheet name="SAO" sheetId="6" r:id="rId1"/>
    <sheet name="Revenue Requirements" sheetId="56" r:id="rId2"/>
    <sheet name="Wages" sheetId="49" r:id="rId3"/>
    <sheet name="Medical" sheetId="40" r:id="rId4"/>
    <sheet name="Depreciation" sheetId="52" r:id="rId5"/>
    <sheet name="Debt Service" sheetId="53" r:id="rId6"/>
    <sheet name="Capital" sheetId="54" r:id="rId7"/>
    <sheet name="Water Loss" sheetId="55" r:id="rId8"/>
    <sheet name="Rates" sheetId="2" r:id="rId9"/>
    <sheet name="Bills" sheetId="42" r:id="rId10"/>
    <sheet name="ExBA" sheetId="51" r:id="rId11"/>
    <sheet name="PrBA" sheetId="43" r:id="rId12"/>
  </sheets>
  <externalReferences>
    <externalReference r:id="rId13"/>
  </externalReferences>
  <definedNames>
    <definedName name="AHV">#REF!</definedName>
    <definedName name="_xlnm.Print_Area" localSheetId="9">Bills!$A$1:$J$27</definedName>
    <definedName name="_xlnm.Print_Area" localSheetId="5">'Debt Service'!$A$1:$P$29</definedName>
    <definedName name="_xlnm.Print_Area" localSheetId="10">ExBA!$A$1:$N$216</definedName>
    <definedName name="_xlnm.Print_Area" localSheetId="3">Medical!$A$1:$I$35</definedName>
    <definedName name="_xlnm.Print_Area" localSheetId="11">PrBA!$A$1:$N$211</definedName>
    <definedName name="_xlnm.Print_Area" localSheetId="8">Rates!$A$1:$L$74</definedName>
    <definedName name="_xlnm.Print_Area" localSheetId="1">'Revenue Requirements'!$A$1:$N$26</definedName>
    <definedName name="_xlnm.Print_Area" localSheetId="0">SAO!$A$1:$M$47</definedName>
    <definedName name="_xlnm.Print_Area" localSheetId="2">Wages!$A$1:$L$38</definedName>
    <definedName name="_xlnm.Print_Are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55" l="1"/>
  <c r="D53" i="55" s="1"/>
  <c r="B52" i="55"/>
  <c r="D52" i="55" s="1"/>
  <c r="D40" i="55"/>
  <c r="D42" i="55" s="1"/>
  <c r="D44" i="55" s="1"/>
  <c r="D51" i="55" s="1"/>
  <c r="D54" i="55" s="1"/>
  <c r="D57" i="55" s="1"/>
  <c r="D59" i="55" s="1"/>
  <c r="F5" i="49"/>
  <c r="H5" i="49" s="1"/>
  <c r="G5" i="49"/>
  <c r="F6" i="49"/>
  <c r="G6" i="49"/>
  <c r="H6" i="49"/>
  <c r="F7" i="49"/>
  <c r="H7" i="49" s="1"/>
  <c r="G7" i="49"/>
  <c r="F8" i="49"/>
  <c r="G8" i="49"/>
  <c r="H8" i="49"/>
  <c r="F9" i="49"/>
  <c r="G9" i="49"/>
  <c r="H9" i="49" s="1"/>
  <c r="F10" i="49"/>
  <c r="H10" i="49" s="1"/>
  <c r="G10" i="49"/>
  <c r="F11" i="49"/>
  <c r="H11" i="49" s="1"/>
  <c r="G11" i="49"/>
  <c r="E12" i="49"/>
  <c r="F12" i="49" s="1"/>
  <c r="H12" i="49" s="1"/>
  <c r="G12" i="49"/>
  <c r="E28" i="6"/>
  <c r="E26" i="6"/>
  <c r="B214" i="51"/>
  <c r="B213" i="51"/>
  <c r="B212" i="51"/>
  <c r="B209" i="43"/>
  <c r="B208" i="43"/>
  <c r="B207" i="43"/>
  <c r="E18" i="6"/>
  <c r="E24" i="6"/>
  <c r="E30" i="6"/>
  <c r="C9" i="49"/>
  <c r="C8" i="49"/>
  <c r="C6" i="49"/>
  <c r="C7" i="49"/>
  <c r="G18" i="56"/>
  <c r="G4" i="56"/>
  <c r="G3" i="56"/>
  <c r="D72" i="51"/>
  <c r="D14" i="49"/>
  <c r="G10" i="51"/>
  <c r="G15" i="51"/>
  <c r="D67" i="43"/>
  <c r="D105" i="51"/>
  <c r="D100" i="43" s="1"/>
  <c r="D104" i="51"/>
  <c r="D99" i="43" s="1"/>
  <c r="D103" i="51"/>
  <c r="D98" i="43" s="1"/>
  <c r="D102" i="51"/>
  <c r="D97" i="43" s="1"/>
  <c r="D101" i="51"/>
  <c r="D96" i="43" s="1"/>
  <c r="C105" i="51"/>
  <c r="C100" i="43" s="1"/>
  <c r="C104" i="51"/>
  <c r="C99" i="43" s="1"/>
  <c r="C103" i="51"/>
  <c r="C102" i="51"/>
  <c r="C101" i="51"/>
  <c r="C96" i="43" s="1"/>
  <c r="D207" i="51"/>
  <c r="D202" i="43" s="1"/>
  <c r="D206" i="51"/>
  <c r="D201" i="43" s="1"/>
  <c r="D205" i="51"/>
  <c r="D200" i="43" s="1"/>
  <c r="C207" i="51"/>
  <c r="C202" i="43" s="1"/>
  <c r="C206" i="51"/>
  <c r="C205" i="51"/>
  <c r="D193" i="51"/>
  <c r="D194" i="51" s="1"/>
  <c r="C193" i="51"/>
  <c r="C188" i="43" s="1"/>
  <c r="D179" i="51"/>
  <c r="D174" i="43" s="1"/>
  <c r="D178" i="51"/>
  <c r="D173" i="43" s="1"/>
  <c r="D177" i="51"/>
  <c r="D172" i="43" s="1"/>
  <c r="C179" i="51"/>
  <c r="C174" i="43" s="1"/>
  <c r="C178" i="51"/>
  <c r="C173" i="43" s="1"/>
  <c r="C177" i="51"/>
  <c r="C172" i="43" s="1"/>
  <c r="D161" i="51"/>
  <c r="D156" i="43" s="1"/>
  <c r="C161" i="51"/>
  <c r="C156" i="43" s="1"/>
  <c r="D126" i="51"/>
  <c r="D121" i="43" s="1"/>
  <c r="D125" i="51"/>
  <c r="D120" i="43" s="1"/>
  <c r="D124" i="51"/>
  <c r="D119" i="43" s="1"/>
  <c r="D123" i="51"/>
  <c r="D118" i="43" s="1"/>
  <c r="D122" i="51"/>
  <c r="D117" i="43" s="1"/>
  <c r="C126" i="51"/>
  <c r="C121" i="43" s="1"/>
  <c r="C125" i="51"/>
  <c r="C120" i="43" s="1"/>
  <c r="C124" i="51"/>
  <c r="C119" i="43" s="1"/>
  <c r="C123" i="51"/>
  <c r="C118" i="43" s="1"/>
  <c r="C122" i="51"/>
  <c r="C117" i="43" s="1"/>
  <c r="D84" i="51"/>
  <c r="D79" i="43" s="1"/>
  <c r="D82" i="51"/>
  <c r="D77" i="43" s="1"/>
  <c r="D81" i="51"/>
  <c r="D76" i="43" s="1"/>
  <c r="D80" i="51"/>
  <c r="D75" i="43" s="1"/>
  <c r="D79" i="51"/>
  <c r="D74" i="43" s="1"/>
  <c r="D78" i="51"/>
  <c r="D73" i="43" s="1"/>
  <c r="C84" i="51"/>
  <c r="C79" i="43" s="1"/>
  <c r="C82" i="51"/>
  <c r="C77" i="43" s="1"/>
  <c r="C81" i="51"/>
  <c r="C76" i="43" s="1"/>
  <c r="C80" i="51"/>
  <c r="C75" i="43" s="1"/>
  <c r="C79" i="51"/>
  <c r="C74" i="43" s="1"/>
  <c r="C78" i="51"/>
  <c r="C73" i="43" s="1"/>
  <c r="D59" i="51"/>
  <c r="D54" i="43" s="1"/>
  <c r="D58" i="51"/>
  <c r="D53" i="43" s="1"/>
  <c r="D57" i="51"/>
  <c r="D52" i="43" s="1"/>
  <c r="D56" i="51"/>
  <c r="D51" i="43" s="1"/>
  <c r="D55" i="51"/>
  <c r="D50" i="43" s="1"/>
  <c r="D54" i="51"/>
  <c r="D49" i="43" s="1"/>
  <c r="D53" i="51"/>
  <c r="D48" i="43" s="1"/>
  <c r="C59" i="51"/>
  <c r="C54" i="43" s="1"/>
  <c r="C58" i="51"/>
  <c r="C53" i="43" s="1"/>
  <c r="C57" i="51"/>
  <c r="C52" i="43" s="1"/>
  <c r="C56" i="51"/>
  <c r="C51" i="43" s="1"/>
  <c r="C55" i="51"/>
  <c r="C50" i="43" s="1"/>
  <c r="C54" i="51"/>
  <c r="C49" i="43" s="1"/>
  <c r="C55" i="43"/>
  <c r="C53" i="51"/>
  <c r="C48" i="43" s="1"/>
  <c r="D33" i="51"/>
  <c r="D28" i="43" s="1"/>
  <c r="D32" i="51"/>
  <c r="D27" i="43" s="1"/>
  <c r="D31" i="51"/>
  <c r="D26" i="43" s="1"/>
  <c r="D30" i="51"/>
  <c r="D25" i="43" s="1"/>
  <c r="D29" i="51"/>
  <c r="D24" i="43" s="1"/>
  <c r="D28" i="51"/>
  <c r="D27" i="51"/>
  <c r="D26" i="51"/>
  <c r="D21" i="43" s="1"/>
  <c r="D25" i="51"/>
  <c r="D20" i="43" s="1"/>
  <c r="C33" i="51"/>
  <c r="C28" i="43" s="1"/>
  <c r="C32" i="51"/>
  <c r="C27" i="43" s="1"/>
  <c r="C31" i="51"/>
  <c r="C26" i="43" s="1"/>
  <c r="C30" i="51"/>
  <c r="C25" i="43" s="1"/>
  <c r="C29" i="51"/>
  <c r="C24" i="43" s="1"/>
  <c r="C28" i="51"/>
  <c r="C23" i="43" s="1"/>
  <c r="C27" i="51"/>
  <c r="C22" i="43" s="1"/>
  <c r="C26" i="51"/>
  <c r="C21" i="43" s="1"/>
  <c r="C25" i="51"/>
  <c r="C20" i="43" s="1"/>
  <c r="C200" i="43"/>
  <c r="D187" i="43"/>
  <c r="C187" i="43"/>
  <c r="D158" i="43"/>
  <c r="C158" i="43"/>
  <c r="D157" i="43"/>
  <c r="C157" i="43"/>
  <c r="D155" i="43"/>
  <c r="C155" i="43"/>
  <c r="D101" i="43"/>
  <c r="C101" i="43"/>
  <c r="C97" i="43"/>
  <c r="D78" i="43"/>
  <c r="C78" i="43"/>
  <c r="D55" i="43"/>
  <c r="D23" i="43"/>
  <c r="D22" i="43"/>
  <c r="J32" i="52"/>
  <c r="K32" i="52" s="1"/>
  <c r="M29" i="53"/>
  <c r="M27" i="53"/>
  <c r="B54" i="55" l="1"/>
  <c r="C14" i="49"/>
  <c r="D107" i="51"/>
  <c r="C107" i="51"/>
  <c r="C98" i="43"/>
  <c r="D208" i="51"/>
  <c r="C208" i="51"/>
  <c r="C201" i="43"/>
  <c r="D188" i="43"/>
  <c r="C194" i="51"/>
  <c r="D180" i="51"/>
  <c r="C180" i="51"/>
  <c r="G8" i="43"/>
  <c r="G8" i="51"/>
  <c r="D37" i="6"/>
  <c r="D32" i="6"/>
  <c r="B21" i="55"/>
  <c r="D21" i="55" s="1"/>
  <c r="B20" i="55"/>
  <c r="D20" i="55" s="1"/>
  <c r="B19" i="55"/>
  <c r="G25" i="43"/>
  <c r="E25" i="51"/>
  <c r="N25" i="51" s="1"/>
  <c r="B202" i="43"/>
  <c r="G199" i="43" s="1"/>
  <c r="B201" i="43"/>
  <c r="F199" i="43" s="1"/>
  <c r="B200" i="43"/>
  <c r="E199" i="43" s="1"/>
  <c r="B194" i="43"/>
  <c r="B193" i="43"/>
  <c r="B188" i="43"/>
  <c r="F186" i="43" s="1"/>
  <c r="B187" i="43"/>
  <c r="E186" i="43" s="1"/>
  <c r="B181" i="43"/>
  <c r="B180" i="43"/>
  <c r="B179" i="43"/>
  <c r="B174" i="43"/>
  <c r="G171" i="43" s="1"/>
  <c r="B173" i="43"/>
  <c r="F171" i="43" s="1"/>
  <c r="F174" i="43" s="1"/>
  <c r="E172" i="43"/>
  <c r="C175" i="43"/>
  <c r="C179" i="43" s="1"/>
  <c r="B172" i="43"/>
  <c r="E171" i="43" s="1"/>
  <c r="E174" i="43" s="1"/>
  <c r="B166" i="43"/>
  <c r="B165" i="43"/>
  <c r="B164" i="43"/>
  <c r="B163" i="43"/>
  <c r="B158" i="43"/>
  <c r="B157" i="43"/>
  <c r="B156" i="43"/>
  <c r="F154" i="43" s="1"/>
  <c r="F157" i="43" s="1"/>
  <c r="E155" i="43"/>
  <c r="B155" i="43"/>
  <c r="E154" i="43" s="1"/>
  <c r="E157" i="43" s="1"/>
  <c r="H154" i="43"/>
  <c r="G154" i="43"/>
  <c r="G158" i="43" s="1"/>
  <c r="B149" i="43"/>
  <c r="B148" i="43"/>
  <c r="B147" i="43"/>
  <c r="B146" i="43"/>
  <c r="B145" i="43"/>
  <c r="D141" i="43"/>
  <c r="C141" i="43"/>
  <c r="C145" i="43" s="1"/>
  <c r="B140" i="43"/>
  <c r="I135" i="43" s="1"/>
  <c r="B139" i="43"/>
  <c r="H135" i="43" s="1"/>
  <c r="H140" i="43" s="1"/>
  <c r="B138" i="43"/>
  <c r="G135" i="43" s="1"/>
  <c r="G139" i="43" s="1"/>
  <c r="B137" i="43"/>
  <c r="F135" i="43" s="1"/>
  <c r="E136" i="43"/>
  <c r="J136" i="43" s="1"/>
  <c r="B136" i="43"/>
  <c r="E135" i="43" s="1"/>
  <c r="E138" i="43" s="1"/>
  <c r="B130" i="43"/>
  <c r="B129" i="43"/>
  <c r="B128" i="43"/>
  <c r="B127" i="43"/>
  <c r="B126" i="43"/>
  <c r="B121" i="43"/>
  <c r="I116" i="43" s="1"/>
  <c r="B120" i="43"/>
  <c r="H116" i="43" s="1"/>
  <c r="B119" i="43"/>
  <c r="G116" i="43" s="1"/>
  <c r="B118" i="43"/>
  <c r="F116" i="43" s="1"/>
  <c r="B117" i="43"/>
  <c r="E116" i="43" s="1"/>
  <c r="B111" i="43"/>
  <c r="B110" i="43"/>
  <c r="B109" i="43"/>
  <c r="B108" i="43"/>
  <c r="B107" i="43"/>
  <c r="B106" i="43"/>
  <c r="B101" i="43"/>
  <c r="B100" i="43"/>
  <c r="I95" i="43" s="1"/>
  <c r="B99" i="43"/>
  <c r="H95" i="43" s="1"/>
  <c r="B98" i="43"/>
  <c r="G95" i="43" s="1"/>
  <c r="B97" i="43"/>
  <c r="F95" i="43" s="1"/>
  <c r="E96" i="43"/>
  <c r="B96" i="43"/>
  <c r="E95" i="43" s="1"/>
  <c r="J95" i="43"/>
  <c r="B90" i="43"/>
  <c r="B89" i="43"/>
  <c r="B88" i="43"/>
  <c r="B87" i="43"/>
  <c r="B86" i="43"/>
  <c r="B85" i="43"/>
  <c r="B84" i="43"/>
  <c r="B79" i="43"/>
  <c r="K72" i="43" s="1"/>
  <c r="B78" i="43"/>
  <c r="J72" i="43" s="1"/>
  <c r="J79" i="43" s="1"/>
  <c r="B77" i="43"/>
  <c r="I72" i="43" s="1"/>
  <c r="I79" i="43" s="1"/>
  <c r="B76" i="43"/>
  <c r="H72" i="43" s="1"/>
  <c r="H79" i="43" s="1"/>
  <c r="B75" i="43"/>
  <c r="G72" i="43" s="1"/>
  <c r="G79" i="43" s="1"/>
  <c r="B74" i="43"/>
  <c r="F72" i="43" s="1"/>
  <c r="F79" i="43" s="1"/>
  <c r="B73" i="43"/>
  <c r="E72" i="43" s="1"/>
  <c r="B67" i="43"/>
  <c r="B66" i="43"/>
  <c r="B65" i="43"/>
  <c r="B64" i="43"/>
  <c r="B63" i="43"/>
  <c r="B62" i="43"/>
  <c r="B61" i="43"/>
  <c r="B60" i="43"/>
  <c r="B55" i="43"/>
  <c r="L47" i="43" s="1"/>
  <c r="B54" i="43"/>
  <c r="K47" i="43" s="1"/>
  <c r="K55" i="43" s="1"/>
  <c r="B53" i="43"/>
  <c r="J47" i="43" s="1"/>
  <c r="B52" i="43"/>
  <c r="I47" i="43" s="1"/>
  <c r="I55" i="43" s="1"/>
  <c r="B51" i="43"/>
  <c r="H47" i="43" s="1"/>
  <c r="H55" i="43" s="1"/>
  <c r="B50" i="43"/>
  <c r="G47" i="43" s="1"/>
  <c r="B49" i="43"/>
  <c r="F47" i="43" s="1"/>
  <c r="F55" i="43" s="1"/>
  <c r="E48" i="43"/>
  <c r="M48" i="43" s="1"/>
  <c r="B48" i="43"/>
  <c r="E47" i="43" s="1"/>
  <c r="B42" i="43"/>
  <c r="B41" i="43"/>
  <c r="B40" i="43"/>
  <c r="B39" i="43"/>
  <c r="B38" i="43"/>
  <c r="B37" i="43"/>
  <c r="B36" i="43"/>
  <c r="B35" i="43"/>
  <c r="B34" i="43"/>
  <c r="B28" i="43"/>
  <c r="M19" i="43" s="1"/>
  <c r="B27" i="43"/>
  <c r="L19" i="43" s="1"/>
  <c r="L28" i="43" s="1"/>
  <c r="B26" i="43"/>
  <c r="B25" i="43"/>
  <c r="J19" i="43" s="1"/>
  <c r="J28" i="43" s="1"/>
  <c r="B24" i="43"/>
  <c r="I19" i="43" s="1"/>
  <c r="B23" i="43"/>
  <c r="H19" i="43" s="1"/>
  <c r="B22" i="43"/>
  <c r="G19" i="43" s="1"/>
  <c r="B21" i="43"/>
  <c r="F19" i="43" s="1"/>
  <c r="E20" i="43"/>
  <c r="B20" i="43"/>
  <c r="E19" i="43" s="1"/>
  <c r="K19" i="43"/>
  <c r="K28" i="43" s="1"/>
  <c r="A2" i="43"/>
  <c r="E213" i="51"/>
  <c r="E212" i="51"/>
  <c r="E198" i="51"/>
  <c r="E214" i="51"/>
  <c r="B207" i="51"/>
  <c r="G204" i="51" s="1"/>
  <c r="B206" i="51"/>
  <c r="F204" i="51" s="1"/>
  <c r="B205" i="51"/>
  <c r="E204" i="51" s="1"/>
  <c r="F40" i="52"/>
  <c r="H36" i="49"/>
  <c r="H37" i="49" s="1"/>
  <c r="H38" i="49" s="1"/>
  <c r="G12" i="6"/>
  <c r="G20" i="56" s="1"/>
  <c r="B193" i="51"/>
  <c r="F191" i="51" s="1"/>
  <c r="B192" i="51"/>
  <c r="E191" i="51" s="1"/>
  <c r="B179" i="51"/>
  <c r="G176" i="51" s="1"/>
  <c r="B178" i="51"/>
  <c r="F176" i="51" s="1"/>
  <c r="B177" i="51"/>
  <c r="E176" i="51" s="1"/>
  <c r="B163" i="51"/>
  <c r="H159" i="51" s="1"/>
  <c r="B162" i="51"/>
  <c r="G159" i="51" s="1"/>
  <c r="B161" i="51"/>
  <c r="F159" i="51" s="1"/>
  <c r="B160" i="51"/>
  <c r="E159" i="51" s="1"/>
  <c r="B145" i="51"/>
  <c r="I140" i="51" s="1"/>
  <c r="B144" i="51"/>
  <c r="H140" i="51" s="1"/>
  <c r="H145" i="51" s="1"/>
  <c r="B143" i="51"/>
  <c r="G140" i="51" s="1"/>
  <c r="G144" i="51" s="1"/>
  <c r="B142" i="51"/>
  <c r="F140" i="51" s="1"/>
  <c r="B141" i="51"/>
  <c r="E140" i="51" s="1"/>
  <c r="D146" i="51"/>
  <c r="C146" i="51"/>
  <c r="C150" i="51" s="1"/>
  <c r="E141" i="51"/>
  <c r="B126" i="51"/>
  <c r="I121" i="51" s="1"/>
  <c r="B125" i="51"/>
  <c r="H121" i="51" s="1"/>
  <c r="B124" i="51"/>
  <c r="G121" i="51" s="1"/>
  <c r="B123" i="51"/>
  <c r="F121" i="51" s="1"/>
  <c r="B122" i="51"/>
  <c r="E121" i="51" s="1"/>
  <c r="B106" i="51"/>
  <c r="J100" i="51" s="1"/>
  <c r="B105" i="51"/>
  <c r="I100" i="51" s="1"/>
  <c r="B104" i="51"/>
  <c r="H100" i="51" s="1"/>
  <c r="B103" i="51"/>
  <c r="G100" i="51" s="1"/>
  <c r="B102" i="51"/>
  <c r="F100" i="51" s="1"/>
  <c r="B101" i="51"/>
  <c r="E100" i="51" s="1"/>
  <c r="B84" i="51"/>
  <c r="K77" i="51" s="1"/>
  <c r="B83" i="51"/>
  <c r="J77" i="51" s="1"/>
  <c r="J84" i="51" s="1"/>
  <c r="B82" i="51"/>
  <c r="I77" i="51" s="1"/>
  <c r="B81" i="51"/>
  <c r="H77" i="51" s="1"/>
  <c r="B80" i="51"/>
  <c r="G77" i="51" s="1"/>
  <c r="B79" i="51"/>
  <c r="F77" i="51" s="1"/>
  <c r="B78" i="51"/>
  <c r="E77" i="51" s="1"/>
  <c r="B60" i="51"/>
  <c r="L52" i="51" s="1"/>
  <c r="B59" i="51"/>
  <c r="K52" i="51" s="1"/>
  <c r="B58" i="51"/>
  <c r="J52" i="51" s="1"/>
  <c r="B57" i="51"/>
  <c r="I52" i="51" s="1"/>
  <c r="B56" i="51"/>
  <c r="H52" i="51" s="1"/>
  <c r="B55" i="51"/>
  <c r="G52" i="51" s="1"/>
  <c r="B54" i="51"/>
  <c r="F52" i="51" s="1"/>
  <c r="B53" i="51"/>
  <c r="E52" i="51" s="1"/>
  <c r="B33" i="51"/>
  <c r="M24" i="51" s="1"/>
  <c r="B32" i="51"/>
  <c r="L24" i="51" s="1"/>
  <c r="L33" i="51" s="1"/>
  <c r="B31" i="51"/>
  <c r="K24" i="51" s="1"/>
  <c r="B30" i="51"/>
  <c r="J24" i="51" s="1"/>
  <c r="B29" i="51"/>
  <c r="I24" i="51" s="1"/>
  <c r="B28" i="51"/>
  <c r="H24" i="51" s="1"/>
  <c r="B27" i="51"/>
  <c r="G24" i="51" s="1"/>
  <c r="G28" i="51" s="1"/>
  <c r="B26" i="51"/>
  <c r="F24" i="51" s="1"/>
  <c r="B25" i="51"/>
  <c r="E24" i="51" s="1"/>
  <c r="B29" i="40"/>
  <c r="B15" i="40"/>
  <c r="H28" i="40"/>
  <c r="D28" i="40"/>
  <c r="E28" i="40" s="1"/>
  <c r="F28" i="40" s="1"/>
  <c r="H27" i="40"/>
  <c r="D27" i="40"/>
  <c r="E27" i="40" s="1"/>
  <c r="F27" i="40" s="1"/>
  <c r="H26" i="40"/>
  <c r="D26" i="40"/>
  <c r="E26" i="40" s="1"/>
  <c r="F26" i="40" s="1"/>
  <c r="H25" i="40"/>
  <c r="D25" i="40"/>
  <c r="E25" i="40" s="1"/>
  <c r="F25" i="40" s="1"/>
  <c r="H24" i="40"/>
  <c r="D24" i="40"/>
  <c r="E24" i="40" s="1"/>
  <c r="F24" i="40" s="1"/>
  <c r="H23" i="40"/>
  <c r="D23" i="40"/>
  <c r="E23" i="40" s="1"/>
  <c r="F23" i="40" s="1"/>
  <c r="H22" i="40"/>
  <c r="D22" i="40"/>
  <c r="E22" i="40" s="1"/>
  <c r="F22" i="40" s="1"/>
  <c r="H21" i="40"/>
  <c r="D21" i="40"/>
  <c r="E21" i="40" s="1"/>
  <c r="F21" i="40" s="1"/>
  <c r="H20" i="40"/>
  <c r="D20" i="40"/>
  <c r="E20" i="40" s="1"/>
  <c r="F20" i="40" s="1"/>
  <c r="H14" i="40"/>
  <c r="H13" i="40"/>
  <c r="H12" i="40"/>
  <c r="H11" i="40"/>
  <c r="H10" i="40"/>
  <c r="H9" i="40"/>
  <c r="H8" i="40"/>
  <c r="H7" i="40"/>
  <c r="H6" i="40"/>
  <c r="D13" i="40"/>
  <c r="E13" i="40" s="1"/>
  <c r="F13" i="40" s="1"/>
  <c r="D12" i="40"/>
  <c r="E12" i="40" s="1"/>
  <c r="F12" i="40" s="1"/>
  <c r="D11" i="40"/>
  <c r="E11" i="40" s="1"/>
  <c r="F11" i="40" s="1"/>
  <c r="D10" i="40"/>
  <c r="E10" i="40" s="1"/>
  <c r="F10" i="40" s="1"/>
  <c r="D9" i="40"/>
  <c r="E9" i="40" s="1"/>
  <c r="F9" i="40" s="1"/>
  <c r="D8" i="40"/>
  <c r="E8" i="40" s="1"/>
  <c r="F8" i="40" s="1"/>
  <c r="D7" i="40"/>
  <c r="E7" i="40" s="1"/>
  <c r="F7" i="40" s="1"/>
  <c r="D6" i="40"/>
  <c r="E6" i="40" s="1"/>
  <c r="F6" i="40" s="1"/>
  <c r="D14" i="40"/>
  <c r="E14" i="40" s="1"/>
  <c r="F14" i="40" s="1"/>
  <c r="H26" i="49"/>
  <c r="E199" i="51"/>
  <c r="B199" i="51"/>
  <c r="B198" i="51"/>
  <c r="E186" i="51"/>
  <c r="E185" i="51"/>
  <c r="E184" i="51"/>
  <c r="B186" i="51"/>
  <c r="B185" i="51"/>
  <c r="B184" i="51"/>
  <c r="E171" i="51"/>
  <c r="E170" i="51"/>
  <c r="E169" i="51"/>
  <c r="E168" i="51"/>
  <c r="B171" i="51"/>
  <c r="B170" i="51"/>
  <c r="B169" i="51"/>
  <c r="B168" i="51"/>
  <c r="E154" i="51"/>
  <c r="E153" i="51"/>
  <c r="E152" i="51"/>
  <c r="E151" i="51"/>
  <c r="E150" i="51"/>
  <c r="B154" i="51"/>
  <c r="B153" i="51"/>
  <c r="B152" i="51"/>
  <c r="B151" i="51"/>
  <c r="B150" i="51"/>
  <c r="B135" i="51"/>
  <c r="B134" i="51"/>
  <c r="B133" i="51"/>
  <c r="B132" i="51"/>
  <c r="B131" i="51"/>
  <c r="E135" i="51"/>
  <c r="E134" i="51"/>
  <c r="E133" i="51"/>
  <c r="E132" i="51"/>
  <c r="E131" i="51"/>
  <c r="E116" i="51"/>
  <c r="E115" i="51"/>
  <c r="E114" i="51"/>
  <c r="E113" i="51"/>
  <c r="E112" i="51"/>
  <c r="E111" i="51"/>
  <c r="B116" i="51"/>
  <c r="B115" i="51"/>
  <c r="B114" i="51"/>
  <c r="B113" i="51"/>
  <c r="B112" i="51"/>
  <c r="B111" i="51"/>
  <c r="E95" i="51"/>
  <c r="E94" i="51"/>
  <c r="E93" i="51"/>
  <c r="E92" i="51"/>
  <c r="E91" i="51"/>
  <c r="E90" i="51"/>
  <c r="E89" i="51"/>
  <c r="B95" i="51"/>
  <c r="B94" i="51"/>
  <c r="B93" i="51"/>
  <c r="B92" i="51"/>
  <c r="B91" i="51"/>
  <c r="B90" i="51"/>
  <c r="B89" i="51"/>
  <c r="B72" i="51"/>
  <c r="B71" i="51"/>
  <c r="B70" i="51"/>
  <c r="B69" i="51"/>
  <c r="B68" i="51"/>
  <c r="B67" i="51"/>
  <c r="B66" i="51"/>
  <c r="B65" i="51"/>
  <c r="B47" i="51"/>
  <c r="B46" i="51"/>
  <c r="B45" i="51"/>
  <c r="B44" i="51"/>
  <c r="B43" i="51"/>
  <c r="B42" i="51"/>
  <c r="B41" i="51"/>
  <c r="B40" i="51"/>
  <c r="B39" i="51"/>
  <c r="E72" i="51"/>
  <c r="G72" i="51" s="1"/>
  <c r="E71" i="51"/>
  <c r="E70" i="51"/>
  <c r="E69" i="51"/>
  <c r="E68" i="51"/>
  <c r="E67" i="51"/>
  <c r="E66" i="51"/>
  <c r="E65" i="51"/>
  <c r="E47" i="51"/>
  <c r="E46" i="51"/>
  <c r="E45" i="51"/>
  <c r="E44" i="51"/>
  <c r="E43" i="51"/>
  <c r="E42" i="51"/>
  <c r="E41" i="51"/>
  <c r="E40" i="51"/>
  <c r="E39" i="51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C14" i="55"/>
  <c r="G9" i="6"/>
  <c r="D14" i="6"/>
  <c r="G13" i="6"/>
  <c r="G11" i="6"/>
  <c r="G29" i="6"/>
  <c r="G6" i="56" l="1"/>
  <c r="B22" i="55"/>
  <c r="D19" i="55"/>
  <c r="E119" i="43"/>
  <c r="C189" i="43"/>
  <c r="C193" i="43" s="1"/>
  <c r="F101" i="43"/>
  <c r="G101" i="43"/>
  <c r="G121" i="43"/>
  <c r="D102" i="43"/>
  <c r="E49" i="43"/>
  <c r="F49" i="43" s="1"/>
  <c r="M49" i="43" s="1"/>
  <c r="D56" i="43"/>
  <c r="G76" i="43"/>
  <c r="H100" i="43"/>
  <c r="F202" i="43"/>
  <c r="I25" i="43"/>
  <c r="H52" i="43"/>
  <c r="C159" i="43"/>
  <c r="C163" i="43" s="1"/>
  <c r="K27" i="43"/>
  <c r="F22" i="43"/>
  <c r="C102" i="43"/>
  <c r="C106" i="43" s="1"/>
  <c r="H25" i="43"/>
  <c r="H26" i="43"/>
  <c r="J54" i="43"/>
  <c r="J55" i="43"/>
  <c r="F53" i="43"/>
  <c r="F25" i="43"/>
  <c r="H53" i="43"/>
  <c r="H77" i="43"/>
  <c r="H54" i="43"/>
  <c r="C80" i="43"/>
  <c r="C84" i="43" s="1"/>
  <c r="I101" i="43"/>
  <c r="C122" i="43"/>
  <c r="C126" i="43" s="1"/>
  <c r="H121" i="43"/>
  <c r="E188" i="43"/>
  <c r="F188" i="43" s="1"/>
  <c r="F189" i="43" s="1"/>
  <c r="D194" i="43" s="1"/>
  <c r="D203" i="43"/>
  <c r="E11" i="43" s="1"/>
  <c r="I78" i="43"/>
  <c r="C29" i="43"/>
  <c r="C34" i="43" s="1"/>
  <c r="D29" i="43"/>
  <c r="D80" i="43"/>
  <c r="D122" i="43"/>
  <c r="H24" i="43"/>
  <c r="C56" i="43"/>
  <c r="C60" i="43" s="1"/>
  <c r="F50" i="43"/>
  <c r="E73" i="43"/>
  <c r="L73" i="43" s="1"/>
  <c r="F119" i="43"/>
  <c r="D189" i="43"/>
  <c r="C203" i="43"/>
  <c r="C207" i="43" s="1"/>
  <c r="E202" i="43"/>
  <c r="H172" i="43"/>
  <c r="E101" i="43"/>
  <c r="E98" i="43"/>
  <c r="E97" i="43"/>
  <c r="E77" i="43"/>
  <c r="E74" i="43"/>
  <c r="E76" i="43"/>
  <c r="E79" i="43"/>
  <c r="E118" i="43"/>
  <c r="E121" i="43"/>
  <c r="E120" i="43"/>
  <c r="G26" i="43"/>
  <c r="F75" i="43"/>
  <c r="G23" i="43"/>
  <c r="E173" i="43"/>
  <c r="F173" i="43" s="1"/>
  <c r="F175" i="43" s="1"/>
  <c r="D180" i="43" s="1"/>
  <c r="E21" i="43"/>
  <c r="G54" i="43"/>
  <c r="G53" i="43"/>
  <c r="G55" i="43"/>
  <c r="G52" i="43"/>
  <c r="G51" i="43"/>
  <c r="G99" i="43"/>
  <c r="F120" i="43"/>
  <c r="F138" i="43"/>
  <c r="G138" i="43" s="1"/>
  <c r="F139" i="43"/>
  <c r="F140" i="43"/>
  <c r="G157" i="43"/>
  <c r="G159" i="43" s="1"/>
  <c r="D165" i="43" s="1"/>
  <c r="G28" i="43"/>
  <c r="I155" i="43"/>
  <c r="G174" i="43"/>
  <c r="G175" i="43" s="1"/>
  <c r="D181" i="43" s="1"/>
  <c r="E25" i="43"/>
  <c r="E22" i="43"/>
  <c r="E28" i="43"/>
  <c r="E27" i="43"/>
  <c r="G100" i="43"/>
  <c r="F121" i="43"/>
  <c r="N20" i="43"/>
  <c r="I26" i="43"/>
  <c r="F27" i="43"/>
  <c r="I53" i="43"/>
  <c r="I54" i="43"/>
  <c r="E75" i="43"/>
  <c r="F76" i="43"/>
  <c r="F77" i="43"/>
  <c r="E78" i="43"/>
  <c r="H101" i="43"/>
  <c r="E117" i="43"/>
  <c r="E137" i="43"/>
  <c r="E156" i="43"/>
  <c r="E201" i="43"/>
  <c r="F201" i="43" s="1"/>
  <c r="E140" i="43"/>
  <c r="D159" i="43"/>
  <c r="E23" i="43"/>
  <c r="E24" i="43"/>
  <c r="J26" i="43"/>
  <c r="G27" i="43"/>
  <c r="G77" i="43"/>
  <c r="F78" i="43"/>
  <c r="E139" i="43"/>
  <c r="G140" i="43"/>
  <c r="E158" i="43"/>
  <c r="F23" i="43"/>
  <c r="F24" i="43"/>
  <c r="H27" i="43"/>
  <c r="F28" i="43"/>
  <c r="G78" i="43"/>
  <c r="F158" i="43"/>
  <c r="G24" i="43"/>
  <c r="I27" i="43"/>
  <c r="E51" i="43"/>
  <c r="E52" i="43"/>
  <c r="H78" i="43"/>
  <c r="K96" i="43"/>
  <c r="E200" i="43"/>
  <c r="E26" i="43"/>
  <c r="J27" i="43"/>
  <c r="H28" i="43"/>
  <c r="E50" i="43"/>
  <c r="F51" i="43"/>
  <c r="F52" i="43"/>
  <c r="E53" i="43"/>
  <c r="E54" i="43"/>
  <c r="E99" i="43"/>
  <c r="E100" i="43"/>
  <c r="G120" i="43"/>
  <c r="D175" i="43"/>
  <c r="F26" i="43"/>
  <c r="I28" i="43"/>
  <c r="F54" i="43"/>
  <c r="E55" i="43"/>
  <c r="F99" i="43"/>
  <c r="F100" i="43"/>
  <c r="E187" i="43"/>
  <c r="F98" i="43"/>
  <c r="E205" i="51"/>
  <c r="E206" i="51"/>
  <c r="F206" i="51" s="1"/>
  <c r="C164" i="51"/>
  <c r="C168" i="51" s="1"/>
  <c r="G168" i="51" s="1"/>
  <c r="F126" i="51"/>
  <c r="C111" i="51"/>
  <c r="G82" i="51"/>
  <c r="H82" i="51"/>
  <c r="F80" i="51"/>
  <c r="K32" i="51"/>
  <c r="D34" i="51"/>
  <c r="C34" i="51"/>
  <c r="C39" i="51" s="1"/>
  <c r="D61" i="51"/>
  <c r="C61" i="51"/>
  <c r="C65" i="51" s="1"/>
  <c r="G65" i="51" s="1"/>
  <c r="G73" i="51" s="1"/>
  <c r="E53" i="51"/>
  <c r="M53" i="51" s="1"/>
  <c r="D85" i="51"/>
  <c r="E78" i="51"/>
  <c r="L78" i="51" s="1"/>
  <c r="G104" i="51"/>
  <c r="G125" i="51"/>
  <c r="D127" i="51"/>
  <c r="C127" i="51"/>
  <c r="C131" i="51" s="1"/>
  <c r="G131" i="51" s="1"/>
  <c r="E122" i="51"/>
  <c r="J122" i="51" s="1"/>
  <c r="E160" i="51"/>
  <c r="I160" i="51" s="1"/>
  <c r="C184" i="51"/>
  <c r="G184" i="51" s="1"/>
  <c r="E177" i="51"/>
  <c r="H177" i="51" s="1"/>
  <c r="F179" i="51"/>
  <c r="E178" i="51"/>
  <c r="E179" i="51"/>
  <c r="F163" i="51"/>
  <c r="F162" i="51"/>
  <c r="E163" i="51"/>
  <c r="E161" i="51"/>
  <c r="E162" i="51"/>
  <c r="G163" i="51"/>
  <c r="G150" i="51"/>
  <c r="F144" i="51"/>
  <c r="F143" i="51"/>
  <c r="E144" i="51"/>
  <c r="E142" i="51"/>
  <c r="E143" i="51"/>
  <c r="E145" i="51"/>
  <c r="J141" i="51"/>
  <c r="F145" i="51"/>
  <c r="G145" i="51"/>
  <c r="F125" i="51"/>
  <c r="F124" i="51"/>
  <c r="H126" i="51"/>
  <c r="E125" i="51"/>
  <c r="E123" i="51"/>
  <c r="E124" i="51"/>
  <c r="E126" i="51"/>
  <c r="G126" i="51"/>
  <c r="H105" i="51"/>
  <c r="H106" i="51"/>
  <c r="I106" i="51"/>
  <c r="E106" i="51"/>
  <c r="E102" i="51"/>
  <c r="E105" i="51"/>
  <c r="E104" i="51"/>
  <c r="F106" i="51"/>
  <c r="G106" i="51"/>
  <c r="G105" i="51"/>
  <c r="F105" i="51"/>
  <c r="F104" i="51"/>
  <c r="E82" i="51"/>
  <c r="E81" i="51"/>
  <c r="E84" i="51"/>
  <c r="E79" i="51"/>
  <c r="F79" i="51" s="1"/>
  <c r="E83" i="51"/>
  <c r="F82" i="51"/>
  <c r="F81" i="51"/>
  <c r="F84" i="51"/>
  <c r="F83" i="51"/>
  <c r="I84" i="51"/>
  <c r="I83" i="51"/>
  <c r="G84" i="51"/>
  <c r="H84" i="51"/>
  <c r="G83" i="51"/>
  <c r="H83" i="51"/>
  <c r="G81" i="51"/>
  <c r="H59" i="51"/>
  <c r="H60" i="51"/>
  <c r="H57" i="51"/>
  <c r="I60" i="51"/>
  <c r="I59" i="51"/>
  <c r="I58" i="51"/>
  <c r="J59" i="51"/>
  <c r="J60" i="51"/>
  <c r="E56" i="51"/>
  <c r="E57" i="51"/>
  <c r="E59" i="51"/>
  <c r="E54" i="51"/>
  <c r="E60" i="51"/>
  <c r="E58" i="51"/>
  <c r="E55" i="51"/>
  <c r="K60" i="51"/>
  <c r="F55" i="51"/>
  <c r="F58" i="51"/>
  <c r="F57" i="51"/>
  <c r="G58" i="51"/>
  <c r="G59" i="51"/>
  <c r="F60" i="51"/>
  <c r="F59" i="51"/>
  <c r="G57" i="51"/>
  <c r="H58" i="51"/>
  <c r="G60" i="51"/>
  <c r="F56" i="51"/>
  <c r="G56" i="51"/>
  <c r="E32" i="51"/>
  <c r="E30" i="51"/>
  <c r="E27" i="51"/>
  <c r="F33" i="51"/>
  <c r="F31" i="51"/>
  <c r="F27" i="51"/>
  <c r="F28" i="51"/>
  <c r="F30" i="51"/>
  <c r="F32" i="51"/>
  <c r="F29" i="51"/>
  <c r="I30" i="51"/>
  <c r="I31" i="51"/>
  <c r="I32" i="51"/>
  <c r="I33" i="51"/>
  <c r="H30" i="51"/>
  <c r="H29" i="51"/>
  <c r="H31" i="51"/>
  <c r="H33" i="51"/>
  <c r="H32" i="51"/>
  <c r="J31" i="51"/>
  <c r="J32" i="51"/>
  <c r="J33" i="51"/>
  <c r="E31" i="51"/>
  <c r="G33" i="51"/>
  <c r="G29" i="51"/>
  <c r="E26" i="51"/>
  <c r="F26" i="51" s="1"/>
  <c r="N26" i="51" s="1"/>
  <c r="G32" i="51"/>
  <c r="E28" i="51"/>
  <c r="K33" i="51"/>
  <c r="G30" i="51"/>
  <c r="G31" i="51"/>
  <c r="E33" i="51"/>
  <c r="E29" i="51"/>
  <c r="G75" i="43" l="1"/>
  <c r="G39" i="51"/>
  <c r="G111" i="51"/>
  <c r="D22" i="55"/>
  <c r="D25" i="55" s="1"/>
  <c r="D27" i="55" s="1"/>
  <c r="D11" i="43"/>
  <c r="H76" i="43"/>
  <c r="H80" i="43" s="1"/>
  <c r="D87" i="43" s="1"/>
  <c r="F203" i="43"/>
  <c r="D208" i="43" s="1"/>
  <c r="G202" i="43"/>
  <c r="G203" i="43" s="1"/>
  <c r="D209" i="43" s="1"/>
  <c r="E159" i="43"/>
  <c r="D163" i="43" s="1"/>
  <c r="G119" i="43"/>
  <c r="G122" i="43" s="1"/>
  <c r="D128" i="43" s="1"/>
  <c r="G141" i="43"/>
  <c r="D147" i="43" s="1"/>
  <c r="G188" i="43"/>
  <c r="D7" i="43"/>
  <c r="D13" i="43" s="1"/>
  <c r="E80" i="43"/>
  <c r="D84" i="43" s="1"/>
  <c r="H174" i="43"/>
  <c r="L27" i="43"/>
  <c r="L29" i="43" s="1"/>
  <c r="D41" i="43" s="1"/>
  <c r="I77" i="43"/>
  <c r="I80" i="43" s="1"/>
  <c r="D88" i="43" s="1"/>
  <c r="F21" i="43"/>
  <c r="F29" i="43" s="1"/>
  <c r="D35" i="43" s="1"/>
  <c r="K26" i="43"/>
  <c r="K29" i="43" s="1"/>
  <c r="D40" i="43" s="1"/>
  <c r="H139" i="43"/>
  <c r="H141" i="43" s="1"/>
  <c r="D148" i="43" s="1"/>
  <c r="G98" i="43"/>
  <c r="G102" i="43" s="1"/>
  <c r="D108" i="43" s="1"/>
  <c r="E203" i="43"/>
  <c r="D207" i="43" s="1"/>
  <c r="H200" i="43"/>
  <c r="G80" i="43"/>
  <c r="D86" i="43" s="1"/>
  <c r="L75" i="43"/>
  <c r="F56" i="43"/>
  <c r="D61" i="43" s="1"/>
  <c r="H99" i="43"/>
  <c r="H102" i="43" s="1"/>
  <c r="D109" i="43" s="1"/>
  <c r="I140" i="43"/>
  <c r="I141" i="43" s="1"/>
  <c r="D149" i="43" s="1"/>
  <c r="G22" i="43"/>
  <c r="G29" i="43" s="1"/>
  <c r="D36" i="43" s="1"/>
  <c r="H173" i="43"/>
  <c r="F118" i="43"/>
  <c r="F122" i="43" s="1"/>
  <c r="D127" i="43" s="1"/>
  <c r="L55" i="43"/>
  <c r="L56" i="43" s="1"/>
  <c r="H201" i="43"/>
  <c r="K79" i="43"/>
  <c r="K80" i="43" s="1"/>
  <c r="D90" i="43" s="1"/>
  <c r="F137" i="43"/>
  <c r="F141" i="43" s="1"/>
  <c r="D146" i="43" s="1"/>
  <c r="E141" i="43"/>
  <c r="D145" i="43" s="1"/>
  <c r="J53" i="43"/>
  <c r="J56" i="43" s="1"/>
  <c r="D65" i="43" s="1"/>
  <c r="F74" i="43"/>
  <c r="F80" i="43" s="1"/>
  <c r="D85" i="43" s="1"/>
  <c r="I121" i="43"/>
  <c r="I122" i="43" s="1"/>
  <c r="D130" i="43" s="1"/>
  <c r="E102" i="43"/>
  <c r="D106" i="43" s="1"/>
  <c r="J138" i="43"/>
  <c r="K54" i="43"/>
  <c r="K56" i="43" s="1"/>
  <c r="D66" i="43" s="1"/>
  <c r="J25" i="43"/>
  <c r="J29" i="43" s="1"/>
  <c r="D39" i="43" s="1"/>
  <c r="I100" i="43"/>
  <c r="I102" i="43" s="1"/>
  <c r="D110" i="43" s="1"/>
  <c r="I52" i="43"/>
  <c r="I56" i="43" s="1"/>
  <c r="D64" i="43" s="1"/>
  <c r="E122" i="43"/>
  <c r="D126" i="43" s="1"/>
  <c r="J117" i="43"/>
  <c r="I157" i="43"/>
  <c r="F156" i="43"/>
  <c r="F159" i="43" s="1"/>
  <c r="D164" i="43" s="1"/>
  <c r="E175" i="43"/>
  <c r="D179" i="43" s="1"/>
  <c r="D182" i="43" s="1"/>
  <c r="M28" i="43"/>
  <c r="M29" i="43" s="1"/>
  <c r="D42" i="43" s="1"/>
  <c r="G50" i="43"/>
  <c r="G56" i="43" s="1"/>
  <c r="D62" i="43" s="1"/>
  <c r="H51" i="43"/>
  <c r="H56" i="43" s="1"/>
  <c r="D63" i="43" s="1"/>
  <c r="I24" i="43"/>
  <c r="I29" i="43" s="1"/>
  <c r="D38" i="43" s="1"/>
  <c r="E56" i="43"/>
  <c r="D60" i="43" s="1"/>
  <c r="E29" i="43"/>
  <c r="D34" i="43" s="1"/>
  <c r="G187" i="43"/>
  <c r="E189" i="43"/>
  <c r="D193" i="43" s="1"/>
  <c r="D195" i="43" s="1"/>
  <c r="H158" i="43"/>
  <c r="H159" i="43" s="1"/>
  <c r="D166" i="43" s="1"/>
  <c r="H23" i="43"/>
  <c r="H29" i="43" s="1"/>
  <c r="D37" i="43" s="1"/>
  <c r="F97" i="43"/>
  <c r="F102" i="43" s="1"/>
  <c r="D107" i="43" s="1"/>
  <c r="J78" i="43"/>
  <c r="J80" i="43" s="1"/>
  <c r="D89" i="43" s="1"/>
  <c r="J101" i="43"/>
  <c r="J102" i="43" s="1"/>
  <c r="D111" i="43" s="1"/>
  <c r="H120" i="43"/>
  <c r="H122" i="43" s="1"/>
  <c r="D129" i="43" s="1"/>
  <c r="H206" i="51"/>
  <c r="H205" i="51"/>
  <c r="E103" i="51"/>
  <c r="F103" i="51"/>
  <c r="E101" i="51"/>
  <c r="K101" i="51" s="1"/>
  <c r="D164" i="51"/>
  <c r="C85" i="51"/>
  <c r="C89" i="51" s="1"/>
  <c r="G89" i="51" s="1"/>
  <c r="E80" i="51"/>
  <c r="G80" i="51" s="1"/>
  <c r="G85" i="51" s="1"/>
  <c r="D91" i="51" s="1"/>
  <c r="G91" i="51" s="1"/>
  <c r="G179" i="51"/>
  <c r="G180" i="51" s="1"/>
  <c r="D186" i="51" s="1"/>
  <c r="G186" i="51" s="1"/>
  <c r="F178" i="51"/>
  <c r="F180" i="51" s="1"/>
  <c r="D185" i="51" s="1"/>
  <c r="G185" i="51" s="1"/>
  <c r="E180" i="51"/>
  <c r="D184" i="51" s="1"/>
  <c r="E164" i="51"/>
  <c r="D168" i="51" s="1"/>
  <c r="H163" i="51"/>
  <c r="H164" i="51" s="1"/>
  <c r="D171" i="51" s="1"/>
  <c r="G171" i="51" s="1"/>
  <c r="G162" i="51"/>
  <c r="G164" i="51" s="1"/>
  <c r="D170" i="51" s="1"/>
  <c r="G170" i="51" s="1"/>
  <c r="I145" i="51"/>
  <c r="I146" i="51" s="1"/>
  <c r="D154" i="51" s="1"/>
  <c r="G154" i="51" s="1"/>
  <c r="F142" i="51"/>
  <c r="F146" i="51" s="1"/>
  <c r="D151" i="51" s="1"/>
  <c r="G151" i="51" s="1"/>
  <c r="G143" i="51"/>
  <c r="G146" i="51" s="1"/>
  <c r="D152" i="51" s="1"/>
  <c r="G152" i="51" s="1"/>
  <c r="H144" i="51"/>
  <c r="H146" i="51" s="1"/>
  <c r="D153" i="51" s="1"/>
  <c r="G153" i="51" s="1"/>
  <c r="E146" i="51"/>
  <c r="D150" i="51" s="1"/>
  <c r="E127" i="51"/>
  <c r="D131" i="51" s="1"/>
  <c r="I126" i="51"/>
  <c r="I127" i="51" s="1"/>
  <c r="D135" i="51" s="1"/>
  <c r="G135" i="51" s="1"/>
  <c r="G124" i="51"/>
  <c r="G127" i="51" s="1"/>
  <c r="D133" i="51" s="1"/>
  <c r="G133" i="51" s="1"/>
  <c r="F123" i="51"/>
  <c r="F127" i="51" s="1"/>
  <c r="D132" i="51" s="1"/>
  <c r="G132" i="51" s="1"/>
  <c r="H125" i="51"/>
  <c r="H127" i="51" s="1"/>
  <c r="D134" i="51" s="1"/>
  <c r="G134" i="51" s="1"/>
  <c r="J106" i="51"/>
  <c r="J107" i="51" s="1"/>
  <c r="D116" i="51" s="1"/>
  <c r="G116" i="51" s="1"/>
  <c r="I105" i="51"/>
  <c r="I107" i="51" s="1"/>
  <c r="D115" i="51" s="1"/>
  <c r="G115" i="51" s="1"/>
  <c r="F102" i="51"/>
  <c r="H104" i="51"/>
  <c r="H107" i="51" s="1"/>
  <c r="D114" i="51" s="1"/>
  <c r="G114" i="51" s="1"/>
  <c r="L79" i="51"/>
  <c r="I82" i="51"/>
  <c r="I85" i="51" s="1"/>
  <c r="D93" i="51" s="1"/>
  <c r="G93" i="51" s="1"/>
  <c r="H81" i="51"/>
  <c r="H85" i="51" s="1"/>
  <c r="D92" i="51" s="1"/>
  <c r="G92" i="51" s="1"/>
  <c r="K84" i="51"/>
  <c r="K85" i="51" s="1"/>
  <c r="D95" i="51" s="1"/>
  <c r="G95" i="51" s="1"/>
  <c r="J83" i="51"/>
  <c r="J85" i="51" s="1"/>
  <c r="D94" i="51" s="1"/>
  <c r="G94" i="51" s="1"/>
  <c r="F85" i="51"/>
  <c r="D90" i="51" s="1"/>
  <c r="G90" i="51" s="1"/>
  <c r="E61" i="51"/>
  <c r="D65" i="51" s="1"/>
  <c r="I57" i="51"/>
  <c r="I61" i="51" s="1"/>
  <c r="D69" i="51" s="1"/>
  <c r="G69" i="51" s="1"/>
  <c r="H56" i="51"/>
  <c r="H61" i="51" s="1"/>
  <c r="D68" i="51" s="1"/>
  <c r="G68" i="51" s="1"/>
  <c r="L60" i="51"/>
  <c r="L61" i="51" s="1"/>
  <c r="G55" i="51"/>
  <c r="J58" i="51"/>
  <c r="J61" i="51" s="1"/>
  <c r="D70" i="51" s="1"/>
  <c r="G70" i="51" s="1"/>
  <c r="F54" i="51"/>
  <c r="F61" i="51" s="1"/>
  <c r="D66" i="51" s="1"/>
  <c r="G66" i="51" s="1"/>
  <c r="K59" i="51"/>
  <c r="K61" i="51" s="1"/>
  <c r="D71" i="51" s="1"/>
  <c r="I29" i="51"/>
  <c r="I34" i="51" s="1"/>
  <c r="D43" i="51" s="1"/>
  <c r="G43" i="51" s="1"/>
  <c r="J30" i="51"/>
  <c r="N30" i="51" s="1"/>
  <c r="K31" i="51"/>
  <c r="N31" i="51" s="1"/>
  <c r="M33" i="51"/>
  <c r="M34" i="51" s="1"/>
  <c r="D47" i="51" s="1"/>
  <c r="G47" i="51" s="1"/>
  <c r="G27" i="51"/>
  <c r="G34" i="51" s="1"/>
  <c r="D41" i="51" s="1"/>
  <c r="G41" i="51" s="1"/>
  <c r="F34" i="51"/>
  <c r="D40" i="51" s="1"/>
  <c r="G40" i="51" s="1"/>
  <c r="L32" i="51"/>
  <c r="E34" i="51"/>
  <c r="D39" i="51" s="1"/>
  <c r="H28" i="51"/>
  <c r="H34" i="51" s="1"/>
  <c r="D42" i="51" s="1"/>
  <c r="G42" i="51" s="1"/>
  <c r="D14" i="55"/>
  <c r="D16" i="55" s="1"/>
  <c r="C9" i="55"/>
  <c r="C6" i="54"/>
  <c r="G31" i="6" s="1"/>
  <c r="C5" i="54"/>
  <c r="G71" i="51" l="1"/>
  <c r="L77" i="43"/>
  <c r="H202" i="43"/>
  <c r="H203" i="43" s="1"/>
  <c r="L76" i="43"/>
  <c r="G103" i="51"/>
  <c r="G107" i="51" s="1"/>
  <c r="D113" i="51" s="1"/>
  <c r="G113" i="51" s="1"/>
  <c r="N23" i="43"/>
  <c r="D210" i="43"/>
  <c r="N27" i="43"/>
  <c r="J140" i="43"/>
  <c r="L78" i="43"/>
  <c r="J118" i="43"/>
  <c r="N28" i="43"/>
  <c r="H175" i="43"/>
  <c r="J119" i="43"/>
  <c r="N24" i="43"/>
  <c r="G189" i="43"/>
  <c r="J121" i="43"/>
  <c r="J137" i="43"/>
  <c r="N22" i="43"/>
  <c r="I158" i="43"/>
  <c r="D150" i="43"/>
  <c r="D167" i="43"/>
  <c r="N25" i="43"/>
  <c r="K101" i="43"/>
  <c r="M51" i="43"/>
  <c r="L79" i="43"/>
  <c r="N26" i="43"/>
  <c r="K97" i="43"/>
  <c r="D43" i="43"/>
  <c r="M50" i="43"/>
  <c r="M54" i="43"/>
  <c r="L74" i="43"/>
  <c r="N21" i="43"/>
  <c r="D131" i="43"/>
  <c r="M52" i="43"/>
  <c r="D112" i="43"/>
  <c r="M55" i="43"/>
  <c r="K99" i="43"/>
  <c r="I156" i="43"/>
  <c r="K98" i="43"/>
  <c r="D68" i="43"/>
  <c r="D91" i="43"/>
  <c r="J120" i="43"/>
  <c r="K100" i="43"/>
  <c r="M53" i="43"/>
  <c r="J139" i="43"/>
  <c r="E107" i="51"/>
  <c r="D111" i="51" s="1"/>
  <c r="F107" i="51"/>
  <c r="D112" i="51" s="1"/>
  <c r="G112" i="51" s="1"/>
  <c r="G61" i="51"/>
  <c r="D67" i="51" s="1"/>
  <c r="G67" i="51" s="1"/>
  <c r="E85" i="51"/>
  <c r="D89" i="51" s="1"/>
  <c r="D96" i="51" s="1"/>
  <c r="F161" i="51"/>
  <c r="F164" i="51" s="1"/>
  <c r="D169" i="51" s="1"/>
  <c r="G169" i="51" s="1"/>
  <c r="G172" i="51" s="1"/>
  <c r="G187" i="51"/>
  <c r="D187" i="51"/>
  <c r="H179" i="51"/>
  <c r="H178" i="51"/>
  <c r="I162" i="51"/>
  <c r="I163" i="51"/>
  <c r="D155" i="51"/>
  <c r="G155" i="51"/>
  <c r="J144" i="51"/>
  <c r="J142" i="51"/>
  <c r="J143" i="51"/>
  <c r="J145" i="51"/>
  <c r="G136" i="51"/>
  <c r="D136" i="51"/>
  <c r="J124" i="51"/>
  <c r="J125" i="51"/>
  <c r="J123" i="51"/>
  <c r="J126" i="51"/>
  <c r="K106" i="51"/>
  <c r="K105" i="51"/>
  <c r="K102" i="51"/>
  <c r="K104" i="51"/>
  <c r="L81" i="51"/>
  <c r="L83" i="51"/>
  <c r="L80" i="51"/>
  <c r="G96" i="51"/>
  <c r="L82" i="51"/>
  <c r="L84" i="51"/>
  <c r="M56" i="51"/>
  <c r="M60" i="51"/>
  <c r="M59" i="51"/>
  <c r="M57" i="51"/>
  <c r="M55" i="51"/>
  <c r="M54" i="51"/>
  <c r="M58" i="51"/>
  <c r="N29" i="51"/>
  <c r="J34" i="51"/>
  <c r="D44" i="51" s="1"/>
  <c r="G44" i="51" s="1"/>
  <c r="K34" i="51"/>
  <c r="D45" i="51" s="1"/>
  <c r="G45" i="51" s="1"/>
  <c r="N33" i="51"/>
  <c r="N27" i="51"/>
  <c r="N28" i="51"/>
  <c r="F29" i="40"/>
  <c r="H29" i="40"/>
  <c r="E7" i="43" l="1"/>
  <c r="K103" i="51"/>
  <c r="K107" i="51" s="1"/>
  <c r="G117" i="51"/>
  <c r="L80" i="43"/>
  <c r="I159" i="43"/>
  <c r="K102" i="43"/>
  <c r="J122" i="43"/>
  <c r="J141" i="43"/>
  <c r="E13" i="43"/>
  <c r="N29" i="43"/>
  <c r="M56" i="43"/>
  <c r="D117" i="51"/>
  <c r="D73" i="51"/>
  <c r="D172" i="51"/>
  <c r="I161" i="51"/>
  <c r="I164" i="51" s="1"/>
  <c r="H180" i="51"/>
  <c r="J146" i="51"/>
  <c r="J127" i="51"/>
  <c r="L85" i="51"/>
  <c r="M61" i="51"/>
  <c r="H20" i="49"/>
  <c r="K19" i="53" l="1"/>
  <c r="I19" i="53"/>
  <c r="G19" i="53"/>
  <c r="E19" i="53"/>
  <c r="C19" i="53"/>
  <c r="M17" i="53"/>
  <c r="M16" i="53"/>
  <c r="M15" i="53"/>
  <c r="M14" i="53"/>
  <c r="L19" i="53"/>
  <c r="M13" i="53"/>
  <c r="J19" i="53"/>
  <c r="F19" i="53"/>
  <c r="M12" i="53"/>
  <c r="M19" i="53" s="1"/>
  <c r="M22" i="53" s="1"/>
  <c r="M24" i="53" s="1"/>
  <c r="H40" i="52"/>
  <c r="J38" i="52"/>
  <c r="K38" i="52" s="1"/>
  <c r="J35" i="52"/>
  <c r="K35" i="52" s="1"/>
  <c r="J31" i="52"/>
  <c r="K31" i="52" s="1"/>
  <c r="J30" i="52"/>
  <c r="K30" i="52" s="1"/>
  <c r="J29" i="52"/>
  <c r="K29" i="52" s="1"/>
  <c r="J28" i="52"/>
  <c r="K28" i="52" s="1"/>
  <c r="J27" i="52"/>
  <c r="K27" i="52" s="1"/>
  <c r="J26" i="52"/>
  <c r="K26" i="52" s="1"/>
  <c r="J25" i="52"/>
  <c r="K25" i="52" s="1"/>
  <c r="J24" i="52"/>
  <c r="K24" i="52" s="1"/>
  <c r="J21" i="52"/>
  <c r="K21" i="52" s="1"/>
  <c r="J20" i="52"/>
  <c r="K20" i="52" s="1"/>
  <c r="J19" i="52"/>
  <c r="K19" i="52" s="1"/>
  <c r="J16" i="52"/>
  <c r="K16" i="52" s="1"/>
  <c r="J15" i="52"/>
  <c r="K15" i="52" s="1"/>
  <c r="J14" i="52"/>
  <c r="K14" i="52" s="1"/>
  <c r="J13" i="52"/>
  <c r="K13" i="52" s="1"/>
  <c r="J12" i="52"/>
  <c r="K12" i="52" s="1"/>
  <c r="J11" i="52"/>
  <c r="K11" i="52" s="1"/>
  <c r="H19" i="53" l="1"/>
  <c r="D19" i="53"/>
  <c r="P19" i="53" s="1"/>
  <c r="K40" i="52"/>
  <c r="E43" i="6" s="1"/>
  <c r="J40" i="52"/>
  <c r="P24" i="53" l="1"/>
  <c r="A2" i="51"/>
  <c r="C4" i="42"/>
  <c r="C6" i="2"/>
  <c r="G33" i="6" l="1"/>
  <c r="G36" i="6"/>
  <c r="G28" i="6"/>
  <c r="F14" i="49" l="1"/>
  <c r="G14" i="49" l="1"/>
  <c r="G40" i="6"/>
  <c r="G39" i="6"/>
  <c r="G37" i="6"/>
  <c r="G35" i="6"/>
  <c r="G34" i="6"/>
  <c r="G32" i="6"/>
  <c r="G27" i="6"/>
  <c r="G21" i="6"/>
  <c r="G7" i="6"/>
  <c r="H14" i="49" l="1"/>
  <c r="H16" i="49" s="1"/>
  <c r="H23" i="49" l="1"/>
  <c r="H25" i="49" s="1"/>
  <c r="H27" i="49" s="1"/>
  <c r="H29" i="49"/>
  <c r="H31" i="49" s="1"/>
  <c r="H33" i="49" s="1"/>
  <c r="E22" i="6" s="1"/>
  <c r="H19" i="49"/>
  <c r="E44" i="6" l="1"/>
  <c r="G44" i="6" s="1"/>
  <c r="F15" i="40"/>
  <c r="F31" i="40" s="1"/>
  <c r="H15" i="40"/>
  <c r="H31" i="40" s="1"/>
  <c r="C33" i="40" s="1"/>
  <c r="C35" i="40" l="1"/>
  <c r="E23" i="6" l="1"/>
  <c r="G25" i="6" s="1"/>
  <c r="G38" i="6"/>
  <c r="G43" i="6" l="1"/>
  <c r="D41" i="6" l="1"/>
  <c r="D45" i="6" l="1"/>
  <c r="D47" i="6" l="1"/>
  <c r="G26" i="6" l="1"/>
  <c r="H21" i="49" l="1"/>
  <c r="E19" i="6" s="1"/>
  <c r="G20" i="6" l="1"/>
  <c r="G41" i="6" s="1"/>
  <c r="G45" i="6" s="1"/>
  <c r="G2" i="56" l="1"/>
  <c r="G5" i="56" s="1"/>
  <c r="G15" i="56"/>
  <c r="G17" i="56" s="1"/>
  <c r="G19" i="56" s="1"/>
  <c r="G22" i="56" s="1"/>
  <c r="E41" i="6"/>
  <c r="E45" i="6" s="1"/>
  <c r="G8" i="56" l="1"/>
  <c r="G14" i="43" s="1"/>
  <c r="N32" i="51"/>
  <c r="N34" i="51" s="1"/>
  <c r="L34" i="51"/>
  <c r="D46" i="51" s="1"/>
  <c r="G46" i="51" l="1"/>
  <c r="G48" i="51" s="1"/>
  <c r="D48" i="51"/>
  <c r="E193" i="51" l="1"/>
  <c r="E207" i="51" l="1"/>
  <c r="E208" i="51" s="1"/>
  <c r="D212" i="51" s="1"/>
  <c r="F207" i="51"/>
  <c r="F208" i="51" s="1"/>
  <c r="D213" i="51" s="1"/>
  <c r="E14" i="51"/>
  <c r="C198" i="51"/>
  <c r="F193" i="51"/>
  <c r="F194" i="51" s="1"/>
  <c r="D199" i="51" s="1"/>
  <c r="G199" i="51" s="1"/>
  <c r="E192" i="51"/>
  <c r="G198" i="51" l="1"/>
  <c r="D7" i="51"/>
  <c r="G193" i="51"/>
  <c r="G200" i="51"/>
  <c r="G207" i="51"/>
  <c r="G208" i="51" s="1"/>
  <c r="D214" i="51" s="1"/>
  <c r="G214" i="51" s="1"/>
  <c r="D14" i="51"/>
  <c r="C212" i="51"/>
  <c r="G192" i="51"/>
  <c r="E194" i="51"/>
  <c r="D198" i="51" s="1"/>
  <c r="D200" i="51" s="1"/>
  <c r="E7" i="51" s="1"/>
  <c r="E19" i="51" s="1"/>
  <c r="D19" i="51" l="1"/>
  <c r="G194" i="51"/>
  <c r="G7" i="51"/>
  <c r="G9" i="51" s="1"/>
  <c r="D215" i="51"/>
  <c r="H207" i="51"/>
  <c r="H208" i="51" s="1"/>
  <c r="G212" i="51" l="1"/>
  <c r="G213" i="51"/>
  <c r="G215" i="51" l="1"/>
  <c r="G14" i="51" s="1"/>
  <c r="G16" i="51" s="1"/>
  <c r="G17" i="51" s="1"/>
  <c r="E8" i="6" l="1"/>
  <c r="G8" i="6" l="1"/>
  <c r="G10" i="56" l="1"/>
  <c r="G24" i="56"/>
  <c r="G11" i="51"/>
  <c r="E6" i="6" s="1"/>
  <c r="G6" i="6" l="1"/>
  <c r="E14" i="6"/>
  <c r="E47" i="6" s="1"/>
  <c r="G19" i="51"/>
  <c r="G20" i="51" s="1"/>
  <c r="G12" i="51"/>
  <c r="G23" i="56" l="1"/>
  <c r="G25" i="56" s="1"/>
  <c r="G26" i="56" s="1"/>
  <c r="G9" i="56"/>
  <c r="G11" i="56" s="1"/>
  <c r="G12" i="56" s="1"/>
  <c r="G14" i="6"/>
  <c r="G47" i="6" s="1"/>
  <c r="H23" i="2" l="1"/>
  <c r="H73" i="2"/>
  <c r="H68" i="2"/>
  <c r="H11" i="2"/>
  <c r="H54" i="2"/>
  <c r="H20" i="2"/>
  <c r="H39" i="2"/>
  <c r="H15" i="2"/>
  <c r="H57" i="2"/>
  <c r="H9" i="2"/>
  <c r="H48" i="2"/>
  <c r="H32" i="2"/>
  <c r="H61" i="2"/>
  <c r="H10" i="2"/>
  <c r="H40" i="2"/>
  <c r="H30" i="2"/>
  <c r="H26" i="2"/>
  <c r="H43" i="2"/>
  <c r="H55" i="2"/>
  <c r="H72" i="2"/>
  <c r="H21" i="2"/>
  <c r="H69" i="2"/>
  <c r="H62" i="2"/>
  <c r="H50" i="2"/>
  <c r="H14" i="2"/>
  <c r="H34" i="2"/>
  <c r="H13" i="2"/>
  <c r="H64" i="2"/>
  <c r="H42" i="2"/>
  <c r="H16" i="2"/>
  <c r="H58" i="2"/>
  <c r="H47" i="2"/>
  <c r="H31" i="2"/>
  <c r="H41" i="2"/>
  <c r="H27" i="2"/>
  <c r="H63" i="2"/>
  <c r="H51" i="2"/>
  <c r="H33" i="2"/>
  <c r="H17" i="2"/>
  <c r="H25" i="2"/>
  <c r="H22" i="2"/>
  <c r="H24" i="2"/>
  <c r="H67" i="2"/>
  <c r="H12" i="2"/>
  <c r="H36" i="2"/>
  <c r="H44" i="2"/>
  <c r="H49" i="2"/>
  <c r="H35" i="2"/>
  <c r="H56" i="2"/>
  <c r="F20" i="42" l="1"/>
  <c r="G20" i="42" s="1"/>
  <c r="H20" i="42" s="1"/>
  <c r="F19" i="42"/>
  <c r="G19" i="42" s="1"/>
  <c r="H19" i="42" s="1"/>
  <c r="E126" i="43"/>
  <c r="G126" i="43" s="1"/>
  <c r="F18" i="42"/>
  <c r="G18" i="42" s="1"/>
  <c r="H18" i="42" s="1"/>
  <c r="J47" i="2"/>
  <c r="K47" i="2" s="1"/>
  <c r="E129" i="43"/>
  <c r="G129" i="43" s="1"/>
  <c r="J50" i="2"/>
  <c r="K50" i="2" s="1"/>
  <c r="F16" i="42"/>
  <c r="G16" i="42" s="1"/>
  <c r="H16" i="42" s="1"/>
  <c r="F17" i="42"/>
  <c r="G17" i="42" s="1"/>
  <c r="H17" i="42" s="1"/>
  <c r="E84" i="43"/>
  <c r="G84" i="43" s="1"/>
  <c r="F15" i="42"/>
  <c r="G15" i="42" s="1"/>
  <c r="H15" i="42" s="1"/>
  <c r="J30" i="2"/>
  <c r="K30" i="2" s="1"/>
  <c r="E40" i="43"/>
  <c r="G40" i="43" s="1"/>
  <c r="J15" i="2"/>
  <c r="K15" i="2" s="1"/>
  <c r="J35" i="2"/>
  <c r="K35" i="2" s="1"/>
  <c r="E89" i="43"/>
  <c r="G89" i="43" s="1"/>
  <c r="J17" i="2"/>
  <c r="K17" i="2" s="1"/>
  <c r="E42" i="43"/>
  <c r="G42" i="43" s="1"/>
  <c r="J58" i="2"/>
  <c r="K58" i="2" s="1"/>
  <c r="E149" i="43"/>
  <c r="G149" i="43" s="1"/>
  <c r="E164" i="43"/>
  <c r="G164" i="43" s="1"/>
  <c r="J62" i="2"/>
  <c r="K62" i="2" s="1"/>
  <c r="E107" i="43"/>
  <c r="G107" i="43" s="1"/>
  <c r="J40" i="2"/>
  <c r="K40" i="2" s="1"/>
  <c r="J39" i="2"/>
  <c r="K39" i="2" s="1"/>
  <c r="E106" i="43"/>
  <c r="G106" i="43" s="1"/>
  <c r="J44" i="2"/>
  <c r="K44" i="2" s="1"/>
  <c r="E111" i="43"/>
  <c r="G111" i="43" s="1"/>
  <c r="E41" i="43"/>
  <c r="G41" i="43" s="1"/>
  <c r="J16" i="2"/>
  <c r="K16" i="2" s="1"/>
  <c r="E181" i="43"/>
  <c r="G181" i="43" s="1"/>
  <c r="J69" i="2"/>
  <c r="K69" i="2" s="1"/>
  <c r="E209" i="43"/>
  <c r="G209" i="43" s="1"/>
  <c r="J10" i="2"/>
  <c r="K10" i="2" s="1"/>
  <c r="E35" i="43"/>
  <c r="G35" i="43" s="1"/>
  <c r="F13" i="42"/>
  <c r="G13" i="42" s="1"/>
  <c r="H13" i="42" s="1"/>
  <c r="F14" i="42"/>
  <c r="G14" i="42" s="1"/>
  <c r="H14" i="42" s="1"/>
  <c r="F12" i="42"/>
  <c r="G12" i="42" s="1"/>
  <c r="H12" i="42" s="1"/>
  <c r="J20" i="2"/>
  <c r="K20" i="2" s="1"/>
  <c r="E60" i="43"/>
  <c r="G60" i="43" s="1"/>
  <c r="J25" i="2"/>
  <c r="K25" i="2" s="1"/>
  <c r="E65" i="43"/>
  <c r="G65" i="43" s="1"/>
  <c r="E90" i="43"/>
  <c r="G90" i="43" s="1"/>
  <c r="J36" i="2"/>
  <c r="K36" i="2" s="1"/>
  <c r="E130" i="43"/>
  <c r="G130" i="43" s="1"/>
  <c r="J51" i="2"/>
  <c r="K51" i="2" s="1"/>
  <c r="E109" i="43"/>
  <c r="G109" i="43" s="1"/>
  <c r="J42" i="2"/>
  <c r="K42" i="2" s="1"/>
  <c r="J21" i="2"/>
  <c r="K21" i="2" s="1"/>
  <c r="E61" i="43"/>
  <c r="G61" i="43" s="1"/>
  <c r="J61" i="2"/>
  <c r="K61" i="2" s="1"/>
  <c r="F21" i="42"/>
  <c r="G21" i="42" s="1"/>
  <c r="H21" i="42" s="1"/>
  <c r="E163" i="43"/>
  <c r="G163" i="43" s="1"/>
  <c r="F22" i="42"/>
  <c r="G22" i="42" s="1"/>
  <c r="H22" i="42" s="1"/>
  <c r="E145" i="43"/>
  <c r="G145" i="43" s="1"/>
  <c r="J54" i="2"/>
  <c r="K54" i="2" s="1"/>
  <c r="J63" i="2"/>
  <c r="K63" i="2" s="1"/>
  <c r="E165" i="43"/>
  <c r="G165" i="43" s="1"/>
  <c r="E193" i="43"/>
  <c r="G193" i="43" s="1"/>
  <c r="J72" i="2"/>
  <c r="K72" i="2" s="1"/>
  <c r="J32" i="2"/>
  <c r="K32" i="2" s="1"/>
  <c r="E86" i="43"/>
  <c r="G86" i="43" s="1"/>
  <c r="E36" i="43"/>
  <c r="G36" i="43" s="1"/>
  <c r="J11" i="2"/>
  <c r="K11" i="2" s="1"/>
  <c r="J12" i="2"/>
  <c r="K12" i="2" s="1"/>
  <c r="E37" i="43"/>
  <c r="G37" i="43" s="1"/>
  <c r="J64" i="2"/>
  <c r="K64" i="2" s="1"/>
  <c r="E166" i="43"/>
  <c r="G166" i="43" s="1"/>
  <c r="F23" i="42"/>
  <c r="G23" i="42" s="1"/>
  <c r="H23" i="42" s="1"/>
  <c r="F24" i="42"/>
  <c r="G24" i="42" s="1"/>
  <c r="H24" i="42" s="1"/>
  <c r="J67" i="2"/>
  <c r="K67" i="2" s="1"/>
  <c r="E207" i="43"/>
  <c r="G207" i="43" s="1"/>
  <c r="E179" i="43"/>
  <c r="G179" i="43" s="1"/>
  <c r="E67" i="43"/>
  <c r="G67" i="43" s="1"/>
  <c r="J27" i="2"/>
  <c r="K27" i="2" s="1"/>
  <c r="E38" i="43"/>
  <c r="G38" i="43" s="1"/>
  <c r="J13" i="2"/>
  <c r="K13" i="2" s="1"/>
  <c r="E146" i="43"/>
  <c r="G146" i="43" s="1"/>
  <c r="J55" i="2"/>
  <c r="K55" i="2" s="1"/>
  <c r="J48" i="2"/>
  <c r="K48" i="2" s="1"/>
  <c r="E127" i="43"/>
  <c r="G127" i="43" s="1"/>
  <c r="E208" i="43"/>
  <c r="G208" i="43" s="1"/>
  <c r="E180" i="43"/>
  <c r="G180" i="43" s="1"/>
  <c r="J68" i="2"/>
  <c r="K68" i="2" s="1"/>
  <c r="E128" i="43"/>
  <c r="G128" i="43" s="1"/>
  <c r="J49" i="2"/>
  <c r="K49" i="2" s="1"/>
  <c r="J24" i="2"/>
  <c r="K24" i="2" s="1"/>
  <c r="E64" i="43"/>
  <c r="G64" i="43" s="1"/>
  <c r="E108" i="43"/>
  <c r="G108" i="43" s="1"/>
  <c r="J41" i="2"/>
  <c r="K41" i="2" s="1"/>
  <c r="E88" i="43"/>
  <c r="G88" i="43" s="1"/>
  <c r="J34" i="2"/>
  <c r="K34" i="2" s="1"/>
  <c r="E110" i="43"/>
  <c r="G110" i="43" s="1"/>
  <c r="J43" i="2"/>
  <c r="K43" i="2" s="1"/>
  <c r="F10" i="42"/>
  <c r="G10" i="42" s="1"/>
  <c r="H10" i="42" s="1"/>
  <c r="J9" i="2"/>
  <c r="K9" i="2" s="1"/>
  <c r="E34" i="43"/>
  <c r="G34" i="43" s="1"/>
  <c r="F9" i="42"/>
  <c r="G9" i="42" s="1"/>
  <c r="H9" i="42" s="1"/>
  <c r="F11" i="42"/>
  <c r="G11" i="42" s="1"/>
  <c r="H11" i="42" s="1"/>
  <c r="J73" i="2"/>
  <c r="K73" i="2" s="1"/>
  <c r="E194" i="43"/>
  <c r="G194" i="43" s="1"/>
  <c r="E87" i="43"/>
  <c r="G87" i="43" s="1"/>
  <c r="J33" i="2"/>
  <c r="K33" i="2" s="1"/>
  <c r="J56" i="2"/>
  <c r="K56" i="2" s="1"/>
  <c r="E147" i="43"/>
  <c r="G147" i="43" s="1"/>
  <c r="J22" i="2"/>
  <c r="K22" i="2" s="1"/>
  <c r="E62" i="43"/>
  <c r="G62" i="43" s="1"/>
  <c r="E85" i="43"/>
  <c r="G85" i="43" s="1"/>
  <c r="J31" i="2"/>
  <c r="K31" i="2" s="1"/>
  <c r="E39" i="43"/>
  <c r="G39" i="43" s="1"/>
  <c r="J14" i="2"/>
  <c r="K14" i="2" s="1"/>
  <c r="E66" i="43"/>
  <c r="G66" i="43" s="1"/>
  <c r="J26" i="2"/>
  <c r="K26" i="2" s="1"/>
  <c r="J57" i="2"/>
  <c r="K57" i="2" s="1"/>
  <c r="E148" i="43"/>
  <c r="G148" i="43" s="1"/>
  <c r="E63" i="43"/>
  <c r="G63" i="43" s="1"/>
  <c r="J23" i="2"/>
  <c r="K23" i="2" s="1"/>
  <c r="G131" i="43" l="1"/>
  <c r="G195" i="43"/>
  <c r="G210" i="43"/>
  <c r="G11" i="43" s="1"/>
  <c r="G68" i="43"/>
  <c r="G150" i="43"/>
  <c r="G167" i="43"/>
  <c r="G112" i="43"/>
  <c r="G91" i="43"/>
  <c r="G43" i="43"/>
  <c r="G182" i="43"/>
  <c r="G7" i="43" l="1"/>
  <c r="G9" i="43" s="1"/>
  <c r="G13" i="43" s="1"/>
  <c r="G15" i="43" s="1"/>
  <c r="H15" i="43" s="1"/>
</calcChain>
</file>

<file path=xl/sharedStrings.xml><?xml version="1.0" encoding="utf-8"?>
<sst xmlns="http://schemas.openxmlformats.org/spreadsheetml/2006/main" count="1350" uniqueCount="332">
  <si>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</si>
  <si>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</si>
  <si>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</si>
  <si>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</si>
  <si>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</si>
  <si>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</si>
  <si>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</si>
  <si>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</si>
  <si>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</si>
  <si>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</si>
  <si>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</si>
  <si>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</si>
  <si>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Total</t>
  </si>
  <si>
    <t>Gallons</t>
  </si>
  <si>
    <t>Operating Revenues</t>
  </si>
  <si>
    <t>Sales for Resale</t>
  </si>
  <si>
    <t>Other Water Revenues:</t>
  </si>
  <si>
    <t>Total Operating Revenues</t>
  </si>
  <si>
    <t>Operating Expenses</t>
  </si>
  <si>
    <t>Depreciation Expense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</si>
  <si>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</si>
  <si>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</si>
  <si>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</si>
  <si>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</si>
  <si>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</si>
  <si>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</si>
  <si>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</si>
  <si>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</si>
  <si>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</si>
  <si>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</si>
  <si>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</si>
  <si>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</si>
  <si>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</si>
  <si>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</si>
  <si>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</si>
  <si>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</si>
  <si>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</si>
  <si>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</si>
  <si>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</si>
  <si>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</si>
  <si>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</si>
  <si>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</si>
  <si>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</si>
  <si>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</si>
  <si>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</si>
  <si>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</si>
  <si>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</si>
  <si>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</si>
  <si>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</si>
  <si>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</si>
  <si>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USAGE</t>
  </si>
  <si>
    <t>BILLS</t>
  </si>
  <si>
    <t>GALLONS</t>
  </si>
  <si>
    <t>TOTAL</t>
  </si>
  <si>
    <t>RATE</t>
  </si>
  <si>
    <t>REVENUE</t>
  </si>
  <si>
    <t>CURRENT AND PROPOSED RATES</t>
  </si>
  <si>
    <t>Private Fire Protection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</si>
  <si>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</si>
  <si>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</si>
  <si>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</si>
  <si>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</si>
  <si>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</si>
  <si>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</si>
  <si>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</si>
  <si>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</si>
  <si>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various</t>
  </si>
  <si>
    <t>Meter</t>
  </si>
  <si>
    <t>Difference</t>
  </si>
  <si>
    <t>Bill</t>
  </si>
  <si>
    <t>Percentage</t>
  </si>
  <si>
    <t>Size</t>
  </si>
  <si>
    <t>EXISTING AND PROPOSED BILLS</t>
  </si>
  <si>
    <t>MONTHLY</t>
  </si>
  <si>
    <t>EMPLOYEE</t>
  </si>
  <si>
    <t xml:space="preserve">WATER DIST </t>
  </si>
  <si>
    <t>PREMIUM</t>
  </si>
  <si>
    <t>ANNUAL</t>
  </si>
  <si>
    <t>Employer</t>
  </si>
  <si>
    <t>Share</t>
  </si>
  <si>
    <t>Premium</t>
  </si>
  <si>
    <t>Medical Insurance Adjustment</t>
  </si>
  <si>
    <t>CONTRIB</t>
  </si>
  <si>
    <t>CONTRIB %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</si>
  <si>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</si>
  <si>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</si>
  <si>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</si>
  <si>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</si>
  <si>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</si>
  <si>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</si>
  <si>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</si>
  <si>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</si>
  <si>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</si>
  <si>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</si>
  <si>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</si>
  <si>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</si>
  <si>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</si>
  <si>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</si>
  <si>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</si>
  <si>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</si>
  <si>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</si>
  <si>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</si>
  <si>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</si>
  <si>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</si>
  <si>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</si>
  <si>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</si>
  <si>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</si>
  <si>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</si>
  <si>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</si>
  <si>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</si>
  <si>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</si>
  <si>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</si>
  <si>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</si>
  <si>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Rental of Equipment</t>
  </si>
  <si>
    <t>Insurance - Vehicle</t>
  </si>
  <si>
    <t>per month</t>
  </si>
  <si>
    <t>1 Inch Meter</t>
  </si>
  <si>
    <t>1 1/2 Inch Meter</t>
  </si>
  <si>
    <t>2 Inch Meter</t>
  </si>
  <si>
    <t>4 Inch Meter</t>
  </si>
  <si>
    <t>COMPONENT</t>
  </si>
  <si>
    <t>1 INCH METER</t>
  </si>
  <si>
    <t>1 1/2 INCH METER</t>
  </si>
  <si>
    <t>2 INCH METER</t>
  </si>
  <si>
    <t>4 INCH METER</t>
  </si>
  <si>
    <t>Less Adjustments</t>
  </si>
  <si>
    <t xml:space="preserve">Total  </t>
  </si>
  <si>
    <t>From PSC Annual Report</t>
  </si>
  <si>
    <t>Medical Adjustment</t>
  </si>
  <si>
    <t>Reported</t>
  </si>
  <si>
    <t>Asset</t>
  </si>
  <si>
    <t>Cost *</t>
  </si>
  <si>
    <t>General Plant</t>
  </si>
  <si>
    <t>Structures &amp; Improvements</t>
  </si>
  <si>
    <t>varies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</si>
  <si>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</si>
  <si>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</si>
  <si>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</si>
  <si>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</si>
  <si>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</si>
  <si>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</si>
  <si>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</si>
  <si>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</si>
  <si>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</si>
  <si>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</si>
  <si>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</si>
  <si>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</si>
  <si>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</si>
  <si>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</si>
  <si>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</si>
  <si>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</si>
  <si>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</si>
  <si>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Transportation Equipment</t>
  </si>
  <si>
    <t>Entire Group</t>
  </si>
  <si>
    <t>Water Treatment Plant</t>
  </si>
  <si>
    <t xml:space="preserve">              *  Includes only costs associated with assets that contributed to depreciation expense in the test year.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</si>
  <si>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</si>
  <si>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</si>
  <si>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</si>
  <si>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</si>
  <si>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</si>
  <si>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</si>
  <si>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</si>
  <si>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</si>
  <si>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</si>
  <si>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</si>
  <si>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</si>
  <si>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</si>
  <si>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</si>
  <si>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Average Annual Principal and Interest Payments</t>
  </si>
  <si>
    <t>Additional Working Capital</t>
  </si>
  <si>
    <t>DISTRICT'S</t>
  </si>
  <si>
    <t>Allowable</t>
  </si>
  <si>
    <t>TOTAL MEDICAL AND DENTAL INSURANCE</t>
  </si>
  <si>
    <t>Allowable Employer Premium</t>
  </si>
  <si>
    <t>Total Gross Wages</t>
  </si>
  <si>
    <t>Gross Wages for Full Time Employees CERS Eligible</t>
  </si>
  <si>
    <t>Labor and Materials Adjustment for New Service Installations</t>
  </si>
  <si>
    <t>New Tapping Fees Collected</t>
  </si>
  <si>
    <t xml:space="preserve">Labor </t>
  </si>
  <si>
    <t xml:space="preserve">Materials </t>
  </si>
  <si>
    <t>`</t>
  </si>
  <si>
    <t>Water Loss Adjustment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</si>
  <si>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</si>
  <si>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</si>
  <si>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</si>
  <si>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</si>
  <si>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</si>
  <si>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</si>
  <si>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</si>
  <si>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Tank O.F.</t>
  </si>
  <si>
    <t>Line Brks.</t>
  </si>
  <si>
    <t>Line Leaks</t>
  </si>
  <si>
    <t xml:space="preserve">  water loss percentage</t>
  </si>
  <si>
    <t xml:space="preserve">  allowable in rates</t>
  </si>
  <si>
    <t xml:space="preserve">  adjustment percentage</t>
  </si>
  <si>
    <t>Other</t>
  </si>
  <si>
    <t>Adjustment to SAO Billed Revenues</t>
  </si>
  <si>
    <t>TABLE D</t>
  </si>
  <si>
    <t>Miscellaneous Service Revenues</t>
  </si>
  <si>
    <t>Interdepartments Rents</t>
  </si>
  <si>
    <t>Interdepartmental Sales</t>
  </si>
  <si>
    <t>Current</t>
  </si>
  <si>
    <t>Location</t>
  </si>
  <si>
    <t>UNION COUNTY WATER DISTRICT</t>
  </si>
  <si>
    <t>Fuel for Power Production</t>
  </si>
  <si>
    <t>Non-Utility Income</t>
  </si>
  <si>
    <t>Union County Water District</t>
  </si>
  <si>
    <t>5/8 Inch Meter</t>
  </si>
  <si>
    <t>per gallon</t>
  </si>
  <si>
    <t>gallons</t>
  </si>
  <si>
    <t>First</t>
  </si>
  <si>
    <t>Next</t>
  </si>
  <si>
    <t>Over</t>
  </si>
  <si>
    <t>3/4 Inch Meter</t>
  </si>
  <si>
    <t>2 1/2 Inch Meter</t>
  </si>
  <si>
    <t>3 Inch Meter</t>
  </si>
  <si>
    <t>6 Inch Meter</t>
  </si>
  <si>
    <t>5/8"</t>
  </si>
  <si>
    <t>3/4"</t>
  </si>
  <si>
    <t>3"</t>
  </si>
  <si>
    <t>4"</t>
  </si>
  <si>
    <t>5/8 INCH METER</t>
  </si>
  <si>
    <t>3/4 INCH METER</t>
  </si>
  <si>
    <t>2 1/2 INCH METER</t>
  </si>
  <si>
    <t>3 INCH METER</t>
  </si>
  <si>
    <t>6 INCH METER</t>
  </si>
  <si>
    <t>Kara Bickett</t>
  </si>
  <si>
    <t>Robin Fulcher</t>
  </si>
  <si>
    <t>Kim Mayes</t>
  </si>
  <si>
    <t>Gary Sheffer</t>
  </si>
  <si>
    <t>Andrew Arnold</t>
  </si>
  <si>
    <t>Derek Bolds</t>
  </si>
  <si>
    <t>Noah Bradshaw</t>
  </si>
  <si>
    <t>Rob Fulcher</t>
  </si>
  <si>
    <t>Joyce Greenwell</t>
  </si>
  <si>
    <t>Gerald Hunter</t>
  </si>
  <si>
    <t>MEDICAL</t>
  </si>
  <si>
    <t>DENTAL</t>
  </si>
  <si>
    <t>Less Annual Premium</t>
  </si>
  <si>
    <t>Promissory Note</t>
  </si>
  <si>
    <t>REVENUE BY RATE INCREMENT</t>
  </si>
  <si>
    <t>CONSUMPTION BY RATE INCREMENT</t>
  </si>
  <si>
    <t>2020</t>
  </si>
  <si>
    <t>Tank Painting &amp; Repairs**</t>
  </si>
  <si>
    <t>OPEB Adjustment</t>
  </si>
  <si>
    <t>Labor portion of tapping fees.</t>
  </si>
  <si>
    <t>Materials portion of tapping fees.</t>
  </si>
  <si>
    <t>Tank painting expense moved to capital.</t>
  </si>
  <si>
    <t>Debt service on promissory note.</t>
  </si>
  <si>
    <t>Medical insurance premiums above allowed amount.</t>
  </si>
  <si>
    <t>Increase in CERS contribution rate.</t>
  </si>
  <si>
    <t>OPEB liability expense.</t>
  </si>
  <si>
    <t>Adjust wages to 2022 rates.</t>
  </si>
  <si>
    <t>Test Year Pension Expense Acct 604-03</t>
  </si>
  <si>
    <t>OPEB Portion of Pension Expense</t>
  </si>
  <si>
    <t>Total Retail Sales</t>
  </si>
  <si>
    <t>Total Wholesale Sales</t>
  </si>
  <si>
    <t>4 INCH METER WHOLESALE</t>
  </si>
  <si>
    <t>Adjust retail sales to billing analysis.</t>
  </si>
  <si>
    <t>Adjust wholesale sales to billing analysis</t>
  </si>
  <si>
    <t>REVENUE REQUIREMENT</t>
  </si>
  <si>
    <t>Sheet ExBA Cell G11</t>
  </si>
  <si>
    <t>Sheet ExBA Cell G16</t>
  </si>
  <si>
    <t>Sheet Capital Cell C5</t>
  </si>
  <si>
    <t>Sheet Wages Cell H19</t>
  </si>
  <si>
    <t>Sheet Wages Cell H31</t>
  </si>
  <si>
    <t>Sheet Medical Cell C35</t>
  </si>
  <si>
    <t>Sheet Capital Cell C6</t>
  </si>
  <si>
    <t>Sheet Wages Cell G3536</t>
  </si>
  <si>
    <t>Email Tank Painting</t>
  </si>
  <si>
    <t>Depreciation allowed lives</t>
  </si>
  <si>
    <t>Sheet Depreciation Cell K40</t>
  </si>
  <si>
    <t>Sheet Debt Service Cell M22</t>
  </si>
  <si>
    <t>Sheet Debt Service Cell M24</t>
  </si>
  <si>
    <t>A</t>
  </si>
  <si>
    <t>B</t>
  </si>
  <si>
    <t>C</t>
  </si>
  <si>
    <t>D</t>
  </si>
  <si>
    <t>E</t>
  </si>
  <si>
    <t>F</t>
  </si>
  <si>
    <t>M</t>
  </si>
  <si>
    <t>G</t>
  </si>
  <si>
    <t>H</t>
  </si>
  <si>
    <t>I</t>
  </si>
  <si>
    <t>J</t>
  </si>
  <si>
    <t>K</t>
  </si>
  <si>
    <t>L</t>
  </si>
  <si>
    <t>Costs Subject to Water Loss Adjustment</t>
  </si>
  <si>
    <t>Computation of Water Loss Surcharge</t>
  </si>
  <si>
    <t>Total Adjustment</t>
  </si>
  <si>
    <t>/ Number of Bills</t>
  </si>
  <si>
    <t>Monthly Surcharge Amount</t>
  </si>
  <si>
    <t>REVENUE REQUIREMENTS USING DEBT SERVICE COVERAGE METHOD</t>
  </si>
  <si>
    <t>REVENUE REQUIREMENTS USING OPERATING RATIO METHOD</t>
  </si>
  <si>
    <t>Divided by:  Operating Ratio</t>
  </si>
  <si>
    <t xml:space="preserve">  Subtotal</t>
  </si>
  <si>
    <t>Interest Expense</t>
  </si>
  <si>
    <t>Interest Only</t>
  </si>
  <si>
    <t>Average Interest Only</t>
  </si>
  <si>
    <t>2021 CERS Payment Summary</t>
  </si>
  <si>
    <t>2021 Payment Summary</t>
  </si>
  <si>
    <t>2021 Trial Balance</t>
  </si>
  <si>
    <t>PROPOSED BILLING ANALYSIS WITH 2021 USAGE &amp; PROPOSED RATES</t>
  </si>
  <si>
    <t>CURRENT BILLING ANALYSIS WITH 2021 USAGE &amp; EXISTING RATES</t>
  </si>
  <si>
    <t xml:space="preserve">Tim Cheatham </t>
  </si>
  <si>
    <t>Gage Nally</t>
  </si>
  <si>
    <t>No adjustment needed for 2021 late payment penalties.</t>
  </si>
  <si>
    <t>Sheet Debt Service Cell M29</t>
  </si>
  <si>
    <t>Interest on promissory note.</t>
  </si>
  <si>
    <t>No working capital reserve required.</t>
  </si>
  <si>
    <t>Adjust taxes to 2022 wage rates.</t>
  </si>
  <si>
    <t>Sheet Wages Cell H27</t>
  </si>
  <si>
    <t>N</t>
  </si>
  <si>
    <t xml:space="preserve">            **  Tank painting in the amount of $129,509 was expensed in 2020.  </t>
  </si>
  <si>
    <t>O</t>
  </si>
  <si>
    <t>Response to PSC RFI #2 Question 6.:</t>
  </si>
  <si>
    <t>Excel Workbook: 3a_Rate_Study_2021_PUBLIC.pdf; Tab: Water Loss.</t>
  </si>
  <si>
    <t>Provide in an Excel spreadsheet format with all formulas, columns,</t>
  </si>
  <si>
    <t>and rows unprotected and fully accessible a schedule where</t>
  </si>
  <si>
    <t xml:space="preserve">Union District recalculates its excess water-loss adjustment </t>
  </si>
  <si>
    <t xml:space="preserve">using the city of Morganfield’s current wholesale water rate </t>
  </si>
  <si>
    <t xml:space="preserve">of $2.6924 per 1,000 gallons, that was effective on January 1, 2022. </t>
  </si>
  <si>
    <t>Water Loss in Thousand Gallons</t>
  </si>
  <si>
    <t>Percentage in excess of amount allowable in rates</t>
  </si>
  <si>
    <t>Excess Water Loss in Thousand Gallons</t>
  </si>
  <si>
    <t>Value of Excess Water Loss at Morganfield rate</t>
  </si>
  <si>
    <t>City of Morganfield's current wholesale rate</t>
  </si>
  <si>
    <t xml:space="preserve">a. Refer to Union District’s Responses to Staff’s First Request, Item 1.h, </t>
  </si>
  <si>
    <t xml:space="preserve">b. Include in the Excel spreadsheet provided in Union District’s response </t>
  </si>
  <si>
    <t>to Item 6.a. above, the impact the recalculation has on Union District's</t>
  </si>
  <si>
    <t xml:space="preserve">requested water loss surcharge.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</si>
</sst>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  <numFmt numFmtId="172" formatCode="_(* #,##0.0000_);_(* \(#,##0.0000\);_(* &quot;-&quot;??_);_(@_)"/>
    <numFmt numFmtId="173" formatCode="&quot;$&quot;#,##0.00000"/>
    <numFmt numFmtId="174" formatCode="&quot;$&quot;#,##0.0000"/>
    <numFmt numFmtId="175" formatCode="_(&quot;$&quot;* #,##0.0000_);_(&quot;$&quot;* \(#,##0.0000\);_(&quot;$&quot;* &quot;-&quot;??_);_(@_)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  <font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5" applyNumberFormat="1" applyFont="1" applyBorder="1"/>
    <xf numFmtId="164" fontId="3" fillId="0" borderId="0" xfId="0" applyNumberFormat="1" applyFont="1"/>
    <xf numFmtId="168" fontId="3" fillId="0" borderId="0" xfId="5" applyNumberFormat="1" applyFont="1" applyBorder="1"/>
    <xf numFmtId="168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165" fontId="9" fillId="0" borderId="0" xfId="5" applyNumberFormat="1" applyFont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167" fontId="3" fillId="2" borderId="8" xfId="3" applyNumberFormat="1" applyFont="1" applyFill="1" applyBorder="1"/>
    <xf numFmtId="164" fontId="3" fillId="0" borderId="0" xfId="6" applyNumberFormat="1" applyFont="1" applyBorder="1"/>
    <xf numFmtId="165" fontId="13" fillId="0" borderId="0" xfId="1" applyNumberFormat="1" applyFont="1"/>
    <xf numFmtId="165" fontId="9" fillId="0" borderId="0" xfId="1" applyNumberFormat="1" applyFont="1" applyBorder="1"/>
    <xf numFmtId="0" fontId="16" fillId="0" borderId="0" xfId="0" applyFont="1"/>
    <xf numFmtId="0" fontId="19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65" fontId="3" fillId="0" borderId="0" xfId="5" quotePrefix="1" applyNumberFormat="1" applyFont="1"/>
    <xf numFmtId="166" fontId="3" fillId="0" borderId="0" xfId="1" applyNumberFormat="1" applyFont="1" applyBorder="1" applyAlignment="1"/>
    <xf numFmtId="0" fontId="3" fillId="0" borderId="7" xfId="0" applyFont="1" applyBorder="1"/>
    <xf numFmtId="165" fontId="17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quotePrefix="1" applyNumberFormat="1" applyFont="1" applyAlignment="1">
      <alignment horizontal="center" vertical="center"/>
    </xf>
    <xf numFmtId="165" fontId="18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0" fontId="3" fillId="0" borderId="0" xfId="3" applyNumberFormat="1" applyFont="1" applyAlignment="1">
      <alignment vertical="center"/>
    </xf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 applyAlignment="1">
      <alignment vertical="center"/>
    </xf>
    <xf numFmtId="10" fontId="3" fillId="0" borderId="0" xfId="3" applyNumberFormat="1" applyFont="1" applyBorder="1"/>
    <xf numFmtId="43" fontId="3" fillId="0" borderId="0" xfId="5" applyFont="1"/>
    <xf numFmtId="43" fontId="3" fillId="0" borderId="0" xfId="5" applyFont="1" applyBorder="1"/>
    <xf numFmtId="165" fontId="3" fillId="0" borderId="8" xfId="5" applyNumberFormat="1" applyFont="1" applyBorder="1"/>
    <xf numFmtId="0" fontId="22" fillId="0" borderId="0" xfId="0" applyFont="1" applyAlignment="1">
      <alignment horizontal="center"/>
    </xf>
    <xf numFmtId="165" fontId="21" fillId="0" borderId="0" xfId="5" applyNumberFormat="1" applyFont="1"/>
    <xf numFmtId="170" fontId="3" fillId="0" borderId="0" xfId="0" applyNumberFormat="1" applyFont="1"/>
    <xf numFmtId="164" fontId="16" fillId="0" borderId="9" xfId="6" applyNumberFormat="1" applyFont="1" applyBorder="1"/>
    <xf numFmtId="10" fontId="3" fillId="0" borderId="1" xfId="0" applyNumberFormat="1" applyFont="1" applyBorder="1"/>
    <xf numFmtId="164" fontId="3" fillId="0" borderId="1" xfId="6" applyNumberFormat="1" applyFont="1" applyBorder="1"/>
    <xf numFmtId="43" fontId="3" fillId="0" borderId="0" xfId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2" applyNumberFormat="1" applyFont="1" applyBorder="1"/>
    <xf numFmtId="0" fontId="6" fillId="0" borderId="0" xfId="0" applyFont="1"/>
    <xf numFmtId="0" fontId="3" fillId="0" borderId="3" xfId="0" applyFont="1" applyBorder="1"/>
    <xf numFmtId="166" fontId="3" fillId="0" borderId="0" xfId="0" applyNumberFormat="1" applyFont="1"/>
    <xf numFmtId="0" fontId="3" fillId="0" borderId="5" xfId="0" applyFont="1" applyBorder="1"/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43" fontId="3" fillId="0" borderId="0" xfId="5" applyFont="1" applyFill="1"/>
    <xf numFmtId="37" fontId="3" fillId="0" borderId="0" xfId="0" applyNumberFormat="1" applyFont="1" applyAlignment="1">
      <alignment horizontal="center"/>
    </xf>
    <xf numFmtId="37" fontId="3" fillId="0" borderId="0" xfId="0" applyNumberFormat="1" applyFont="1"/>
    <xf numFmtId="165" fontId="3" fillId="0" borderId="0" xfId="0" applyNumberFormat="1" applyFont="1"/>
    <xf numFmtId="165" fontId="9" fillId="0" borderId="0" xfId="5" applyNumberFormat="1" applyFont="1" applyBorder="1"/>
    <xf numFmtId="165" fontId="9" fillId="0" borderId="0" xfId="0" applyNumberFormat="1" applyFont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right"/>
    </xf>
    <xf numFmtId="0" fontId="3" fillId="0" borderId="0" xfId="0" quotePrefix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1" applyNumberFormat="1" applyFont="1" applyBorder="1" applyAlignment="1"/>
    <xf numFmtId="165" fontId="4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4" fontId="9" fillId="0" borderId="0" xfId="6" applyNumberFormat="1" applyFont="1" applyBorder="1"/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Continuous"/>
    </xf>
    <xf numFmtId="44" fontId="3" fillId="0" borderId="0" xfId="0" applyNumberFormat="1" applyFont="1" applyAlignment="1">
      <alignment horizontal="center"/>
    </xf>
    <xf numFmtId="44" fontId="3" fillId="0" borderId="0" xfId="5" applyNumberFormat="1" applyFont="1" applyBorder="1"/>
    <xf numFmtId="44" fontId="9" fillId="0" borderId="0" xfId="5" applyNumberFormat="1" applyFont="1" applyBorder="1"/>
    <xf numFmtId="44" fontId="0" fillId="0" borderId="0" xfId="0" applyNumberFormat="1"/>
    <xf numFmtId="44" fontId="3" fillId="0" borderId="2" xfId="1" applyNumberFormat="1" applyFont="1" applyBorder="1"/>
    <xf numFmtId="44" fontId="3" fillId="0" borderId="1" xfId="1" applyNumberFormat="1" applyFont="1" applyBorder="1"/>
    <xf numFmtId="44" fontId="11" fillId="0" borderId="7" xfId="0" applyNumberFormat="1" applyFont="1" applyBorder="1" applyAlignment="1">
      <alignment horizontal="center" vertical="center"/>
    </xf>
    <xf numFmtId="44" fontId="9" fillId="0" borderId="7" xfId="1" applyNumberFormat="1" applyFont="1" applyBorder="1" applyAlignment="1">
      <alignment horizontal="center"/>
    </xf>
    <xf numFmtId="44" fontId="3" fillId="0" borderId="7" xfId="1" applyNumberFormat="1" applyFont="1" applyBorder="1"/>
    <xf numFmtId="44" fontId="3" fillId="0" borderId="5" xfId="1" applyNumberFormat="1" applyFont="1" applyBorder="1"/>
    <xf numFmtId="44" fontId="3" fillId="0" borderId="0" xfId="1" applyNumberFormat="1" applyFont="1"/>
    <xf numFmtId="44" fontId="11" fillId="0" borderId="0" xfId="0" applyNumberFormat="1" applyFont="1" applyAlignment="1">
      <alignment horizontal="center" vertical="center"/>
    </xf>
    <xf numFmtId="44" fontId="9" fillId="0" borderId="0" xfId="1" applyNumberFormat="1" applyFont="1" applyBorder="1" applyAlignment="1">
      <alignment horizontal="center"/>
    </xf>
    <xf numFmtId="44" fontId="3" fillId="0" borderId="0" xfId="1" applyNumberFormat="1" applyFont="1" applyBorder="1"/>
    <xf numFmtId="44" fontId="3" fillId="0" borderId="0" xfId="2" applyFont="1" applyBorder="1"/>
    <xf numFmtId="0" fontId="7" fillId="0" borderId="0" xfId="0" applyFont="1"/>
    <xf numFmtId="165" fontId="3" fillId="0" borderId="0" xfId="9" applyNumberFormat="1" applyFont="1" applyFill="1" applyBorder="1"/>
    <xf numFmtId="165" fontId="9" fillId="0" borderId="0" xfId="9" applyNumberFormat="1" applyFont="1" applyFill="1" applyBorder="1"/>
    <xf numFmtId="0" fontId="1" fillId="0" borderId="0" xfId="4"/>
    <xf numFmtId="0" fontId="19" fillId="0" borderId="0" xfId="4" applyFont="1" applyAlignment="1">
      <alignment horizontal="center"/>
    </xf>
    <xf numFmtId="167" fontId="3" fillId="0" borderId="0" xfId="3" applyNumberFormat="1" applyFont="1" applyFill="1" applyBorder="1"/>
    <xf numFmtId="165" fontId="3" fillId="0" borderId="0" xfId="9" applyNumberFormat="1" applyFont="1" applyFill="1" applyBorder="1" applyAlignment="1">
      <alignment horizontal="center"/>
    </xf>
    <xf numFmtId="165" fontId="7" fillId="0" borderId="7" xfId="5" applyNumberFormat="1" applyFont="1" applyBorder="1" applyAlignment="1">
      <alignment horizontal="center"/>
    </xf>
    <xf numFmtId="3" fontId="3" fillId="0" borderId="0" xfId="0" applyNumberFormat="1" applyFont="1"/>
    <xf numFmtId="168" fontId="3" fillId="0" borderId="0" xfId="5" applyNumberFormat="1" applyFont="1" applyAlignment="1"/>
    <xf numFmtId="3" fontId="3" fillId="0" borderId="2" xfId="0" applyNumberFormat="1" applyFont="1" applyBorder="1"/>
    <xf numFmtId="168" fontId="3" fillId="0" borderId="2" xfId="5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68" fontId="3" fillId="0" borderId="0" xfId="5" applyNumberFormat="1" applyFont="1" applyBorder="1" applyAlignment="1"/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8" fontId="8" fillId="0" borderId="0" xfId="5" applyNumberFormat="1" applyFont="1" applyBorder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44" fontId="10" fillId="0" borderId="0" xfId="0" applyNumberFormat="1" applyFont="1" applyAlignment="1">
      <alignment horizontal="center"/>
    </xf>
    <xf numFmtId="3" fontId="8" fillId="0" borderId="0" xfId="0" applyNumberFormat="1" applyFont="1"/>
    <xf numFmtId="169" fontId="3" fillId="0" borderId="0" xfId="0" applyNumberFormat="1" applyFont="1" applyAlignment="1">
      <alignment horizontal="center"/>
    </xf>
    <xf numFmtId="168" fontId="3" fillId="0" borderId="0" xfId="5" applyNumberFormat="1" applyFont="1" applyBorder="1" applyAlignment="1">
      <alignment horizontal="center"/>
    </xf>
    <xf numFmtId="168" fontId="3" fillId="0" borderId="0" xfId="5" quotePrefix="1" applyNumberFormat="1" applyFont="1" applyBorder="1" applyAlignment="1">
      <alignment horizontal="center"/>
    </xf>
    <xf numFmtId="168" fontId="13" fillId="0" borderId="0" xfId="5" applyNumberFormat="1" applyFont="1" applyBorder="1" applyAlignment="1"/>
    <xf numFmtId="165" fontId="3" fillId="0" borderId="0" xfId="5" applyNumberFormat="1" applyFont="1" applyBorder="1" applyAlignment="1"/>
    <xf numFmtId="3" fontId="7" fillId="0" borderId="0" xfId="0" applyNumberFormat="1" applyFont="1"/>
    <xf numFmtId="171" fontId="3" fillId="0" borderId="0" xfId="0" applyNumberFormat="1" applyFont="1"/>
    <xf numFmtId="170" fontId="7" fillId="0" borderId="0" xfId="0" applyNumberFormat="1" applyFont="1"/>
    <xf numFmtId="3" fontId="3" fillId="0" borderId="1" xfId="0" applyNumberFormat="1" applyFont="1" applyBorder="1"/>
    <xf numFmtId="168" fontId="3" fillId="0" borderId="1" xfId="5" applyNumberFormat="1" applyFont="1" applyBorder="1" applyAlignment="1"/>
    <xf numFmtId="3" fontId="3" fillId="0" borderId="6" xfId="0" applyNumberFormat="1" applyFont="1" applyBorder="1"/>
    <xf numFmtId="4" fontId="3" fillId="0" borderId="7" xfId="0" applyNumberFormat="1" applyFont="1" applyBorder="1"/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23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10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1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1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4" fontId="3" fillId="0" borderId="0" xfId="6" quotePrefix="1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1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2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3" fillId="0" borderId="6" xfId="5" applyNumberFormat="1" applyFont="1" applyBorder="1"/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5" fontId="21" fillId="0" borderId="0" xfId="1" applyNumberFormat="1" applyFont="1" applyAlignment="1">
      <alignment vertical="center"/>
    </xf>
    <xf numFmtId="9" fontId="3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9" fontId="3" fillId="0" borderId="0" xfId="3" applyFont="1" applyAlignment="1">
      <alignment horizontal="center"/>
    </xf>
    <xf numFmtId="164" fontId="3" fillId="0" borderId="0" xfId="5" applyNumberFormat="1" applyFont="1" applyBorder="1"/>
    <xf numFmtId="164" fontId="3" fillId="0" borderId="0" xfId="2" applyNumberFormat="1" applyFont="1" applyBorder="1"/>
    <xf numFmtId="9" fontId="3" fillId="0" borderId="0" xfId="3" applyFont="1"/>
    <xf numFmtId="42" fontId="3" fillId="0" borderId="0" xfId="0" applyNumberFormat="1" applyFont="1"/>
    <xf numFmtId="165" fontId="3" fillId="0" borderId="0" xfId="1" applyNumberFormat="1" applyFont="1" applyAlignment="1">
      <alignment horizontal="right" vertical="center"/>
    </xf>
    <xf numFmtId="10" fontId="3" fillId="0" borderId="0" xfId="0" applyNumberFormat="1" applyFont="1"/>
    <xf numFmtId="165" fontId="3" fillId="0" borderId="1" xfId="5" applyNumberFormat="1" applyFont="1" applyBorder="1"/>
    <xf numFmtId="164" fontId="7" fillId="0" borderId="9" xfId="6" applyNumberFormat="1" applyFont="1" applyBorder="1"/>
    <xf numFmtId="9" fontId="3" fillId="0" borderId="0" xfId="9" applyNumberFormat="1" applyFont="1" applyFill="1" applyBorder="1" applyAlignment="1">
      <alignment horizontal="center"/>
    </xf>
    <xf numFmtId="9" fontId="9" fillId="0" borderId="0" xfId="9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 indent="1"/>
    </xf>
    <xf numFmtId="164" fontId="7" fillId="0" borderId="0" xfId="4" applyNumberFormat="1" applyFont="1" applyAlignment="1">
      <alignment horizontal="left" indent="1"/>
    </xf>
    <xf numFmtId="10" fontId="7" fillId="0" borderId="0" xfId="0" applyNumberFormat="1" applyFont="1"/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72" fontId="3" fillId="0" borderId="0" xfId="1" applyNumberFormat="1" applyFont="1" applyBorder="1"/>
    <xf numFmtId="172" fontId="0" fillId="0" borderId="0" xfId="1" applyNumberFormat="1" applyFont="1" applyBorder="1"/>
    <xf numFmtId="43" fontId="0" fillId="0" borderId="0" xfId="1" applyFont="1" applyBorder="1"/>
    <xf numFmtId="165" fontId="9" fillId="0" borderId="0" xfId="1" applyNumberFormat="1" applyFont="1"/>
    <xf numFmtId="44" fontId="3" fillId="2" borderId="7" xfId="1" applyNumberFormat="1" applyFont="1" applyFill="1" applyBorder="1"/>
    <xf numFmtId="44" fontId="3" fillId="2" borderId="0" xfId="1" applyNumberFormat="1" applyFont="1" applyFill="1" applyBorder="1"/>
    <xf numFmtId="10" fontId="3" fillId="2" borderId="0" xfId="3" applyNumberFormat="1" applyFont="1" applyFill="1" applyBorder="1"/>
    <xf numFmtId="10" fontId="3" fillId="0" borderId="0" xfId="3" applyNumberFormat="1" applyFont="1" applyBorder="1" applyAlignment="1"/>
    <xf numFmtId="172" fontId="3" fillId="0" borderId="0" xfId="1" applyNumberFormat="1" applyFont="1" applyBorder="1" applyAlignment="1">
      <alignment horizontal="center"/>
    </xf>
    <xf numFmtId="165" fontId="25" fillId="0" borderId="0" xfId="1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73" fontId="3" fillId="0" borderId="0" xfId="1" applyNumberFormat="1" applyFont="1" applyBorder="1" applyAlignment="1"/>
    <xf numFmtId="165" fontId="6" fillId="0" borderId="0" xfId="1" applyNumberFormat="1" applyFont="1" applyBorder="1"/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73" fontId="3" fillId="0" borderId="0" xfId="1" applyNumberFormat="1" applyFont="1" applyBorder="1" applyAlignment="1">
      <alignment horizontal="right"/>
    </xf>
    <xf numFmtId="43" fontId="3" fillId="0" borderId="13" xfId="1" applyFont="1" applyBorder="1" applyAlignment="1"/>
    <xf numFmtId="43" fontId="3" fillId="0" borderId="14" xfId="1" applyFont="1" applyBorder="1" applyAlignment="1"/>
    <xf numFmtId="165" fontId="3" fillId="0" borderId="14" xfId="1" applyNumberFormat="1" applyFont="1" applyBorder="1" applyAlignment="1"/>
    <xf numFmtId="0" fontId="3" fillId="0" borderId="14" xfId="1" applyNumberFormat="1" applyFont="1" applyBorder="1" applyAlignment="1"/>
    <xf numFmtId="10" fontId="3" fillId="0" borderId="14" xfId="3" applyNumberFormat="1" applyFont="1" applyBorder="1" applyAlignment="1"/>
    <xf numFmtId="43" fontId="3" fillId="0" borderId="15" xfId="1" applyFont="1" applyBorder="1" applyAlignment="1"/>
    <xf numFmtId="43" fontId="3" fillId="0" borderId="16" xfId="1" applyFont="1" applyBorder="1" applyAlignment="1"/>
    <xf numFmtId="43" fontId="3" fillId="0" borderId="17" xfId="1" applyFont="1" applyBorder="1" applyAlignment="1"/>
    <xf numFmtId="43" fontId="3" fillId="0" borderId="17" xfId="1" applyFont="1" applyBorder="1" applyAlignment="1">
      <alignment vertical="center"/>
    </xf>
    <xf numFmtId="0" fontId="3" fillId="0" borderId="16" xfId="0" applyFont="1" applyBorder="1"/>
    <xf numFmtId="43" fontId="3" fillId="0" borderId="18" xfId="1" applyFont="1" applyBorder="1" applyAlignment="1"/>
    <xf numFmtId="43" fontId="3" fillId="0" borderId="19" xfId="1" applyFont="1" applyBorder="1" applyAlignment="1"/>
    <xf numFmtId="165" fontId="3" fillId="0" borderId="19" xfId="1" applyNumberFormat="1" applyFont="1" applyBorder="1" applyAlignment="1"/>
    <xf numFmtId="0" fontId="3" fillId="0" borderId="19" xfId="1" applyNumberFormat="1" applyFont="1" applyBorder="1" applyAlignment="1"/>
    <xf numFmtId="10" fontId="3" fillId="0" borderId="19" xfId="3" applyNumberFormat="1" applyFont="1" applyBorder="1" applyAlignment="1"/>
    <xf numFmtId="43" fontId="3" fillId="0" borderId="20" xfId="1" applyFont="1" applyBorder="1" applyAlignment="1"/>
    <xf numFmtId="0" fontId="3" fillId="0" borderId="14" xfId="1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9" xfId="1" applyNumberFormat="1" applyFont="1" applyBorder="1" applyAlignment="1">
      <alignment horizontal="left"/>
    </xf>
    <xf numFmtId="173" fontId="3" fillId="0" borderId="0" xfId="0" applyNumberFormat="1" applyFont="1"/>
    <xf numFmtId="173" fontId="3" fillId="0" borderId="0" xfId="2" applyNumberFormat="1" applyFont="1" applyBorder="1"/>
    <xf numFmtId="3" fontId="3" fillId="0" borderId="0" xfId="1" applyNumberFormat="1" applyFont="1" applyBorder="1"/>
    <xf numFmtId="37" fontId="3" fillId="0" borderId="0" xfId="2" applyNumberFormat="1" applyFont="1" applyBorder="1"/>
    <xf numFmtId="44" fontId="3" fillId="0" borderId="1" xfId="0" applyNumberFormat="1" applyFont="1" applyBorder="1"/>
    <xf numFmtId="0" fontId="16" fillId="0" borderId="1" xfId="0" applyFont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1" quotePrefix="1" applyNumberFormat="1" applyFont="1" applyBorder="1"/>
    <xf numFmtId="165" fontId="9" fillId="0" borderId="0" xfId="1" quotePrefix="1" applyNumberFormat="1" applyFont="1" applyBorder="1"/>
    <xf numFmtId="165" fontId="9" fillId="0" borderId="0" xfId="1" applyNumberFormat="1" applyFont="1" applyBorder="1" applyAlignment="1">
      <alignment horizontal="right"/>
    </xf>
    <xf numFmtId="165" fontId="6" fillId="0" borderId="0" xfId="0" applyNumberFormat="1" applyFont="1"/>
    <xf numFmtId="0" fontId="7" fillId="0" borderId="13" xfId="0" applyFont="1" applyBorder="1"/>
    <xf numFmtId="165" fontId="3" fillId="0" borderId="14" xfId="1" applyNumberFormat="1" applyFont="1" applyBorder="1"/>
    <xf numFmtId="3" fontId="3" fillId="0" borderId="14" xfId="0" applyNumberFormat="1" applyFont="1" applyBorder="1" applyAlignment="1">
      <alignment horizontal="right"/>
    </xf>
    <xf numFmtId="165" fontId="3" fillId="0" borderId="14" xfId="0" applyNumberFormat="1" applyFont="1" applyBorder="1"/>
    <xf numFmtId="44" fontId="3" fillId="0" borderId="15" xfId="0" applyNumberFormat="1" applyFont="1" applyBorder="1"/>
    <xf numFmtId="0" fontId="7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5" fontId="3" fillId="0" borderId="17" xfId="1" applyNumberFormat="1" applyFont="1" applyBorder="1"/>
    <xf numFmtId="165" fontId="9" fillId="0" borderId="17" xfId="1" applyNumberFormat="1" applyFont="1" applyBorder="1"/>
    <xf numFmtId="44" fontId="3" fillId="0" borderId="17" xfId="0" applyNumberFormat="1" applyFont="1" applyBorder="1"/>
    <xf numFmtId="0" fontId="7" fillId="0" borderId="17" xfId="0" applyFont="1" applyBorder="1"/>
    <xf numFmtId="44" fontId="3" fillId="0" borderId="17" xfId="0" applyNumberFormat="1" applyFont="1" applyBorder="1" applyAlignment="1">
      <alignment horizontal="center"/>
    </xf>
    <xf numFmtId="0" fontId="3" fillId="0" borderId="16" xfId="1" applyNumberFormat="1" applyFont="1" applyBorder="1" applyAlignment="1">
      <alignment horizontal="right"/>
    </xf>
    <xf numFmtId="0" fontId="3" fillId="0" borderId="18" xfId="0" applyFont="1" applyBorder="1"/>
    <xf numFmtId="165" fontId="3" fillId="0" borderId="19" xfId="1" applyNumberFormat="1" applyFont="1" applyBorder="1"/>
    <xf numFmtId="164" fontId="3" fillId="0" borderId="19" xfId="2" applyNumberFormat="1" applyFont="1" applyBorder="1"/>
    <xf numFmtId="0" fontId="3" fillId="0" borderId="19" xfId="0" applyFont="1" applyBorder="1"/>
    <xf numFmtId="164" fontId="3" fillId="0" borderId="20" xfId="2" applyNumberFormat="1" applyFont="1" applyBorder="1"/>
    <xf numFmtId="44" fontId="3" fillId="0" borderId="14" xfId="0" applyNumberFormat="1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14" xfId="0" applyFont="1" applyBorder="1"/>
    <xf numFmtId="43" fontId="3" fillId="0" borderId="15" xfId="1" applyFont="1" applyBorder="1"/>
    <xf numFmtId="43" fontId="3" fillId="0" borderId="17" xfId="1" applyFont="1" applyBorder="1"/>
    <xf numFmtId="43" fontId="3" fillId="0" borderId="20" xfId="1" applyFont="1" applyBorder="1"/>
    <xf numFmtId="43" fontId="3" fillId="0" borderId="14" xfId="1" applyFont="1" applyBorder="1"/>
    <xf numFmtId="172" fontId="3" fillId="0" borderId="15" xfId="1" applyNumberFormat="1" applyFont="1" applyBorder="1" applyAlignment="1">
      <alignment horizontal="center"/>
    </xf>
    <xf numFmtId="172" fontId="3" fillId="0" borderId="17" xfId="1" applyNumberFormat="1" applyFont="1" applyBorder="1"/>
    <xf numFmtId="43" fontId="3" fillId="0" borderId="19" xfId="1" applyFont="1" applyBorder="1"/>
    <xf numFmtId="172" fontId="3" fillId="0" borderId="20" xfId="1" applyNumberFormat="1" applyFont="1" applyBorder="1"/>
    <xf numFmtId="172" fontId="3" fillId="0" borderId="14" xfId="1" applyNumberFormat="1" applyFont="1" applyBorder="1" applyAlignment="1">
      <alignment horizontal="center"/>
    </xf>
    <xf numFmtId="165" fontId="9" fillId="0" borderId="15" xfId="0" applyNumberFormat="1" applyFont="1" applyBorder="1"/>
    <xf numFmtId="172" fontId="3" fillId="0" borderId="19" xfId="1" applyNumberFormat="1" applyFont="1" applyBorder="1"/>
    <xf numFmtId="165" fontId="9" fillId="0" borderId="14" xfId="0" applyNumberFormat="1" applyFont="1" applyBorder="1"/>
    <xf numFmtId="0" fontId="3" fillId="0" borderId="15" xfId="0" quotePrefix="1" applyFont="1" applyBorder="1"/>
    <xf numFmtId="44" fontId="3" fillId="0" borderId="19" xfId="5" applyNumberFormat="1" applyFont="1" applyBorder="1"/>
    <xf numFmtId="0" fontId="3" fillId="0" borderId="14" xfId="0" quotePrefix="1" applyFont="1" applyBorder="1"/>
    <xf numFmtId="0" fontId="3" fillId="0" borderId="18" xfId="0" applyFont="1" applyBorder="1" applyAlignment="1">
      <alignment horizontal="right"/>
    </xf>
    <xf numFmtId="165" fontId="3" fillId="0" borderId="19" xfId="5" applyNumberFormat="1" applyFont="1" applyBorder="1"/>
    <xf numFmtId="0" fontId="3" fillId="0" borderId="17" xfId="0" quotePrefix="1" applyFont="1" applyBorder="1"/>
    <xf numFmtId="3" fontId="3" fillId="0" borderId="19" xfId="1" applyNumberFormat="1" applyFont="1" applyBorder="1"/>
    <xf numFmtId="169" fontId="3" fillId="0" borderId="0" xfId="0" quotePrefix="1" applyNumberFormat="1" applyFont="1" applyAlignment="1">
      <alignment horizontal="center"/>
    </xf>
    <xf numFmtId="164" fontId="3" fillId="0" borderId="0" xfId="4" applyNumberFormat="1" applyFont="1" applyAlignment="1">
      <alignment horizontal="left" indent="1"/>
    </xf>
    <xf numFmtId="165" fontId="3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164" fontId="7" fillId="0" borderId="0" xfId="0" applyNumberFormat="1" applyFont="1"/>
    <xf numFmtId="164" fontId="3" fillId="0" borderId="17" xfId="5" applyNumberFormat="1" applyFont="1" applyBorder="1"/>
    <xf numFmtId="164" fontId="9" fillId="0" borderId="17" xfId="5" applyNumberFormat="1" applyFont="1" applyBorder="1"/>
    <xf numFmtId="37" fontId="3" fillId="0" borderId="0" xfId="0" applyNumberFormat="1" applyFont="1" applyAlignment="1">
      <alignment horizontal="right"/>
    </xf>
    <xf numFmtId="164" fontId="9" fillId="0" borderId="0" xfId="5" applyNumberFormat="1" applyFont="1" applyBorder="1"/>
    <xf numFmtId="165" fontId="3" fillId="0" borderId="0" xfId="1" quotePrefix="1" applyNumberFormat="1" applyFont="1" applyAlignment="1">
      <alignment horizontal="left" vertical="center"/>
    </xf>
    <xf numFmtId="164" fontId="9" fillId="0" borderId="0" xfId="0" applyNumberFormat="1" applyFont="1"/>
    <xf numFmtId="164" fontId="3" fillId="0" borderId="0" xfId="3" applyNumberFormat="1" applyFont="1" applyBorder="1"/>
    <xf numFmtId="164" fontId="9" fillId="0" borderId="0" xfId="3" applyNumberFormat="1" applyFont="1" applyBorder="1"/>
    <xf numFmtId="174" fontId="3" fillId="0" borderId="0" xfId="1" applyNumberFormat="1" applyFont="1" applyBorder="1" applyAlignment="1">
      <alignment horizontal="right"/>
    </xf>
    <xf numFmtId="9" fontId="3" fillId="0" borderId="0" xfId="3" applyFont="1" applyBorder="1"/>
    <xf numFmtId="42" fontId="3" fillId="0" borderId="0" xfId="2" applyNumberFormat="1" applyFont="1"/>
    <xf numFmtId="164" fontId="3" fillId="0" borderId="0" xfId="2" applyNumberFormat="1" applyFont="1"/>
    <xf numFmtId="164" fontId="3" fillId="0" borderId="1" xfId="2" applyNumberFormat="1" applyFont="1" applyBorder="1"/>
    <xf numFmtId="0" fontId="3" fillId="0" borderId="1" xfId="0" applyFont="1" applyBorder="1"/>
    <xf numFmtId="42" fontId="3" fillId="0" borderId="1" xfId="2" applyNumberFormat="1" applyFont="1" applyBorder="1"/>
    <xf numFmtId="3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5" fillId="0" borderId="0" xfId="0" applyFont="1"/>
    <xf numFmtId="165" fontId="25" fillId="0" borderId="0" xfId="0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9" fillId="0" borderId="0" xfId="1" applyNumberFormat="1" applyFont="1" applyFill="1" applyBorder="1"/>
    <xf numFmtId="0" fontId="3" fillId="0" borderId="0" xfId="0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1" applyNumberFormat="1" applyFont="1" applyAlignment="1">
      <alignment vertical="center"/>
    </xf>
    <xf numFmtId="165" fontId="3" fillId="0" borderId="0" xfId="5" applyNumberFormat="1" applyFont="1" applyFill="1"/>
    <xf numFmtId="165" fontId="9" fillId="0" borderId="0" xfId="5" applyNumberFormat="1" applyFont="1" applyFill="1" applyBorder="1"/>
    <xf numFmtId="43" fontId="3" fillId="3" borderId="0" xfId="5" applyFont="1" applyFill="1"/>
    <xf numFmtId="165" fontId="3" fillId="3" borderId="0" xfId="5" applyNumberFormat="1" applyFont="1" applyFill="1"/>
    <xf numFmtId="165" fontId="3" fillId="3" borderId="0" xfId="5" applyNumberFormat="1" applyFont="1" applyFill="1" applyBorder="1"/>
    <xf numFmtId="43" fontId="3" fillId="3" borderId="0" xfId="1" applyFont="1" applyFill="1"/>
    <xf numFmtId="165" fontId="9" fillId="3" borderId="0" xfId="5" applyNumberFormat="1" applyFont="1" applyFill="1" applyBorder="1"/>
    <xf numFmtId="44" fontId="3" fillId="3" borderId="0" xfId="10" applyFont="1" applyFill="1"/>
    <xf numFmtId="10" fontId="3" fillId="3" borderId="0" xfId="3" applyNumberFormat="1" applyFont="1" applyFill="1" applyAlignment="1">
      <alignment horizontal="center"/>
    </xf>
    <xf numFmtId="44" fontId="3" fillId="3" borderId="1" xfId="10" applyFont="1" applyFill="1" applyBorder="1"/>
    <xf numFmtId="44" fontId="3" fillId="3" borderId="0" xfId="1" applyNumberFormat="1" applyFont="1" applyFill="1"/>
    <xf numFmtId="165" fontId="7" fillId="0" borderId="0" xfId="1" applyNumberFormat="1" applyFont="1"/>
    <xf numFmtId="44" fontId="7" fillId="0" borderId="0" xfId="0" applyNumberFormat="1" applyFont="1"/>
    <xf numFmtId="0" fontId="26" fillId="0" borderId="0" xfId="0" applyFont="1"/>
    <xf numFmtId="9" fontId="3" fillId="0" borderId="1" xfId="3" applyFont="1" applyBorder="1"/>
    <xf numFmtId="175" fontId="3" fillId="0" borderId="1" xfId="2" applyNumberFormat="1" applyFont="1" applyBorder="1"/>
    <xf numFmtId="165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</cellXfs>
  <cellStyles count="12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Hyperlink" xfId="11" builtinId="8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b%20Billing%20Analysis%20Inpu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ate Study"/>
      <sheetName val="Check Totals"/>
      <sheetName val="01 58&quot;"/>
      <sheetName val="02 34&quot;"/>
      <sheetName val="03 1&quot;"/>
      <sheetName val="04 1 12&quot;"/>
      <sheetName val="05 2&quot;"/>
      <sheetName val="06 2 12&quot;"/>
      <sheetName val="07 3&quot;"/>
      <sheetName val="08 4&quot;"/>
      <sheetName val="6&quot;"/>
      <sheetName val="Wholesale"/>
    </sheetNames>
    <sheetDataSet>
      <sheetData sheetId="0"/>
      <sheetData sheetId="1"/>
      <sheetData sheetId="2"/>
      <sheetData sheetId="3">
        <row r="7958">
          <cell r="G7958">
            <v>8981000</v>
          </cell>
          <cell r="K7958">
            <v>7956</v>
          </cell>
        </row>
        <row r="19006">
          <cell r="G19006">
            <v>36545950</v>
          </cell>
          <cell r="K19006">
            <v>11047</v>
          </cell>
        </row>
        <row r="23908">
          <cell r="G23908">
            <v>33154110</v>
          </cell>
          <cell r="K23908">
            <v>4901</v>
          </cell>
        </row>
        <row r="25229">
          <cell r="G25229">
            <v>18843520</v>
          </cell>
          <cell r="K25229">
            <v>1320</v>
          </cell>
        </row>
        <row r="25439">
          <cell r="G25439">
            <v>6778250</v>
          </cell>
          <cell r="K25439">
            <v>209</v>
          </cell>
        </row>
        <row r="25490">
          <cell r="G25490">
            <v>3477560</v>
          </cell>
          <cell r="K25490">
            <v>50</v>
          </cell>
        </row>
        <row r="25504">
          <cell r="G25504">
            <v>1692450</v>
          </cell>
          <cell r="K25504">
            <v>13</v>
          </cell>
        </row>
        <row r="25506">
          <cell r="G25506">
            <v>295610</v>
          </cell>
          <cell r="K25506">
            <v>1</v>
          </cell>
        </row>
        <row r="25508">
          <cell r="G25508">
            <v>302980</v>
          </cell>
          <cell r="K25508">
            <v>1</v>
          </cell>
        </row>
      </sheetData>
      <sheetData sheetId="4">
        <row r="181">
          <cell r="G181">
            <v>461410</v>
          </cell>
          <cell r="K181">
            <v>179</v>
          </cell>
        </row>
        <row r="251">
          <cell r="G251">
            <v>506930</v>
          </cell>
          <cell r="K251">
            <v>69</v>
          </cell>
        </row>
        <row r="316">
          <cell r="G316">
            <v>1019240</v>
          </cell>
          <cell r="K316">
            <v>64</v>
          </cell>
        </row>
        <row r="332">
          <cell r="G332">
            <v>483570</v>
          </cell>
          <cell r="K332">
            <v>15</v>
          </cell>
        </row>
        <row r="347">
          <cell r="G347">
            <v>1038940</v>
          </cell>
          <cell r="K347">
            <v>14</v>
          </cell>
        </row>
        <row r="351">
          <cell r="G351">
            <v>308900</v>
          </cell>
          <cell r="K351">
            <v>3</v>
          </cell>
        </row>
        <row r="353">
          <cell r="G353">
            <v>234420</v>
          </cell>
          <cell r="K353">
            <v>1</v>
          </cell>
        </row>
      </sheetData>
      <sheetData sheetId="5">
        <row r="197">
          <cell r="G197">
            <v>912390</v>
          </cell>
          <cell r="K197">
            <v>195</v>
          </cell>
        </row>
        <row r="296">
          <cell r="G296">
            <v>1490290</v>
          </cell>
          <cell r="K296">
            <v>98</v>
          </cell>
        </row>
        <row r="320">
          <cell r="G320">
            <v>813620</v>
          </cell>
          <cell r="K320">
            <v>23</v>
          </cell>
        </row>
        <row r="330">
          <cell r="G330">
            <v>657310</v>
          </cell>
          <cell r="K330">
            <v>9</v>
          </cell>
        </row>
        <row r="337">
          <cell r="G337">
            <v>717710</v>
          </cell>
          <cell r="K337">
            <v>6</v>
          </cell>
        </row>
        <row r="340">
          <cell r="G340">
            <v>714470</v>
          </cell>
          <cell r="K340">
            <v>2</v>
          </cell>
        </row>
      </sheetData>
      <sheetData sheetId="6">
        <row r="18">
          <cell r="G18">
            <v>191400</v>
          </cell>
          <cell r="K18">
            <v>16</v>
          </cell>
        </row>
        <row r="21">
          <cell r="G21">
            <v>74300</v>
          </cell>
          <cell r="K21">
            <v>2</v>
          </cell>
        </row>
        <row r="25">
          <cell r="G25">
            <v>229200</v>
          </cell>
          <cell r="K25">
            <v>3</v>
          </cell>
        </row>
        <row r="27">
          <cell r="G27">
            <v>195700</v>
          </cell>
          <cell r="K27">
            <v>1</v>
          </cell>
        </row>
        <row r="29">
          <cell r="G29">
            <v>201000</v>
          </cell>
          <cell r="K29">
            <v>1</v>
          </cell>
        </row>
      </sheetData>
      <sheetData sheetId="7">
        <row r="73">
          <cell r="G73">
            <v>1080980</v>
          </cell>
          <cell r="K73">
            <v>71</v>
          </cell>
        </row>
        <row r="89">
          <cell r="G89">
            <v>1006270</v>
          </cell>
          <cell r="K89">
            <v>15</v>
          </cell>
        </row>
        <row r="96">
          <cell r="G96">
            <v>904400</v>
          </cell>
          <cell r="K96">
            <v>6</v>
          </cell>
        </row>
        <row r="104">
          <cell r="G104">
            <v>1506600</v>
          </cell>
          <cell r="K104">
            <v>7</v>
          </cell>
        </row>
        <row r="117">
          <cell r="G117">
            <v>16961700</v>
          </cell>
          <cell r="K117">
            <v>12</v>
          </cell>
        </row>
      </sheetData>
      <sheetData sheetId="8"/>
      <sheetData sheetId="9">
        <row r="14">
          <cell r="G14">
            <v>1722100</v>
          </cell>
          <cell r="K14">
            <v>12</v>
          </cell>
        </row>
      </sheetData>
      <sheetData sheetId="10">
        <row r="61">
          <cell r="G61">
            <v>3621528</v>
          </cell>
          <cell r="K61">
            <v>59</v>
          </cell>
        </row>
        <row r="65">
          <cell r="G65">
            <v>764000</v>
          </cell>
          <cell r="K65">
            <v>3</v>
          </cell>
        </row>
        <row r="78">
          <cell r="G78">
            <v>22897000</v>
          </cell>
          <cell r="K78">
            <v>12</v>
          </cell>
        </row>
      </sheetData>
      <sheetData sheetId="11">
        <row r="26">
          <cell r="G26">
            <v>83058000</v>
          </cell>
          <cell r="K26">
            <v>24</v>
          </cell>
        </row>
      </sheetData>
      <sheetData sheetId="12">
        <row r="4">
          <cell r="G4">
            <v>3739488</v>
          </cell>
          <cell r="K4">
            <v>2</v>
          </cell>
        </row>
        <row r="11">
          <cell r="G11">
            <v>14665157</v>
          </cell>
          <cell r="K11">
            <v>6</v>
          </cell>
        </row>
        <row r="16">
          <cell r="G16">
            <v>14421279</v>
          </cell>
          <cell r="K1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opLeftCell="A36" workbookViewId="0">
      <selection activeCell="C52" sqref="C52"/>
    </sheetView>
  </sheetViews>
  <sheetFormatPr defaultColWidth="8.77734375" defaultRowHeight="14.25" x14ac:dyDescent="0.45"/>
  <cols>
    <col min="1" max="1" width="3.6640625" style="5" customWidth="1"/>
    <col min="2" max="2" width="2.6640625" style="5" customWidth="1"/>
    <col min="3" max="3" width="29.44140625" style="5" customWidth="1"/>
    <col min="4" max="4" width="11.33203125" style="5" customWidth="1"/>
    <col min="5" max="5" width="11.5546875" style="5" customWidth="1"/>
    <col min="6" max="6" width="5.33203125" style="5" customWidth="1"/>
    <col min="7" max="7" width="11.5546875" style="5" customWidth="1"/>
    <col min="8" max="8" width="3.609375" style="5" customWidth="1"/>
    <col min="9" max="9" width="14.5546875" style="5" customWidth="1"/>
    <col min="10" max="11" width="11.33203125" style="5" customWidth="1"/>
    <col min="12" max="12" width="10.88671875" style="5" customWidth="1"/>
    <col min="13" max="16384" width="8.77734375" style="5"/>
  </cols>
  <sheetData>
    <row r="1" spans="1:12" ht="18" x14ac:dyDescent="0.45">
      <c r="A1" s="369" t="s">
        <v>28</v>
      </c>
      <c r="B1" s="369"/>
      <c r="C1" s="369"/>
      <c r="D1" s="369"/>
      <c r="E1" s="369"/>
      <c r="F1" s="369"/>
      <c r="G1" s="369"/>
      <c r="H1" s="50"/>
      <c r="I1" s="50"/>
      <c r="J1" s="50"/>
      <c r="K1" s="50"/>
    </row>
    <row r="2" spans="1:12" ht="15.75" x14ac:dyDescent="0.45">
      <c r="A2" s="51" t="s">
        <v>204</v>
      </c>
      <c r="B2" s="49"/>
      <c r="C2" s="49"/>
      <c r="D2" s="49"/>
      <c r="E2" s="49"/>
      <c r="F2" s="49"/>
      <c r="G2" s="49"/>
      <c r="H2" s="50"/>
      <c r="I2" s="50"/>
      <c r="J2" s="50"/>
      <c r="K2" s="50"/>
      <c r="L2" s="50"/>
    </row>
    <row r="3" spans="1:12" x14ac:dyDescent="0.45">
      <c r="A3" s="39"/>
      <c r="B3" s="49"/>
      <c r="C3" s="49"/>
      <c r="D3" s="49"/>
      <c r="E3" s="49"/>
      <c r="F3" s="49"/>
      <c r="G3" s="49"/>
      <c r="H3" s="50"/>
      <c r="I3" s="50"/>
      <c r="J3" s="50"/>
      <c r="K3" s="50"/>
    </row>
    <row r="4" spans="1:12" ht="16.5" x14ac:dyDescent="0.45">
      <c r="A4" s="50"/>
      <c r="B4" s="50"/>
      <c r="C4" s="50"/>
      <c r="D4" s="52" t="s">
        <v>29</v>
      </c>
      <c r="E4" s="52" t="s">
        <v>30</v>
      </c>
      <c r="F4" s="52" t="s">
        <v>31</v>
      </c>
      <c r="G4" s="52" t="s">
        <v>32</v>
      </c>
      <c r="H4" s="50"/>
      <c r="I4" s="64" t="s">
        <v>38</v>
      </c>
      <c r="J4" s="50"/>
      <c r="L4" s="240" t="s">
        <v>203</v>
      </c>
    </row>
    <row r="5" spans="1:12" x14ac:dyDescent="0.45">
      <c r="A5" s="53" t="s">
        <v>14</v>
      </c>
      <c r="B5" s="50"/>
      <c r="C5" s="50"/>
      <c r="D5" s="50"/>
      <c r="F5" s="50"/>
      <c r="G5" s="50"/>
      <c r="H5" s="50"/>
      <c r="J5" s="50"/>
      <c r="K5" s="50"/>
    </row>
    <row r="6" spans="1:12" x14ac:dyDescent="0.45">
      <c r="A6" s="50"/>
      <c r="B6" s="50" t="s">
        <v>40</v>
      </c>
      <c r="C6" s="50"/>
      <c r="D6" s="50">
        <v>1352079</v>
      </c>
      <c r="E6" s="324">
        <f>ExBA!G11</f>
        <v>113029.78000000003</v>
      </c>
      <c r="F6" s="54" t="s">
        <v>275</v>
      </c>
      <c r="G6" s="50">
        <f>D6+E6</f>
        <v>1465108.78</v>
      </c>
      <c r="H6" s="55"/>
      <c r="I6" s="50" t="s">
        <v>259</v>
      </c>
      <c r="J6" s="50"/>
      <c r="K6" s="239"/>
      <c r="L6" s="5" t="s">
        <v>262</v>
      </c>
    </row>
    <row r="7" spans="1:12" x14ac:dyDescent="0.45">
      <c r="A7" s="50"/>
      <c r="B7" s="50" t="s">
        <v>57</v>
      </c>
      <c r="C7" s="50"/>
      <c r="D7" s="50">
        <v>0</v>
      </c>
      <c r="E7" s="324"/>
      <c r="F7" s="54"/>
      <c r="G7" s="50">
        <f>D7+E7</f>
        <v>0</v>
      </c>
      <c r="H7" s="56"/>
      <c r="I7" s="48"/>
      <c r="J7" s="50"/>
      <c r="K7" s="50"/>
    </row>
    <row r="8" spans="1:12" x14ac:dyDescent="0.45">
      <c r="A8" s="50"/>
      <c r="B8" s="50" t="s">
        <v>15</v>
      </c>
      <c r="C8" s="50"/>
      <c r="D8" s="50">
        <v>136220</v>
      </c>
      <c r="E8" s="324">
        <f>ExBA!G16</f>
        <v>-2856</v>
      </c>
      <c r="F8" s="54" t="s">
        <v>276</v>
      </c>
      <c r="G8" s="50">
        <f>D8+E8</f>
        <v>133364</v>
      </c>
      <c r="H8" s="55"/>
      <c r="I8" s="331" t="s">
        <v>260</v>
      </c>
      <c r="J8" s="50"/>
      <c r="L8" s="5" t="s">
        <v>263</v>
      </c>
    </row>
    <row r="9" spans="1:12" x14ac:dyDescent="0.45">
      <c r="A9" s="50"/>
      <c r="B9" s="50" t="s">
        <v>201</v>
      </c>
      <c r="C9" s="50"/>
      <c r="D9" s="50">
        <v>0</v>
      </c>
      <c r="E9" s="50"/>
      <c r="F9" s="54"/>
      <c r="G9" s="50">
        <f>D9+E9</f>
        <v>0</v>
      </c>
      <c r="H9" s="55"/>
      <c r="I9" s="57"/>
      <c r="J9" s="50"/>
    </row>
    <row r="10" spans="1:12" x14ac:dyDescent="0.45">
      <c r="A10" s="50"/>
      <c r="B10" s="50" t="s">
        <v>16</v>
      </c>
      <c r="C10" s="50"/>
      <c r="D10" s="50"/>
      <c r="E10" s="50"/>
      <c r="F10" s="54"/>
      <c r="G10" s="50"/>
      <c r="H10" s="58"/>
      <c r="I10" s="50"/>
      <c r="J10" s="50"/>
      <c r="K10" s="50"/>
    </row>
    <row r="11" spans="1:12" x14ac:dyDescent="0.45">
      <c r="A11" s="50"/>
      <c r="B11" s="50"/>
      <c r="C11" s="50" t="s">
        <v>39</v>
      </c>
      <c r="D11" s="50">
        <v>0</v>
      </c>
      <c r="E11" s="50"/>
      <c r="F11" s="54"/>
      <c r="G11" s="50">
        <f>D11+E11</f>
        <v>0</v>
      </c>
      <c r="H11" s="55"/>
      <c r="I11" s="50"/>
      <c r="J11" s="50"/>
      <c r="K11" s="50"/>
    </row>
    <row r="12" spans="1:12" x14ac:dyDescent="0.45">
      <c r="A12" s="50"/>
      <c r="B12" s="50"/>
      <c r="C12" s="50" t="s">
        <v>199</v>
      </c>
      <c r="D12" s="50">
        <v>105401</v>
      </c>
      <c r="E12" s="324">
        <v>0</v>
      </c>
      <c r="F12" s="54" t="s">
        <v>277</v>
      </c>
      <c r="G12" s="50">
        <f>D12+E12</f>
        <v>105401</v>
      </c>
      <c r="H12" s="55"/>
      <c r="I12" s="50" t="s">
        <v>307</v>
      </c>
      <c r="J12" s="50"/>
      <c r="K12" s="50"/>
    </row>
    <row r="13" spans="1:12" ht="16.5" x14ac:dyDescent="0.45">
      <c r="A13" s="50"/>
      <c r="B13" s="50"/>
      <c r="C13" s="50" t="s">
        <v>200</v>
      </c>
      <c r="D13" s="325">
        <v>0</v>
      </c>
      <c r="E13" s="325">
        <v>0</v>
      </c>
      <c r="F13" s="54"/>
      <c r="G13" s="325">
        <f>D13+E13</f>
        <v>0</v>
      </c>
      <c r="H13" s="55"/>
      <c r="I13" s="50"/>
      <c r="J13" s="50"/>
      <c r="K13" s="50"/>
    </row>
    <row r="14" spans="1:12" x14ac:dyDescent="0.45">
      <c r="A14" s="59" t="s">
        <v>17</v>
      </c>
      <c r="B14" s="50"/>
      <c r="C14" s="50"/>
      <c r="D14" s="50">
        <f>SUM(D6:D13)</f>
        <v>1593700</v>
      </c>
      <c r="E14" s="50">
        <f>SUM(E6:E13)</f>
        <v>110173.78000000003</v>
      </c>
      <c r="F14" s="54"/>
      <c r="G14" s="50">
        <f>SUM(G6:G13)</f>
        <v>1703873.78</v>
      </c>
      <c r="H14" s="58"/>
      <c r="J14" s="50"/>
      <c r="K14" s="50"/>
    </row>
    <row r="15" spans="1:12" x14ac:dyDescent="0.45">
      <c r="A15" s="50"/>
      <c r="B15" s="50"/>
      <c r="C15" s="50"/>
      <c r="D15" s="50"/>
      <c r="E15" s="50"/>
      <c r="F15" s="54"/>
      <c r="G15" s="50"/>
      <c r="H15" s="58"/>
      <c r="I15" s="50"/>
      <c r="J15" s="50"/>
      <c r="K15" s="50"/>
    </row>
    <row r="16" spans="1:12" x14ac:dyDescent="0.45">
      <c r="A16" s="53" t="s">
        <v>18</v>
      </c>
      <c r="B16" s="50"/>
      <c r="C16" s="50"/>
      <c r="D16" s="50"/>
      <c r="E16" s="50"/>
      <c r="F16" s="54"/>
      <c r="G16" s="50"/>
      <c r="H16" s="58"/>
      <c r="I16" s="50"/>
      <c r="J16" s="50"/>
      <c r="K16" s="50"/>
    </row>
    <row r="17" spans="1:12" x14ac:dyDescent="0.45">
      <c r="A17" s="50"/>
      <c r="B17" s="50" t="s">
        <v>33</v>
      </c>
      <c r="C17" s="50"/>
      <c r="D17" s="50"/>
      <c r="E17" s="50"/>
      <c r="F17" s="54"/>
      <c r="G17" s="50"/>
      <c r="H17" s="58"/>
      <c r="I17" s="50"/>
      <c r="J17" s="50"/>
      <c r="K17" s="50"/>
    </row>
    <row r="18" spans="1:12" x14ac:dyDescent="0.45">
      <c r="A18" s="50"/>
      <c r="B18" s="50"/>
      <c r="C18" s="50" t="s">
        <v>2</v>
      </c>
      <c r="D18" s="50">
        <v>243919</v>
      </c>
      <c r="E18" s="50">
        <f>-Capital!C5</f>
        <v>-7692.9</v>
      </c>
      <c r="F18" s="60" t="s">
        <v>278</v>
      </c>
      <c r="G18" s="50"/>
      <c r="H18" s="55"/>
      <c r="I18" s="5" t="s">
        <v>246</v>
      </c>
      <c r="J18" s="50"/>
      <c r="K18" s="50"/>
      <c r="L18" s="5" t="s">
        <v>264</v>
      </c>
    </row>
    <row r="19" spans="1:12" x14ac:dyDescent="0.45">
      <c r="A19" s="50"/>
      <c r="B19" s="50"/>
      <c r="C19" s="50"/>
      <c r="D19" s="50"/>
      <c r="E19" s="217">
        <f>Wages!H21</f>
        <v>20117.775000000023</v>
      </c>
      <c r="F19" s="60" t="s">
        <v>279</v>
      </c>
      <c r="G19" s="50"/>
      <c r="H19" s="55"/>
      <c r="I19" s="50" t="s">
        <v>253</v>
      </c>
      <c r="J19" s="50"/>
      <c r="K19" s="50"/>
      <c r="L19" s="5" t="s">
        <v>265</v>
      </c>
    </row>
    <row r="20" spans="1:12" x14ac:dyDescent="0.45">
      <c r="A20" s="50"/>
      <c r="B20" s="50"/>
      <c r="C20" s="50"/>
      <c r="D20" s="50"/>
      <c r="E20" s="217"/>
      <c r="F20" s="60"/>
      <c r="G20" s="50">
        <f>D18+E18+E19</f>
        <v>256343.87500000003</v>
      </c>
      <c r="H20" s="55"/>
      <c r="I20" s="50"/>
      <c r="J20" s="50"/>
      <c r="K20" s="50"/>
    </row>
    <row r="21" spans="1:12" x14ac:dyDescent="0.45">
      <c r="A21" s="50"/>
      <c r="B21" s="50"/>
      <c r="C21" s="50" t="s">
        <v>3</v>
      </c>
      <c r="D21" s="50">
        <v>14400</v>
      </c>
      <c r="E21" s="50"/>
      <c r="F21" s="54"/>
      <c r="G21" s="50">
        <f>D21+E21</f>
        <v>14400</v>
      </c>
      <c r="H21" s="55"/>
    </row>
    <row r="22" spans="1:12" x14ac:dyDescent="0.45">
      <c r="A22" s="50"/>
      <c r="B22" s="50"/>
      <c r="C22" s="50" t="s">
        <v>4</v>
      </c>
      <c r="D22" s="50">
        <v>194564</v>
      </c>
      <c r="E22" s="50">
        <f>Wages!H33</f>
        <v>8316.6908625000069</v>
      </c>
      <c r="F22" s="60" t="s">
        <v>280</v>
      </c>
      <c r="G22" s="50"/>
      <c r="H22" s="55"/>
      <c r="I22" s="50" t="s">
        <v>251</v>
      </c>
      <c r="J22" s="50"/>
      <c r="K22" s="50"/>
      <c r="L22" s="5" t="s">
        <v>266</v>
      </c>
    </row>
    <row r="23" spans="1:12" x14ac:dyDescent="0.45">
      <c r="A23" s="50"/>
      <c r="B23" s="50"/>
      <c r="C23" s="50"/>
      <c r="D23" s="50"/>
      <c r="E23" s="217">
        <f>Medical!C35</f>
        <v>-8180.299600000013</v>
      </c>
      <c r="F23" s="60" t="s">
        <v>282</v>
      </c>
      <c r="G23" s="50"/>
      <c r="H23" s="55"/>
      <c r="I23" s="50" t="s">
        <v>250</v>
      </c>
      <c r="J23" s="50"/>
      <c r="K23" s="50"/>
      <c r="L23" s="5" t="s">
        <v>267</v>
      </c>
    </row>
    <row r="24" spans="1:12" x14ac:dyDescent="0.45">
      <c r="A24" s="50"/>
      <c r="B24" s="50"/>
      <c r="C24" s="50"/>
      <c r="D24" s="50"/>
      <c r="E24" s="50">
        <f>Wages!H38</f>
        <v>-39385.839999999997</v>
      </c>
      <c r="F24" s="60" t="s">
        <v>283</v>
      </c>
      <c r="G24" s="50"/>
      <c r="H24" s="55"/>
      <c r="I24" s="50" t="s">
        <v>252</v>
      </c>
      <c r="J24" s="50"/>
      <c r="K24" s="50"/>
      <c r="L24" s="5" t="s">
        <v>269</v>
      </c>
    </row>
    <row r="25" spans="1:12" x14ac:dyDescent="0.45">
      <c r="A25" s="50"/>
      <c r="B25" s="50"/>
      <c r="C25" s="50"/>
      <c r="D25" s="50"/>
      <c r="E25" s="209"/>
      <c r="F25" s="60"/>
      <c r="G25" s="226">
        <f>D22+E22+E23+E24</f>
        <v>155314.55126249997</v>
      </c>
      <c r="H25" s="55"/>
      <c r="I25" s="209"/>
      <c r="J25" s="50"/>
      <c r="K25" s="50"/>
    </row>
    <row r="26" spans="1:12" x14ac:dyDescent="0.45">
      <c r="A26" s="50"/>
      <c r="B26" s="50"/>
      <c r="C26" s="50" t="s">
        <v>5</v>
      </c>
      <c r="D26" s="50">
        <v>902893</v>
      </c>
      <c r="E26" s="217">
        <f>-'Water Loss'!D19</f>
        <v>-39552.099235143818</v>
      </c>
      <c r="F26" s="60" t="s">
        <v>315</v>
      </c>
      <c r="G26" s="50">
        <f>D26+E26</f>
        <v>863340.90076485614</v>
      </c>
      <c r="H26" s="61"/>
    </row>
    <row r="27" spans="1:12" x14ac:dyDescent="0.45">
      <c r="A27" s="50"/>
      <c r="B27" s="50"/>
      <c r="C27" s="50" t="s">
        <v>6</v>
      </c>
      <c r="D27" s="50">
        <v>0</v>
      </c>
      <c r="E27" s="217">
        <v>0</v>
      </c>
      <c r="F27" s="60"/>
      <c r="G27" s="50">
        <f>D27+E27</f>
        <v>0</v>
      </c>
      <c r="H27" s="62"/>
      <c r="J27" s="50"/>
      <c r="K27" s="50"/>
    </row>
    <row r="28" spans="1:12" x14ac:dyDescent="0.45">
      <c r="A28" s="50"/>
      <c r="B28" s="50"/>
      <c r="C28" s="50" t="s">
        <v>205</v>
      </c>
      <c r="D28" s="50">
        <v>82590</v>
      </c>
      <c r="E28" s="50">
        <f>-'Water Loss'!D20</f>
        <v>-3617.9346565213464</v>
      </c>
      <c r="F28" s="60" t="s">
        <v>315</v>
      </c>
      <c r="G28" s="50">
        <f>D28+E28</f>
        <v>78972.065343478651</v>
      </c>
      <c r="H28" s="62"/>
      <c r="J28" s="50"/>
      <c r="K28" s="50"/>
    </row>
    <row r="29" spans="1:12" x14ac:dyDescent="0.45">
      <c r="A29" s="50"/>
      <c r="B29" s="50"/>
      <c r="C29" s="50" t="s">
        <v>88</v>
      </c>
      <c r="D29" s="50">
        <v>0</v>
      </c>
      <c r="E29" s="50">
        <v>0</v>
      </c>
      <c r="F29" s="60"/>
      <c r="G29" s="50">
        <f>D29+E29</f>
        <v>0</v>
      </c>
      <c r="H29" s="62"/>
      <c r="J29" s="50"/>
      <c r="K29" s="50"/>
    </row>
    <row r="30" spans="1:12" x14ac:dyDescent="0.45">
      <c r="A30" s="50"/>
      <c r="B30" s="50"/>
      <c r="C30" s="50" t="s">
        <v>7</v>
      </c>
      <c r="D30" s="50">
        <v>56212</v>
      </c>
      <c r="E30" s="50">
        <f>-Capital!C6</f>
        <v>-17950.099999999999</v>
      </c>
      <c r="F30" s="60" t="s">
        <v>278</v>
      </c>
      <c r="G30" s="50"/>
      <c r="H30" s="55"/>
      <c r="I30" s="50" t="s">
        <v>247</v>
      </c>
      <c r="J30" s="50"/>
      <c r="K30" s="50"/>
      <c r="L30" s="5" t="s">
        <v>268</v>
      </c>
    </row>
    <row r="31" spans="1:12" x14ac:dyDescent="0.45">
      <c r="A31" s="50"/>
      <c r="B31" s="50"/>
      <c r="C31" s="50"/>
      <c r="D31" s="50"/>
      <c r="E31" s="50">
        <v>0</v>
      </c>
      <c r="F31" s="60" t="s">
        <v>284</v>
      </c>
      <c r="G31" s="50">
        <f>D30+E30+E31</f>
        <v>38261.9</v>
      </c>
      <c r="H31" s="55"/>
      <c r="I31" s="50" t="s">
        <v>248</v>
      </c>
      <c r="J31" s="50"/>
      <c r="K31" s="50"/>
      <c r="L31" s="5" t="s">
        <v>270</v>
      </c>
    </row>
    <row r="32" spans="1:12" x14ac:dyDescent="0.45">
      <c r="A32" s="50"/>
      <c r="B32" s="50"/>
      <c r="C32" s="50" t="s">
        <v>8</v>
      </c>
      <c r="D32" s="50">
        <f>20645+2100+1150</f>
        <v>23895</v>
      </c>
      <c r="E32" s="50">
        <v>0</v>
      </c>
      <c r="F32" s="60"/>
      <c r="G32" s="50">
        <f t="shared" ref="G32:G40" si="0">D32+E32</f>
        <v>23895</v>
      </c>
      <c r="H32" s="55"/>
      <c r="I32" s="50"/>
      <c r="J32" s="50"/>
      <c r="K32" s="50"/>
    </row>
    <row r="33" spans="1:12" x14ac:dyDescent="0.45">
      <c r="A33" s="50"/>
      <c r="B33" s="50"/>
      <c r="C33" s="50" t="s">
        <v>113</v>
      </c>
      <c r="D33" s="50">
        <v>0</v>
      </c>
      <c r="E33" s="50">
        <v>0</v>
      </c>
      <c r="F33" s="60"/>
      <c r="G33" s="50">
        <f t="shared" si="0"/>
        <v>0</v>
      </c>
      <c r="H33" s="55"/>
      <c r="J33" s="50"/>
      <c r="K33" s="50"/>
    </row>
    <row r="34" spans="1:12" x14ac:dyDescent="0.45">
      <c r="A34" s="50"/>
      <c r="B34" s="50"/>
      <c r="C34" s="50" t="s">
        <v>58</v>
      </c>
      <c r="D34" s="50">
        <v>4000</v>
      </c>
      <c r="E34" s="50">
        <v>0</v>
      </c>
      <c r="F34" s="60"/>
      <c r="G34" s="50">
        <f t="shared" si="0"/>
        <v>4000</v>
      </c>
      <c r="H34" s="55"/>
      <c r="I34" s="50"/>
      <c r="J34" s="50"/>
      <c r="K34" s="50"/>
    </row>
    <row r="35" spans="1:12" x14ac:dyDescent="0.45">
      <c r="A35" s="50"/>
      <c r="B35" s="50"/>
      <c r="C35" s="50" t="s">
        <v>10</v>
      </c>
      <c r="D35" s="50">
        <v>26029</v>
      </c>
      <c r="E35" s="50">
        <v>0</v>
      </c>
      <c r="F35" s="60"/>
      <c r="G35" s="50">
        <f t="shared" si="0"/>
        <v>26029</v>
      </c>
      <c r="H35" s="58"/>
      <c r="I35" s="50"/>
      <c r="J35" s="50"/>
      <c r="K35" s="50"/>
    </row>
    <row r="36" spans="1:12" x14ac:dyDescent="0.45">
      <c r="A36" s="50"/>
      <c r="B36" s="50"/>
      <c r="C36" s="50" t="s">
        <v>114</v>
      </c>
      <c r="D36" s="50">
        <v>0</v>
      </c>
      <c r="E36" s="50">
        <v>0</v>
      </c>
      <c r="F36" s="60"/>
      <c r="G36" s="50">
        <f t="shared" si="0"/>
        <v>0</v>
      </c>
      <c r="H36" s="58"/>
      <c r="I36" s="50"/>
      <c r="J36" s="50"/>
      <c r="K36" s="50"/>
    </row>
    <row r="37" spans="1:12" x14ac:dyDescent="0.45">
      <c r="A37" s="50"/>
      <c r="B37" s="50"/>
      <c r="C37" s="50" t="s">
        <v>34</v>
      </c>
      <c r="D37" s="50">
        <f>22055+1666</f>
        <v>23721</v>
      </c>
      <c r="E37" s="50">
        <v>0</v>
      </c>
      <c r="F37" s="60"/>
      <c r="G37" s="50">
        <f t="shared" si="0"/>
        <v>23721</v>
      </c>
      <c r="H37" s="58"/>
      <c r="I37" s="50"/>
      <c r="J37" s="50"/>
      <c r="K37" s="50"/>
    </row>
    <row r="38" spans="1:12" x14ac:dyDescent="0.45">
      <c r="A38" s="50"/>
      <c r="B38" s="50"/>
      <c r="C38" s="50" t="s">
        <v>59</v>
      </c>
      <c r="D38" s="50">
        <v>2287</v>
      </c>
      <c r="E38" s="50">
        <v>0</v>
      </c>
      <c r="F38" s="60"/>
      <c r="G38" s="50">
        <f t="shared" si="0"/>
        <v>2287</v>
      </c>
      <c r="H38" s="58"/>
      <c r="I38" s="50"/>
      <c r="J38" s="50"/>
      <c r="K38" s="50"/>
    </row>
    <row r="39" spans="1:12" x14ac:dyDescent="0.45">
      <c r="A39" s="50"/>
      <c r="B39" s="50"/>
      <c r="C39" s="50" t="s">
        <v>60</v>
      </c>
      <c r="D39" s="50">
        <v>0</v>
      </c>
      <c r="E39" s="50">
        <v>0</v>
      </c>
      <c r="F39" s="54"/>
      <c r="G39" s="50">
        <f t="shared" si="0"/>
        <v>0</v>
      </c>
      <c r="H39" s="58"/>
      <c r="I39" s="50"/>
      <c r="J39" s="50"/>
      <c r="K39" s="50"/>
    </row>
    <row r="40" spans="1:12" ht="16.5" x14ac:dyDescent="0.45">
      <c r="A40" s="50"/>
      <c r="B40" s="50"/>
      <c r="C40" s="50" t="s">
        <v>9</v>
      </c>
      <c r="D40" s="227">
        <v>32050</v>
      </c>
      <c r="E40" s="227">
        <v>0</v>
      </c>
      <c r="F40" s="60"/>
      <c r="G40" s="227">
        <f t="shared" si="0"/>
        <v>32050</v>
      </c>
      <c r="H40" s="58"/>
      <c r="I40" s="50"/>
      <c r="J40" s="50"/>
      <c r="K40" s="50"/>
    </row>
    <row r="41" spans="1:12" x14ac:dyDescent="0.45">
      <c r="A41" s="50"/>
      <c r="B41" s="50" t="s">
        <v>35</v>
      </c>
      <c r="C41" s="50"/>
      <c r="D41" s="50">
        <f>SUM(D18:D40)</f>
        <v>1606560</v>
      </c>
      <c r="E41" s="50">
        <f>SUM(E18:E40)</f>
        <v>-87944.707629165146</v>
      </c>
      <c r="F41" s="54"/>
      <c r="G41" s="50">
        <f>SUM(G18:G40)</f>
        <v>1518615.2923708349</v>
      </c>
      <c r="H41" s="58"/>
      <c r="I41" s="50"/>
      <c r="J41" s="50"/>
      <c r="K41" s="50"/>
    </row>
    <row r="42" spans="1:12" ht="4.1500000000000004" customHeight="1" x14ac:dyDescent="0.45">
      <c r="A42" s="50"/>
      <c r="B42" s="50"/>
      <c r="C42" s="50"/>
      <c r="D42" s="50"/>
      <c r="E42" s="50"/>
      <c r="F42" s="54"/>
      <c r="G42" s="50"/>
      <c r="H42" s="58"/>
      <c r="I42" s="50"/>
      <c r="J42" s="50"/>
      <c r="K42" s="50"/>
    </row>
    <row r="43" spans="1:12" x14ac:dyDescent="0.45">
      <c r="A43" s="50"/>
      <c r="B43" s="50" t="s">
        <v>19</v>
      </c>
      <c r="C43" s="50"/>
      <c r="D43" s="50">
        <v>300719</v>
      </c>
      <c r="E43" s="324">
        <f>Depreciation!K40</f>
        <v>-5438.7419809523617</v>
      </c>
      <c r="F43" s="54" t="s">
        <v>285</v>
      </c>
      <c r="G43" s="50">
        <f>D43+E43</f>
        <v>295280.25801904761</v>
      </c>
      <c r="H43" s="58"/>
      <c r="I43" s="50" t="s">
        <v>271</v>
      </c>
      <c r="J43" s="50"/>
      <c r="L43" s="5" t="s">
        <v>272</v>
      </c>
    </row>
    <row r="44" spans="1:12" ht="16.5" x14ac:dyDescent="0.45">
      <c r="A44" s="50"/>
      <c r="B44" s="50" t="s">
        <v>1</v>
      </c>
      <c r="C44" s="50"/>
      <c r="D44" s="227">
        <v>21396</v>
      </c>
      <c r="E44" s="227">
        <f>Wages!H27</f>
        <v>-1197.186712499999</v>
      </c>
      <c r="F44" s="228" t="s">
        <v>286</v>
      </c>
      <c r="G44" s="227">
        <f>D44+E44</f>
        <v>20198.813287500001</v>
      </c>
      <c r="H44" s="58"/>
      <c r="I44" s="50" t="s">
        <v>311</v>
      </c>
      <c r="J44" s="50"/>
      <c r="L44" s="5" t="s">
        <v>312</v>
      </c>
    </row>
    <row r="45" spans="1:12" ht="16.5" x14ac:dyDescent="0.45">
      <c r="A45" s="59" t="s">
        <v>0</v>
      </c>
      <c r="B45" s="50"/>
      <c r="C45" s="50"/>
      <c r="D45" s="227">
        <f>SUM(D41:D44)</f>
        <v>1928675</v>
      </c>
      <c r="E45" s="227">
        <f>SUM(E41:E44)</f>
        <v>-94580.636322617502</v>
      </c>
      <c r="F45" s="229"/>
      <c r="G45" s="227">
        <f>SUM(G41:G44)</f>
        <v>1834094.3636773825</v>
      </c>
      <c r="H45" s="58"/>
      <c r="I45" s="50"/>
      <c r="J45" s="50"/>
      <c r="K45" s="50"/>
    </row>
    <row r="46" spans="1:12" ht="4.1500000000000004" customHeight="1" x14ac:dyDescent="0.45">
      <c r="A46" s="59"/>
      <c r="B46" s="50"/>
      <c r="C46" s="50"/>
      <c r="D46" s="50"/>
      <c r="E46" s="50"/>
      <c r="F46" s="54"/>
      <c r="G46" s="50"/>
      <c r="H46" s="50"/>
      <c r="I46" s="50"/>
      <c r="J46" s="50"/>
      <c r="K46" s="50"/>
    </row>
    <row r="47" spans="1:12" x14ac:dyDescent="0.45">
      <c r="A47" s="59" t="s">
        <v>36</v>
      </c>
      <c r="B47" s="50"/>
      <c r="C47" s="50"/>
      <c r="D47" s="50">
        <f>D14-D45</f>
        <v>-334975</v>
      </c>
      <c r="E47" s="50">
        <f>E14-E45</f>
        <v>204754.41632261753</v>
      </c>
      <c r="F47" s="54"/>
      <c r="G47" s="50">
        <f>G14-G45</f>
        <v>-130220.58367738244</v>
      </c>
      <c r="H47" s="50"/>
      <c r="I47" s="50"/>
      <c r="K47" s="50"/>
    </row>
    <row r="48" spans="1:12" x14ac:dyDescent="0.45">
      <c r="A48" s="50"/>
      <c r="B48" s="50"/>
      <c r="C48" s="50"/>
      <c r="D48" s="50"/>
      <c r="E48" s="50"/>
      <c r="F48" s="54"/>
      <c r="G48" s="50"/>
      <c r="H48" s="50"/>
      <c r="I48" s="50"/>
      <c r="J48" s="50"/>
      <c r="K48" s="50"/>
    </row>
  </sheetData>
  <mergeCells count="1">
    <mergeCell ref="A1:G1"/>
  </mergeCells>
  <printOptions horizontalCentered="1"/>
  <pageMargins left="0.45" right="0.25" top="0.5" bottom="0.5" header="0.3" footer="0.3"/>
  <pageSetup scale="80" orientation="landscape" horizontalDpi="4294967293" r:id="rId1"/>
  <rowBreaks count="2" manualBreakCount="2">
    <brk id="47" max="16383" man="1"/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O22" sqref="O21:O22"/>
    </sheetView>
  </sheetViews>
  <sheetFormatPr defaultColWidth="8.88671875" defaultRowHeight="14.25" x14ac:dyDescent="0.45"/>
  <cols>
    <col min="1" max="1" width="3.609375" style="5" customWidth="1"/>
    <col min="2" max="2" width="1.77734375" style="5" customWidth="1"/>
    <col min="3" max="4" width="9.77734375" style="5" customWidth="1"/>
    <col min="5" max="7" width="9.77734375" style="118" customWidth="1"/>
    <col min="8" max="8" width="9.77734375" style="5" customWidth="1"/>
    <col min="9" max="9" width="1.77734375" style="5" customWidth="1"/>
    <col min="10" max="10" width="3.609375" style="5" customWidth="1"/>
    <col min="11" max="16384" width="8.88671875" style="5"/>
  </cols>
  <sheetData>
    <row r="1" spans="2:11" x14ac:dyDescent="0.45">
      <c r="B1" s="6"/>
      <c r="C1" s="7"/>
      <c r="D1" s="7"/>
      <c r="E1" s="112"/>
      <c r="F1" s="112"/>
      <c r="G1" s="112"/>
      <c r="H1" s="7"/>
      <c r="I1" s="8"/>
    </row>
    <row r="2" spans="2:11" ht="18" hidden="1" x14ac:dyDescent="0.55000000000000004">
      <c r="B2" s="9"/>
      <c r="C2" s="380" t="s">
        <v>198</v>
      </c>
      <c r="D2" s="380"/>
      <c r="E2" s="380"/>
      <c r="F2" s="380"/>
      <c r="G2" s="380"/>
      <c r="H2" s="380"/>
      <c r="I2" s="381"/>
    </row>
    <row r="3" spans="2:11" ht="18" x14ac:dyDescent="0.55000000000000004">
      <c r="B3" s="9"/>
      <c r="C3" s="377" t="s">
        <v>72</v>
      </c>
      <c r="D3" s="377"/>
      <c r="E3" s="377"/>
      <c r="F3" s="377"/>
      <c r="G3" s="377"/>
      <c r="H3" s="377"/>
      <c r="I3" s="378"/>
    </row>
    <row r="4" spans="2:11" ht="15.75" x14ac:dyDescent="0.45">
      <c r="B4" s="9"/>
      <c r="C4" s="372" t="str">
        <f>SAO!A2</f>
        <v>UNION COUNTY WATER DISTRICT</v>
      </c>
      <c r="D4" s="372"/>
      <c r="E4" s="372"/>
      <c r="F4" s="372"/>
      <c r="G4" s="372"/>
      <c r="H4" s="372"/>
      <c r="I4" s="379"/>
    </row>
    <row r="5" spans="2:11" x14ac:dyDescent="0.45">
      <c r="B5" s="11"/>
      <c r="C5" s="3"/>
      <c r="D5" s="3"/>
      <c r="E5" s="113"/>
      <c r="F5" s="113"/>
      <c r="G5" s="113"/>
      <c r="H5" s="3"/>
      <c r="I5" s="12"/>
    </row>
    <row r="6" spans="2:11" ht="6" customHeight="1" x14ac:dyDescent="0.45">
      <c r="B6" s="9"/>
      <c r="C6" s="4"/>
      <c r="D6" s="10"/>
      <c r="E6" s="114"/>
      <c r="F6" s="119"/>
      <c r="G6" s="119"/>
      <c r="H6" s="30"/>
      <c r="I6" s="31"/>
      <c r="J6" s="29"/>
      <c r="K6" s="29"/>
    </row>
    <row r="7" spans="2:11" ht="16.5" x14ac:dyDescent="0.75">
      <c r="B7" s="9"/>
      <c r="C7" s="14" t="s">
        <v>13</v>
      </c>
      <c r="D7" s="28" t="s">
        <v>67</v>
      </c>
      <c r="E7" s="115" t="s">
        <v>23</v>
      </c>
      <c r="F7" s="120" t="s">
        <v>11</v>
      </c>
      <c r="G7" s="120"/>
      <c r="H7" s="14"/>
      <c r="I7" s="28"/>
    </row>
    <row r="8" spans="2:11" ht="16.5" x14ac:dyDescent="0.75">
      <c r="B8" s="9"/>
      <c r="C8" s="14" t="s">
        <v>86</v>
      </c>
      <c r="D8" s="28" t="s">
        <v>71</v>
      </c>
      <c r="E8" s="115" t="s">
        <v>69</v>
      </c>
      <c r="F8" s="120" t="s">
        <v>69</v>
      </c>
      <c r="G8" s="120" t="s">
        <v>24</v>
      </c>
      <c r="H8" s="14" t="s">
        <v>70</v>
      </c>
      <c r="I8" s="28"/>
    </row>
    <row r="9" spans="2:11" x14ac:dyDescent="0.45">
      <c r="B9" s="9"/>
      <c r="C9" s="15">
        <v>0</v>
      </c>
      <c r="D9" s="32" t="s">
        <v>218</v>
      </c>
      <c r="E9" s="116">
        <f>Rates!F9</f>
        <v>13.79</v>
      </c>
      <c r="F9" s="116">
        <f>Rates!H9</f>
        <v>15.09</v>
      </c>
      <c r="G9" s="122">
        <f>F9-E9</f>
        <v>1.3000000000000007</v>
      </c>
      <c r="H9" s="69">
        <f>G9/E9</f>
        <v>9.4271211022480109E-2</v>
      </c>
      <c r="I9" s="34"/>
    </row>
    <row r="10" spans="2:11" x14ac:dyDescent="0.45">
      <c r="B10" s="9"/>
      <c r="C10" s="4">
        <v>2000</v>
      </c>
      <c r="D10" s="32" t="s">
        <v>218</v>
      </c>
      <c r="E10" s="116">
        <f>Rates!F9</f>
        <v>13.79</v>
      </c>
      <c r="F10" s="116">
        <f>Rates!H9</f>
        <v>15.09</v>
      </c>
      <c r="G10" s="121">
        <f t="shared" ref="G10:G17" si="0">F10-E10</f>
        <v>1.3000000000000007</v>
      </c>
      <c r="H10" s="69">
        <f t="shared" ref="H10:H17" si="1">G10/E10</f>
        <v>9.4271211022480109E-2</v>
      </c>
      <c r="I10" s="34"/>
    </row>
    <row r="11" spans="2:11" x14ac:dyDescent="0.45">
      <c r="B11" s="9"/>
      <c r="C11" s="35">
        <v>4000</v>
      </c>
      <c r="D11" s="36" t="s">
        <v>218</v>
      </c>
      <c r="E11" s="234">
        <f>Rates!F9+2000*Rates!F10</f>
        <v>27.57</v>
      </c>
      <c r="F11" s="234">
        <f>Rates!H9+2000*Rates!H10</f>
        <v>30.17</v>
      </c>
      <c r="G11" s="235">
        <f t="shared" ref="G11:G16" si="2">F11-E11</f>
        <v>2.6000000000000014</v>
      </c>
      <c r="H11" s="236">
        <f t="shared" ref="H11:H16" si="3">G11/E11</f>
        <v>9.4305404425099798E-2</v>
      </c>
      <c r="I11" s="37"/>
    </row>
    <row r="12" spans="2:11" x14ac:dyDescent="0.45">
      <c r="B12" s="9"/>
      <c r="C12" s="4">
        <v>6000</v>
      </c>
      <c r="D12" s="32" t="s">
        <v>219</v>
      </c>
      <c r="E12" s="116">
        <f>Rates!F20+1000*Rates!F21</f>
        <v>40.940000000000005</v>
      </c>
      <c r="F12" s="116">
        <f>Rates!H20+1000*Rates!H21</f>
        <v>44.79</v>
      </c>
      <c r="G12" s="121">
        <f t="shared" si="2"/>
        <v>3.8499999999999943</v>
      </c>
      <c r="H12" s="69">
        <f t="shared" si="3"/>
        <v>9.4040058622374051E-2</v>
      </c>
      <c r="I12" s="34"/>
    </row>
    <row r="13" spans="2:11" x14ac:dyDescent="0.45">
      <c r="B13" s="9"/>
      <c r="C13" s="4">
        <v>8000</v>
      </c>
      <c r="D13" s="32" t="s">
        <v>219</v>
      </c>
      <c r="E13" s="116">
        <f>Rates!F20+3000*Rates!F21</f>
        <v>53.92</v>
      </c>
      <c r="F13" s="116">
        <f>Rates!H20+3000*Rates!H21</f>
        <v>58.989999999999995</v>
      </c>
      <c r="G13" s="121">
        <f t="shared" si="2"/>
        <v>5.0699999999999932</v>
      </c>
      <c r="H13" s="69">
        <f t="shared" si="3"/>
        <v>9.4028189910979096E-2</v>
      </c>
      <c r="I13" s="34"/>
    </row>
    <row r="14" spans="2:11" x14ac:dyDescent="0.45">
      <c r="B14" s="9"/>
      <c r="C14" s="4">
        <v>10000</v>
      </c>
      <c r="D14" s="32" t="s">
        <v>219</v>
      </c>
      <c r="E14" s="116">
        <f>Rates!F20+5000*Rates!F21</f>
        <v>66.900000000000006</v>
      </c>
      <c r="F14" s="116">
        <f>Rates!H20+5000*Rates!H21</f>
        <v>73.19</v>
      </c>
      <c r="G14" s="121">
        <f t="shared" si="2"/>
        <v>6.289999999999992</v>
      </c>
      <c r="H14" s="69">
        <f t="shared" si="3"/>
        <v>9.4020926756352638E-2</v>
      </c>
      <c r="I14" s="34"/>
    </row>
    <row r="15" spans="2:11" x14ac:dyDescent="0.45">
      <c r="B15" s="9"/>
      <c r="C15" s="4">
        <v>15000</v>
      </c>
      <c r="D15" s="32" t="s">
        <v>25</v>
      </c>
      <c r="E15" s="116">
        <f>Rates!F30+5000*Rates!F31</f>
        <v>97.600000000000009</v>
      </c>
      <c r="F15" s="116">
        <f>Rates!H30+5000*Rates!H31</f>
        <v>106.80000000000001</v>
      </c>
      <c r="G15" s="121">
        <f t="shared" si="2"/>
        <v>9.2000000000000028</v>
      </c>
      <c r="H15" s="69">
        <f t="shared" si="3"/>
        <v>9.4262295081967235E-2</v>
      </c>
      <c r="I15" s="34"/>
    </row>
    <row r="16" spans="2:11" x14ac:dyDescent="0.45">
      <c r="B16" s="9"/>
      <c r="C16" s="4">
        <v>20000</v>
      </c>
      <c r="D16" s="32" t="s">
        <v>25</v>
      </c>
      <c r="E16" s="116">
        <f>Rates!F30+10000*Rates!F31</f>
        <v>128.30000000000001</v>
      </c>
      <c r="F16" s="116">
        <f>Rates!H30+10000*Rates!H31</f>
        <v>140.4</v>
      </c>
      <c r="G16" s="121">
        <f t="shared" si="2"/>
        <v>12.099999999999994</v>
      </c>
      <c r="H16" s="69">
        <f t="shared" si="3"/>
        <v>9.4310210444271181E-2</v>
      </c>
      <c r="I16" s="34"/>
    </row>
    <row r="17" spans="2:15" x14ac:dyDescent="0.45">
      <c r="B17" s="9"/>
      <c r="C17" s="4">
        <v>25000</v>
      </c>
      <c r="D17" s="33" t="s">
        <v>25</v>
      </c>
      <c r="E17" s="116">
        <f>Rates!F30+15000*Rates!F31</f>
        <v>159</v>
      </c>
      <c r="F17" s="116">
        <f>Rates!H30+15000*Rates!H31</f>
        <v>174</v>
      </c>
      <c r="G17" s="121">
        <f t="shared" si="0"/>
        <v>15</v>
      </c>
      <c r="H17" s="69">
        <f t="shared" si="1"/>
        <v>9.4339622641509441E-2</v>
      </c>
      <c r="I17" s="34"/>
    </row>
    <row r="18" spans="2:15" x14ac:dyDescent="0.45">
      <c r="B18" s="9"/>
      <c r="C18" s="4">
        <v>30000</v>
      </c>
      <c r="D18" s="33" t="s">
        <v>26</v>
      </c>
      <c r="E18" s="116">
        <f>Rates!F47</f>
        <v>305</v>
      </c>
      <c r="F18" s="116">
        <f>Rates!H47</f>
        <v>333.7</v>
      </c>
      <c r="G18" s="121">
        <f t="shared" ref="G18:G21" si="4">F18-E18</f>
        <v>28.699999999999989</v>
      </c>
      <c r="H18" s="69">
        <f t="shared" ref="H18:H21" si="5">G18/E18</f>
        <v>9.4098360655737665E-2</v>
      </c>
      <c r="I18" s="34"/>
      <c r="O18" s="4"/>
    </row>
    <row r="19" spans="2:15" x14ac:dyDescent="0.45">
      <c r="B19" s="9"/>
      <c r="C19" s="4">
        <v>40000</v>
      </c>
      <c r="D19" s="33" t="s">
        <v>26</v>
      </c>
      <c r="E19" s="116">
        <f>Rates!F47</f>
        <v>305</v>
      </c>
      <c r="F19" s="116">
        <f>Rates!H47</f>
        <v>333.7</v>
      </c>
      <c r="G19" s="121">
        <f t="shared" si="4"/>
        <v>28.699999999999989</v>
      </c>
      <c r="H19" s="69">
        <f t="shared" si="5"/>
        <v>9.4098360655737665E-2</v>
      </c>
      <c r="I19" s="34"/>
    </row>
    <row r="20" spans="2:15" x14ac:dyDescent="0.45">
      <c r="B20" s="9"/>
      <c r="C20" s="4">
        <v>50000</v>
      </c>
      <c r="D20" s="33" t="s">
        <v>26</v>
      </c>
      <c r="E20" s="116">
        <f>Rates!F47</f>
        <v>305</v>
      </c>
      <c r="F20" s="116">
        <f>Rates!H47</f>
        <v>333.7</v>
      </c>
      <c r="G20" s="121">
        <f t="shared" si="4"/>
        <v>28.699999999999989</v>
      </c>
      <c r="H20" s="69">
        <f>G20/E20</f>
        <v>9.4098360655737665E-2</v>
      </c>
      <c r="I20" s="34"/>
    </row>
    <row r="21" spans="2:15" x14ac:dyDescent="0.45">
      <c r="B21" s="9"/>
      <c r="C21" s="4">
        <v>75000</v>
      </c>
      <c r="D21" s="33" t="s">
        <v>220</v>
      </c>
      <c r="E21" s="116">
        <f>Rates!F61</f>
        <v>576.99</v>
      </c>
      <c r="F21" s="116">
        <f>Rates!H61</f>
        <v>631.28</v>
      </c>
      <c r="G21" s="121">
        <f t="shared" si="4"/>
        <v>54.289999999999964</v>
      </c>
      <c r="H21" s="69">
        <f t="shared" si="5"/>
        <v>9.4091752023431882E-2</v>
      </c>
      <c r="I21" s="34"/>
    </row>
    <row r="22" spans="2:15" x14ac:dyDescent="0.45">
      <c r="B22" s="9"/>
      <c r="C22" s="4">
        <v>100000</v>
      </c>
      <c r="D22" s="33" t="s">
        <v>220</v>
      </c>
      <c r="E22" s="116">
        <f>Rates!F61</f>
        <v>576.99</v>
      </c>
      <c r="F22" s="116">
        <f>Rates!H61</f>
        <v>631.28</v>
      </c>
      <c r="G22" s="121">
        <f t="shared" ref="G22:G24" si="6">F22-E22</f>
        <v>54.289999999999964</v>
      </c>
      <c r="H22" s="69">
        <f t="shared" ref="H22:H24" si="7">G22/E22</f>
        <v>9.4091752023431882E-2</v>
      </c>
      <c r="I22" s="34"/>
    </row>
    <row r="23" spans="2:15" x14ac:dyDescent="0.45">
      <c r="B23" s="9"/>
      <c r="C23" s="4">
        <v>200000</v>
      </c>
      <c r="D23" s="33" t="s">
        <v>221</v>
      </c>
      <c r="E23" s="116">
        <f>Rates!F67</f>
        <v>1080.98</v>
      </c>
      <c r="F23" s="116">
        <f>Rates!H67</f>
        <v>1182.7</v>
      </c>
      <c r="G23" s="121">
        <f t="shared" si="6"/>
        <v>101.72000000000003</v>
      </c>
      <c r="H23" s="69">
        <f t="shared" si="7"/>
        <v>9.4099798331143986E-2</v>
      </c>
      <c r="I23" s="34"/>
    </row>
    <row r="24" spans="2:15" x14ac:dyDescent="0.45">
      <c r="B24" s="9"/>
      <c r="C24" s="4">
        <v>500000</v>
      </c>
      <c r="D24" s="33" t="s">
        <v>221</v>
      </c>
      <c r="E24" s="116">
        <f>Rates!F67+100000*Rates!F68+200000*Rates!F69</f>
        <v>2392.98</v>
      </c>
      <c r="F24" s="116">
        <f>Rates!H67+100000*Rates!H68+200000*Rates!H69</f>
        <v>2618.6999999999998</v>
      </c>
      <c r="G24" s="121">
        <f t="shared" si="6"/>
        <v>225.7199999999998</v>
      </c>
      <c r="H24" s="69">
        <f t="shared" si="7"/>
        <v>9.432590326705606E-2</v>
      </c>
      <c r="I24" s="34"/>
    </row>
    <row r="25" spans="2:15" ht="6" customHeight="1" x14ac:dyDescent="0.45">
      <c r="B25" s="11"/>
      <c r="C25" s="3"/>
      <c r="D25" s="2"/>
      <c r="E25" s="117"/>
      <c r="F25" s="113"/>
      <c r="G25" s="113"/>
      <c r="H25" s="3"/>
      <c r="I25" s="12"/>
    </row>
    <row r="27" spans="2:15" x14ac:dyDescent="0.45">
      <c r="D27" s="45" t="s">
        <v>87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B43C-08DA-4F35-AF2D-4D6BA18A1447}">
  <sheetPr>
    <pageSetUpPr fitToPage="1"/>
  </sheetPr>
  <dimension ref="A1:R496"/>
  <sheetViews>
    <sheetView showGridLines="0" topLeftCell="A191" zoomScaleNormal="100" workbookViewId="0">
      <selection activeCell="D206" sqref="D206"/>
    </sheetView>
  </sheetViews>
  <sheetFormatPr defaultRowHeight="15" x14ac:dyDescent="0.4"/>
  <cols>
    <col min="1" max="1" width="7.77734375" customWidth="1"/>
    <col min="2" max="2" width="8" style="104" customWidth="1"/>
    <col min="3" max="4" width="10.5546875" customWidth="1"/>
    <col min="5" max="6" width="12.609375" customWidth="1"/>
    <col min="7" max="7" width="12.609375" style="111" customWidth="1"/>
    <col min="8" max="8" width="12.609375" customWidth="1"/>
    <col min="9" max="9" width="12.609375" style="232" customWidth="1"/>
    <col min="10" max="10" width="12.609375" style="231" customWidth="1"/>
    <col min="11" max="13" width="12.609375" customWidth="1"/>
    <col min="14" max="14" width="11.21875"/>
    <col min="15" max="16" width="8.77734375" customWidth="1"/>
  </cols>
  <sheetData>
    <row r="1" spans="1:18" ht="21" x14ac:dyDescent="0.65">
      <c r="A1" s="385" t="s">
        <v>304</v>
      </c>
      <c r="B1" s="385"/>
      <c r="C1" s="385"/>
      <c r="D1" s="385"/>
      <c r="E1" s="385"/>
      <c r="F1" s="385"/>
      <c r="G1" s="385"/>
      <c r="H1" s="385"/>
      <c r="I1" s="15"/>
      <c r="J1" s="230"/>
      <c r="K1" s="1"/>
      <c r="L1" s="1"/>
      <c r="M1" s="1"/>
      <c r="N1" s="1"/>
      <c r="O1" s="1"/>
      <c r="P1" s="1"/>
      <c r="Q1" s="1"/>
      <c r="R1" s="1"/>
    </row>
    <row r="2" spans="1:18" ht="18" x14ac:dyDescent="0.45">
      <c r="A2" s="386" t="str">
        <f>SAO!A2</f>
        <v>UNION COUNTY WATER DISTRICT</v>
      </c>
      <c r="B2" s="386"/>
      <c r="C2" s="386"/>
      <c r="D2" s="386"/>
      <c r="E2" s="386"/>
      <c r="F2" s="386"/>
      <c r="G2" s="386"/>
      <c r="H2" s="386"/>
      <c r="I2" s="15"/>
      <c r="J2" s="230"/>
      <c r="K2" s="1"/>
      <c r="L2" s="1"/>
      <c r="M2" s="1"/>
      <c r="N2" s="1"/>
      <c r="O2" s="1"/>
      <c r="P2" s="1"/>
      <c r="Q2" s="1"/>
      <c r="R2" s="1"/>
    </row>
    <row r="3" spans="1:18" ht="18" x14ac:dyDescent="0.45">
      <c r="A3" s="29"/>
      <c r="B3" s="101"/>
      <c r="C3" s="29"/>
      <c r="D3" s="29"/>
      <c r="E3" s="29"/>
      <c r="F3" s="29"/>
      <c r="G3" s="106"/>
      <c r="H3" s="29"/>
      <c r="I3" s="15"/>
      <c r="J3" s="230"/>
      <c r="K3" s="1"/>
      <c r="L3" s="1"/>
      <c r="M3" s="1"/>
      <c r="N3" s="1"/>
      <c r="O3" s="1"/>
      <c r="P3" s="1"/>
      <c r="Q3" s="1"/>
      <c r="R3" s="1"/>
    </row>
    <row r="4" spans="1:18" ht="15.4" x14ac:dyDescent="0.45">
      <c r="A4" s="94"/>
      <c r="B4" s="102"/>
      <c r="C4" s="95"/>
      <c r="D4" s="95"/>
      <c r="E4" s="95"/>
      <c r="F4" s="95"/>
      <c r="G4" s="107"/>
      <c r="H4" s="95"/>
      <c r="I4" s="15"/>
      <c r="J4" s="230"/>
      <c r="K4" s="1"/>
      <c r="L4" s="1"/>
      <c r="M4" s="1"/>
      <c r="N4" s="1"/>
      <c r="O4" s="1"/>
      <c r="P4" s="1"/>
      <c r="Q4" s="1"/>
      <c r="R4" s="1"/>
    </row>
    <row r="5" spans="1:18" ht="15.75" x14ac:dyDescent="0.45">
      <c r="A5" s="1"/>
      <c r="B5" s="387" t="s">
        <v>49</v>
      </c>
      <c r="C5" s="387"/>
      <c r="D5" s="387"/>
      <c r="E5" s="387"/>
      <c r="F5" s="387"/>
      <c r="G5" s="387"/>
      <c r="H5" s="1"/>
      <c r="I5" s="15"/>
      <c r="J5" s="230"/>
      <c r="K5" s="1"/>
      <c r="L5" s="1"/>
      <c r="M5" s="1"/>
      <c r="N5" s="1"/>
      <c r="O5" s="1"/>
      <c r="P5" s="1"/>
      <c r="Q5" s="1"/>
      <c r="R5" s="1"/>
    </row>
    <row r="6" spans="1:18" s="1" customFormat="1" ht="14.25" x14ac:dyDescent="0.45">
      <c r="B6" s="4" t="s">
        <v>120</v>
      </c>
      <c r="C6" s="99"/>
      <c r="D6" s="329" t="s">
        <v>51</v>
      </c>
      <c r="E6" s="329" t="s">
        <v>52</v>
      </c>
      <c r="F6" s="89"/>
      <c r="G6" s="108" t="s">
        <v>55</v>
      </c>
      <c r="I6" s="15"/>
      <c r="J6" s="230"/>
    </row>
    <row r="7" spans="1:18" s="1" customFormat="1" ht="14.25" x14ac:dyDescent="0.45">
      <c r="B7" s="4" t="s">
        <v>256</v>
      </c>
      <c r="D7" s="131">
        <f>C39+C65+C89+C111+C131+C150+C168+C184+C198</f>
        <v>26420</v>
      </c>
      <c r="E7" s="131">
        <f>D48+D73+D96+D117+D136+D155+D172+D187+D200</f>
        <v>253844808</v>
      </c>
      <c r="F7" s="91"/>
      <c r="G7" s="21">
        <f>G48+G73+G96+G117+G136+G155+G172+G187+G200</f>
        <v>1495012.28</v>
      </c>
      <c r="I7" s="15"/>
      <c r="J7" s="230"/>
      <c r="K7" s="4"/>
    </row>
    <row r="8" spans="1:18" s="1" customFormat="1" ht="16.5" x14ac:dyDescent="0.75">
      <c r="B8" s="4" t="s">
        <v>125</v>
      </c>
      <c r="C8" s="96"/>
      <c r="D8" s="105"/>
      <c r="E8" s="40"/>
      <c r="F8" s="40"/>
      <c r="G8" s="332">
        <f>-29243.5-660</f>
        <v>-29903.5</v>
      </c>
      <c r="I8" s="15"/>
      <c r="J8" s="230"/>
      <c r="K8" s="93"/>
      <c r="L8" s="97"/>
    </row>
    <row r="9" spans="1:18" s="1" customFormat="1" ht="16.5" x14ac:dyDescent="0.75">
      <c r="B9" s="4" t="s">
        <v>126</v>
      </c>
      <c r="C9" s="96"/>
      <c r="D9" s="38"/>
      <c r="E9" s="91"/>
      <c r="F9" s="91"/>
      <c r="G9" s="21">
        <f>G7+G8</f>
        <v>1465108.78</v>
      </c>
      <c r="I9" s="15"/>
      <c r="J9" s="230"/>
      <c r="K9" s="93"/>
      <c r="L9" s="97"/>
    </row>
    <row r="10" spans="1:18" s="1" customFormat="1" ht="16.5" x14ac:dyDescent="0.75">
      <c r="B10" s="4" t="s">
        <v>127</v>
      </c>
      <c r="C10" s="96"/>
      <c r="D10" s="38"/>
      <c r="E10" s="93"/>
      <c r="F10" s="93"/>
      <c r="G10" s="332">
        <f>SAO!D6</f>
        <v>1352079</v>
      </c>
      <c r="I10" s="15"/>
      <c r="J10" s="230"/>
      <c r="K10" s="93"/>
      <c r="L10" s="97"/>
    </row>
    <row r="11" spans="1:18" s="1" customFormat="1" ht="16.5" x14ac:dyDescent="0.75">
      <c r="B11" s="4" t="s">
        <v>68</v>
      </c>
      <c r="C11" s="96"/>
      <c r="D11" s="38"/>
      <c r="E11" s="91"/>
      <c r="F11" s="91"/>
      <c r="G11" s="21">
        <f>G9-G10</f>
        <v>113029.78000000003</v>
      </c>
      <c r="H11" s="1" t="s">
        <v>197</v>
      </c>
      <c r="I11" s="15"/>
      <c r="J11" s="238"/>
      <c r="K11" s="93"/>
      <c r="L11" s="97"/>
    </row>
    <row r="12" spans="1:18" s="1" customFormat="1" ht="16.5" x14ac:dyDescent="0.75">
      <c r="B12" s="4"/>
      <c r="C12" s="96"/>
      <c r="D12" s="38"/>
      <c r="E12" s="91"/>
      <c r="F12" s="91"/>
      <c r="G12" s="69">
        <f>G11/G10</f>
        <v>8.3597023546701066E-2</v>
      </c>
      <c r="I12" s="15"/>
      <c r="J12" s="238"/>
      <c r="K12" s="93"/>
      <c r="L12" s="97"/>
    </row>
    <row r="13" spans="1:18" s="1" customFormat="1" ht="16.5" x14ac:dyDescent="0.75">
      <c r="B13" s="4"/>
      <c r="C13" s="96"/>
      <c r="D13" s="329" t="s">
        <v>51</v>
      </c>
      <c r="E13" s="329" t="s">
        <v>52</v>
      </c>
      <c r="F13" s="91"/>
      <c r="G13" s="69"/>
      <c r="I13" s="15"/>
      <c r="J13" s="238"/>
      <c r="K13" s="93"/>
      <c r="L13" s="97"/>
    </row>
    <row r="14" spans="1:18" s="1" customFormat="1" ht="16.5" x14ac:dyDescent="0.75">
      <c r="B14" s="4" t="s">
        <v>257</v>
      </c>
      <c r="D14" s="131">
        <f>C208</f>
        <v>12</v>
      </c>
      <c r="E14" s="131">
        <f>D208</f>
        <v>32825924</v>
      </c>
      <c r="F14" s="91"/>
      <c r="G14" s="21">
        <f>G215</f>
        <v>133364</v>
      </c>
      <c r="I14" s="15"/>
      <c r="J14" s="238"/>
      <c r="K14" s="93"/>
      <c r="L14" s="97"/>
    </row>
    <row r="15" spans="1:18" s="1" customFormat="1" ht="16.5" x14ac:dyDescent="0.75">
      <c r="B15" s="4" t="s">
        <v>127</v>
      </c>
      <c r="C15" s="96"/>
      <c r="D15" s="38"/>
      <c r="E15" s="93"/>
      <c r="F15" s="93"/>
      <c r="G15" s="332">
        <f>SAO!D8</f>
        <v>136220</v>
      </c>
      <c r="I15" s="15"/>
      <c r="J15" s="238"/>
      <c r="K15" s="93"/>
      <c r="L15" s="97"/>
    </row>
    <row r="16" spans="1:18" s="1" customFormat="1" ht="16.5" x14ac:dyDescent="0.75">
      <c r="B16" s="4" t="s">
        <v>68</v>
      </c>
      <c r="C16" s="96"/>
      <c r="D16" s="38"/>
      <c r="E16" s="91"/>
      <c r="F16" s="91"/>
      <c r="G16" s="21">
        <f>G14-G15</f>
        <v>-2856</v>
      </c>
      <c r="H16" s="1" t="s">
        <v>197</v>
      </c>
      <c r="I16" s="15"/>
      <c r="J16" s="238"/>
      <c r="K16" s="93"/>
      <c r="L16" s="97"/>
    </row>
    <row r="17" spans="1:14" s="1" customFormat="1" ht="16.5" x14ac:dyDescent="0.75">
      <c r="B17" s="4"/>
      <c r="C17" s="96"/>
      <c r="D17" s="4"/>
      <c r="E17" s="91"/>
      <c r="F17" s="91"/>
      <c r="G17" s="69">
        <f>G16/G15</f>
        <v>-2.0966084275436794E-2</v>
      </c>
      <c r="I17" s="15"/>
      <c r="J17" s="238"/>
      <c r="K17" s="93"/>
      <c r="L17" s="97"/>
    </row>
    <row r="18" spans="1:14" s="1" customFormat="1" ht="16.5" x14ac:dyDescent="0.75">
      <c r="B18" s="4"/>
      <c r="C18" s="96"/>
      <c r="D18" s="4"/>
      <c r="E18" s="91"/>
      <c r="F18" s="91"/>
      <c r="G18" s="69"/>
      <c r="I18" s="15"/>
      <c r="J18" s="238"/>
      <c r="K18" s="93"/>
      <c r="L18" s="97"/>
    </row>
    <row r="19" spans="1:14" s="1" customFormat="1" ht="16.5" x14ac:dyDescent="0.75">
      <c r="B19" s="4" t="s">
        <v>53</v>
      </c>
      <c r="C19" s="96"/>
      <c r="D19" s="4">
        <f>D7+D14</f>
        <v>26432</v>
      </c>
      <c r="E19" s="4">
        <f>E7+E14</f>
        <v>286670732</v>
      </c>
      <c r="F19" s="91"/>
      <c r="G19" s="333">
        <f>G11+G16</f>
        <v>110173.78000000003</v>
      </c>
      <c r="I19" s="15"/>
      <c r="J19" s="238"/>
      <c r="K19" s="93"/>
      <c r="L19" s="97"/>
    </row>
    <row r="20" spans="1:14" s="1" customFormat="1" ht="16.5" x14ac:dyDescent="0.75">
      <c r="B20" s="4"/>
      <c r="C20" s="96"/>
      <c r="D20" s="38"/>
      <c r="E20" s="91"/>
      <c r="F20" s="91"/>
      <c r="G20" s="69">
        <f>G19/(G10+G15)</f>
        <v>7.4026643839712331E-2</v>
      </c>
      <c r="I20" s="15"/>
      <c r="J20" s="238"/>
      <c r="K20" s="93"/>
      <c r="L20" s="97"/>
    </row>
    <row r="21" spans="1:14" s="1" customFormat="1" ht="16.899999999999999" thickBot="1" x14ac:dyDescent="0.8">
      <c r="B21" s="4"/>
      <c r="C21" s="96"/>
      <c r="D21" s="38"/>
      <c r="E21" s="91"/>
      <c r="F21" s="91"/>
      <c r="G21" s="44"/>
      <c r="I21" s="15"/>
      <c r="J21" s="238"/>
      <c r="K21" s="93"/>
      <c r="L21" s="97"/>
    </row>
    <row r="22" spans="1:14" s="1" customFormat="1" ht="16.5" x14ac:dyDescent="0.75">
      <c r="A22" s="279" t="s">
        <v>242</v>
      </c>
      <c r="B22" s="280"/>
      <c r="C22" s="281"/>
      <c r="D22" s="383" t="s">
        <v>222</v>
      </c>
      <c r="E22" s="383"/>
      <c r="F22" s="282"/>
      <c r="G22" s="299"/>
      <c r="H22" s="302"/>
      <c r="I22" s="306"/>
      <c r="J22" s="311"/>
      <c r="K22" s="314"/>
      <c r="L22" s="317"/>
      <c r="M22" s="302"/>
      <c r="N22" s="300"/>
    </row>
    <row r="23" spans="1:14" s="1" customFormat="1" ht="14.25" x14ac:dyDescent="0.45">
      <c r="A23" s="284"/>
      <c r="B23" s="4"/>
      <c r="C23" s="96"/>
      <c r="D23" s="272"/>
      <c r="E23" s="98" t="s">
        <v>211</v>
      </c>
      <c r="F23" s="98" t="s">
        <v>212</v>
      </c>
      <c r="G23" s="98" t="s">
        <v>212</v>
      </c>
      <c r="H23" s="98" t="s">
        <v>212</v>
      </c>
      <c r="I23" s="98" t="s">
        <v>212</v>
      </c>
      <c r="J23" s="98" t="s">
        <v>212</v>
      </c>
      <c r="K23" s="98" t="s">
        <v>212</v>
      </c>
      <c r="L23" s="98" t="s">
        <v>212</v>
      </c>
      <c r="M23" s="244" t="s">
        <v>213</v>
      </c>
      <c r="N23" s="285"/>
    </row>
    <row r="24" spans="1:14" s="1" customFormat="1" ht="14.25" x14ac:dyDescent="0.45">
      <c r="A24" s="256"/>
      <c r="B24" s="103" t="s">
        <v>50</v>
      </c>
      <c r="C24" s="89" t="s">
        <v>51</v>
      </c>
      <c r="D24" s="89" t="s">
        <v>52</v>
      </c>
      <c r="E24" s="273">
        <f>B25</f>
        <v>2000</v>
      </c>
      <c r="F24" s="273">
        <f>B26</f>
        <v>3000</v>
      </c>
      <c r="G24" s="273">
        <f>B27</f>
        <v>5000</v>
      </c>
      <c r="H24" s="273">
        <f>B28</f>
        <v>15000</v>
      </c>
      <c r="I24" s="273">
        <f>B29</f>
        <v>25000</v>
      </c>
      <c r="J24" s="273">
        <f>B30</f>
        <v>50000</v>
      </c>
      <c r="K24" s="273">
        <f>B31</f>
        <v>100000</v>
      </c>
      <c r="L24" s="273">
        <f>B32</f>
        <v>100000</v>
      </c>
      <c r="M24" s="274">
        <f>B33</f>
        <v>300000</v>
      </c>
      <c r="N24" s="286" t="s">
        <v>12</v>
      </c>
    </row>
    <row r="25" spans="1:14" s="1" customFormat="1" ht="14.35" customHeight="1" x14ac:dyDescent="0.45">
      <c r="A25" s="287" t="s">
        <v>211</v>
      </c>
      <c r="B25" s="4">
        <f>Rates!D9</f>
        <v>2000</v>
      </c>
      <c r="C25" s="20">
        <f>'[1]01 58"'!$K$7958</f>
        <v>7956</v>
      </c>
      <c r="D25" s="4">
        <f>'[1]01 58"'!$G$7958</f>
        <v>8981000</v>
      </c>
      <c r="E25" s="274">
        <f>D25</f>
        <v>8981000</v>
      </c>
      <c r="F25" s="274"/>
      <c r="G25" s="274"/>
      <c r="H25" s="274"/>
      <c r="I25" s="274"/>
      <c r="J25" s="274"/>
      <c r="K25" s="274"/>
      <c r="L25" s="274"/>
      <c r="M25" s="274"/>
      <c r="N25" s="288">
        <f>SUM(E25:M25)</f>
        <v>8981000</v>
      </c>
    </row>
    <row r="26" spans="1:14" s="1" customFormat="1" ht="14.35" customHeight="1" x14ac:dyDescent="0.45">
      <c r="A26" s="287" t="s">
        <v>212</v>
      </c>
      <c r="B26" s="4">
        <f>Rates!D10</f>
        <v>3000</v>
      </c>
      <c r="C26" s="20">
        <f>'[1]01 58"'!$K$19006</f>
        <v>11047</v>
      </c>
      <c r="D26" s="4">
        <f>'[1]01 58"'!$G$19006</f>
        <v>36545950</v>
      </c>
      <c r="E26" s="274">
        <f>C26*E24</f>
        <v>22094000</v>
      </c>
      <c r="F26" s="274">
        <f>D26-E26</f>
        <v>14451950</v>
      </c>
      <c r="G26" s="274"/>
      <c r="H26" s="274"/>
      <c r="I26" s="274"/>
      <c r="J26" s="274"/>
      <c r="K26" s="274"/>
      <c r="L26" s="274"/>
      <c r="M26" s="274"/>
      <c r="N26" s="288">
        <f t="shared" ref="N26:N33" si="0">SUM(E26:M26)</f>
        <v>36545950</v>
      </c>
    </row>
    <row r="27" spans="1:14" s="1" customFormat="1" ht="14.35" customHeight="1" x14ac:dyDescent="0.45">
      <c r="A27" s="287" t="s">
        <v>212</v>
      </c>
      <c r="B27" s="4">
        <f>Rates!D11</f>
        <v>5000</v>
      </c>
      <c r="C27" s="20">
        <f>'[1]01 58"'!$K$23908</f>
        <v>4901</v>
      </c>
      <c r="D27" s="4">
        <f>'[1]01 58"'!$G$23908</f>
        <v>33154110</v>
      </c>
      <c r="E27" s="274">
        <f>C27*E24</f>
        <v>9802000</v>
      </c>
      <c r="F27" s="274">
        <f>C27*F24</f>
        <v>14703000</v>
      </c>
      <c r="G27" s="274">
        <f>D27-E27-F27</f>
        <v>8649110</v>
      </c>
      <c r="H27" s="274"/>
      <c r="I27" s="274"/>
      <c r="J27" s="274"/>
      <c r="K27" s="274"/>
      <c r="L27" s="274"/>
      <c r="M27" s="274"/>
      <c r="N27" s="288">
        <f t="shared" si="0"/>
        <v>33154110</v>
      </c>
    </row>
    <row r="28" spans="1:14" s="1" customFormat="1" ht="14.35" customHeight="1" x14ac:dyDescent="0.45">
      <c r="A28" s="287" t="s">
        <v>212</v>
      </c>
      <c r="B28" s="4">
        <f>Rates!D12</f>
        <v>15000</v>
      </c>
      <c r="C28" s="20">
        <f>'[1]01 58"'!$K$25229</f>
        <v>1320</v>
      </c>
      <c r="D28" s="4">
        <f>'[1]01 58"'!$G$25229</f>
        <v>18843520</v>
      </c>
      <c r="E28" s="274">
        <f>C28*E24</f>
        <v>2640000</v>
      </c>
      <c r="F28" s="274">
        <f>C28*F24</f>
        <v>3960000</v>
      </c>
      <c r="G28" s="274">
        <f>C28*G24</f>
        <v>6600000</v>
      </c>
      <c r="H28" s="274">
        <f>D28-E28-F28-G28</f>
        <v>5643520</v>
      </c>
      <c r="I28" s="274"/>
      <c r="J28" s="274"/>
      <c r="K28" s="274"/>
      <c r="L28" s="274"/>
      <c r="M28" s="274"/>
      <c r="N28" s="288">
        <f t="shared" si="0"/>
        <v>18843520</v>
      </c>
    </row>
    <row r="29" spans="1:14" s="1" customFormat="1" ht="14.35" customHeight="1" x14ac:dyDescent="0.45">
      <c r="A29" s="287" t="s">
        <v>212</v>
      </c>
      <c r="B29" s="4">
        <f>Rates!D13</f>
        <v>25000</v>
      </c>
      <c r="C29" s="20">
        <f>'[1]01 58"'!$K$25439</f>
        <v>209</v>
      </c>
      <c r="D29" s="4">
        <f>'[1]01 58"'!$G$25439</f>
        <v>6778250</v>
      </c>
      <c r="E29" s="274">
        <f>C29*E24</f>
        <v>418000</v>
      </c>
      <c r="F29" s="274">
        <f>C29*F24</f>
        <v>627000</v>
      </c>
      <c r="G29" s="274">
        <f>C29*G24</f>
        <v>1045000</v>
      </c>
      <c r="H29" s="274">
        <f>C29*H24</f>
        <v>3135000</v>
      </c>
      <c r="I29" s="274">
        <f>D29-E29-F29-G29-H29</f>
        <v>1553250</v>
      </c>
      <c r="J29" s="274"/>
      <c r="K29" s="274"/>
      <c r="L29" s="274"/>
      <c r="M29" s="274"/>
      <c r="N29" s="288">
        <f t="shared" si="0"/>
        <v>6778250</v>
      </c>
    </row>
    <row r="30" spans="1:14" s="1" customFormat="1" ht="14.35" customHeight="1" x14ac:dyDescent="0.45">
      <c r="A30" s="287" t="s">
        <v>212</v>
      </c>
      <c r="B30" s="4">
        <f>Rates!D14</f>
        <v>50000</v>
      </c>
      <c r="C30" s="20">
        <f>'[1]01 58"'!$K$25490</f>
        <v>50</v>
      </c>
      <c r="D30" s="4">
        <f>'[1]01 58"'!$G$25490</f>
        <v>3477560</v>
      </c>
      <c r="E30" s="274">
        <f>C30*E24</f>
        <v>100000</v>
      </c>
      <c r="F30" s="274">
        <f>C30*F24</f>
        <v>150000</v>
      </c>
      <c r="G30" s="274">
        <f>C30*G24</f>
        <v>250000</v>
      </c>
      <c r="H30" s="274">
        <f>C30*H24</f>
        <v>750000</v>
      </c>
      <c r="I30" s="274">
        <f>C30*I24</f>
        <v>1250000</v>
      </c>
      <c r="J30" s="274">
        <f>D30-E30-F30-G30-H30-I30</f>
        <v>977560</v>
      </c>
      <c r="K30" s="274"/>
      <c r="L30" s="274"/>
      <c r="M30" s="274"/>
      <c r="N30" s="288">
        <f t="shared" si="0"/>
        <v>3477560</v>
      </c>
    </row>
    <row r="31" spans="1:14" s="1" customFormat="1" ht="14.35" customHeight="1" x14ac:dyDescent="0.45">
      <c r="A31" s="287" t="s">
        <v>212</v>
      </c>
      <c r="B31" s="4">
        <f>Rates!D15</f>
        <v>100000</v>
      </c>
      <c r="C31" s="20">
        <f>'[1]01 58"'!$K$25504</f>
        <v>13</v>
      </c>
      <c r="D31" s="4">
        <f>'[1]01 58"'!$G$25504</f>
        <v>1692450</v>
      </c>
      <c r="E31" s="274">
        <f>C31*E24</f>
        <v>26000</v>
      </c>
      <c r="F31" s="274">
        <f>C31*F24</f>
        <v>39000</v>
      </c>
      <c r="G31" s="274">
        <f>C31*G24</f>
        <v>65000</v>
      </c>
      <c r="H31" s="274">
        <f>C31*H24</f>
        <v>195000</v>
      </c>
      <c r="I31" s="274">
        <f>C31*I24</f>
        <v>325000</v>
      </c>
      <c r="J31" s="274">
        <f>C31*J24</f>
        <v>650000</v>
      </c>
      <c r="K31" s="274">
        <f>D31-E31-F31-G31-H31-I31-J31</f>
        <v>392450</v>
      </c>
      <c r="L31" s="274"/>
      <c r="M31" s="274"/>
      <c r="N31" s="288">
        <f t="shared" si="0"/>
        <v>1692450</v>
      </c>
    </row>
    <row r="32" spans="1:14" s="1" customFormat="1" ht="14.35" customHeight="1" x14ac:dyDescent="0.45">
      <c r="A32" s="287" t="s">
        <v>212</v>
      </c>
      <c r="B32" s="4">
        <f>Rates!D16</f>
        <v>100000</v>
      </c>
      <c r="C32" s="20">
        <f>'[1]01 58"'!$K$25506</f>
        <v>1</v>
      </c>
      <c r="D32" s="4">
        <f>'[1]01 58"'!$G$25506</f>
        <v>295610</v>
      </c>
      <c r="E32" s="4">
        <f>C32*E24</f>
        <v>2000</v>
      </c>
      <c r="F32" s="4">
        <f>C32*F24</f>
        <v>3000</v>
      </c>
      <c r="G32" s="4">
        <f>C32*G24</f>
        <v>5000</v>
      </c>
      <c r="H32" s="4">
        <f>C32*H24</f>
        <v>15000</v>
      </c>
      <c r="I32" s="4">
        <f>C32*I24</f>
        <v>25000</v>
      </c>
      <c r="J32" s="103">
        <f>C32*J24</f>
        <v>50000</v>
      </c>
      <c r="K32" s="4">
        <f>C32*K24</f>
        <v>100000</v>
      </c>
      <c r="L32" s="275">
        <f>D32-E32-F32-G32-H32-I32-J32-K32</f>
        <v>95610</v>
      </c>
      <c r="M32" s="4"/>
      <c r="N32" s="288">
        <f t="shared" si="0"/>
        <v>295610</v>
      </c>
    </row>
    <row r="33" spans="1:14" s="1" customFormat="1" ht="14.35" customHeight="1" x14ac:dyDescent="0.75">
      <c r="A33" s="293" t="s">
        <v>213</v>
      </c>
      <c r="B33" s="4">
        <f>Rates!D17</f>
        <v>300000</v>
      </c>
      <c r="C33" s="92">
        <f>'[1]01 58"'!$K$25508</f>
        <v>1</v>
      </c>
      <c r="D33" s="40">
        <f>'[1]01 58"'!$G$25508</f>
        <v>302980</v>
      </c>
      <c r="E33" s="40">
        <f>C33*E24</f>
        <v>2000</v>
      </c>
      <c r="F33" s="40">
        <f>C33*F24</f>
        <v>3000</v>
      </c>
      <c r="G33" s="40">
        <f>C33*G24</f>
        <v>5000</v>
      </c>
      <c r="H33" s="40">
        <f>C33*H24</f>
        <v>15000</v>
      </c>
      <c r="I33" s="40">
        <f>C33*I24</f>
        <v>25000</v>
      </c>
      <c r="J33" s="14">
        <f>C33*J24</f>
        <v>50000</v>
      </c>
      <c r="K33" s="40">
        <f>C33*K24</f>
        <v>100000</v>
      </c>
      <c r="L33" s="276">
        <f>C33*L24</f>
        <v>100000</v>
      </c>
      <c r="M33" s="40">
        <f>D33-E33-F33-G33-H33-I33-J33-K33-L33</f>
        <v>2980</v>
      </c>
      <c r="N33" s="289">
        <f t="shared" si="0"/>
        <v>302980</v>
      </c>
    </row>
    <row r="34" spans="1:14" s="1" customFormat="1" ht="14.35" customHeight="1" x14ac:dyDescent="0.45">
      <c r="A34" s="287"/>
      <c r="B34" s="4"/>
      <c r="C34" s="20">
        <f>SUM(C25:C33)</f>
        <v>25498</v>
      </c>
      <c r="D34" s="4">
        <f>SUM(D25:D33)</f>
        <v>110071430</v>
      </c>
      <c r="E34" s="4">
        <f t="shared" ref="E34:M34" si="1">SUM(E25:E33)</f>
        <v>44065000</v>
      </c>
      <c r="F34" s="4">
        <f t="shared" si="1"/>
        <v>33936950</v>
      </c>
      <c r="G34" s="4">
        <f t="shared" si="1"/>
        <v>16619110</v>
      </c>
      <c r="H34" s="4">
        <f t="shared" si="1"/>
        <v>9753520</v>
      </c>
      <c r="I34" s="4">
        <f t="shared" si="1"/>
        <v>3178250</v>
      </c>
      <c r="J34" s="4">
        <f t="shared" si="1"/>
        <v>1727560</v>
      </c>
      <c r="K34" s="4">
        <f t="shared" si="1"/>
        <v>592450</v>
      </c>
      <c r="L34" s="4">
        <f t="shared" si="1"/>
        <v>195610</v>
      </c>
      <c r="M34" s="4">
        <f t="shared" si="1"/>
        <v>2980</v>
      </c>
      <c r="N34" s="288">
        <f>SUM(N25:N33)</f>
        <v>110071430</v>
      </c>
    </row>
    <row r="35" spans="1:14" s="1" customFormat="1" ht="14.35" customHeight="1" x14ac:dyDescent="0.75">
      <c r="A35" s="256"/>
      <c r="B35" s="4"/>
      <c r="C35" s="96"/>
      <c r="D35" s="38"/>
      <c r="E35" s="91"/>
      <c r="F35" s="91"/>
      <c r="G35" s="44"/>
      <c r="I35" s="15"/>
      <c r="J35" s="238"/>
      <c r="K35" s="93"/>
      <c r="L35" s="97"/>
      <c r="N35" s="285"/>
    </row>
    <row r="36" spans="1:14" s="1" customFormat="1" ht="14.35" customHeight="1" x14ac:dyDescent="0.45">
      <c r="A36" s="284" t="s">
        <v>241</v>
      </c>
      <c r="D36" s="384" t="s">
        <v>222</v>
      </c>
      <c r="E36" s="384"/>
      <c r="F36" s="123"/>
      <c r="G36" s="123"/>
      <c r="I36" s="15"/>
      <c r="J36" s="230"/>
      <c r="K36" s="4"/>
      <c r="M36" s="4"/>
      <c r="N36" s="320"/>
    </row>
    <row r="37" spans="1:14" s="1" customFormat="1" ht="14.35" customHeight="1" x14ac:dyDescent="0.45">
      <c r="A37" s="284"/>
      <c r="D37" s="272"/>
      <c r="E37" s="272"/>
      <c r="F37" s="123"/>
      <c r="G37" s="123"/>
      <c r="I37" s="15"/>
      <c r="J37" s="230"/>
      <c r="K37" s="4"/>
      <c r="M37" s="4"/>
      <c r="N37" s="320"/>
    </row>
    <row r="38" spans="1:14" s="1" customFormat="1" ht="14.35" customHeight="1" x14ac:dyDescent="0.45">
      <c r="A38" s="256"/>
      <c r="B38" s="103" t="s">
        <v>50</v>
      </c>
      <c r="C38" s="89" t="s">
        <v>51</v>
      </c>
      <c r="D38" s="89" t="s">
        <v>52</v>
      </c>
      <c r="E38" s="382" t="s">
        <v>54</v>
      </c>
      <c r="F38" s="382"/>
      <c r="G38" s="108" t="s">
        <v>55</v>
      </c>
      <c r="H38" s="18"/>
      <c r="I38" s="15"/>
      <c r="J38" s="230"/>
      <c r="N38" s="285"/>
    </row>
    <row r="39" spans="1:14" s="1" customFormat="1" ht="14.35" customHeight="1" x14ac:dyDescent="0.45">
      <c r="A39" s="287" t="s">
        <v>211</v>
      </c>
      <c r="B39" s="4">
        <f>Rates!D9</f>
        <v>2000</v>
      </c>
      <c r="C39" s="20">
        <f>C34</f>
        <v>25498</v>
      </c>
      <c r="D39" s="20">
        <f>E34</f>
        <v>44065000</v>
      </c>
      <c r="E39" s="245">
        <f>Rates!F9</f>
        <v>13.79</v>
      </c>
      <c r="F39" s="46" t="s">
        <v>115</v>
      </c>
      <c r="G39" s="109">
        <f>ROUND(C39*E39,0)</f>
        <v>351617</v>
      </c>
      <c r="H39" s="20"/>
      <c r="I39" s="15"/>
      <c r="J39" s="230"/>
      <c r="N39" s="285"/>
    </row>
    <row r="40" spans="1:14" s="1" customFormat="1" ht="14.35" customHeight="1" x14ac:dyDescent="0.45">
      <c r="A40" s="287" t="s">
        <v>212</v>
      </c>
      <c r="B40" s="4">
        <f>Rates!D10</f>
        <v>3000</v>
      </c>
      <c r="C40" s="20"/>
      <c r="D40" s="20">
        <f>F34</f>
        <v>33936950</v>
      </c>
      <c r="E40" s="246">
        <f>Rates!F10</f>
        <v>6.8900000000000003E-3</v>
      </c>
      <c r="F40" s="46" t="s">
        <v>209</v>
      </c>
      <c r="G40" s="109">
        <f>ROUND(D40*E40,0)</f>
        <v>233826</v>
      </c>
      <c r="H40" s="20"/>
      <c r="I40" s="15"/>
      <c r="J40" s="230"/>
      <c r="N40" s="285"/>
    </row>
    <row r="41" spans="1:14" s="1" customFormat="1" ht="14.35" customHeight="1" x14ac:dyDescent="0.45">
      <c r="A41" s="287" t="s">
        <v>212</v>
      </c>
      <c r="B41" s="4">
        <f>Rates!D11</f>
        <v>5000</v>
      </c>
      <c r="C41" s="20"/>
      <c r="D41" s="20">
        <f>G34</f>
        <v>16619110</v>
      </c>
      <c r="E41" s="246">
        <f>Rates!F11</f>
        <v>6.4900000000000001E-3</v>
      </c>
      <c r="F41" s="46" t="s">
        <v>209</v>
      </c>
      <c r="G41" s="109">
        <f t="shared" ref="G41:G47" si="2">ROUND(D41*E41,0)</f>
        <v>107858</v>
      </c>
      <c r="H41" s="20"/>
      <c r="I41" s="15"/>
      <c r="J41" s="230"/>
      <c r="N41" s="285"/>
    </row>
    <row r="42" spans="1:14" s="1" customFormat="1" ht="14.35" customHeight="1" x14ac:dyDescent="0.45">
      <c r="A42" s="287" t="s">
        <v>212</v>
      </c>
      <c r="B42" s="4">
        <f>Rates!D12</f>
        <v>15000</v>
      </c>
      <c r="C42" s="20"/>
      <c r="D42" s="20">
        <f>H34</f>
        <v>9753520</v>
      </c>
      <c r="E42" s="246">
        <f>Rates!F12</f>
        <v>6.1399999999999996E-3</v>
      </c>
      <c r="F42" s="46" t="s">
        <v>209</v>
      </c>
      <c r="G42" s="109">
        <f t="shared" si="2"/>
        <v>59887</v>
      </c>
      <c r="H42" s="20"/>
      <c r="I42" s="15"/>
      <c r="J42" s="230"/>
      <c r="N42" s="285"/>
    </row>
    <row r="43" spans="1:14" s="1" customFormat="1" ht="14.35" customHeight="1" x14ac:dyDescent="0.45">
      <c r="A43" s="287" t="s">
        <v>212</v>
      </c>
      <c r="B43" s="4">
        <f>Rates!D13</f>
        <v>25000</v>
      </c>
      <c r="C43" s="20"/>
      <c r="D43" s="20">
        <f>I34</f>
        <v>3178250</v>
      </c>
      <c r="E43" s="246">
        <f>Rates!F13</f>
        <v>5.8399999999999997E-3</v>
      </c>
      <c r="F43" s="46" t="s">
        <v>209</v>
      </c>
      <c r="G43" s="109">
        <f t="shared" si="2"/>
        <v>18561</v>
      </c>
      <c r="H43" s="20"/>
      <c r="I43" s="15"/>
      <c r="J43" s="230"/>
      <c r="N43" s="285"/>
    </row>
    <row r="44" spans="1:14" s="1" customFormat="1" ht="14.35" customHeight="1" x14ac:dyDescent="0.45">
      <c r="A44" s="287" t="s">
        <v>212</v>
      </c>
      <c r="B44" s="4">
        <f>Rates!D14</f>
        <v>50000</v>
      </c>
      <c r="C44" s="20"/>
      <c r="D44" s="20">
        <f>J34</f>
        <v>1727560</v>
      </c>
      <c r="E44" s="246">
        <f>Rates!F14</f>
        <v>5.4400000000000004E-3</v>
      </c>
      <c r="F44" s="46" t="s">
        <v>209</v>
      </c>
      <c r="G44" s="109">
        <f t="shared" si="2"/>
        <v>9398</v>
      </c>
      <c r="H44" s="20"/>
      <c r="I44" s="15"/>
      <c r="J44" s="230"/>
      <c r="N44" s="285"/>
    </row>
    <row r="45" spans="1:14" s="1" customFormat="1" ht="14.35" customHeight="1" x14ac:dyDescent="0.45">
      <c r="A45" s="287" t="s">
        <v>212</v>
      </c>
      <c r="B45" s="4">
        <f>Rates!D15</f>
        <v>100000</v>
      </c>
      <c r="C45" s="20"/>
      <c r="D45" s="20">
        <f>K34</f>
        <v>592450</v>
      </c>
      <c r="E45" s="246">
        <f>Rates!F15</f>
        <v>5.0400000000000002E-3</v>
      </c>
      <c r="F45" s="46" t="s">
        <v>209</v>
      </c>
      <c r="G45" s="109">
        <f t="shared" si="2"/>
        <v>2986</v>
      </c>
      <c r="H45" s="20"/>
      <c r="I45" s="15"/>
      <c r="J45" s="230"/>
      <c r="N45" s="285"/>
    </row>
    <row r="46" spans="1:14" s="1" customFormat="1" ht="14.35" customHeight="1" x14ac:dyDescent="0.45">
      <c r="A46" s="287" t="s">
        <v>212</v>
      </c>
      <c r="B46" s="4">
        <f>Rates!D16</f>
        <v>100000</v>
      </c>
      <c r="C46" s="20"/>
      <c r="D46" s="20">
        <f>L34</f>
        <v>195610</v>
      </c>
      <c r="E46" s="246">
        <f>Rates!F16</f>
        <v>4.64E-3</v>
      </c>
      <c r="F46" s="46" t="s">
        <v>209</v>
      </c>
      <c r="G46" s="109">
        <f t="shared" si="2"/>
        <v>908</v>
      </c>
      <c r="H46" s="20"/>
      <c r="I46" s="15"/>
      <c r="J46" s="230"/>
      <c r="N46" s="285"/>
    </row>
    <row r="47" spans="1:14" s="1" customFormat="1" ht="14.35" customHeight="1" x14ac:dyDescent="0.75">
      <c r="A47" s="293" t="s">
        <v>213</v>
      </c>
      <c r="B47" s="4">
        <f>Rates!D17</f>
        <v>300000</v>
      </c>
      <c r="C47" s="92"/>
      <c r="D47" s="92">
        <f>M34</f>
        <v>2980</v>
      </c>
      <c r="E47" s="246">
        <f>Rates!F17</f>
        <v>4.2399999999999998E-3</v>
      </c>
      <c r="F47" s="46" t="s">
        <v>209</v>
      </c>
      <c r="G47" s="110">
        <f t="shared" si="2"/>
        <v>13</v>
      </c>
      <c r="H47" s="92"/>
      <c r="I47" s="15"/>
      <c r="J47" s="230"/>
      <c r="N47" s="285"/>
    </row>
    <row r="48" spans="1:14" s="1" customFormat="1" ht="14.35" customHeight="1" thickBot="1" x14ac:dyDescent="0.5">
      <c r="A48" s="318"/>
      <c r="B48" s="295"/>
      <c r="C48" s="319"/>
      <c r="D48" s="321">
        <f>SUM(D39:D47)</f>
        <v>110071430</v>
      </c>
      <c r="E48" s="319"/>
      <c r="F48" s="319"/>
      <c r="G48" s="316">
        <f>SUM(G39:G47)</f>
        <v>785054</v>
      </c>
      <c r="H48" s="319"/>
      <c r="I48" s="309"/>
      <c r="J48" s="313"/>
      <c r="K48" s="297"/>
      <c r="L48" s="297"/>
      <c r="M48" s="297"/>
      <c r="N48" s="301"/>
    </row>
    <row r="49" spans="1:13" s="1" customFormat="1" ht="14.65" thickBot="1" x14ac:dyDescent="0.5">
      <c r="A49" s="98"/>
      <c r="B49" s="4"/>
      <c r="C49" s="20"/>
      <c r="D49" s="268"/>
      <c r="E49" s="20"/>
      <c r="F49" s="20"/>
      <c r="G49" s="109"/>
      <c r="H49" s="20"/>
      <c r="I49" s="15"/>
      <c r="J49" s="230"/>
    </row>
    <row r="50" spans="1:13" s="1" customFormat="1" ht="14.35" customHeight="1" x14ac:dyDescent="0.75">
      <c r="A50" s="279" t="s">
        <v>242</v>
      </c>
      <c r="B50" s="280"/>
      <c r="C50" s="281"/>
      <c r="D50" s="383" t="s">
        <v>223</v>
      </c>
      <c r="E50" s="383"/>
      <c r="F50" s="282"/>
      <c r="G50" s="299"/>
      <c r="H50" s="302"/>
      <c r="I50" s="306"/>
      <c r="J50" s="311"/>
      <c r="K50" s="314"/>
      <c r="L50" s="317"/>
      <c r="M50" s="300"/>
    </row>
    <row r="51" spans="1:13" s="1" customFormat="1" ht="14.35" customHeight="1" x14ac:dyDescent="0.45">
      <c r="A51" s="284"/>
      <c r="B51" s="4"/>
      <c r="C51" s="96"/>
      <c r="D51" s="272"/>
      <c r="E51" s="98" t="s">
        <v>211</v>
      </c>
      <c r="F51" s="98" t="s">
        <v>212</v>
      </c>
      <c r="G51" s="98" t="s">
        <v>212</v>
      </c>
      <c r="H51" s="98" t="s">
        <v>212</v>
      </c>
      <c r="I51" s="98" t="s">
        <v>212</v>
      </c>
      <c r="J51" s="98" t="s">
        <v>212</v>
      </c>
      <c r="K51" s="98" t="s">
        <v>212</v>
      </c>
      <c r="L51" s="98" t="s">
        <v>213</v>
      </c>
      <c r="M51" s="285"/>
    </row>
    <row r="52" spans="1:13" s="1" customFormat="1" ht="14.35" customHeight="1" x14ac:dyDescent="0.45">
      <c r="A52" s="256"/>
      <c r="B52" s="103" t="s">
        <v>50</v>
      </c>
      <c r="C52" s="89" t="s">
        <v>51</v>
      </c>
      <c r="D52" s="89" t="s">
        <v>52</v>
      </c>
      <c r="E52" s="273">
        <f>B53</f>
        <v>5000</v>
      </c>
      <c r="F52" s="273">
        <f>B54</f>
        <v>5000</v>
      </c>
      <c r="G52" s="273">
        <f>B55</f>
        <v>15000</v>
      </c>
      <c r="H52" s="273">
        <f>B56</f>
        <v>25000</v>
      </c>
      <c r="I52" s="273">
        <f>B57</f>
        <v>50000</v>
      </c>
      <c r="J52" s="273">
        <f>B58</f>
        <v>100000</v>
      </c>
      <c r="K52" s="273">
        <f>B59</f>
        <v>100000</v>
      </c>
      <c r="L52" s="273">
        <f>B60</f>
        <v>300000</v>
      </c>
      <c r="M52" s="286" t="s">
        <v>12</v>
      </c>
    </row>
    <row r="53" spans="1:13" s="1" customFormat="1" ht="14.35" customHeight="1" x14ac:dyDescent="0.45">
      <c r="A53" s="287" t="s">
        <v>211</v>
      </c>
      <c r="B53" s="4">
        <f>Rates!D20</f>
        <v>5000</v>
      </c>
      <c r="C53" s="20">
        <f>'[1]02 34"'!$K$181</f>
        <v>179</v>
      </c>
      <c r="D53" s="4">
        <f>'[1]02 34"'!$G$181</f>
        <v>461410</v>
      </c>
      <c r="E53" s="274">
        <f>D53</f>
        <v>461410</v>
      </c>
      <c r="F53" s="274"/>
      <c r="G53" s="274"/>
      <c r="H53" s="274"/>
      <c r="I53" s="274"/>
      <c r="J53" s="274"/>
      <c r="K53" s="274"/>
      <c r="L53" s="274"/>
      <c r="M53" s="288">
        <f t="shared" ref="M53:M60" si="3">SUM(E53:L53)</f>
        <v>461410</v>
      </c>
    </row>
    <row r="54" spans="1:13" s="1" customFormat="1" ht="14.35" customHeight="1" x14ac:dyDescent="0.45">
      <c r="A54" s="287" t="s">
        <v>212</v>
      </c>
      <c r="B54" s="4">
        <f>Rates!D21</f>
        <v>5000</v>
      </c>
      <c r="C54" s="20">
        <f>'[1]02 34"'!$K$251</f>
        <v>69</v>
      </c>
      <c r="D54" s="4">
        <f>'[1]02 34"'!$G$251</f>
        <v>506930</v>
      </c>
      <c r="E54" s="274">
        <f>C54*E52</f>
        <v>345000</v>
      </c>
      <c r="F54" s="274">
        <f>D54-E54</f>
        <v>161930</v>
      </c>
      <c r="G54" s="274"/>
      <c r="H54" s="274"/>
      <c r="I54" s="274"/>
      <c r="J54" s="274"/>
      <c r="K54" s="274"/>
      <c r="L54" s="274"/>
      <c r="M54" s="288">
        <f t="shared" si="3"/>
        <v>506930</v>
      </c>
    </row>
    <row r="55" spans="1:13" s="1" customFormat="1" ht="14.35" customHeight="1" x14ac:dyDescent="0.45">
      <c r="A55" s="287" t="s">
        <v>212</v>
      </c>
      <c r="B55" s="4">
        <f>Rates!D22</f>
        <v>15000</v>
      </c>
      <c r="C55" s="20">
        <f>'[1]02 34"'!$K$316</f>
        <v>64</v>
      </c>
      <c r="D55" s="4">
        <f>'[1]02 34"'!$G$316</f>
        <v>1019240</v>
      </c>
      <c r="E55" s="274">
        <f>C55*E52</f>
        <v>320000</v>
      </c>
      <c r="F55" s="274">
        <f>C55*F52</f>
        <v>320000</v>
      </c>
      <c r="G55" s="274">
        <f>D55-E55-F55</f>
        <v>379240</v>
      </c>
      <c r="H55" s="274"/>
      <c r="I55" s="274"/>
      <c r="J55" s="274"/>
      <c r="K55" s="274"/>
      <c r="L55" s="274"/>
      <c r="M55" s="288">
        <f t="shared" si="3"/>
        <v>1019240</v>
      </c>
    </row>
    <row r="56" spans="1:13" s="1" customFormat="1" ht="14.35" customHeight="1" x14ac:dyDescent="0.45">
      <c r="A56" s="287" t="s">
        <v>212</v>
      </c>
      <c r="B56" s="4">
        <f>Rates!D23</f>
        <v>25000</v>
      </c>
      <c r="C56" s="20">
        <f>'[1]02 34"'!$K$332</f>
        <v>15</v>
      </c>
      <c r="D56" s="4">
        <f>'[1]02 34"'!$G$332</f>
        <v>483570</v>
      </c>
      <c r="E56" s="274">
        <f>C56*E52</f>
        <v>75000</v>
      </c>
      <c r="F56" s="274">
        <f>C56*F52</f>
        <v>75000</v>
      </c>
      <c r="G56" s="274">
        <f>C56*G52</f>
        <v>225000</v>
      </c>
      <c r="H56" s="274">
        <f>D56-E56-F56-G56</f>
        <v>108570</v>
      </c>
      <c r="I56" s="274"/>
      <c r="J56" s="274"/>
      <c r="K56" s="274"/>
      <c r="L56" s="274"/>
      <c r="M56" s="288">
        <f t="shared" si="3"/>
        <v>483570</v>
      </c>
    </row>
    <row r="57" spans="1:13" s="1" customFormat="1" ht="14.35" customHeight="1" x14ac:dyDescent="0.45">
      <c r="A57" s="287" t="s">
        <v>212</v>
      </c>
      <c r="B57" s="4">
        <f>Rates!D24</f>
        <v>50000</v>
      </c>
      <c r="C57" s="20">
        <f>'[1]02 34"'!$K$347</f>
        <v>14</v>
      </c>
      <c r="D57" s="4">
        <f>'[1]02 34"'!$G$347</f>
        <v>1038940</v>
      </c>
      <c r="E57" s="274">
        <f>C57*E52</f>
        <v>70000</v>
      </c>
      <c r="F57" s="274">
        <f>C57*F52</f>
        <v>70000</v>
      </c>
      <c r="G57" s="274">
        <f>C57*G52</f>
        <v>210000</v>
      </c>
      <c r="H57" s="274">
        <f>C57*H52</f>
        <v>350000</v>
      </c>
      <c r="I57" s="274">
        <f>D57-E57-F57-G57-H57</f>
        <v>338940</v>
      </c>
      <c r="J57" s="274"/>
      <c r="K57" s="274"/>
      <c r="L57" s="274"/>
      <c r="M57" s="288">
        <f t="shared" si="3"/>
        <v>1038940</v>
      </c>
    </row>
    <row r="58" spans="1:13" s="1" customFormat="1" ht="14.35" customHeight="1" x14ac:dyDescent="0.45">
      <c r="A58" s="287" t="s">
        <v>212</v>
      </c>
      <c r="B58" s="4">
        <f>Rates!D25</f>
        <v>100000</v>
      </c>
      <c r="C58" s="20">
        <f>'[1]02 34"'!$K$351</f>
        <v>3</v>
      </c>
      <c r="D58" s="4">
        <f>'[1]02 34"'!$G$351</f>
        <v>308900</v>
      </c>
      <c r="E58" s="274">
        <f>C58*E52</f>
        <v>15000</v>
      </c>
      <c r="F58" s="274">
        <f>C58*F52</f>
        <v>15000</v>
      </c>
      <c r="G58" s="274">
        <f>C58*G52</f>
        <v>45000</v>
      </c>
      <c r="H58" s="274">
        <f>C58*H52</f>
        <v>75000</v>
      </c>
      <c r="I58" s="274">
        <f>C58*I52</f>
        <v>150000</v>
      </c>
      <c r="J58" s="274">
        <f>D58-E58-F58-G58-H58-I58</f>
        <v>8900</v>
      </c>
      <c r="K58" s="274"/>
      <c r="L58" s="274"/>
      <c r="M58" s="288">
        <f t="shared" si="3"/>
        <v>308900</v>
      </c>
    </row>
    <row r="59" spans="1:13" s="1" customFormat="1" ht="14.35" customHeight="1" x14ac:dyDescent="0.45">
      <c r="A59" s="287" t="s">
        <v>212</v>
      </c>
      <c r="B59" s="4">
        <f>Rates!D26</f>
        <v>100000</v>
      </c>
      <c r="C59" s="20">
        <f>'[1]02 34"'!$K$353</f>
        <v>1</v>
      </c>
      <c r="D59" s="4">
        <f>'[1]02 34"'!$G$353</f>
        <v>234420</v>
      </c>
      <c r="E59" s="274">
        <f>C59*E52</f>
        <v>5000</v>
      </c>
      <c r="F59" s="274">
        <f>C59*F52</f>
        <v>5000</v>
      </c>
      <c r="G59" s="274">
        <f>C59*G52</f>
        <v>15000</v>
      </c>
      <c r="H59" s="274">
        <f>C59*H52</f>
        <v>25000</v>
      </c>
      <c r="I59" s="274">
        <f>C59*I52</f>
        <v>50000</v>
      </c>
      <c r="J59" s="274">
        <f>C59*J52</f>
        <v>100000</v>
      </c>
      <c r="K59" s="274">
        <f>D59-E59-F59-G59-H59-I59-J59</f>
        <v>34420</v>
      </c>
      <c r="L59" s="274"/>
      <c r="M59" s="288">
        <f t="shared" si="3"/>
        <v>234420</v>
      </c>
    </row>
    <row r="60" spans="1:13" s="1" customFormat="1" ht="14.35" customHeight="1" x14ac:dyDescent="0.75">
      <c r="A60" s="287" t="s">
        <v>213</v>
      </c>
      <c r="B60" s="4">
        <f>Rates!D27</f>
        <v>300000</v>
      </c>
      <c r="C60" s="92">
        <v>0</v>
      </c>
      <c r="D60" s="40">
        <v>0</v>
      </c>
      <c r="E60" s="40">
        <f>C60*E52</f>
        <v>0</v>
      </c>
      <c r="F60" s="40">
        <f>C60*F52</f>
        <v>0</v>
      </c>
      <c r="G60" s="40">
        <f>C60*G52</f>
        <v>0</v>
      </c>
      <c r="H60" s="40">
        <f>C60*H52</f>
        <v>0</v>
      </c>
      <c r="I60" s="40">
        <f>C60*I52</f>
        <v>0</v>
      </c>
      <c r="J60" s="14">
        <f>C60*J52</f>
        <v>0</v>
      </c>
      <c r="K60" s="40">
        <f>C60*K52</f>
        <v>0</v>
      </c>
      <c r="L60" s="276">
        <f>D60-E60-F60-G60-H60-I60-J60-K60</f>
        <v>0</v>
      </c>
      <c r="M60" s="289">
        <f t="shared" si="3"/>
        <v>0</v>
      </c>
    </row>
    <row r="61" spans="1:13" s="1" customFormat="1" ht="14.35" customHeight="1" x14ac:dyDescent="0.45">
      <c r="A61" s="287"/>
      <c r="B61" s="4"/>
      <c r="C61" s="20">
        <f t="shared" ref="C61:M61" si="4">SUM(C53:C60)</f>
        <v>345</v>
      </c>
      <c r="D61" s="4">
        <f t="shared" si="4"/>
        <v>4053410</v>
      </c>
      <c r="E61" s="4">
        <f t="shared" si="4"/>
        <v>1291410</v>
      </c>
      <c r="F61" s="4">
        <f t="shared" si="4"/>
        <v>646930</v>
      </c>
      <c r="G61" s="4">
        <f t="shared" si="4"/>
        <v>874240</v>
      </c>
      <c r="H61" s="4">
        <f t="shared" si="4"/>
        <v>558570</v>
      </c>
      <c r="I61" s="4">
        <f t="shared" si="4"/>
        <v>538940</v>
      </c>
      <c r="J61" s="4">
        <f t="shared" si="4"/>
        <v>108900</v>
      </c>
      <c r="K61" s="4">
        <f t="shared" si="4"/>
        <v>34420</v>
      </c>
      <c r="L61" s="4">
        <f t="shared" si="4"/>
        <v>0</v>
      </c>
      <c r="M61" s="288">
        <f t="shared" si="4"/>
        <v>4053410</v>
      </c>
    </row>
    <row r="62" spans="1:13" s="1" customFormat="1" ht="14.35" customHeight="1" x14ac:dyDescent="0.45">
      <c r="A62" s="287"/>
      <c r="B62" s="4"/>
      <c r="C62" s="20"/>
      <c r="D62" s="20"/>
      <c r="E62" s="20"/>
      <c r="F62" s="20"/>
      <c r="G62" s="109"/>
      <c r="H62" s="20"/>
      <c r="I62" s="15"/>
      <c r="J62" s="230"/>
      <c r="M62" s="285"/>
    </row>
    <row r="63" spans="1:13" s="1" customFormat="1" ht="14.35" customHeight="1" x14ac:dyDescent="0.45">
      <c r="A63" s="284" t="s">
        <v>241</v>
      </c>
      <c r="C63" s="123"/>
      <c r="D63" s="384" t="s">
        <v>223</v>
      </c>
      <c r="E63" s="384"/>
      <c r="F63" s="123"/>
      <c r="G63" s="123"/>
      <c r="H63" s="90"/>
      <c r="I63" s="15"/>
      <c r="J63" s="230"/>
      <c r="M63" s="285"/>
    </row>
    <row r="64" spans="1:13" s="1" customFormat="1" ht="14.35" customHeight="1" x14ac:dyDescent="0.45">
      <c r="A64" s="256"/>
      <c r="B64" s="103" t="s">
        <v>50</v>
      </c>
      <c r="C64" s="89" t="s">
        <v>51</v>
      </c>
      <c r="D64" s="89" t="s">
        <v>52</v>
      </c>
      <c r="E64" s="382" t="s">
        <v>54</v>
      </c>
      <c r="F64" s="382"/>
      <c r="G64" s="108" t="s">
        <v>55</v>
      </c>
      <c r="H64" s="90"/>
      <c r="I64" s="15"/>
      <c r="J64" s="230"/>
      <c r="M64" s="285"/>
    </row>
    <row r="65" spans="1:13" s="1" customFormat="1" ht="14.35" customHeight="1" x14ac:dyDescent="0.45">
      <c r="A65" s="287" t="s">
        <v>211</v>
      </c>
      <c r="B65" s="4">
        <f>Rates!D20</f>
        <v>5000</v>
      </c>
      <c r="C65" s="20">
        <f>C61</f>
        <v>345</v>
      </c>
      <c r="D65" s="20">
        <f>E61</f>
        <v>1291410</v>
      </c>
      <c r="E65" s="245">
        <f>Rates!F20</f>
        <v>34.450000000000003</v>
      </c>
      <c r="F65" s="46" t="s">
        <v>115</v>
      </c>
      <c r="G65" s="109">
        <f>ROUND(C65*E65,0)</f>
        <v>11885</v>
      </c>
      <c r="I65" s="15"/>
      <c r="J65" s="230"/>
      <c r="M65" s="285"/>
    </row>
    <row r="66" spans="1:13" s="1" customFormat="1" ht="14.35" customHeight="1" x14ac:dyDescent="0.45">
      <c r="A66" s="287" t="s">
        <v>212</v>
      </c>
      <c r="B66" s="4">
        <f>Rates!D21</f>
        <v>5000</v>
      </c>
      <c r="C66" s="20"/>
      <c r="D66" s="20">
        <f>F61</f>
        <v>646930</v>
      </c>
      <c r="E66" s="246">
        <f>Rates!F21</f>
        <v>6.4900000000000001E-3</v>
      </c>
      <c r="F66" s="46" t="s">
        <v>209</v>
      </c>
      <c r="G66" s="109">
        <f t="shared" ref="G66:G72" si="5">ROUND(D66*E66,0)</f>
        <v>4199</v>
      </c>
      <c r="I66" s="15"/>
      <c r="J66" s="230"/>
      <c r="M66" s="285"/>
    </row>
    <row r="67" spans="1:13" s="1" customFormat="1" ht="14.35" customHeight="1" x14ac:dyDescent="0.45">
      <c r="A67" s="287" t="s">
        <v>212</v>
      </c>
      <c r="B67" s="4">
        <f>Rates!D22</f>
        <v>15000</v>
      </c>
      <c r="C67" s="20"/>
      <c r="D67" s="20">
        <f>G61</f>
        <v>874240</v>
      </c>
      <c r="E67" s="246">
        <f>Rates!F22</f>
        <v>6.1399999999999996E-3</v>
      </c>
      <c r="F67" s="46" t="s">
        <v>209</v>
      </c>
      <c r="G67" s="109">
        <f t="shared" si="5"/>
        <v>5368</v>
      </c>
      <c r="I67" s="15"/>
      <c r="J67" s="230"/>
      <c r="M67" s="285"/>
    </row>
    <row r="68" spans="1:13" s="1" customFormat="1" ht="14.35" customHeight="1" x14ac:dyDescent="0.45">
      <c r="A68" s="287" t="s">
        <v>212</v>
      </c>
      <c r="B68" s="4">
        <f>Rates!D23</f>
        <v>25000</v>
      </c>
      <c r="C68" s="20"/>
      <c r="D68" s="20">
        <f>H61</f>
        <v>558570</v>
      </c>
      <c r="E68" s="246">
        <f>Rates!F23</f>
        <v>5.8399999999999997E-3</v>
      </c>
      <c r="F68" s="46" t="s">
        <v>209</v>
      </c>
      <c r="G68" s="109">
        <f t="shared" si="5"/>
        <v>3262</v>
      </c>
      <c r="I68" s="15"/>
      <c r="J68" s="230"/>
      <c r="M68" s="285"/>
    </row>
    <row r="69" spans="1:13" s="1" customFormat="1" ht="14.35" customHeight="1" x14ac:dyDescent="0.45">
      <c r="A69" s="287" t="s">
        <v>212</v>
      </c>
      <c r="B69" s="4">
        <f>Rates!D24</f>
        <v>50000</v>
      </c>
      <c r="C69" s="20"/>
      <c r="D69" s="20">
        <f>I61</f>
        <v>538940</v>
      </c>
      <c r="E69" s="246">
        <f>Rates!F24</f>
        <v>5.4400000000000004E-3</v>
      </c>
      <c r="F69" s="46" t="s">
        <v>209</v>
      </c>
      <c r="G69" s="109">
        <f t="shared" si="5"/>
        <v>2932</v>
      </c>
      <c r="I69" s="15"/>
      <c r="J69" s="230"/>
      <c r="M69" s="285"/>
    </row>
    <row r="70" spans="1:13" s="1" customFormat="1" ht="14.35" customHeight="1" x14ac:dyDescent="0.45">
      <c r="A70" s="287" t="s">
        <v>212</v>
      </c>
      <c r="B70" s="4">
        <f>Rates!D25</f>
        <v>100000</v>
      </c>
      <c r="C70" s="20"/>
      <c r="D70" s="20">
        <f>J61</f>
        <v>108900</v>
      </c>
      <c r="E70" s="246">
        <f>Rates!F25</f>
        <v>5.0400000000000002E-3</v>
      </c>
      <c r="F70" s="46" t="s">
        <v>209</v>
      </c>
      <c r="G70" s="109">
        <f t="shared" si="5"/>
        <v>549</v>
      </c>
      <c r="I70" s="15"/>
      <c r="J70" s="230"/>
      <c r="M70" s="285"/>
    </row>
    <row r="71" spans="1:13" s="1" customFormat="1" ht="14.35" customHeight="1" x14ac:dyDescent="0.45">
      <c r="A71" s="287" t="s">
        <v>212</v>
      </c>
      <c r="B71" s="4">
        <f>Rates!D26</f>
        <v>100000</v>
      </c>
      <c r="C71" s="20"/>
      <c r="D71" s="20">
        <f>K61</f>
        <v>34420</v>
      </c>
      <c r="E71" s="246">
        <f>Rates!F26</f>
        <v>4.64E-3</v>
      </c>
      <c r="F71" s="46" t="s">
        <v>209</v>
      </c>
      <c r="G71" s="109">
        <f t="shared" si="5"/>
        <v>160</v>
      </c>
      <c r="I71" s="15"/>
      <c r="J71" s="230"/>
      <c r="M71" s="285"/>
    </row>
    <row r="72" spans="1:13" s="1" customFormat="1" ht="14.35" customHeight="1" x14ac:dyDescent="0.75">
      <c r="A72" s="293" t="s">
        <v>213</v>
      </c>
      <c r="B72" s="4">
        <f>Rates!D27</f>
        <v>300000</v>
      </c>
      <c r="C72" s="92"/>
      <c r="D72" s="92">
        <f>L61</f>
        <v>0</v>
      </c>
      <c r="E72" s="246">
        <f>Rates!F27</f>
        <v>4.2399999999999998E-3</v>
      </c>
      <c r="F72" s="46" t="s">
        <v>209</v>
      </c>
      <c r="G72" s="110">
        <f t="shared" si="5"/>
        <v>0</v>
      </c>
      <c r="I72" s="15"/>
      <c r="J72" s="230"/>
      <c r="M72" s="285"/>
    </row>
    <row r="73" spans="1:13" s="1" customFormat="1" ht="14.35" customHeight="1" thickBot="1" x14ac:dyDescent="0.5">
      <c r="A73" s="318"/>
      <c r="B73" s="295"/>
      <c r="C73" s="319"/>
      <c r="D73" s="295">
        <f>SUM(D65:D72)</f>
        <v>4053410</v>
      </c>
      <c r="E73" s="319"/>
      <c r="F73" s="319"/>
      <c r="G73" s="316">
        <f>G65+G72</f>
        <v>11885</v>
      </c>
      <c r="H73" s="297"/>
      <c r="I73" s="309"/>
      <c r="J73" s="313"/>
      <c r="K73" s="297"/>
      <c r="L73" s="297"/>
      <c r="M73" s="301"/>
    </row>
    <row r="74" spans="1:13" s="1" customFormat="1" ht="14.35" customHeight="1" thickBot="1" x14ac:dyDescent="0.5">
      <c r="A74" s="98"/>
      <c r="B74" s="4"/>
      <c r="C74" s="20"/>
      <c r="D74" s="4"/>
      <c r="E74" s="20"/>
      <c r="F74" s="20"/>
      <c r="G74" s="109"/>
      <c r="I74" s="15"/>
      <c r="J74" s="230"/>
    </row>
    <row r="75" spans="1:13" s="1" customFormat="1" ht="14.35" customHeight="1" x14ac:dyDescent="0.75">
      <c r="A75" s="279" t="s">
        <v>242</v>
      </c>
      <c r="B75" s="280"/>
      <c r="C75" s="281"/>
      <c r="D75" s="383" t="s">
        <v>121</v>
      </c>
      <c r="E75" s="383"/>
      <c r="F75" s="282"/>
      <c r="G75" s="299"/>
      <c r="H75" s="302"/>
      <c r="I75" s="306"/>
      <c r="J75" s="311"/>
      <c r="K75" s="314"/>
      <c r="L75" s="315"/>
    </row>
    <row r="76" spans="1:13" s="1" customFormat="1" ht="14.35" customHeight="1" x14ac:dyDescent="0.45">
      <c r="A76" s="284"/>
      <c r="B76" s="4"/>
      <c r="C76" s="96"/>
      <c r="D76" s="272"/>
      <c r="E76" s="98" t="s">
        <v>211</v>
      </c>
      <c r="F76" s="98" t="s">
        <v>212</v>
      </c>
      <c r="G76" s="98" t="s">
        <v>212</v>
      </c>
      <c r="H76" s="98" t="s">
        <v>212</v>
      </c>
      <c r="I76" s="98" t="s">
        <v>212</v>
      </c>
      <c r="J76" s="98" t="s">
        <v>212</v>
      </c>
      <c r="K76" s="98" t="s">
        <v>213</v>
      </c>
      <c r="L76" s="285"/>
    </row>
    <row r="77" spans="1:13" s="1" customFormat="1" ht="14.35" customHeight="1" x14ac:dyDescent="0.45">
      <c r="A77" s="256"/>
      <c r="B77" s="103" t="s">
        <v>50</v>
      </c>
      <c r="C77" s="89" t="s">
        <v>51</v>
      </c>
      <c r="D77" s="89" t="s">
        <v>52</v>
      </c>
      <c r="E77" s="273">
        <f>B78</f>
        <v>10000</v>
      </c>
      <c r="F77" s="273">
        <f>B79</f>
        <v>15000</v>
      </c>
      <c r="G77" s="273">
        <f>B80</f>
        <v>25000</v>
      </c>
      <c r="H77" s="273">
        <f>B81</f>
        <v>50000</v>
      </c>
      <c r="I77" s="273">
        <f>B82</f>
        <v>100000</v>
      </c>
      <c r="J77" s="273">
        <f>B83</f>
        <v>100000</v>
      </c>
      <c r="K77" s="273">
        <f>B84</f>
        <v>300000</v>
      </c>
      <c r="L77" s="286" t="s">
        <v>12</v>
      </c>
    </row>
    <row r="78" spans="1:13" s="1" customFormat="1" ht="14.35" customHeight="1" x14ac:dyDescent="0.45">
      <c r="A78" s="287" t="s">
        <v>211</v>
      </c>
      <c r="B78" s="4">
        <f>Rates!D30</f>
        <v>10000</v>
      </c>
      <c r="C78" s="20">
        <f>'[1]03 1"'!$K$197</f>
        <v>195</v>
      </c>
      <c r="D78" s="4">
        <f>'[1]03 1"'!$G$197</f>
        <v>912390</v>
      </c>
      <c r="E78" s="274">
        <f>D78</f>
        <v>912390</v>
      </c>
      <c r="F78" s="274"/>
      <c r="G78" s="274"/>
      <c r="H78" s="274"/>
      <c r="I78" s="274"/>
      <c r="J78" s="274"/>
      <c r="K78" s="274"/>
      <c r="L78" s="288">
        <f t="shared" ref="L78:L84" si="6">SUM(E78:K78)</f>
        <v>912390</v>
      </c>
    </row>
    <row r="79" spans="1:13" s="1" customFormat="1" ht="14.35" customHeight="1" x14ac:dyDescent="0.45">
      <c r="A79" s="287" t="s">
        <v>212</v>
      </c>
      <c r="B79" s="4">
        <f>Rates!D31</f>
        <v>15000</v>
      </c>
      <c r="C79" s="20">
        <f>'[1]03 1"'!$K$296</f>
        <v>98</v>
      </c>
      <c r="D79" s="4">
        <f>'[1]03 1"'!$G$296</f>
        <v>1490290</v>
      </c>
      <c r="E79" s="274">
        <f>C79*E77</f>
        <v>980000</v>
      </c>
      <c r="F79" s="274">
        <f>D79-E79</f>
        <v>510290</v>
      </c>
      <c r="G79" s="274"/>
      <c r="H79" s="274"/>
      <c r="I79" s="274"/>
      <c r="J79" s="274"/>
      <c r="K79" s="274"/>
      <c r="L79" s="288">
        <f t="shared" si="6"/>
        <v>1490290</v>
      </c>
    </row>
    <row r="80" spans="1:13" s="1" customFormat="1" ht="14.35" customHeight="1" x14ac:dyDescent="0.45">
      <c r="A80" s="287" t="s">
        <v>212</v>
      </c>
      <c r="B80" s="4">
        <f>Rates!D32</f>
        <v>25000</v>
      </c>
      <c r="C80" s="20">
        <f>'[1]03 1"'!$K$320</f>
        <v>23</v>
      </c>
      <c r="D80" s="4">
        <f>'[1]03 1"'!$G$320</f>
        <v>813620</v>
      </c>
      <c r="E80" s="274">
        <f>C80*E77</f>
        <v>230000</v>
      </c>
      <c r="F80" s="274">
        <f>C80*F77</f>
        <v>345000</v>
      </c>
      <c r="G80" s="274">
        <f>D80-E80-F80</f>
        <v>238620</v>
      </c>
      <c r="H80" s="274"/>
      <c r="I80" s="274"/>
      <c r="J80" s="274"/>
      <c r="K80" s="274"/>
      <c r="L80" s="288">
        <f t="shared" si="6"/>
        <v>813620</v>
      </c>
    </row>
    <row r="81" spans="1:13" s="1" customFormat="1" ht="14.35" customHeight="1" x14ac:dyDescent="0.45">
      <c r="A81" s="287" t="s">
        <v>212</v>
      </c>
      <c r="B81" s="4">
        <f>Rates!D33</f>
        <v>50000</v>
      </c>
      <c r="C81" s="20">
        <f>'[1]03 1"'!$K$330</f>
        <v>9</v>
      </c>
      <c r="D81" s="4">
        <f>'[1]03 1"'!$G$330</f>
        <v>657310</v>
      </c>
      <c r="E81" s="274">
        <f>C81*E77</f>
        <v>90000</v>
      </c>
      <c r="F81" s="274">
        <f>C81*F77</f>
        <v>135000</v>
      </c>
      <c r="G81" s="274">
        <f>C81*G77</f>
        <v>225000</v>
      </c>
      <c r="H81" s="274">
        <f>D81-E81-F81-G81</f>
        <v>207310</v>
      </c>
      <c r="I81" s="274"/>
      <c r="J81" s="274"/>
      <c r="K81" s="274"/>
      <c r="L81" s="288">
        <f t="shared" si="6"/>
        <v>657310</v>
      </c>
    </row>
    <row r="82" spans="1:13" s="1" customFormat="1" ht="14.35" customHeight="1" x14ac:dyDescent="0.45">
      <c r="A82" s="287" t="s">
        <v>212</v>
      </c>
      <c r="B82" s="4">
        <f>Rates!D34</f>
        <v>100000</v>
      </c>
      <c r="C82" s="20">
        <f>'[1]03 1"'!$K$337</f>
        <v>6</v>
      </c>
      <c r="D82" s="4">
        <f>'[1]03 1"'!$G$337</f>
        <v>717710</v>
      </c>
      <c r="E82" s="274">
        <f>C82*E77</f>
        <v>60000</v>
      </c>
      <c r="F82" s="274">
        <f>C82*F77</f>
        <v>90000</v>
      </c>
      <c r="G82" s="274">
        <f>C82*G77</f>
        <v>150000</v>
      </c>
      <c r="H82" s="274">
        <f>C82*H77</f>
        <v>300000</v>
      </c>
      <c r="I82" s="274">
        <f>D82-E82-F82-G82-H82</f>
        <v>117710</v>
      </c>
      <c r="J82" s="274"/>
      <c r="K82" s="274"/>
      <c r="L82" s="288">
        <f t="shared" si="6"/>
        <v>717710</v>
      </c>
    </row>
    <row r="83" spans="1:13" s="1" customFormat="1" ht="14.35" customHeight="1" x14ac:dyDescent="0.45">
      <c r="A83" s="287" t="s">
        <v>212</v>
      </c>
      <c r="B83" s="4">
        <f>Rates!D35</f>
        <v>100000</v>
      </c>
      <c r="C83" s="20">
        <v>0</v>
      </c>
      <c r="D83" s="4">
        <v>0</v>
      </c>
      <c r="E83" s="274">
        <f>C83*E77</f>
        <v>0</v>
      </c>
      <c r="F83" s="274">
        <f>C83*F77</f>
        <v>0</v>
      </c>
      <c r="G83" s="274">
        <f>C83*G77</f>
        <v>0</v>
      </c>
      <c r="H83" s="274">
        <f>C83*H77</f>
        <v>0</v>
      </c>
      <c r="I83" s="274">
        <f>C83*I77</f>
        <v>0</v>
      </c>
      <c r="J83" s="274">
        <f>D83-E83-F83-G83-H83-I83</f>
        <v>0</v>
      </c>
      <c r="K83" s="274"/>
      <c r="L83" s="288">
        <f t="shared" si="6"/>
        <v>0</v>
      </c>
    </row>
    <row r="84" spans="1:13" s="1" customFormat="1" ht="14.35" customHeight="1" x14ac:dyDescent="0.75">
      <c r="A84" s="287" t="s">
        <v>212</v>
      </c>
      <c r="B84" s="4">
        <f>Rates!D36</f>
        <v>300000</v>
      </c>
      <c r="C84" s="92">
        <f>'[1]03 1"'!$K$340</f>
        <v>2</v>
      </c>
      <c r="D84" s="40">
        <f>'[1]03 1"'!$G$340</f>
        <v>714470</v>
      </c>
      <c r="E84" s="277">
        <f>C84*E77</f>
        <v>20000</v>
      </c>
      <c r="F84" s="277">
        <f>C84*F77</f>
        <v>30000</v>
      </c>
      <c r="G84" s="277">
        <f>C84*G77</f>
        <v>50000</v>
      </c>
      <c r="H84" s="277">
        <f>C84*H77</f>
        <v>100000</v>
      </c>
      <c r="I84" s="277">
        <f>C84*I77</f>
        <v>200000</v>
      </c>
      <c r="J84" s="277">
        <f>C84*J77</f>
        <v>200000</v>
      </c>
      <c r="K84" s="277">
        <f>D84-E84-F84-G84-H84-I84-J84</f>
        <v>114470</v>
      </c>
      <c r="L84" s="289">
        <f t="shared" si="6"/>
        <v>714470</v>
      </c>
    </row>
    <row r="85" spans="1:13" s="1" customFormat="1" ht="14.35" customHeight="1" x14ac:dyDescent="0.45">
      <c r="A85" s="287"/>
      <c r="B85" s="4"/>
      <c r="C85" s="20">
        <f t="shared" ref="C85:L85" si="7">SUM(C78:C84)</f>
        <v>333</v>
      </c>
      <c r="D85" s="4">
        <f t="shared" si="7"/>
        <v>5305790</v>
      </c>
      <c r="E85" s="4">
        <f t="shared" si="7"/>
        <v>2292390</v>
      </c>
      <c r="F85" s="4">
        <f t="shared" si="7"/>
        <v>1110290</v>
      </c>
      <c r="G85" s="4">
        <f t="shared" si="7"/>
        <v>663620</v>
      </c>
      <c r="H85" s="4">
        <f t="shared" si="7"/>
        <v>607310</v>
      </c>
      <c r="I85" s="4">
        <f t="shared" si="7"/>
        <v>317710</v>
      </c>
      <c r="J85" s="4">
        <f t="shared" si="7"/>
        <v>200000</v>
      </c>
      <c r="K85" s="4">
        <f t="shared" si="7"/>
        <v>114470</v>
      </c>
      <c r="L85" s="288">
        <f t="shared" si="7"/>
        <v>5305790</v>
      </c>
    </row>
    <row r="86" spans="1:13" s="1" customFormat="1" ht="14.35" customHeight="1" x14ac:dyDescent="0.45">
      <c r="A86" s="287"/>
      <c r="B86" s="4"/>
      <c r="C86" s="20"/>
      <c r="D86" s="4"/>
      <c r="E86" s="4"/>
      <c r="F86" s="4"/>
      <c r="G86" s="4"/>
      <c r="H86" s="4"/>
      <c r="I86" s="4"/>
      <c r="J86" s="4"/>
      <c r="K86" s="4"/>
      <c r="L86" s="288"/>
      <c r="M86" s="4"/>
    </row>
    <row r="87" spans="1:13" s="1" customFormat="1" ht="14.35" customHeight="1" x14ac:dyDescent="0.45">
      <c r="A87" s="284" t="s">
        <v>241</v>
      </c>
      <c r="C87" s="123"/>
      <c r="D87" s="384" t="s">
        <v>121</v>
      </c>
      <c r="E87" s="384"/>
      <c r="F87" s="123"/>
      <c r="G87" s="123"/>
      <c r="I87" s="15"/>
      <c r="J87" s="230"/>
      <c r="L87" s="285"/>
    </row>
    <row r="88" spans="1:13" s="1" customFormat="1" ht="14.35" customHeight="1" x14ac:dyDescent="0.45">
      <c r="A88" s="256"/>
      <c r="B88" s="103" t="s">
        <v>50</v>
      </c>
      <c r="C88" s="89" t="s">
        <v>51</v>
      </c>
      <c r="D88" s="89" t="s">
        <v>52</v>
      </c>
      <c r="E88" s="382" t="s">
        <v>54</v>
      </c>
      <c r="F88" s="382"/>
      <c r="G88" s="108" t="s">
        <v>55</v>
      </c>
      <c r="I88" s="15"/>
      <c r="J88" s="230"/>
      <c r="L88" s="285"/>
    </row>
    <row r="89" spans="1:13" s="1" customFormat="1" ht="14.35" customHeight="1" x14ac:dyDescent="0.45">
      <c r="A89" s="287" t="s">
        <v>211</v>
      </c>
      <c r="B89" s="4">
        <f>Rates!D30</f>
        <v>10000</v>
      </c>
      <c r="C89" s="91">
        <f>C85</f>
        <v>333</v>
      </c>
      <c r="D89" s="91">
        <f>E85</f>
        <v>2292390</v>
      </c>
      <c r="E89" s="245">
        <f>Rates!F30</f>
        <v>66.900000000000006</v>
      </c>
      <c r="F89" s="46" t="s">
        <v>115</v>
      </c>
      <c r="G89" s="109">
        <f>ROUND(C89*E89,0)</f>
        <v>22278</v>
      </c>
      <c r="I89" s="15"/>
      <c r="J89" s="230"/>
      <c r="L89" s="285"/>
    </row>
    <row r="90" spans="1:13" s="1" customFormat="1" ht="14.35" customHeight="1" x14ac:dyDescent="0.45">
      <c r="A90" s="287" t="s">
        <v>212</v>
      </c>
      <c r="B90" s="4">
        <f>Rates!D31</f>
        <v>15000</v>
      </c>
      <c r="D90" s="91">
        <f>F85</f>
        <v>1110290</v>
      </c>
      <c r="E90" s="246">
        <f>Rates!F31</f>
        <v>6.1399999999999996E-3</v>
      </c>
      <c r="F90" s="46" t="s">
        <v>209</v>
      </c>
      <c r="G90" s="109">
        <f t="shared" ref="G90:G95" si="8">ROUND(D90*E90,0)</f>
        <v>6817</v>
      </c>
      <c r="I90" s="15"/>
      <c r="J90" s="230"/>
      <c r="L90" s="285"/>
    </row>
    <row r="91" spans="1:13" s="1" customFormat="1" ht="14.35" customHeight="1" x14ac:dyDescent="0.45">
      <c r="A91" s="287" t="s">
        <v>212</v>
      </c>
      <c r="B91" s="4">
        <f>Rates!D32</f>
        <v>25000</v>
      </c>
      <c r="D91" s="91">
        <f>G85</f>
        <v>663620</v>
      </c>
      <c r="E91" s="246">
        <f>Rates!F32</f>
        <v>5.8399999999999997E-3</v>
      </c>
      <c r="F91" s="46" t="s">
        <v>209</v>
      </c>
      <c r="G91" s="109">
        <f t="shared" si="8"/>
        <v>3876</v>
      </c>
      <c r="I91" s="15"/>
      <c r="J91" s="230"/>
      <c r="L91" s="285"/>
    </row>
    <row r="92" spans="1:13" s="1" customFormat="1" ht="14.35" customHeight="1" x14ac:dyDescent="0.45">
      <c r="A92" s="287" t="s">
        <v>212</v>
      </c>
      <c r="B92" s="4">
        <f>Rates!D33</f>
        <v>50000</v>
      </c>
      <c r="D92" s="91">
        <f>H85</f>
        <v>607310</v>
      </c>
      <c r="E92" s="246">
        <f>Rates!F33</f>
        <v>5.4400000000000004E-3</v>
      </c>
      <c r="F92" s="46" t="s">
        <v>209</v>
      </c>
      <c r="G92" s="109">
        <f t="shared" si="8"/>
        <v>3304</v>
      </c>
      <c r="I92" s="15"/>
      <c r="J92" s="230"/>
      <c r="L92" s="285"/>
    </row>
    <row r="93" spans="1:13" s="1" customFormat="1" ht="14.35" customHeight="1" x14ac:dyDescent="0.45">
      <c r="A93" s="287" t="s">
        <v>212</v>
      </c>
      <c r="B93" s="4">
        <f>Rates!D34</f>
        <v>100000</v>
      </c>
      <c r="D93" s="91">
        <f>I85</f>
        <v>317710</v>
      </c>
      <c r="E93" s="246">
        <f>Rates!F34</f>
        <v>5.0400000000000002E-3</v>
      </c>
      <c r="F93" s="46" t="s">
        <v>209</v>
      </c>
      <c r="G93" s="109">
        <f t="shared" si="8"/>
        <v>1601</v>
      </c>
      <c r="I93" s="15"/>
      <c r="J93" s="230"/>
      <c r="L93" s="285"/>
    </row>
    <row r="94" spans="1:13" s="1" customFormat="1" ht="14.35" customHeight="1" x14ac:dyDescent="0.45">
      <c r="A94" s="287" t="s">
        <v>212</v>
      </c>
      <c r="B94" s="4">
        <f>Rates!D35</f>
        <v>100000</v>
      </c>
      <c r="D94" s="91">
        <f>J85</f>
        <v>200000</v>
      </c>
      <c r="E94" s="246">
        <f>Rates!F35</f>
        <v>4.64E-3</v>
      </c>
      <c r="F94" s="46" t="s">
        <v>209</v>
      </c>
      <c r="G94" s="109">
        <f t="shared" si="8"/>
        <v>928</v>
      </c>
      <c r="I94" s="15"/>
      <c r="J94" s="230"/>
      <c r="L94" s="285"/>
    </row>
    <row r="95" spans="1:13" s="1" customFormat="1" ht="14.35" customHeight="1" x14ac:dyDescent="0.75">
      <c r="A95" s="293" t="s">
        <v>213</v>
      </c>
      <c r="B95" s="4">
        <f>Rates!D36</f>
        <v>300000</v>
      </c>
      <c r="C95" s="82"/>
      <c r="D95" s="278">
        <f>K85</f>
        <v>114470</v>
      </c>
      <c r="E95" s="246">
        <f>Rates!F36</f>
        <v>4.2399999999999998E-3</v>
      </c>
      <c r="F95" s="46" t="s">
        <v>209</v>
      </c>
      <c r="G95" s="110">
        <f t="shared" si="8"/>
        <v>485</v>
      </c>
      <c r="I95" s="15"/>
      <c r="J95" s="230"/>
      <c r="L95" s="285"/>
    </row>
    <row r="96" spans="1:13" s="1" customFormat="1" ht="14.35" customHeight="1" thickBot="1" x14ac:dyDescent="0.5">
      <c r="A96" s="294"/>
      <c r="B96" s="295"/>
      <c r="C96" s="309"/>
      <c r="D96" s="295">
        <f>SUM(D89:D95)</f>
        <v>5305790</v>
      </c>
      <c r="E96" s="297"/>
      <c r="F96" s="297"/>
      <c r="G96" s="316">
        <f>SUM(G89:G95)</f>
        <v>39289</v>
      </c>
      <c r="H96" s="297"/>
      <c r="I96" s="309"/>
      <c r="J96" s="313"/>
      <c r="K96" s="297"/>
      <c r="L96" s="301"/>
    </row>
    <row r="97" spans="1:12" s="1" customFormat="1" ht="14.35" customHeight="1" thickBot="1" x14ac:dyDescent="0.5">
      <c r="B97" s="4"/>
      <c r="C97" s="15"/>
      <c r="D97" s="4"/>
      <c r="G97" s="109"/>
      <c r="I97" s="15"/>
      <c r="J97" s="230"/>
    </row>
    <row r="98" spans="1:12" s="1" customFormat="1" ht="14.35" customHeight="1" x14ac:dyDescent="0.75">
      <c r="A98" s="279" t="s">
        <v>242</v>
      </c>
      <c r="B98" s="280"/>
      <c r="C98" s="281"/>
      <c r="D98" s="383" t="s">
        <v>122</v>
      </c>
      <c r="E98" s="383"/>
      <c r="F98" s="282"/>
      <c r="G98" s="299"/>
      <c r="H98" s="302"/>
      <c r="I98" s="306"/>
      <c r="J98" s="311"/>
      <c r="K98" s="312"/>
      <c r="L98" s="97"/>
    </row>
    <row r="99" spans="1:12" s="1" customFormat="1" ht="14.35" customHeight="1" x14ac:dyDescent="0.45">
      <c r="A99" s="284"/>
      <c r="B99" s="4"/>
      <c r="C99" s="96"/>
      <c r="D99" s="272"/>
      <c r="E99" s="98" t="s">
        <v>211</v>
      </c>
      <c r="F99" s="98" t="s">
        <v>212</v>
      </c>
      <c r="G99" s="98" t="s">
        <v>212</v>
      </c>
      <c r="H99" s="98" t="s">
        <v>212</v>
      </c>
      <c r="I99" s="98" t="s">
        <v>212</v>
      </c>
      <c r="J99" s="98" t="s">
        <v>213</v>
      </c>
      <c r="K99" s="285"/>
    </row>
    <row r="100" spans="1:12" s="1" customFormat="1" ht="14.35" customHeight="1" x14ac:dyDescent="0.45">
      <c r="A100" s="256"/>
      <c r="B100" s="103" t="s">
        <v>50</v>
      </c>
      <c r="C100" s="89" t="s">
        <v>51</v>
      </c>
      <c r="D100" s="89" t="s">
        <v>52</v>
      </c>
      <c r="E100" s="273">
        <f>B101</f>
        <v>25000</v>
      </c>
      <c r="F100" s="273">
        <f>B102</f>
        <v>25000</v>
      </c>
      <c r="G100" s="273">
        <f>B103</f>
        <v>50000</v>
      </c>
      <c r="H100" s="273">
        <f>B104</f>
        <v>100000</v>
      </c>
      <c r="I100" s="273">
        <f>B105</f>
        <v>100000</v>
      </c>
      <c r="J100" s="273">
        <f>B106</f>
        <v>300000</v>
      </c>
      <c r="K100" s="286" t="s">
        <v>12</v>
      </c>
    </row>
    <row r="101" spans="1:12" s="1" customFormat="1" ht="14.35" customHeight="1" x14ac:dyDescent="0.45">
      <c r="A101" s="287" t="s">
        <v>211</v>
      </c>
      <c r="B101" s="4">
        <f>Rates!D39</f>
        <v>25000</v>
      </c>
      <c r="C101" s="20">
        <f>'[1]04 1 12"'!$K$18</f>
        <v>16</v>
      </c>
      <c r="D101" s="4">
        <f>'[1]04 1 12"'!$G$18</f>
        <v>191400</v>
      </c>
      <c r="E101" s="274">
        <f>D101</f>
        <v>191400</v>
      </c>
      <c r="F101" s="274"/>
      <c r="G101" s="274"/>
      <c r="H101" s="274"/>
      <c r="I101" s="274"/>
      <c r="J101" s="274"/>
      <c r="K101" s="288">
        <f t="shared" ref="K101:K106" si="9">SUM(E101:J101)</f>
        <v>191400</v>
      </c>
    </row>
    <row r="102" spans="1:12" s="1" customFormat="1" ht="14.35" customHeight="1" x14ac:dyDescent="0.45">
      <c r="A102" s="287" t="s">
        <v>212</v>
      </c>
      <c r="B102" s="4">
        <f>Rates!D40</f>
        <v>25000</v>
      </c>
      <c r="C102" s="20">
        <f>'[1]04 1 12"'!$K$21</f>
        <v>2</v>
      </c>
      <c r="D102" s="4">
        <f>'[1]04 1 12"'!$G$21</f>
        <v>74300</v>
      </c>
      <c r="E102" s="274">
        <f>C102*E100</f>
        <v>50000</v>
      </c>
      <c r="F102" s="274">
        <f>D102-E102</f>
        <v>24300</v>
      </c>
      <c r="G102" s="274"/>
      <c r="H102" s="274"/>
      <c r="I102" s="274"/>
      <c r="J102" s="274"/>
      <c r="K102" s="288">
        <f t="shared" si="9"/>
        <v>74300</v>
      </c>
    </row>
    <row r="103" spans="1:12" s="1" customFormat="1" ht="14.35" customHeight="1" x14ac:dyDescent="0.45">
      <c r="A103" s="287" t="s">
        <v>212</v>
      </c>
      <c r="B103" s="4">
        <f>Rates!D41</f>
        <v>50000</v>
      </c>
      <c r="C103" s="20">
        <f>'[1]04 1 12"'!$K$25</f>
        <v>3</v>
      </c>
      <c r="D103" s="4">
        <f>'[1]04 1 12"'!$G$25</f>
        <v>229200</v>
      </c>
      <c r="E103" s="274">
        <f>C103*E100</f>
        <v>75000</v>
      </c>
      <c r="F103" s="274">
        <f>C103*F100</f>
        <v>75000</v>
      </c>
      <c r="G103" s="274">
        <f>D103-E103-F103</f>
        <v>79200</v>
      </c>
      <c r="H103" s="274"/>
      <c r="I103" s="274"/>
      <c r="J103" s="274"/>
      <c r="K103" s="288">
        <f t="shared" si="9"/>
        <v>229200</v>
      </c>
    </row>
    <row r="104" spans="1:12" s="1" customFormat="1" ht="14.35" customHeight="1" x14ac:dyDescent="0.45">
      <c r="A104" s="287" t="s">
        <v>212</v>
      </c>
      <c r="B104" s="4">
        <f>Rates!D42</f>
        <v>100000</v>
      </c>
      <c r="C104" s="20">
        <f>'[1]04 1 12"'!$K$27</f>
        <v>1</v>
      </c>
      <c r="D104" s="4">
        <f>'[1]04 1 12"'!$G$27</f>
        <v>195700</v>
      </c>
      <c r="E104" s="274">
        <f>C104*E100</f>
        <v>25000</v>
      </c>
      <c r="F104" s="274">
        <f>C104*F100</f>
        <v>25000</v>
      </c>
      <c r="G104" s="274">
        <f>C104*G100</f>
        <v>50000</v>
      </c>
      <c r="H104" s="274">
        <f>D104-E104-F104-G104</f>
        <v>95700</v>
      </c>
      <c r="I104" s="274"/>
      <c r="J104" s="274"/>
      <c r="K104" s="288">
        <f t="shared" si="9"/>
        <v>195700</v>
      </c>
    </row>
    <row r="105" spans="1:12" s="1" customFormat="1" ht="14.35" customHeight="1" x14ac:dyDescent="0.45">
      <c r="A105" s="287" t="s">
        <v>212</v>
      </c>
      <c r="B105" s="4">
        <f>Rates!D43</f>
        <v>100000</v>
      </c>
      <c r="C105" s="20">
        <f>'[1]04 1 12"'!$K$29</f>
        <v>1</v>
      </c>
      <c r="D105" s="4">
        <f>'[1]04 1 12"'!$G$29</f>
        <v>201000</v>
      </c>
      <c r="E105" s="274">
        <f>C105*E100</f>
        <v>25000</v>
      </c>
      <c r="F105" s="274">
        <f>C105*F100</f>
        <v>25000</v>
      </c>
      <c r="G105" s="274">
        <f>C105*G100</f>
        <v>50000</v>
      </c>
      <c r="H105" s="274">
        <f>C105*H100</f>
        <v>100000</v>
      </c>
      <c r="I105" s="274">
        <f>D105-E105-F105-G105-H105</f>
        <v>1000</v>
      </c>
      <c r="J105" s="274"/>
      <c r="K105" s="288">
        <f t="shared" si="9"/>
        <v>201000</v>
      </c>
    </row>
    <row r="106" spans="1:12" s="1" customFormat="1" ht="14.35" customHeight="1" x14ac:dyDescent="0.75">
      <c r="A106" s="287" t="s">
        <v>213</v>
      </c>
      <c r="B106" s="4">
        <f>Rates!D44</f>
        <v>300000</v>
      </c>
      <c r="C106" s="92">
        <v>0</v>
      </c>
      <c r="D106" s="40">
        <v>0</v>
      </c>
      <c r="E106" s="277">
        <f>C106*E100</f>
        <v>0</v>
      </c>
      <c r="F106" s="277">
        <f>C106*F100</f>
        <v>0</v>
      </c>
      <c r="G106" s="277">
        <f>C106*G100</f>
        <v>0</v>
      </c>
      <c r="H106" s="277">
        <f>C106*H100</f>
        <v>0</v>
      </c>
      <c r="I106" s="277">
        <f>C106*I100</f>
        <v>0</v>
      </c>
      <c r="J106" s="277">
        <f>D106-E106-F106-G106-H106-I106</f>
        <v>0</v>
      </c>
      <c r="K106" s="289">
        <f t="shared" si="9"/>
        <v>0</v>
      </c>
    </row>
    <row r="107" spans="1:12" s="1" customFormat="1" ht="14.35" customHeight="1" x14ac:dyDescent="0.45">
      <c r="A107" s="287"/>
      <c r="B107" s="4"/>
      <c r="C107" s="20">
        <f>SUM(C101:C106)</f>
        <v>23</v>
      </c>
      <c r="D107" s="20">
        <f>SUM(D101:D106)</f>
        <v>891600</v>
      </c>
      <c r="E107" s="4">
        <f t="shared" ref="E107:K107" si="10">SUM(E101:E106)</f>
        <v>366400</v>
      </c>
      <c r="F107" s="4">
        <f t="shared" si="10"/>
        <v>149300</v>
      </c>
      <c r="G107" s="4">
        <f t="shared" si="10"/>
        <v>179200</v>
      </c>
      <c r="H107" s="4">
        <f t="shared" si="10"/>
        <v>195700</v>
      </c>
      <c r="I107" s="4">
        <f t="shared" si="10"/>
        <v>1000</v>
      </c>
      <c r="J107" s="4">
        <f t="shared" si="10"/>
        <v>0</v>
      </c>
      <c r="K107" s="288">
        <f t="shared" si="10"/>
        <v>891600</v>
      </c>
    </row>
    <row r="108" spans="1:12" s="1" customFormat="1" ht="14.35" customHeight="1" x14ac:dyDescent="0.45">
      <c r="A108" s="256"/>
      <c r="B108" s="4"/>
      <c r="G108" s="44"/>
      <c r="I108" s="15"/>
      <c r="J108" s="230"/>
      <c r="K108" s="285"/>
    </row>
    <row r="109" spans="1:12" s="1" customFormat="1" ht="14.35" customHeight="1" x14ac:dyDescent="0.45">
      <c r="A109" s="284" t="s">
        <v>241</v>
      </c>
      <c r="B109" s="4"/>
      <c r="C109" s="96"/>
      <c r="D109" s="384" t="s">
        <v>122</v>
      </c>
      <c r="E109" s="384"/>
      <c r="F109" s="123"/>
      <c r="G109" s="123"/>
      <c r="I109" s="15"/>
      <c r="J109" s="230"/>
      <c r="K109" s="285"/>
    </row>
    <row r="110" spans="1:12" s="1" customFormat="1" ht="14.35" customHeight="1" x14ac:dyDescent="0.45">
      <c r="A110" s="256"/>
      <c r="B110" s="103" t="s">
        <v>50</v>
      </c>
      <c r="C110" s="89" t="s">
        <v>51</v>
      </c>
      <c r="D110" s="89" t="s">
        <v>52</v>
      </c>
      <c r="E110" s="382" t="s">
        <v>54</v>
      </c>
      <c r="F110" s="382"/>
      <c r="G110" s="108" t="s">
        <v>55</v>
      </c>
      <c r="I110" s="15"/>
      <c r="J110" s="230"/>
      <c r="K110" s="285"/>
    </row>
    <row r="111" spans="1:12" s="1" customFormat="1" ht="14.35" customHeight="1" x14ac:dyDescent="0.45">
      <c r="A111" s="287" t="s">
        <v>211</v>
      </c>
      <c r="B111" s="4">
        <f>Rates!D39</f>
        <v>25000</v>
      </c>
      <c r="C111" s="91">
        <f>C107</f>
        <v>23</v>
      </c>
      <c r="D111" s="91">
        <f>E107</f>
        <v>366400</v>
      </c>
      <c r="E111" s="81">
        <f>Rates!F39</f>
        <v>159</v>
      </c>
      <c r="F111" s="46" t="s">
        <v>115</v>
      </c>
      <c r="G111" s="109">
        <f>ROUND(C111*E111,0)</f>
        <v>3657</v>
      </c>
      <c r="I111" s="15"/>
      <c r="J111" s="230"/>
      <c r="K111" s="285"/>
    </row>
    <row r="112" spans="1:12" s="1" customFormat="1" ht="14.35" customHeight="1" x14ac:dyDescent="0.45">
      <c r="A112" s="287" t="s">
        <v>212</v>
      </c>
      <c r="B112" s="4">
        <f>Rates!D40</f>
        <v>25000</v>
      </c>
      <c r="D112" s="91">
        <f>F107</f>
        <v>149300</v>
      </c>
      <c r="E112" s="266">
        <f>Rates!F40</f>
        <v>5.8399999999999997E-3</v>
      </c>
      <c r="F112" s="46" t="s">
        <v>209</v>
      </c>
      <c r="G112" s="109">
        <f t="shared" ref="G112:G116" si="11">ROUND(D112*E112,0)</f>
        <v>872</v>
      </c>
      <c r="I112" s="15"/>
      <c r="J112" s="230"/>
      <c r="K112" s="285"/>
    </row>
    <row r="113" spans="1:11" s="1" customFormat="1" ht="14.35" customHeight="1" x14ac:dyDescent="0.45">
      <c r="A113" s="287" t="s">
        <v>212</v>
      </c>
      <c r="B113" s="4">
        <f>Rates!D41</f>
        <v>50000</v>
      </c>
      <c r="D113" s="91">
        <f>G107</f>
        <v>179200</v>
      </c>
      <c r="E113" s="266">
        <f>Rates!F41</f>
        <v>5.4400000000000004E-3</v>
      </c>
      <c r="F113" s="46" t="s">
        <v>209</v>
      </c>
      <c r="G113" s="109">
        <f t="shared" si="11"/>
        <v>975</v>
      </c>
      <c r="I113" s="15"/>
      <c r="J113" s="230"/>
      <c r="K113" s="285"/>
    </row>
    <row r="114" spans="1:11" s="1" customFormat="1" ht="14.35" customHeight="1" x14ac:dyDescent="0.45">
      <c r="A114" s="287" t="s">
        <v>212</v>
      </c>
      <c r="B114" s="4">
        <f>Rates!D42</f>
        <v>100000</v>
      </c>
      <c r="D114" s="91">
        <f>H107</f>
        <v>195700</v>
      </c>
      <c r="E114" s="266">
        <f>Rates!F42</f>
        <v>5.0400000000000002E-3</v>
      </c>
      <c r="F114" s="46" t="s">
        <v>209</v>
      </c>
      <c r="G114" s="109">
        <f t="shared" si="11"/>
        <v>986</v>
      </c>
      <c r="I114" s="15"/>
      <c r="J114" s="230"/>
      <c r="K114" s="285"/>
    </row>
    <row r="115" spans="1:11" s="1" customFormat="1" ht="14.35" customHeight="1" x14ac:dyDescent="0.45">
      <c r="A115" s="287" t="s">
        <v>212</v>
      </c>
      <c r="B115" s="4">
        <f>Rates!D43</f>
        <v>100000</v>
      </c>
      <c r="D115" s="91">
        <f>I107</f>
        <v>1000</v>
      </c>
      <c r="E115" s="266">
        <f>Rates!F43</f>
        <v>4.64E-3</v>
      </c>
      <c r="F115" s="46" t="s">
        <v>209</v>
      </c>
      <c r="G115" s="109">
        <f t="shared" si="11"/>
        <v>5</v>
      </c>
      <c r="I115" s="15"/>
      <c r="J115" s="230"/>
      <c r="K115" s="285"/>
    </row>
    <row r="116" spans="1:11" s="1" customFormat="1" ht="14.35" customHeight="1" x14ac:dyDescent="0.75">
      <c r="A116" s="293" t="s">
        <v>213</v>
      </c>
      <c r="B116" s="4">
        <f>Rates!D44</f>
        <v>300000</v>
      </c>
      <c r="C116" s="82"/>
      <c r="D116" s="278">
        <f>J107</f>
        <v>0</v>
      </c>
      <c r="E116" s="266">
        <f>Rates!F44</f>
        <v>4.2399999999999998E-3</v>
      </c>
      <c r="F116" s="46" t="s">
        <v>209</v>
      </c>
      <c r="G116" s="110">
        <f t="shared" si="11"/>
        <v>0</v>
      </c>
      <c r="I116" s="15"/>
      <c r="J116" s="230"/>
      <c r="K116" s="285"/>
    </row>
    <row r="117" spans="1:11" s="1" customFormat="1" ht="14.35" customHeight="1" thickBot="1" x14ac:dyDescent="0.5">
      <c r="A117" s="294"/>
      <c r="B117" s="295"/>
      <c r="C117" s="296"/>
      <c r="D117" s="295">
        <f>SUM(D111:D116)</f>
        <v>891600</v>
      </c>
      <c r="E117" s="297"/>
      <c r="F117" s="297"/>
      <c r="G117" s="296">
        <f>SUM(G111:G116)</f>
        <v>6495</v>
      </c>
      <c r="H117" s="297"/>
      <c r="I117" s="309"/>
      <c r="J117" s="313"/>
      <c r="K117" s="301"/>
    </row>
    <row r="118" spans="1:11" s="1" customFormat="1" ht="14.35" customHeight="1" thickBot="1" x14ac:dyDescent="0.5">
      <c r="B118" s="4"/>
      <c r="C118" s="214"/>
      <c r="D118" s="4"/>
      <c r="G118" s="214"/>
      <c r="I118" s="15"/>
      <c r="J118" s="230"/>
    </row>
    <row r="119" spans="1:11" s="1" customFormat="1" ht="14.35" customHeight="1" x14ac:dyDescent="0.75">
      <c r="A119" s="279" t="s">
        <v>242</v>
      </c>
      <c r="B119" s="280"/>
      <c r="C119" s="281"/>
      <c r="D119" s="383" t="s">
        <v>123</v>
      </c>
      <c r="E119" s="383"/>
      <c r="F119" s="282"/>
      <c r="G119" s="299"/>
      <c r="H119" s="302"/>
      <c r="I119" s="306"/>
      <c r="J119" s="307"/>
      <c r="K119" s="93"/>
    </row>
    <row r="120" spans="1:11" s="1" customFormat="1" ht="14.35" customHeight="1" x14ac:dyDescent="0.45">
      <c r="A120" s="284"/>
      <c r="B120" s="4"/>
      <c r="C120" s="96"/>
      <c r="D120" s="272"/>
      <c r="E120" s="98" t="s">
        <v>211</v>
      </c>
      <c r="F120" s="98" t="s">
        <v>212</v>
      </c>
      <c r="G120" s="98" t="s">
        <v>212</v>
      </c>
      <c r="H120" s="98" t="s">
        <v>212</v>
      </c>
      <c r="I120" s="98" t="s">
        <v>213</v>
      </c>
      <c r="J120" s="285"/>
    </row>
    <row r="121" spans="1:11" s="1" customFormat="1" ht="14.35" customHeight="1" x14ac:dyDescent="0.45">
      <c r="A121" s="256"/>
      <c r="B121" s="103" t="s">
        <v>50</v>
      </c>
      <c r="C121" s="89" t="s">
        <v>51</v>
      </c>
      <c r="D121" s="89" t="s">
        <v>52</v>
      </c>
      <c r="E121" s="273">
        <f>B122</f>
        <v>50000</v>
      </c>
      <c r="F121" s="273">
        <f>B123</f>
        <v>50000</v>
      </c>
      <c r="G121" s="273">
        <f>B124</f>
        <v>100000</v>
      </c>
      <c r="H121" s="273">
        <f>B125</f>
        <v>100000</v>
      </c>
      <c r="I121" s="273">
        <f>B126</f>
        <v>300000</v>
      </c>
      <c r="J121" s="286" t="s">
        <v>12</v>
      </c>
    </row>
    <row r="122" spans="1:11" s="1" customFormat="1" ht="14.35" customHeight="1" x14ac:dyDescent="0.45">
      <c r="A122" s="287" t="s">
        <v>211</v>
      </c>
      <c r="B122" s="4">
        <f>Rates!D47</f>
        <v>50000</v>
      </c>
      <c r="C122" s="20">
        <f>'[1]05 2"'!$K$73</f>
        <v>71</v>
      </c>
      <c r="D122" s="4">
        <f>'[1]05 2"'!$G$73</f>
        <v>1080980</v>
      </c>
      <c r="E122" s="274">
        <f>D122</f>
        <v>1080980</v>
      </c>
      <c r="F122" s="274"/>
      <c r="G122" s="274"/>
      <c r="H122" s="274"/>
      <c r="I122" s="274"/>
      <c r="J122" s="288">
        <f>SUM(E122:I122)</f>
        <v>1080980</v>
      </c>
    </row>
    <row r="123" spans="1:11" s="1" customFormat="1" ht="14.35" customHeight="1" x14ac:dyDescent="0.45">
      <c r="A123" s="287" t="s">
        <v>212</v>
      </c>
      <c r="B123" s="4">
        <f>Rates!D48</f>
        <v>50000</v>
      </c>
      <c r="C123" s="20">
        <f>'[1]05 2"'!$K$89</f>
        <v>15</v>
      </c>
      <c r="D123" s="4">
        <f>'[1]05 2"'!$G$89</f>
        <v>1006270</v>
      </c>
      <c r="E123" s="274">
        <f>C123*E121</f>
        <v>750000</v>
      </c>
      <c r="F123" s="274">
        <f>D123-E123</f>
        <v>256270</v>
      </c>
      <c r="G123" s="274"/>
      <c r="H123" s="274"/>
      <c r="I123" s="274"/>
      <c r="J123" s="288">
        <f>SUM(E123:I123)</f>
        <v>1006270</v>
      </c>
    </row>
    <row r="124" spans="1:11" s="1" customFormat="1" ht="14.35" customHeight="1" x14ac:dyDescent="0.45">
      <c r="A124" s="287" t="s">
        <v>212</v>
      </c>
      <c r="B124" s="4">
        <f>Rates!D49</f>
        <v>100000</v>
      </c>
      <c r="C124" s="20">
        <f>'[1]05 2"'!$K$96</f>
        <v>6</v>
      </c>
      <c r="D124" s="4">
        <f>'[1]05 2"'!$G$96</f>
        <v>904400</v>
      </c>
      <c r="E124" s="274">
        <f>C124*E121</f>
        <v>300000</v>
      </c>
      <c r="F124" s="274">
        <f>C124*F121</f>
        <v>300000</v>
      </c>
      <c r="G124" s="274">
        <f>D124-E124-F124</f>
        <v>304400</v>
      </c>
      <c r="H124" s="274"/>
      <c r="I124" s="274"/>
      <c r="J124" s="288">
        <f>SUM(E124:I124)</f>
        <v>904400</v>
      </c>
    </row>
    <row r="125" spans="1:11" s="1" customFormat="1" ht="14.35" customHeight="1" x14ac:dyDescent="0.45">
      <c r="A125" s="287" t="s">
        <v>212</v>
      </c>
      <c r="B125" s="4">
        <f>Rates!D50</f>
        <v>100000</v>
      </c>
      <c r="C125" s="20">
        <f>'[1]05 2"'!$K$104</f>
        <v>7</v>
      </c>
      <c r="D125" s="4">
        <f>'[1]05 2"'!$G$104</f>
        <v>1506600</v>
      </c>
      <c r="E125" s="274">
        <f>C125*E121</f>
        <v>350000</v>
      </c>
      <c r="F125" s="274">
        <f>C125*F121</f>
        <v>350000</v>
      </c>
      <c r="G125" s="274">
        <f>C125*G121</f>
        <v>700000</v>
      </c>
      <c r="H125" s="274">
        <f>D125-E125-F125-G125</f>
        <v>106600</v>
      </c>
      <c r="I125" s="274"/>
      <c r="J125" s="288">
        <f>SUM(E125:I125)</f>
        <v>1506600</v>
      </c>
    </row>
    <row r="126" spans="1:11" s="1" customFormat="1" ht="14.35" customHeight="1" x14ac:dyDescent="0.75">
      <c r="A126" s="287" t="s">
        <v>213</v>
      </c>
      <c r="B126" s="4">
        <f>Rates!D51</f>
        <v>300000</v>
      </c>
      <c r="C126" s="92">
        <f>'[1]05 2"'!$K$117</f>
        <v>12</v>
      </c>
      <c r="D126" s="40">
        <f>'[1]05 2"'!$G$117</f>
        <v>16961700</v>
      </c>
      <c r="E126" s="277">
        <f>C126*E121</f>
        <v>600000</v>
      </c>
      <c r="F126" s="277">
        <f>C126*F121</f>
        <v>600000</v>
      </c>
      <c r="G126" s="277">
        <f>C126*G121</f>
        <v>1200000</v>
      </c>
      <c r="H126" s="277">
        <f>C126*H121</f>
        <v>1200000</v>
      </c>
      <c r="I126" s="277">
        <f>D126-E126-F126-G126-H126</f>
        <v>13361700</v>
      </c>
      <c r="J126" s="289">
        <f>SUM(E126:I126)</f>
        <v>16961700</v>
      </c>
    </row>
    <row r="127" spans="1:11" s="1" customFormat="1" ht="14.35" customHeight="1" x14ac:dyDescent="0.45">
      <c r="A127" s="287"/>
      <c r="B127" s="4"/>
      <c r="C127" s="20">
        <f t="shared" ref="C127:J127" si="12">SUM(C122:C126)</f>
        <v>111</v>
      </c>
      <c r="D127" s="4">
        <f t="shared" si="12"/>
        <v>21459950</v>
      </c>
      <c r="E127" s="4">
        <f t="shared" si="12"/>
        <v>3080980</v>
      </c>
      <c r="F127" s="4">
        <f t="shared" si="12"/>
        <v>1506270</v>
      </c>
      <c r="G127" s="4">
        <f t="shared" si="12"/>
        <v>2204400</v>
      </c>
      <c r="H127" s="4">
        <f t="shared" si="12"/>
        <v>1306600</v>
      </c>
      <c r="I127" s="4">
        <f t="shared" si="12"/>
        <v>13361700</v>
      </c>
      <c r="J127" s="288">
        <f t="shared" si="12"/>
        <v>21459950</v>
      </c>
    </row>
    <row r="128" spans="1:11" s="1" customFormat="1" ht="14.35" customHeight="1" x14ac:dyDescent="0.45">
      <c r="A128" s="256"/>
      <c r="B128" s="4"/>
      <c r="G128" s="44"/>
      <c r="I128" s="15"/>
      <c r="J128" s="308"/>
    </row>
    <row r="129" spans="1:10" s="1" customFormat="1" ht="14.35" customHeight="1" x14ac:dyDescent="0.45">
      <c r="A129" s="284" t="s">
        <v>241</v>
      </c>
      <c r="B129" s="123"/>
      <c r="C129" s="123"/>
      <c r="D129" s="384" t="s">
        <v>123</v>
      </c>
      <c r="E129" s="384"/>
      <c r="F129" s="123"/>
      <c r="G129" s="123"/>
      <c r="I129" s="15"/>
      <c r="J129" s="308"/>
    </row>
    <row r="130" spans="1:10" s="1" customFormat="1" ht="14.35" customHeight="1" x14ac:dyDescent="0.45">
      <c r="A130" s="256"/>
      <c r="B130" s="103" t="s">
        <v>50</v>
      </c>
      <c r="C130" s="89" t="s">
        <v>51</v>
      </c>
      <c r="D130" s="89" t="s">
        <v>52</v>
      </c>
      <c r="E130" s="382" t="s">
        <v>54</v>
      </c>
      <c r="F130" s="382"/>
      <c r="G130" s="108" t="s">
        <v>55</v>
      </c>
      <c r="I130" s="15"/>
      <c r="J130" s="308"/>
    </row>
    <row r="131" spans="1:10" s="1" customFormat="1" ht="14.35" customHeight="1" x14ac:dyDescent="0.45">
      <c r="A131" s="287" t="s">
        <v>211</v>
      </c>
      <c r="B131" s="4">
        <f>Rates!D47</f>
        <v>50000</v>
      </c>
      <c r="C131" s="91">
        <f>C127</f>
        <v>111</v>
      </c>
      <c r="D131" s="91">
        <f>E127</f>
        <v>3080980</v>
      </c>
      <c r="E131" s="81">
        <f>Rates!F47</f>
        <v>305</v>
      </c>
      <c r="F131" s="46" t="s">
        <v>115</v>
      </c>
      <c r="G131" s="109">
        <f>ROUND(C131*E131,0)</f>
        <v>33855</v>
      </c>
      <c r="I131" s="15"/>
      <c r="J131" s="308"/>
    </row>
    <row r="132" spans="1:10" s="1" customFormat="1" ht="14.35" customHeight="1" x14ac:dyDescent="0.45">
      <c r="A132" s="287" t="s">
        <v>212</v>
      </c>
      <c r="B132" s="4">
        <f>Rates!D48</f>
        <v>50000</v>
      </c>
      <c r="D132" s="91">
        <f>F127</f>
        <v>1506270</v>
      </c>
      <c r="E132" s="266">
        <f>Rates!F48</f>
        <v>5.4400000000000004E-3</v>
      </c>
      <c r="F132" s="46" t="s">
        <v>209</v>
      </c>
      <c r="G132" s="109">
        <f t="shared" ref="G132:G135" si="13">ROUND(D132*E132,0)</f>
        <v>8194</v>
      </c>
      <c r="I132" s="15"/>
      <c r="J132" s="308"/>
    </row>
    <row r="133" spans="1:10" s="1" customFormat="1" ht="14.35" customHeight="1" x14ac:dyDescent="0.45">
      <c r="A133" s="287" t="s">
        <v>212</v>
      </c>
      <c r="B133" s="4">
        <f>Rates!D49</f>
        <v>100000</v>
      </c>
      <c r="D133" s="91">
        <f>G127</f>
        <v>2204400</v>
      </c>
      <c r="E133" s="266">
        <f>Rates!F49</f>
        <v>5.0400000000000002E-3</v>
      </c>
      <c r="F133" s="46" t="s">
        <v>209</v>
      </c>
      <c r="G133" s="109">
        <f t="shared" si="13"/>
        <v>11110</v>
      </c>
      <c r="I133" s="15"/>
      <c r="J133" s="308"/>
    </row>
    <row r="134" spans="1:10" s="1" customFormat="1" ht="14.35" customHeight="1" x14ac:dyDescent="0.45">
      <c r="A134" s="287" t="s">
        <v>212</v>
      </c>
      <c r="B134" s="4">
        <f>Rates!D50</f>
        <v>100000</v>
      </c>
      <c r="D134" s="91">
        <f>H127</f>
        <v>1306600</v>
      </c>
      <c r="E134" s="266">
        <f>Rates!F50</f>
        <v>4.64E-3</v>
      </c>
      <c r="F134" s="46" t="s">
        <v>209</v>
      </c>
      <c r="G134" s="109">
        <f t="shared" si="13"/>
        <v>6063</v>
      </c>
      <c r="I134" s="15"/>
      <c r="J134" s="308"/>
    </row>
    <row r="135" spans="1:10" s="1" customFormat="1" ht="14.35" customHeight="1" x14ac:dyDescent="0.75">
      <c r="A135" s="293" t="s">
        <v>213</v>
      </c>
      <c r="B135" s="4">
        <f>Rates!D51</f>
        <v>300000</v>
      </c>
      <c r="C135" s="82"/>
      <c r="D135" s="278">
        <f>I127</f>
        <v>13361700</v>
      </c>
      <c r="E135" s="266">
        <f>Rates!F51</f>
        <v>4.2399999999999998E-3</v>
      </c>
      <c r="F135" s="46" t="s">
        <v>209</v>
      </c>
      <c r="G135" s="110">
        <f t="shared" si="13"/>
        <v>56654</v>
      </c>
      <c r="I135" s="15"/>
      <c r="J135" s="308"/>
    </row>
    <row r="136" spans="1:10" s="1" customFormat="1" ht="14.35" customHeight="1" thickBot="1" x14ac:dyDescent="0.5">
      <c r="A136" s="294"/>
      <c r="B136" s="295"/>
      <c r="C136" s="296"/>
      <c r="D136" s="295">
        <f>SUM(D131:D135)</f>
        <v>21459950</v>
      </c>
      <c r="E136" s="297"/>
      <c r="F136" s="297"/>
      <c r="G136" s="296">
        <f>SUM(G131:G135)</f>
        <v>115876</v>
      </c>
      <c r="H136" s="297"/>
      <c r="I136" s="309"/>
      <c r="J136" s="310"/>
    </row>
    <row r="137" spans="1:10" s="1" customFormat="1" ht="14.35" customHeight="1" thickBot="1" x14ac:dyDescent="0.5">
      <c r="B137" s="4"/>
      <c r="C137" s="214"/>
      <c r="D137" s="4"/>
      <c r="G137" s="214"/>
      <c r="I137" s="15"/>
      <c r="J137" s="230"/>
    </row>
    <row r="138" spans="1:10" s="1" customFormat="1" ht="14.35" customHeight="1" x14ac:dyDescent="0.45">
      <c r="A138" s="279" t="s">
        <v>242</v>
      </c>
      <c r="B138" s="280"/>
      <c r="C138" s="281"/>
      <c r="D138" s="383" t="s">
        <v>224</v>
      </c>
      <c r="E138" s="383"/>
      <c r="F138" s="282"/>
      <c r="G138" s="299"/>
      <c r="H138" s="302"/>
      <c r="I138" s="306"/>
      <c r="J138" s="307"/>
    </row>
    <row r="139" spans="1:10" s="1" customFormat="1" ht="14.35" customHeight="1" x14ac:dyDescent="0.45">
      <c r="A139" s="284"/>
      <c r="B139" s="4"/>
      <c r="C139" s="96"/>
      <c r="D139" s="272"/>
      <c r="E139" s="98" t="s">
        <v>211</v>
      </c>
      <c r="F139" s="98" t="s">
        <v>212</v>
      </c>
      <c r="G139" s="98" t="s">
        <v>212</v>
      </c>
      <c r="H139" s="98" t="s">
        <v>212</v>
      </c>
      <c r="I139" s="98" t="s">
        <v>213</v>
      </c>
      <c r="J139" s="285"/>
    </row>
    <row r="140" spans="1:10" s="1" customFormat="1" ht="14.35" customHeight="1" x14ac:dyDescent="0.45">
      <c r="A140" s="256"/>
      <c r="B140" s="103" t="s">
        <v>50</v>
      </c>
      <c r="C140" s="89" t="s">
        <v>51</v>
      </c>
      <c r="D140" s="89" t="s">
        <v>52</v>
      </c>
      <c r="E140" s="273">
        <f>B141</f>
        <v>75000</v>
      </c>
      <c r="F140" s="273">
        <f>B142</f>
        <v>25000</v>
      </c>
      <c r="G140" s="273">
        <f>B143</f>
        <v>100000</v>
      </c>
      <c r="H140" s="273">
        <f>B144</f>
        <v>100000</v>
      </c>
      <c r="I140" s="273">
        <f>B145</f>
        <v>300000</v>
      </c>
      <c r="J140" s="286" t="s">
        <v>12</v>
      </c>
    </row>
    <row r="141" spans="1:10" s="1" customFormat="1" ht="14.35" customHeight="1" x14ac:dyDescent="0.45">
      <c r="A141" s="287" t="s">
        <v>211</v>
      </c>
      <c r="B141" s="4">
        <f>Rates!D54</f>
        <v>75000</v>
      </c>
      <c r="C141" s="20">
        <v>0</v>
      </c>
      <c r="D141" s="4">
        <v>0</v>
      </c>
      <c r="E141" s="274">
        <f>D141</f>
        <v>0</v>
      </c>
      <c r="F141" s="274"/>
      <c r="G141" s="274"/>
      <c r="H141" s="274"/>
      <c r="I141" s="274"/>
      <c r="J141" s="288">
        <f>SUM(E141:I141)</f>
        <v>0</v>
      </c>
    </row>
    <row r="142" spans="1:10" s="1" customFormat="1" ht="14.35" customHeight="1" x14ac:dyDescent="0.45">
      <c r="A142" s="287" t="s">
        <v>212</v>
      </c>
      <c r="B142" s="4">
        <f>Rates!D55</f>
        <v>25000</v>
      </c>
      <c r="C142" s="20">
        <v>0</v>
      </c>
      <c r="D142" s="4">
        <v>0</v>
      </c>
      <c r="E142" s="274">
        <f>C142*E140</f>
        <v>0</v>
      </c>
      <c r="F142" s="274">
        <f>D142-E142</f>
        <v>0</v>
      </c>
      <c r="G142" s="274"/>
      <c r="H142" s="274"/>
      <c r="I142" s="274"/>
      <c r="J142" s="288">
        <f>SUM(E142:I142)</f>
        <v>0</v>
      </c>
    </row>
    <row r="143" spans="1:10" s="1" customFormat="1" ht="14.35" customHeight="1" x14ac:dyDescent="0.45">
      <c r="A143" s="287" t="s">
        <v>212</v>
      </c>
      <c r="B143" s="4">
        <f>Rates!D56</f>
        <v>100000</v>
      </c>
      <c r="C143" s="20">
        <v>0</v>
      </c>
      <c r="D143" s="4">
        <v>0</v>
      </c>
      <c r="E143" s="274">
        <f>C143*E140</f>
        <v>0</v>
      </c>
      <c r="F143" s="274">
        <f>C143*F140</f>
        <v>0</v>
      </c>
      <c r="G143" s="274">
        <f>D143-E143-F143</f>
        <v>0</v>
      </c>
      <c r="H143" s="274"/>
      <c r="I143" s="274"/>
      <c r="J143" s="288">
        <f>SUM(E143:I143)</f>
        <v>0</v>
      </c>
    </row>
    <row r="144" spans="1:10" s="1" customFormat="1" ht="14.35" customHeight="1" x14ac:dyDescent="0.45">
      <c r="A144" s="287" t="s">
        <v>212</v>
      </c>
      <c r="B144" s="4">
        <f>Rates!D57</f>
        <v>100000</v>
      </c>
      <c r="C144" s="20">
        <v>0</v>
      </c>
      <c r="D144" s="4">
        <v>0</v>
      </c>
      <c r="E144" s="274">
        <f>C144*E140</f>
        <v>0</v>
      </c>
      <c r="F144" s="274">
        <f>C144*F140</f>
        <v>0</v>
      </c>
      <c r="G144" s="274">
        <f>C144*G140</f>
        <v>0</v>
      </c>
      <c r="H144" s="274">
        <f>D144-E144-F144-G144</f>
        <v>0</v>
      </c>
      <c r="I144" s="274"/>
      <c r="J144" s="288">
        <f>SUM(E144:I144)</f>
        <v>0</v>
      </c>
    </row>
    <row r="145" spans="1:10" s="1" customFormat="1" ht="14.35" customHeight="1" x14ac:dyDescent="0.75">
      <c r="A145" s="287" t="s">
        <v>213</v>
      </c>
      <c r="B145" s="4">
        <f>Rates!D58</f>
        <v>300000</v>
      </c>
      <c r="C145" s="92">
        <v>0</v>
      </c>
      <c r="D145" s="40">
        <v>0</v>
      </c>
      <c r="E145" s="277">
        <f>C145*E140</f>
        <v>0</v>
      </c>
      <c r="F145" s="277">
        <f>C145*F140</f>
        <v>0</v>
      </c>
      <c r="G145" s="277">
        <f>C145*G140</f>
        <v>0</v>
      </c>
      <c r="H145" s="277">
        <f>C145*H140</f>
        <v>0</v>
      </c>
      <c r="I145" s="277">
        <f>D145-E145-F145-G145-H145</f>
        <v>0</v>
      </c>
      <c r="J145" s="289">
        <f>SUM(E145:I145)</f>
        <v>0</v>
      </c>
    </row>
    <row r="146" spans="1:10" s="1" customFormat="1" ht="14.35" customHeight="1" x14ac:dyDescent="0.45">
      <c r="A146" s="287"/>
      <c r="B146" s="4"/>
      <c r="C146" s="20">
        <f t="shared" ref="C146:J146" si="14">SUM(C141:C145)</f>
        <v>0</v>
      </c>
      <c r="D146" s="4">
        <f t="shared" si="14"/>
        <v>0</v>
      </c>
      <c r="E146" s="4">
        <f t="shared" si="14"/>
        <v>0</v>
      </c>
      <c r="F146" s="4">
        <f t="shared" si="14"/>
        <v>0</v>
      </c>
      <c r="G146" s="4">
        <f t="shared" si="14"/>
        <v>0</v>
      </c>
      <c r="H146" s="4">
        <f t="shared" si="14"/>
        <v>0</v>
      </c>
      <c r="I146" s="4">
        <f t="shared" si="14"/>
        <v>0</v>
      </c>
      <c r="J146" s="288">
        <f t="shared" si="14"/>
        <v>0</v>
      </c>
    </row>
    <row r="147" spans="1:10" s="1" customFormat="1" ht="14.35" customHeight="1" x14ac:dyDescent="0.45">
      <c r="A147" s="256"/>
      <c r="B147" s="4"/>
      <c r="C147" s="214"/>
      <c r="D147" s="4"/>
      <c r="G147" s="214"/>
      <c r="I147" s="15"/>
      <c r="J147" s="308"/>
    </row>
    <row r="148" spans="1:10" s="1" customFormat="1" ht="14.35" customHeight="1" x14ac:dyDescent="0.45">
      <c r="A148" s="284" t="s">
        <v>241</v>
      </c>
      <c r="B148" s="123"/>
      <c r="C148" s="123"/>
      <c r="D148" s="384" t="s">
        <v>224</v>
      </c>
      <c r="E148" s="384"/>
      <c r="F148" s="123"/>
      <c r="G148" s="123"/>
      <c r="I148" s="15"/>
      <c r="J148" s="308"/>
    </row>
    <row r="149" spans="1:10" s="1" customFormat="1" ht="14.35" customHeight="1" x14ac:dyDescent="0.45">
      <c r="A149" s="256"/>
      <c r="B149" s="103" t="s">
        <v>50</v>
      </c>
      <c r="C149" s="89" t="s">
        <v>51</v>
      </c>
      <c r="D149" s="89" t="s">
        <v>52</v>
      </c>
      <c r="E149" s="382" t="s">
        <v>54</v>
      </c>
      <c r="F149" s="382"/>
      <c r="G149" s="108" t="s">
        <v>55</v>
      </c>
      <c r="I149" s="15"/>
      <c r="J149" s="308"/>
    </row>
    <row r="150" spans="1:10" s="1" customFormat="1" ht="14.35" customHeight="1" x14ac:dyDescent="0.45">
      <c r="A150" s="287" t="s">
        <v>211</v>
      </c>
      <c r="B150" s="4">
        <f>Rates!D54</f>
        <v>75000</v>
      </c>
      <c r="C150" s="91">
        <f>C146</f>
        <v>0</v>
      </c>
      <c r="D150" s="91">
        <f>E146</f>
        <v>0</v>
      </c>
      <c r="E150" s="81">
        <f>Rates!F54</f>
        <v>440.99</v>
      </c>
      <c r="F150" s="46" t="s">
        <v>115</v>
      </c>
      <c r="G150" s="109">
        <f>ROUND(C150*E150,0)</f>
        <v>0</v>
      </c>
      <c r="I150" s="15"/>
      <c r="J150" s="308"/>
    </row>
    <row r="151" spans="1:10" s="1" customFormat="1" ht="14.35" customHeight="1" x14ac:dyDescent="0.45">
      <c r="A151" s="287" t="s">
        <v>212</v>
      </c>
      <c r="B151" s="4">
        <f>Rates!D55</f>
        <v>25000</v>
      </c>
      <c r="D151" s="91">
        <f>F146</f>
        <v>0</v>
      </c>
      <c r="E151" s="267">
        <f>Rates!F55</f>
        <v>5.4400000000000004E-3</v>
      </c>
      <c r="F151" s="46" t="s">
        <v>209</v>
      </c>
      <c r="G151" s="109">
        <f t="shared" ref="G151:G154" si="15">ROUND(D151*E151,0)</f>
        <v>0</v>
      </c>
      <c r="I151" s="15"/>
      <c r="J151" s="308"/>
    </row>
    <row r="152" spans="1:10" s="1" customFormat="1" ht="14.35" customHeight="1" x14ac:dyDescent="0.45">
      <c r="A152" s="287" t="s">
        <v>212</v>
      </c>
      <c r="B152" s="4">
        <f>Rates!D56</f>
        <v>100000</v>
      </c>
      <c r="D152" s="91">
        <f>G146</f>
        <v>0</v>
      </c>
      <c r="E152" s="267">
        <f>Rates!F56</f>
        <v>5.0400000000000002E-3</v>
      </c>
      <c r="F152" s="46" t="s">
        <v>209</v>
      </c>
      <c r="G152" s="109">
        <f t="shared" si="15"/>
        <v>0</v>
      </c>
      <c r="I152" s="15"/>
      <c r="J152" s="308"/>
    </row>
    <row r="153" spans="1:10" s="1" customFormat="1" ht="14.35" customHeight="1" x14ac:dyDescent="0.45">
      <c r="A153" s="287" t="s">
        <v>212</v>
      </c>
      <c r="B153" s="4">
        <f>Rates!D57</f>
        <v>100000</v>
      </c>
      <c r="D153" s="91">
        <f>H146</f>
        <v>0</v>
      </c>
      <c r="E153" s="267">
        <f>Rates!F57</f>
        <v>4.64E-3</v>
      </c>
      <c r="F153" s="46" t="s">
        <v>209</v>
      </c>
      <c r="G153" s="109">
        <f t="shared" si="15"/>
        <v>0</v>
      </c>
      <c r="I153" s="15"/>
      <c r="J153" s="308"/>
    </row>
    <row r="154" spans="1:10" s="1" customFormat="1" ht="14.35" customHeight="1" x14ac:dyDescent="0.75">
      <c r="A154" s="293" t="s">
        <v>213</v>
      </c>
      <c r="B154" s="4">
        <f>Rates!D58</f>
        <v>300000</v>
      </c>
      <c r="C154" s="82"/>
      <c r="D154" s="278">
        <f>I146</f>
        <v>0</v>
      </c>
      <c r="E154" s="267">
        <f>Rates!F58</f>
        <v>4.2399999999999998E-3</v>
      </c>
      <c r="F154" s="46" t="s">
        <v>209</v>
      </c>
      <c r="G154" s="110">
        <f t="shared" si="15"/>
        <v>0</v>
      </c>
      <c r="I154" s="15"/>
      <c r="J154" s="308"/>
    </row>
    <row r="155" spans="1:10" s="1" customFormat="1" ht="14.35" customHeight="1" thickBot="1" x14ac:dyDescent="0.5">
      <c r="A155" s="294"/>
      <c r="B155" s="295"/>
      <c r="C155" s="296"/>
      <c r="D155" s="295">
        <f>SUM(D150:D154)</f>
        <v>0</v>
      </c>
      <c r="E155" s="297"/>
      <c r="F155" s="297"/>
      <c r="G155" s="296">
        <f>SUM(G150:G154)</f>
        <v>0</v>
      </c>
      <c r="H155" s="297"/>
      <c r="I155" s="309"/>
      <c r="J155" s="310"/>
    </row>
    <row r="156" spans="1:10" s="1" customFormat="1" ht="14.35" customHeight="1" thickBot="1" x14ac:dyDescent="0.5">
      <c r="B156" s="4"/>
      <c r="C156" s="214"/>
      <c r="D156" s="4"/>
      <c r="G156" s="214"/>
      <c r="I156" s="15"/>
      <c r="J156" s="230"/>
    </row>
    <row r="157" spans="1:10" s="1" customFormat="1" ht="14.35" customHeight="1" x14ac:dyDescent="0.45">
      <c r="A157" s="279" t="s">
        <v>242</v>
      </c>
      <c r="B157" s="280"/>
      <c r="C157" s="281"/>
      <c r="D157" s="383" t="s">
        <v>225</v>
      </c>
      <c r="E157" s="383"/>
      <c r="F157" s="282"/>
      <c r="G157" s="299"/>
      <c r="H157" s="302"/>
      <c r="I157" s="303"/>
      <c r="J157" s="238"/>
    </row>
    <row r="158" spans="1:10" s="1" customFormat="1" ht="14.35" customHeight="1" x14ac:dyDescent="0.45">
      <c r="A158" s="284"/>
      <c r="B158" s="4"/>
      <c r="C158" s="96"/>
      <c r="D158" s="272"/>
      <c r="E158" s="98" t="s">
        <v>211</v>
      </c>
      <c r="F158" s="98" t="s">
        <v>212</v>
      </c>
      <c r="G158" s="98" t="s">
        <v>212</v>
      </c>
      <c r="H158" s="98" t="s">
        <v>213</v>
      </c>
      <c r="I158" s="285"/>
    </row>
    <row r="159" spans="1:10" s="1" customFormat="1" ht="14.35" customHeight="1" x14ac:dyDescent="0.45">
      <c r="A159" s="256"/>
      <c r="B159" s="103" t="s">
        <v>50</v>
      </c>
      <c r="C159" s="89" t="s">
        <v>51</v>
      </c>
      <c r="D159" s="89" t="s">
        <v>52</v>
      </c>
      <c r="E159" s="273">
        <f>B160</f>
        <v>100000</v>
      </c>
      <c r="F159" s="273">
        <f>B161</f>
        <v>100000</v>
      </c>
      <c r="G159" s="273">
        <f>B162</f>
        <v>100000</v>
      </c>
      <c r="H159" s="273">
        <f>B163</f>
        <v>300000</v>
      </c>
      <c r="I159" s="286" t="s">
        <v>12</v>
      </c>
    </row>
    <row r="160" spans="1:10" s="1" customFormat="1" ht="14.35" customHeight="1" x14ac:dyDescent="0.45">
      <c r="A160" s="287" t="s">
        <v>211</v>
      </c>
      <c r="B160" s="4">
        <f>Rates!D61</f>
        <v>100000</v>
      </c>
      <c r="C160" s="20">
        <v>0</v>
      </c>
      <c r="D160" s="4">
        <v>0</v>
      </c>
      <c r="E160" s="274">
        <f>D160</f>
        <v>0</v>
      </c>
      <c r="F160" s="274"/>
      <c r="G160" s="274"/>
      <c r="H160" s="274"/>
      <c r="I160" s="288">
        <f>SUM(E160:H160)</f>
        <v>0</v>
      </c>
    </row>
    <row r="161" spans="1:10" s="1" customFormat="1" ht="14.35" customHeight="1" x14ac:dyDescent="0.45">
      <c r="A161" s="287" t="s">
        <v>212</v>
      </c>
      <c r="B161" s="4">
        <f>Rates!D62</f>
        <v>100000</v>
      </c>
      <c r="C161" s="20">
        <f>'[1]07 3"'!$K$14</f>
        <v>12</v>
      </c>
      <c r="D161" s="4">
        <f>'[1]07 3"'!$G$14</f>
        <v>1722100</v>
      </c>
      <c r="E161" s="274">
        <f>C161*E159</f>
        <v>1200000</v>
      </c>
      <c r="F161" s="274">
        <f>D161-E161</f>
        <v>522100</v>
      </c>
      <c r="G161" s="274"/>
      <c r="H161" s="274"/>
      <c r="I161" s="288">
        <f>SUM(E161:H161)</f>
        <v>1722100</v>
      </c>
    </row>
    <row r="162" spans="1:10" s="1" customFormat="1" ht="14.35" customHeight="1" x14ac:dyDescent="0.45">
      <c r="A162" s="287" t="s">
        <v>212</v>
      </c>
      <c r="B162" s="4">
        <f>Rates!D63</f>
        <v>100000</v>
      </c>
      <c r="C162" s="20">
        <v>0</v>
      </c>
      <c r="D162" s="4">
        <v>0</v>
      </c>
      <c r="E162" s="274">
        <f>C162*E159</f>
        <v>0</v>
      </c>
      <c r="F162" s="274">
        <f>C162*F159</f>
        <v>0</v>
      </c>
      <c r="G162" s="274">
        <f>D162-E162-F162</f>
        <v>0</v>
      </c>
      <c r="H162" s="274"/>
      <c r="I162" s="288">
        <f>SUM(E162:H162)</f>
        <v>0</v>
      </c>
    </row>
    <row r="163" spans="1:10" s="1" customFormat="1" ht="14.35" customHeight="1" x14ac:dyDescent="0.75">
      <c r="A163" s="287" t="s">
        <v>212</v>
      </c>
      <c r="B163" s="4">
        <f>Rates!D64</f>
        <v>300000</v>
      </c>
      <c r="C163" s="92">
        <v>0</v>
      </c>
      <c r="D163" s="40">
        <v>0</v>
      </c>
      <c r="E163" s="277">
        <f>C163*E159</f>
        <v>0</v>
      </c>
      <c r="F163" s="277">
        <f>C163*F159</f>
        <v>0</v>
      </c>
      <c r="G163" s="277">
        <f>C163*G159</f>
        <v>0</v>
      </c>
      <c r="H163" s="277">
        <f>D163-E163-F163-G163</f>
        <v>0</v>
      </c>
      <c r="I163" s="289">
        <f>SUM(E163:H163)</f>
        <v>0</v>
      </c>
    </row>
    <row r="164" spans="1:10" s="1" customFormat="1" ht="14.35" customHeight="1" x14ac:dyDescent="0.45">
      <c r="A164" s="287"/>
      <c r="B164" s="4"/>
      <c r="C164" s="20">
        <f>SUM(C160:C163)</f>
        <v>12</v>
      </c>
      <c r="D164" s="4">
        <f t="shared" ref="D164:I164" si="16">SUM(D160:D163)</f>
        <v>1722100</v>
      </c>
      <c r="E164" s="4">
        <f t="shared" si="16"/>
        <v>1200000</v>
      </c>
      <c r="F164" s="4">
        <f t="shared" si="16"/>
        <v>522100</v>
      </c>
      <c r="G164" s="4">
        <f t="shared" si="16"/>
        <v>0</v>
      </c>
      <c r="H164" s="4">
        <f t="shared" si="16"/>
        <v>0</v>
      </c>
      <c r="I164" s="288">
        <f t="shared" si="16"/>
        <v>1722100</v>
      </c>
    </row>
    <row r="165" spans="1:10" s="1" customFormat="1" ht="14.35" customHeight="1" x14ac:dyDescent="0.45">
      <c r="A165" s="256"/>
      <c r="B165" s="4"/>
      <c r="G165" s="44"/>
      <c r="I165" s="304"/>
      <c r="J165" s="230"/>
    </row>
    <row r="166" spans="1:10" s="1" customFormat="1" ht="14.35" customHeight="1" x14ac:dyDescent="0.45">
      <c r="A166" s="284" t="s">
        <v>241</v>
      </c>
      <c r="C166" s="123"/>
      <c r="D166" s="384" t="s">
        <v>225</v>
      </c>
      <c r="E166" s="384"/>
      <c r="F166" s="123"/>
      <c r="G166" s="123"/>
      <c r="I166" s="304"/>
      <c r="J166" s="230"/>
    </row>
    <row r="167" spans="1:10" s="1" customFormat="1" ht="14.35" customHeight="1" x14ac:dyDescent="0.45">
      <c r="A167" s="256"/>
      <c r="B167" s="103" t="s">
        <v>50</v>
      </c>
      <c r="C167" s="89" t="s">
        <v>51</v>
      </c>
      <c r="D167" s="89" t="s">
        <v>52</v>
      </c>
      <c r="E167" s="382" t="s">
        <v>54</v>
      </c>
      <c r="F167" s="382"/>
      <c r="G167" s="108" t="s">
        <v>55</v>
      </c>
      <c r="I167" s="304"/>
      <c r="J167" s="230"/>
    </row>
    <row r="168" spans="1:10" s="1" customFormat="1" ht="14.35" customHeight="1" x14ac:dyDescent="0.45">
      <c r="A168" s="287" t="s">
        <v>211</v>
      </c>
      <c r="B168" s="4">
        <f>Rates!D61</f>
        <v>100000</v>
      </c>
      <c r="C168" s="91">
        <f>C164</f>
        <v>12</v>
      </c>
      <c r="D168" s="91">
        <f>E164</f>
        <v>1200000</v>
      </c>
      <c r="E168" s="81">
        <f>Rates!F61</f>
        <v>576.99</v>
      </c>
      <c r="F168" s="46" t="s">
        <v>115</v>
      </c>
      <c r="G168" s="109">
        <f>ROUND(C168*E168,0)</f>
        <v>6924</v>
      </c>
      <c r="I168" s="304"/>
      <c r="J168" s="230"/>
    </row>
    <row r="169" spans="1:10" s="1" customFormat="1" ht="14.35" customHeight="1" x14ac:dyDescent="0.45">
      <c r="A169" s="287" t="s">
        <v>212</v>
      </c>
      <c r="B169" s="4">
        <f>Rates!D62</f>
        <v>100000</v>
      </c>
      <c r="D169" s="91">
        <f>F164</f>
        <v>522100</v>
      </c>
      <c r="E169" s="267">
        <f>Rates!F62</f>
        <v>5.0400000000000002E-3</v>
      </c>
      <c r="F169" s="46" t="s">
        <v>209</v>
      </c>
      <c r="G169" s="109">
        <f t="shared" ref="G169:G171" si="17">ROUND(D169*E169,0)</f>
        <v>2631</v>
      </c>
      <c r="I169" s="304"/>
      <c r="J169" s="230"/>
    </row>
    <row r="170" spans="1:10" s="1" customFormat="1" ht="14.35" customHeight="1" x14ac:dyDescent="0.45">
      <c r="A170" s="287" t="s">
        <v>212</v>
      </c>
      <c r="B170" s="4">
        <f>Rates!D63</f>
        <v>100000</v>
      </c>
      <c r="D170" s="91">
        <f>G164</f>
        <v>0</v>
      </c>
      <c r="E170" s="267">
        <f>Rates!F63</f>
        <v>4.64E-3</v>
      </c>
      <c r="F170" s="46" t="s">
        <v>209</v>
      </c>
      <c r="G170" s="109">
        <f t="shared" si="17"/>
        <v>0</v>
      </c>
      <c r="I170" s="304"/>
      <c r="J170" s="230"/>
    </row>
    <row r="171" spans="1:10" s="1" customFormat="1" ht="14.35" customHeight="1" x14ac:dyDescent="0.75">
      <c r="A171" s="293" t="s">
        <v>213</v>
      </c>
      <c r="B171" s="4">
        <f>Rates!D64</f>
        <v>300000</v>
      </c>
      <c r="C171" s="82"/>
      <c r="D171" s="278">
        <f>H164</f>
        <v>0</v>
      </c>
      <c r="E171" s="267">
        <f>Rates!F64</f>
        <v>4.2399999999999998E-3</v>
      </c>
      <c r="F171" s="46" t="s">
        <v>209</v>
      </c>
      <c r="G171" s="110">
        <f t="shared" si="17"/>
        <v>0</v>
      </c>
      <c r="I171" s="304"/>
      <c r="J171" s="230"/>
    </row>
    <row r="172" spans="1:10" s="1" customFormat="1" ht="14.35" customHeight="1" thickBot="1" x14ac:dyDescent="0.5">
      <c r="A172" s="294"/>
      <c r="B172" s="295"/>
      <c r="C172" s="296"/>
      <c r="D172" s="295">
        <f>SUM(D168:D171)</f>
        <v>1722100</v>
      </c>
      <c r="E172" s="297"/>
      <c r="F172" s="297"/>
      <c r="G172" s="296">
        <f>SUM(G168:G171)</f>
        <v>9555</v>
      </c>
      <c r="H172" s="297"/>
      <c r="I172" s="305"/>
      <c r="J172" s="230"/>
    </row>
    <row r="173" spans="1:10" s="1" customFormat="1" ht="14.35" customHeight="1" thickBot="1" x14ac:dyDescent="0.5">
      <c r="B173" s="4"/>
      <c r="C173" s="214"/>
      <c r="D173" s="269"/>
      <c r="G173" s="214"/>
      <c r="I173" s="15"/>
      <c r="J173" s="230"/>
    </row>
    <row r="174" spans="1:10" s="1" customFormat="1" ht="14.35" customHeight="1" x14ac:dyDescent="0.45">
      <c r="A174" s="279" t="s">
        <v>242</v>
      </c>
      <c r="B174" s="280"/>
      <c r="C174" s="281"/>
      <c r="D174" s="383" t="s">
        <v>124</v>
      </c>
      <c r="E174" s="383"/>
      <c r="F174" s="282"/>
      <c r="G174" s="299"/>
      <c r="H174" s="300"/>
      <c r="I174" s="15"/>
      <c r="J174" s="230"/>
    </row>
    <row r="175" spans="1:10" s="1" customFormat="1" ht="14.35" customHeight="1" x14ac:dyDescent="0.45">
      <c r="A175" s="284"/>
      <c r="B175" s="4"/>
      <c r="C175" s="96"/>
      <c r="D175" s="272"/>
      <c r="E175" s="98" t="s">
        <v>211</v>
      </c>
      <c r="F175" s="98" t="s">
        <v>212</v>
      </c>
      <c r="G175" s="98" t="s">
        <v>212</v>
      </c>
      <c r="H175" s="285"/>
      <c r="I175" s="230"/>
    </row>
    <row r="176" spans="1:10" s="1" customFormat="1" ht="14.35" customHeight="1" x14ac:dyDescent="0.45">
      <c r="A176" s="256"/>
      <c r="B176" s="103" t="s">
        <v>50</v>
      </c>
      <c r="C176" s="89" t="s">
        <v>51</v>
      </c>
      <c r="D176" s="89" t="s">
        <v>52</v>
      </c>
      <c r="E176" s="273">
        <f>B177</f>
        <v>200000</v>
      </c>
      <c r="F176" s="273">
        <f>B178</f>
        <v>100000</v>
      </c>
      <c r="G176" s="273">
        <f>B179</f>
        <v>300000</v>
      </c>
      <c r="H176" s="286" t="s">
        <v>12</v>
      </c>
      <c r="I176" s="230"/>
    </row>
    <row r="177" spans="1:10" s="1" customFormat="1" ht="14.35" customHeight="1" x14ac:dyDescent="0.45">
      <c r="A177" s="287" t="s">
        <v>211</v>
      </c>
      <c r="B177" s="4">
        <f>Rates!D67</f>
        <v>200000</v>
      </c>
      <c r="C177" s="20">
        <f>'[1]08 4"'!$K$61</f>
        <v>59</v>
      </c>
      <c r="D177" s="4">
        <f>'[1]08 4"'!$G$61</f>
        <v>3621528</v>
      </c>
      <c r="E177" s="274">
        <f>D177</f>
        <v>3621528</v>
      </c>
      <c r="F177" s="274"/>
      <c r="G177" s="274"/>
      <c r="H177" s="288">
        <f>SUM(E177:G177)</f>
        <v>3621528</v>
      </c>
      <c r="I177" s="230"/>
    </row>
    <row r="178" spans="1:10" s="1" customFormat="1" ht="14.35" customHeight="1" x14ac:dyDescent="0.45">
      <c r="A178" s="287" t="s">
        <v>212</v>
      </c>
      <c r="B178" s="4">
        <f>Rates!D68</f>
        <v>100000</v>
      </c>
      <c r="C178" s="20">
        <f>'[1]08 4"'!$K$65</f>
        <v>3</v>
      </c>
      <c r="D178" s="4">
        <f>'[1]08 4"'!$G$65</f>
        <v>764000</v>
      </c>
      <c r="E178" s="274">
        <f>C178*E176</f>
        <v>600000</v>
      </c>
      <c r="F178" s="274">
        <f>D178-E178</f>
        <v>164000</v>
      </c>
      <c r="G178" s="274"/>
      <c r="H178" s="288">
        <f>SUM(E178:G178)</f>
        <v>764000</v>
      </c>
      <c r="I178" s="230"/>
    </row>
    <row r="179" spans="1:10" s="1" customFormat="1" ht="14.35" customHeight="1" x14ac:dyDescent="0.75">
      <c r="A179" s="287" t="s">
        <v>212</v>
      </c>
      <c r="B179" s="4">
        <f>Rates!D69</f>
        <v>300000</v>
      </c>
      <c r="C179" s="92">
        <f>'[1]08 4"'!$K$78</f>
        <v>12</v>
      </c>
      <c r="D179" s="40">
        <f>'[1]08 4"'!$G$78</f>
        <v>22897000</v>
      </c>
      <c r="E179" s="277">
        <f>C179*E176</f>
        <v>2400000</v>
      </c>
      <c r="F179" s="277">
        <f>C179*F176</f>
        <v>1200000</v>
      </c>
      <c r="G179" s="277">
        <f>D179-E179-F179</f>
        <v>19297000</v>
      </c>
      <c r="H179" s="289">
        <f>SUM(E179:G179)</f>
        <v>22897000</v>
      </c>
      <c r="I179" s="230"/>
    </row>
    <row r="180" spans="1:10" s="1" customFormat="1" ht="14.35" customHeight="1" x14ac:dyDescent="0.45">
      <c r="A180" s="287"/>
      <c r="B180" s="4"/>
      <c r="C180" s="20">
        <f>SUM(C177:C179)</f>
        <v>74</v>
      </c>
      <c r="D180" s="20">
        <f>SUM(D177:D179)</f>
        <v>27282528</v>
      </c>
      <c r="E180" s="4">
        <f t="shared" ref="E180:H180" si="18">SUM(E177:E179)</f>
        <v>6621528</v>
      </c>
      <c r="F180" s="4">
        <f t="shared" si="18"/>
        <v>1364000</v>
      </c>
      <c r="G180" s="4">
        <f t="shared" si="18"/>
        <v>19297000</v>
      </c>
      <c r="H180" s="288">
        <f t="shared" si="18"/>
        <v>27282528</v>
      </c>
      <c r="I180" s="230"/>
    </row>
    <row r="181" spans="1:10" s="1" customFormat="1" ht="14.35" customHeight="1" x14ac:dyDescent="0.45">
      <c r="A181" s="256"/>
      <c r="B181" s="4"/>
      <c r="G181" s="44"/>
      <c r="H181" s="285"/>
      <c r="I181" s="15"/>
      <c r="J181" s="230"/>
    </row>
    <row r="182" spans="1:10" s="1" customFormat="1" ht="14.35" customHeight="1" x14ac:dyDescent="0.45">
      <c r="A182" s="284" t="s">
        <v>241</v>
      </c>
      <c r="B182" s="123"/>
      <c r="C182" s="123"/>
      <c r="D182" s="384" t="s">
        <v>124</v>
      </c>
      <c r="E182" s="384"/>
      <c r="F182" s="123"/>
      <c r="G182" s="123"/>
      <c r="H182" s="285"/>
      <c r="I182" s="15"/>
      <c r="J182" s="230"/>
    </row>
    <row r="183" spans="1:10" s="1" customFormat="1" ht="14.35" customHeight="1" x14ac:dyDescent="0.45">
      <c r="A183" s="256"/>
      <c r="B183" s="103" t="s">
        <v>50</v>
      </c>
      <c r="C183" s="89" t="s">
        <v>51</v>
      </c>
      <c r="D183" s="89" t="s">
        <v>52</v>
      </c>
      <c r="E183" s="382" t="s">
        <v>54</v>
      </c>
      <c r="F183" s="382"/>
      <c r="G183" s="108" t="s">
        <v>55</v>
      </c>
      <c r="H183" s="285"/>
      <c r="I183" s="15"/>
      <c r="J183" s="230"/>
    </row>
    <row r="184" spans="1:10" s="1" customFormat="1" ht="14.35" customHeight="1" x14ac:dyDescent="0.45">
      <c r="A184" s="287" t="s">
        <v>211</v>
      </c>
      <c r="B184" s="4">
        <f>Rates!D67</f>
        <v>200000</v>
      </c>
      <c r="C184" s="91">
        <f>C180</f>
        <v>74</v>
      </c>
      <c r="D184" s="91">
        <f>E180</f>
        <v>6621528</v>
      </c>
      <c r="E184" s="81">
        <f>Rates!F67</f>
        <v>1080.98</v>
      </c>
      <c r="F184" s="46" t="s">
        <v>115</v>
      </c>
      <c r="G184" s="213">
        <f>ROUND(C184*E184,0)</f>
        <v>79993</v>
      </c>
      <c r="H184" s="285"/>
      <c r="I184" s="15"/>
      <c r="J184" s="230"/>
    </row>
    <row r="185" spans="1:10" s="1" customFormat="1" ht="14.35" customHeight="1" x14ac:dyDescent="0.45">
      <c r="A185" s="287" t="s">
        <v>212</v>
      </c>
      <c r="B185" s="4">
        <f>Rates!D68</f>
        <v>100000</v>
      </c>
      <c r="D185" s="91">
        <f>F180</f>
        <v>1364000</v>
      </c>
      <c r="E185" s="267">
        <f>Rates!F68</f>
        <v>4.64E-3</v>
      </c>
      <c r="F185" s="46" t="s">
        <v>209</v>
      </c>
      <c r="G185" s="213">
        <f t="shared" ref="G185:G186" si="19">ROUND(D185*E185,0)</f>
        <v>6329</v>
      </c>
      <c r="H185" s="285"/>
      <c r="I185" s="15"/>
      <c r="J185" s="230"/>
    </row>
    <row r="186" spans="1:10" s="1" customFormat="1" ht="14.35" customHeight="1" x14ac:dyDescent="0.75">
      <c r="A186" s="293" t="s">
        <v>213</v>
      </c>
      <c r="B186" s="4">
        <f>Rates!D69</f>
        <v>300000</v>
      </c>
      <c r="C186" s="82"/>
      <c r="D186" s="278">
        <f>G180</f>
        <v>19297000</v>
      </c>
      <c r="E186" s="267">
        <f>Rates!F69</f>
        <v>4.2399999999999998E-3</v>
      </c>
      <c r="F186" s="46" t="s">
        <v>209</v>
      </c>
      <c r="G186" s="330">
        <f t="shared" si="19"/>
        <v>81819</v>
      </c>
      <c r="H186" s="285"/>
      <c r="I186" s="15"/>
      <c r="J186" s="230"/>
    </row>
    <row r="187" spans="1:10" s="1" customFormat="1" ht="14.35" customHeight="1" thickBot="1" x14ac:dyDescent="0.5">
      <c r="A187" s="294"/>
      <c r="B187" s="295"/>
      <c r="C187" s="296"/>
      <c r="D187" s="295">
        <f>SUM(D184:D186)</f>
        <v>27282528</v>
      </c>
      <c r="E187" s="297"/>
      <c r="F187" s="297"/>
      <c r="G187" s="296">
        <f>SUM(G184:G186)</f>
        <v>168141</v>
      </c>
      <c r="H187" s="301"/>
      <c r="I187" s="15"/>
      <c r="J187" s="230"/>
    </row>
    <row r="188" spans="1:10" s="1" customFormat="1" ht="14.35" customHeight="1" thickBot="1" x14ac:dyDescent="0.5">
      <c r="B188" s="4"/>
      <c r="C188" s="214"/>
      <c r="D188" s="4"/>
      <c r="G188" s="214"/>
      <c r="I188" s="15"/>
      <c r="J188" s="230"/>
    </row>
    <row r="189" spans="1:10" s="1" customFormat="1" ht="14.35" customHeight="1" x14ac:dyDescent="0.45">
      <c r="A189" s="279" t="s">
        <v>242</v>
      </c>
      <c r="B189" s="280"/>
      <c r="C189" s="281"/>
      <c r="D189" s="383" t="s">
        <v>226</v>
      </c>
      <c r="E189" s="383"/>
      <c r="F189" s="282"/>
      <c r="G189" s="283"/>
      <c r="I189" s="15"/>
      <c r="J189" s="230"/>
    </row>
    <row r="190" spans="1:10" s="1" customFormat="1" ht="14.35" customHeight="1" x14ac:dyDescent="0.45">
      <c r="A190" s="284"/>
      <c r="B190" s="4"/>
      <c r="C190" s="96"/>
      <c r="D190" s="272"/>
      <c r="E190" s="98" t="s">
        <v>211</v>
      </c>
      <c r="F190" s="98" t="s">
        <v>212</v>
      </c>
      <c r="G190" s="285"/>
      <c r="H190" s="15"/>
      <c r="I190" s="230"/>
    </row>
    <row r="191" spans="1:10" s="1" customFormat="1" ht="14.35" customHeight="1" x14ac:dyDescent="0.45">
      <c r="A191" s="256"/>
      <c r="B191" s="103" t="s">
        <v>50</v>
      </c>
      <c r="C191" s="89" t="s">
        <v>51</v>
      </c>
      <c r="D191" s="89" t="s">
        <v>52</v>
      </c>
      <c r="E191" s="273">
        <f>B192</f>
        <v>300000</v>
      </c>
      <c r="F191" s="273">
        <f>B193</f>
        <v>300000</v>
      </c>
      <c r="G191" s="286" t="s">
        <v>12</v>
      </c>
      <c r="H191" s="15"/>
      <c r="I191" s="230"/>
    </row>
    <row r="192" spans="1:10" s="1" customFormat="1" ht="14.35" customHeight="1" x14ac:dyDescent="0.45">
      <c r="A192" s="287" t="s">
        <v>211</v>
      </c>
      <c r="B192" s="4">
        <f>Rates!D72</f>
        <v>300000</v>
      </c>
      <c r="C192" s="20">
        <v>0</v>
      </c>
      <c r="D192" s="4">
        <v>0</v>
      </c>
      <c r="E192" s="274">
        <f>D192</f>
        <v>0</v>
      </c>
      <c r="F192" s="274"/>
      <c r="G192" s="288">
        <f>SUM(E192:F192)</f>
        <v>0</v>
      </c>
      <c r="H192" s="15"/>
      <c r="I192" s="230"/>
    </row>
    <row r="193" spans="1:10" s="1" customFormat="1" ht="14.35" customHeight="1" x14ac:dyDescent="0.75">
      <c r="A193" s="287" t="s">
        <v>212</v>
      </c>
      <c r="B193" s="4">
        <f>Rates!D73</f>
        <v>300000</v>
      </c>
      <c r="C193" s="92">
        <f>'[1]6"'!$K$26</f>
        <v>24</v>
      </c>
      <c r="D193" s="40">
        <f>'[1]6"'!$G$26</f>
        <v>83058000</v>
      </c>
      <c r="E193" s="277">
        <f>C193*E191</f>
        <v>7200000</v>
      </c>
      <c r="F193" s="277">
        <f>D193-E193</f>
        <v>75858000</v>
      </c>
      <c r="G193" s="289">
        <f>SUM(E193:F193)</f>
        <v>83058000</v>
      </c>
      <c r="H193" s="15"/>
      <c r="I193" s="230"/>
    </row>
    <row r="194" spans="1:10" s="1" customFormat="1" ht="14.35" customHeight="1" x14ac:dyDescent="0.45">
      <c r="A194" s="287"/>
      <c r="B194" s="4"/>
      <c r="C194" s="20">
        <f>SUM(C192:C193)</f>
        <v>24</v>
      </c>
      <c r="D194" s="20">
        <f>SUM(D192:D193)</f>
        <v>83058000</v>
      </c>
      <c r="E194" s="4">
        <f>SUM(E192:E193)</f>
        <v>7200000</v>
      </c>
      <c r="F194" s="4">
        <f>SUM(F192:F193)</f>
        <v>75858000</v>
      </c>
      <c r="G194" s="288">
        <f>SUM(G192:G193)</f>
        <v>83058000</v>
      </c>
      <c r="H194" s="15"/>
      <c r="I194" s="230"/>
    </row>
    <row r="195" spans="1:10" s="1" customFormat="1" ht="14.35" customHeight="1" x14ac:dyDescent="0.45">
      <c r="A195" s="256"/>
      <c r="B195" s="4"/>
      <c r="G195" s="290"/>
      <c r="I195" s="15"/>
      <c r="J195" s="230"/>
    </row>
    <row r="196" spans="1:10" s="1" customFormat="1" ht="14.35" customHeight="1" x14ac:dyDescent="0.45">
      <c r="A196" s="284" t="s">
        <v>241</v>
      </c>
      <c r="B196" s="123"/>
      <c r="C196" s="123"/>
      <c r="D196" s="384" t="s">
        <v>226</v>
      </c>
      <c r="E196" s="384"/>
      <c r="F196" s="123"/>
      <c r="G196" s="291"/>
      <c r="I196" s="15"/>
      <c r="J196" s="230"/>
    </row>
    <row r="197" spans="1:10" s="1" customFormat="1" ht="14.35" customHeight="1" x14ac:dyDescent="0.45">
      <c r="A197" s="256"/>
      <c r="B197" s="103" t="s">
        <v>50</v>
      </c>
      <c r="C197" s="89" t="s">
        <v>51</v>
      </c>
      <c r="D197" s="89" t="s">
        <v>52</v>
      </c>
      <c r="E197" s="382" t="s">
        <v>54</v>
      </c>
      <c r="F197" s="382"/>
      <c r="G197" s="292" t="s">
        <v>55</v>
      </c>
      <c r="I197" s="15"/>
      <c r="J197" s="230"/>
    </row>
    <row r="198" spans="1:10" s="1" customFormat="1" ht="14.35" customHeight="1" x14ac:dyDescent="0.45">
      <c r="A198" s="287" t="s">
        <v>211</v>
      </c>
      <c r="B198" s="4">
        <f>Rates!D72</f>
        <v>300000</v>
      </c>
      <c r="C198" s="91">
        <f>C194</f>
        <v>24</v>
      </c>
      <c r="D198" s="91">
        <f>E194</f>
        <v>7200000</v>
      </c>
      <c r="E198" s="81">
        <f>Rates!F72</f>
        <v>1544.97</v>
      </c>
      <c r="F198" s="46" t="s">
        <v>115</v>
      </c>
      <c r="G198" s="327">
        <f>C198*E198</f>
        <v>37079.279999999999</v>
      </c>
      <c r="I198" s="15"/>
      <c r="J198" s="230"/>
    </row>
    <row r="199" spans="1:10" s="1" customFormat="1" ht="14.35" customHeight="1" x14ac:dyDescent="0.75">
      <c r="A199" s="293" t="s">
        <v>213</v>
      </c>
      <c r="B199" s="4">
        <f>Rates!D73</f>
        <v>300000</v>
      </c>
      <c r="C199" s="82"/>
      <c r="D199" s="278">
        <f>F194</f>
        <v>75858000</v>
      </c>
      <c r="E199" s="267">
        <f>Rates!F73</f>
        <v>4.2399999999999998E-3</v>
      </c>
      <c r="F199" s="46" t="s">
        <v>209</v>
      </c>
      <c r="G199" s="328">
        <f t="shared" ref="G199" si="20">ROUND(D199*E199,0)</f>
        <v>321638</v>
      </c>
      <c r="I199" s="15"/>
      <c r="J199" s="230"/>
    </row>
    <row r="200" spans="1:10" s="1" customFormat="1" ht="14.35" customHeight="1" thickBot="1" x14ac:dyDescent="0.5">
      <c r="A200" s="294"/>
      <c r="B200" s="295"/>
      <c r="C200" s="296"/>
      <c r="D200" s="295">
        <f>SUM(D198:D199)</f>
        <v>83058000</v>
      </c>
      <c r="E200" s="297"/>
      <c r="F200" s="297"/>
      <c r="G200" s="298">
        <f>SUM(G198:G199)</f>
        <v>358717.28</v>
      </c>
      <c r="I200" s="15"/>
      <c r="J200" s="230"/>
    </row>
    <row r="201" spans="1:10" s="1" customFormat="1" ht="14.35" customHeight="1" thickBot="1" x14ac:dyDescent="0.5">
      <c r="B201" s="4"/>
      <c r="G201" s="44"/>
      <c r="I201" s="15"/>
      <c r="J201" s="230"/>
    </row>
    <row r="202" spans="1:10" s="1" customFormat="1" ht="14.35" customHeight="1" x14ac:dyDescent="0.45">
      <c r="A202" s="279" t="s">
        <v>242</v>
      </c>
      <c r="B202" s="280"/>
      <c r="C202" s="281"/>
      <c r="D202" s="383" t="s">
        <v>258</v>
      </c>
      <c r="E202" s="383"/>
      <c r="F202" s="282"/>
      <c r="G202" s="299"/>
      <c r="H202" s="300"/>
      <c r="I202" s="15"/>
      <c r="J202" s="230"/>
    </row>
    <row r="203" spans="1:10" s="1" customFormat="1" ht="14.35" customHeight="1" x14ac:dyDescent="0.45">
      <c r="A203" s="284"/>
      <c r="B203" s="4"/>
      <c r="C203" s="96"/>
      <c r="D203" s="272"/>
      <c r="E203" s="98" t="s">
        <v>211</v>
      </c>
      <c r="F203" s="98" t="s">
        <v>212</v>
      </c>
      <c r="G203" s="98" t="s">
        <v>212</v>
      </c>
      <c r="H203" s="285"/>
      <c r="I203" s="230"/>
      <c r="J203" s="230"/>
    </row>
    <row r="204" spans="1:10" s="1" customFormat="1" ht="14.35" customHeight="1" x14ac:dyDescent="0.45">
      <c r="A204" s="256"/>
      <c r="B204" s="103" t="s">
        <v>50</v>
      </c>
      <c r="C204" s="89" t="s">
        <v>51</v>
      </c>
      <c r="D204" s="89" t="s">
        <v>52</v>
      </c>
      <c r="E204" s="273">
        <f>B205</f>
        <v>200000</v>
      </c>
      <c r="F204" s="273">
        <f>B206</f>
        <v>100000</v>
      </c>
      <c r="G204" s="273">
        <f>B207</f>
        <v>300000</v>
      </c>
      <c r="H204" s="286" t="s">
        <v>12</v>
      </c>
      <c r="I204" s="230"/>
      <c r="J204" s="230"/>
    </row>
    <row r="205" spans="1:10" s="1" customFormat="1" ht="14.35" customHeight="1" x14ac:dyDescent="0.45">
      <c r="A205" s="287" t="s">
        <v>211</v>
      </c>
      <c r="B205" s="4">
        <f>Rates!D67</f>
        <v>200000</v>
      </c>
      <c r="C205" s="20">
        <f>[1]Wholesale!$K$4</f>
        <v>2</v>
      </c>
      <c r="D205" s="4">
        <f>[1]Wholesale!$G$4</f>
        <v>3739488</v>
      </c>
      <c r="E205" s="274">
        <f>D205</f>
        <v>3739488</v>
      </c>
      <c r="F205" s="274"/>
      <c r="G205" s="274"/>
      <c r="H205" s="288">
        <f>SUM(E205:G205)</f>
        <v>3739488</v>
      </c>
      <c r="I205" s="230"/>
      <c r="J205" s="230"/>
    </row>
    <row r="206" spans="1:10" s="1" customFormat="1" ht="14.35" customHeight="1" x14ac:dyDescent="0.45">
      <c r="A206" s="287" t="s">
        <v>212</v>
      </c>
      <c r="B206" s="4">
        <f>Rates!D68</f>
        <v>100000</v>
      </c>
      <c r="C206" s="20">
        <f>[1]Wholesale!$K$11</f>
        <v>6</v>
      </c>
      <c r="D206" s="4">
        <f>[1]Wholesale!$G$11</f>
        <v>14665157</v>
      </c>
      <c r="E206" s="274">
        <f>C206*E204</f>
        <v>1200000</v>
      </c>
      <c r="F206" s="274">
        <f>D206-E206</f>
        <v>13465157</v>
      </c>
      <c r="G206" s="274"/>
      <c r="H206" s="288">
        <f>SUM(E206:G206)</f>
        <v>14665157</v>
      </c>
      <c r="I206" s="230"/>
      <c r="J206" s="230"/>
    </row>
    <row r="207" spans="1:10" s="1" customFormat="1" ht="14.35" customHeight="1" x14ac:dyDescent="0.75">
      <c r="A207" s="287" t="s">
        <v>212</v>
      </c>
      <c r="B207" s="4">
        <f>Rates!D69</f>
        <v>300000</v>
      </c>
      <c r="C207" s="92">
        <f>[1]Wholesale!$K$16</f>
        <v>4</v>
      </c>
      <c r="D207" s="40">
        <f>[1]Wholesale!$G$16</f>
        <v>14421279</v>
      </c>
      <c r="E207" s="277">
        <f>C207*E204</f>
        <v>800000</v>
      </c>
      <c r="F207" s="277">
        <f>C207*F204</f>
        <v>400000</v>
      </c>
      <c r="G207" s="277">
        <f>D207-E207-F207</f>
        <v>13221279</v>
      </c>
      <c r="H207" s="289">
        <f>SUM(E207:G207)</f>
        <v>14421279</v>
      </c>
      <c r="I207" s="230"/>
      <c r="J207" s="230"/>
    </row>
    <row r="208" spans="1:10" s="1" customFormat="1" ht="14.35" customHeight="1" x14ac:dyDescent="0.45">
      <c r="A208" s="287"/>
      <c r="B208" s="4"/>
      <c r="C208" s="20">
        <f>SUM(C205:C207)</f>
        <v>12</v>
      </c>
      <c r="D208" s="20">
        <f>SUM(D205:D207)</f>
        <v>32825924</v>
      </c>
      <c r="E208" s="4">
        <f t="shared" ref="E208:H208" si="21">SUM(E205:E207)</f>
        <v>5739488</v>
      </c>
      <c r="F208" s="4">
        <f t="shared" si="21"/>
        <v>13865157</v>
      </c>
      <c r="G208" s="4">
        <f t="shared" si="21"/>
        <v>13221279</v>
      </c>
      <c r="H208" s="288">
        <f t="shared" si="21"/>
        <v>32825924</v>
      </c>
      <c r="I208" s="230"/>
      <c r="J208" s="230"/>
    </row>
    <row r="209" spans="1:10" s="1" customFormat="1" ht="14.35" customHeight="1" thickBot="1" x14ac:dyDescent="0.5">
      <c r="A209" s="256"/>
      <c r="B209" s="4"/>
      <c r="G209" s="44"/>
      <c r="H209" s="285"/>
      <c r="I209" s="15"/>
      <c r="J209" s="230"/>
    </row>
    <row r="210" spans="1:10" s="1" customFormat="1" ht="14.35" customHeight="1" x14ac:dyDescent="0.45">
      <c r="A210" s="284" t="s">
        <v>241</v>
      </c>
      <c r="B210" s="123"/>
      <c r="C210" s="123"/>
      <c r="D210" s="383" t="s">
        <v>258</v>
      </c>
      <c r="E210" s="383"/>
      <c r="F210" s="123"/>
      <c r="G210" s="123"/>
      <c r="H210" s="285"/>
      <c r="I210" s="15"/>
      <c r="J210" s="230"/>
    </row>
    <row r="211" spans="1:10" s="1" customFormat="1" ht="14.35" customHeight="1" x14ac:dyDescent="0.45">
      <c r="A211" s="256"/>
      <c r="B211" s="103" t="s">
        <v>50</v>
      </c>
      <c r="C211" s="89" t="s">
        <v>51</v>
      </c>
      <c r="D211" s="89" t="s">
        <v>52</v>
      </c>
      <c r="E211" s="382" t="s">
        <v>54</v>
      </c>
      <c r="F211" s="382"/>
      <c r="G211" s="108" t="s">
        <v>55</v>
      </c>
      <c r="H211" s="285"/>
      <c r="I211" s="15"/>
      <c r="J211" s="230"/>
    </row>
    <row r="212" spans="1:10" s="1" customFormat="1" ht="14.35" customHeight="1" x14ac:dyDescent="0.45">
      <c r="A212" s="287" t="s">
        <v>211</v>
      </c>
      <c r="B212" s="4">
        <f>Rates!D67</f>
        <v>200000</v>
      </c>
      <c r="C212" s="91">
        <f>C208</f>
        <v>12</v>
      </c>
      <c r="D212" s="91">
        <f>E208</f>
        <v>5739488</v>
      </c>
      <c r="E212" s="81">
        <f>Rates!F67</f>
        <v>1080.98</v>
      </c>
      <c r="F212" s="46" t="s">
        <v>115</v>
      </c>
      <c r="G212" s="213">
        <f>ROUND(C212*E212,0)</f>
        <v>12972</v>
      </c>
      <c r="H212" s="285"/>
      <c r="I212" s="15"/>
      <c r="J212" s="230"/>
    </row>
    <row r="213" spans="1:10" s="1" customFormat="1" ht="14.35" customHeight="1" x14ac:dyDescent="0.45">
      <c r="A213" s="287" t="s">
        <v>212</v>
      </c>
      <c r="B213" s="4">
        <f>Rates!D68</f>
        <v>100000</v>
      </c>
      <c r="D213" s="91">
        <f>F208</f>
        <v>13865157</v>
      </c>
      <c r="E213" s="267">
        <f>Rates!F68</f>
        <v>4.64E-3</v>
      </c>
      <c r="F213" s="46" t="s">
        <v>209</v>
      </c>
      <c r="G213" s="213">
        <f t="shared" ref="G213:G214" si="22">ROUND(D213*E213,0)</f>
        <v>64334</v>
      </c>
      <c r="H213" s="285"/>
      <c r="I213" s="15"/>
      <c r="J213" s="230"/>
    </row>
    <row r="214" spans="1:10" s="1" customFormat="1" ht="14.35" customHeight="1" x14ac:dyDescent="0.75">
      <c r="A214" s="293" t="s">
        <v>213</v>
      </c>
      <c r="B214" s="4">
        <f>Rates!D69</f>
        <v>300000</v>
      </c>
      <c r="C214" s="82"/>
      <c r="D214" s="278">
        <f>G208</f>
        <v>13221279</v>
      </c>
      <c r="E214" s="267">
        <f>Rates!F69</f>
        <v>4.2399999999999998E-3</v>
      </c>
      <c r="F214" s="46" t="s">
        <v>209</v>
      </c>
      <c r="G214" s="330">
        <f t="shared" si="22"/>
        <v>56058</v>
      </c>
      <c r="H214" s="285"/>
      <c r="I214" s="15"/>
      <c r="J214" s="230"/>
    </row>
    <row r="215" spans="1:10" s="1" customFormat="1" ht="14.35" customHeight="1" thickBot="1" x14ac:dyDescent="0.5">
      <c r="A215" s="294"/>
      <c r="B215" s="295"/>
      <c r="C215" s="296"/>
      <c r="D215" s="295">
        <f>SUM(D212:D214)</f>
        <v>32825924</v>
      </c>
      <c r="E215" s="297"/>
      <c r="F215" s="297"/>
      <c r="G215" s="296">
        <f>SUM(G212:G214)</f>
        <v>133364</v>
      </c>
      <c r="H215" s="301"/>
      <c r="I215" s="15"/>
      <c r="J215" s="230"/>
    </row>
    <row r="216" spans="1:10" s="1" customFormat="1" ht="14.35" customHeight="1" x14ac:dyDescent="0.45">
      <c r="B216" s="4"/>
      <c r="C216" s="214"/>
      <c r="D216" s="4"/>
      <c r="G216" s="214"/>
      <c r="I216" s="15"/>
      <c r="J216" s="230"/>
    </row>
    <row r="217" spans="1:10" s="1" customFormat="1" ht="14.35" customHeight="1" x14ac:dyDescent="0.45">
      <c r="B217" s="4"/>
      <c r="D217" s="91"/>
      <c r="G217" s="44"/>
      <c r="I217" s="15"/>
      <c r="J217" s="230"/>
    </row>
    <row r="218" spans="1:10" s="1" customFormat="1" ht="14.35" customHeight="1" x14ac:dyDescent="0.45">
      <c r="B218" s="4"/>
      <c r="G218" s="44"/>
      <c r="I218" s="15"/>
      <c r="J218" s="230"/>
    </row>
    <row r="219" spans="1:10" s="1" customFormat="1" ht="14.35" customHeight="1" x14ac:dyDescent="0.45">
      <c r="B219" s="4"/>
      <c r="G219" s="44"/>
      <c r="I219" s="15"/>
      <c r="J219" s="230"/>
    </row>
    <row r="220" spans="1:10" s="1" customFormat="1" ht="14.35" customHeight="1" x14ac:dyDescent="0.45">
      <c r="B220" s="4"/>
      <c r="G220" s="44"/>
      <c r="I220" s="15"/>
      <c r="J220" s="230"/>
    </row>
    <row r="221" spans="1:10" s="1" customFormat="1" ht="14.35" customHeight="1" x14ac:dyDescent="0.45">
      <c r="B221" s="4"/>
      <c r="G221" s="44"/>
      <c r="I221" s="15"/>
      <c r="J221" s="230"/>
    </row>
    <row r="222" spans="1:10" s="1" customFormat="1" ht="14.35" customHeight="1" x14ac:dyDescent="0.45">
      <c r="B222" s="4"/>
      <c r="G222" s="44"/>
      <c r="I222" s="15"/>
      <c r="J222" s="230"/>
    </row>
    <row r="223" spans="1:10" s="1" customFormat="1" ht="14.35" customHeight="1" x14ac:dyDescent="0.45">
      <c r="B223" s="4"/>
      <c r="G223" s="44"/>
      <c r="I223" s="15"/>
      <c r="J223" s="230"/>
    </row>
    <row r="224" spans="1:10" s="1" customFormat="1" ht="14.35" customHeight="1" x14ac:dyDescent="0.45">
      <c r="B224" s="4"/>
      <c r="G224" s="44"/>
      <c r="I224" s="15"/>
      <c r="J224" s="230"/>
    </row>
    <row r="225" spans="2:10" s="1" customFormat="1" ht="14.35" customHeight="1" x14ac:dyDescent="0.45">
      <c r="B225" s="4"/>
      <c r="G225" s="44"/>
      <c r="I225" s="15"/>
      <c r="J225" s="230"/>
    </row>
    <row r="226" spans="2:10" s="1" customFormat="1" ht="14.35" customHeight="1" x14ac:dyDescent="0.45">
      <c r="B226" s="4"/>
      <c r="G226" s="44"/>
      <c r="I226" s="15"/>
      <c r="J226" s="230"/>
    </row>
    <row r="227" spans="2:10" s="1" customFormat="1" ht="14.35" customHeight="1" x14ac:dyDescent="0.45">
      <c r="B227" s="4"/>
      <c r="G227" s="44"/>
      <c r="I227" s="15"/>
      <c r="J227" s="230"/>
    </row>
    <row r="228" spans="2:10" s="1" customFormat="1" ht="14.35" customHeight="1" x14ac:dyDescent="0.45">
      <c r="B228" s="4"/>
      <c r="G228" s="44"/>
      <c r="I228" s="15"/>
      <c r="J228" s="230"/>
    </row>
    <row r="229" spans="2:10" s="1" customFormat="1" ht="14.35" customHeight="1" x14ac:dyDescent="0.45">
      <c r="B229" s="4"/>
      <c r="G229" s="44"/>
      <c r="I229" s="15"/>
      <c r="J229" s="230"/>
    </row>
    <row r="230" spans="2:10" s="1" customFormat="1" ht="14.35" customHeight="1" x14ac:dyDescent="0.45">
      <c r="B230" s="4"/>
      <c r="G230" s="44"/>
      <c r="I230" s="15"/>
      <c r="J230" s="230"/>
    </row>
    <row r="231" spans="2:10" s="1" customFormat="1" ht="14.35" customHeight="1" x14ac:dyDescent="0.45">
      <c r="B231" s="4"/>
      <c r="G231" s="44"/>
      <c r="I231" s="15"/>
      <c r="J231" s="230"/>
    </row>
    <row r="232" spans="2:10" s="1" customFormat="1" ht="14.35" customHeight="1" x14ac:dyDescent="0.45">
      <c r="B232" s="4"/>
      <c r="G232" s="44"/>
      <c r="I232" s="15"/>
      <c r="J232" s="230"/>
    </row>
    <row r="233" spans="2:10" s="1" customFormat="1" ht="14.35" customHeight="1" x14ac:dyDescent="0.45">
      <c r="B233" s="4"/>
      <c r="G233" s="44"/>
      <c r="I233" s="15"/>
      <c r="J233" s="230"/>
    </row>
    <row r="234" spans="2:10" s="1" customFormat="1" ht="14.35" customHeight="1" x14ac:dyDescent="0.45">
      <c r="B234" s="4"/>
      <c r="G234" s="44"/>
      <c r="I234" s="15"/>
      <c r="J234" s="230"/>
    </row>
    <row r="235" spans="2:10" s="1" customFormat="1" ht="14.35" customHeight="1" x14ac:dyDescent="0.45">
      <c r="B235" s="4"/>
      <c r="G235" s="44"/>
      <c r="I235" s="15"/>
      <c r="J235" s="230"/>
    </row>
    <row r="236" spans="2:10" s="1" customFormat="1" ht="14.35" customHeight="1" x14ac:dyDescent="0.45">
      <c r="B236" s="4"/>
      <c r="G236" s="44"/>
      <c r="I236" s="15"/>
      <c r="J236" s="230"/>
    </row>
    <row r="237" spans="2:10" s="1" customFormat="1" ht="14.35" customHeight="1" x14ac:dyDescent="0.45">
      <c r="B237" s="4"/>
      <c r="G237" s="44"/>
      <c r="I237" s="15"/>
      <c r="J237" s="230"/>
    </row>
    <row r="238" spans="2:10" s="1" customFormat="1" ht="14.35" customHeight="1" x14ac:dyDescent="0.45">
      <c r="B238" s="4"/>
      <c r="G238" s="44"/>
      <c r="I238" s="15"/>
      <c r="J238" s="230"/>
    </row>
    <row r="239" spans="2:10" s="1" customFormat="1" ht="14.35" customHeight="1" x14ac:dyDescent="0.45">
      <c r="B239" s="4"/>
      <c r="G239" s="44"/>
      <c r="I239" s="15"/>
      <c r="J239" s="230"/>
    </row>
    <row r="240" spans="2:10" s="1" customFormat="1" ht="14.35" customHeight="1" x14ac:dyDescent="0.45">
      <c r="B240" s="4"/>
      <c r="G240" s="44"/>
      <c r="I240" s="15"/>
      <c r="J240" s="230"/>
    </row>
    <row r="241" spans="2:10" s="1" customFormat="1" ht="14.35" customHeight="1" x14ac:dyDescent="0.45">
      <c r="B241" s="4"/>
      <c r="G241" s="44"/>
      <c r="I241" s="15"/>
      <c r="J241" s="230"/>
    </row>
    <row r="242" spans="2:10" s="1" customFormat="1" ht="14.35" customHeight="1" x14ac:dyDescent="0.45">
      <c r="B242" s="4"/>
      <c r="G242" s="44"/>
      <c r="I242" s="15"/>
      <c r="J242" s="230"/>
    </row>
    <row r="243" spans="2:10" s="1" customFormat="1" ht="14.35" customHeight="1" x14ac:dyDescent="0.45">
      <c r="B243" s="4"/>
      <c r="G243" s="44"/>
      <c r="I243" s="15"/>
      <c r="J243" s="230"/>
    </row>
    <row r="244" spans="2:10" s="1" customFormat="1" ht="14.35" customHeight="1" x14ac:dyDescent="0.45">
      <c r="B244" s="4"/>
      <c r="G244" s="44"/>
      <c r="I244" s="15"/>
      <c r="J244" s="230"/>
    </row>
    <row r="245" spans="2:10" s="1" customFormat="1" ht="14.35" customHeight="1" x14ac:dyDescent="0.45">
      <c r="B245" s="4"/>
      <c r="G245" s="44"/>
      <c r="I245" s="15"/>
      <c r="J245" s="230"/>
    </row>
    <row r="246" spans="2:10" s="1" customFormat="1" ht="14.35" customHeight="1" x14ac:dyDescent="0.45">
      <c r="B246" s="4"/>
      <c r="G246" s="44"/>
      <c r="I246" s="15"/>
      <c r="J246" s="230"/>
    </row>
    <row r="247" spans="2:10" s="1" customFormat="1" ht="14.35" customHeight="1" x14ac:dyDescent="0.45">
      <c r="B247" s="4"/>
      <c r="G247" s="44"/>
      <c r="I247" s="15"/>
      <c r="J247" s="230"/>
    </row>
    <row r="248" spans="2:10" s="1" customFormat="1" ht="14.35" customHeight="1" x14ac:dyDescent="0.45">
      <c r="B248" s="4"/>
      <c r="G248" s="44"/>
      <c r="I248" s="15"/>
      <c r="J248" s="230"/>
    </row>
    <row r="249" spans="2:10" s="1" customFormat="1" ht="14.35" customHeight="1" x14ac:dyDescent="0.45">
      <c r="B249" s="4"/>
      <c r="G249" s="44"/>
      <c r="I249" s="15"/>
      <c r="J249" s="230"/>
    </row>
    <row r="250" spans="2:10" s="1" customFormat="1" ht="14.35" customHeight="1" x14ac:dyDescent="0.45">
      <c r="B250" s="4"/>
      <c r="G250" s="44"/>
      <c r="I250" s="15"/>
      <c r="J250" s="230"/>
    </row>
    <row r="251" spans="2:10" s="1" customFormat="1" ht="14.35" customHeight="1" x14ac:dyDescent="0.45">
      <c r="B251" s="4"/>
      <c r="G251" s="44"/>
      <c r="I251" s="15"/>
      <c r="J251" s="230"/>
    </row>
    <row r="252" spans="2:10" s="1" customFormat="1" ht="14.35" customHeight="1" x14ac:dyDescent="0.45">
      <c r="B252" s="4"/>
      <c r="G252" s="44"/>
      <c r="I252" s="15"/>
      <c r="J252" s="230"/>
    </row>
    <row r="253" spans="2:10" s="1" customFormat="1" ht="14.35" customHeight="1" x14ac:dyDescent="0.45">
      <c r="B253" s="4"/>
      <c r="G253" s="44"/>
      <c r="I253" s="15"/>
      <c r="J253" s="230"/>
    </row>
    <row r="254" spans="2:10" s="1" customFormat="1" ht="14.35" customHeight="1" x14ac:dyDescent="0.45">
      <c r="B254" s="4"/>
      <c r="G254" s="44"/>
      <c r="I254" s="15"/>
      <c r="J254" s="230"/>
    </row>
    <row r="255" spans="2:10" s="1" customFormat="1" ht="14.35" customHeight="1" x14ac:dyDescent="0.45">
      <c r="B255" s="4"/>
      <c r="G255" s="44"/>
      <c r="I255" s="15"/>
      <c r="J255" s="230"/>
    </row>
    <row r="256" spans="2:10" s="1" customFormat="1" ht="14.35" customHeight="1" x14ac:dyDescent="0.45">
      <c r="B256" s="4"/>
      <c r="G256" s="44"/>
      <c r="I256" s="15"/>
      <c r="J256" s="230"/>
    </row>
    <row r="257" spans="2:10" s="1" customFormat="1" ht="14.35" customHeight="1" x14ac:dyDescent="0.45">
      <c r="B257" s="4"/>
      <c r="G257" s="44"/>
      <c r="I257" s="15"/>
      <c r="J257" s="230"/>
    </row>
    <row r="258" spans="2:10" s="1" customFormat="1" ht="14.35" customHeight="1" x14ac:dyDescent="0.45">
      <c r="B258" s="4"/>
      <c r="G258" s="44"/>
      <c r="I258" s="15"/>
      <c r="J258" s="230"/>
    </row>
    <row r="259" spans="2:10" s="1" customFormat="1" ht="14.35" customHeight="1" x14ac:dyDescent="0.45">
      <c r="B259" s="4"/>
      <c r="G259" s="44"/>
      <c r="I259" s="15"/>
      <c r="J259" s="230"/>
    </row>
    <row r="260" spans="2:10" s="1" customFormat="1" ht="14.35" customHeight="1" x14ac:dyDescent="0.45">
      <c r="B260" s="4"/>
      <c r="G260" s="44"/>
      <c r="I260" s="15"/>
      <c r="J260" s="230"/>
    </row>
    <row r="261" spans="2:10" s="1" customFormat="1" ht="14.35" customHeight="1" x14ac:dyDescent="0.45">
      <c r="B261" s="4"/>
      <c r="G261" s="44"/>
      <c r="I261" s="15"/>
      <c r="J261" s="230"/>
    </row>
    <row r="262" spans="2:10" s="1" customFormat="1" ht="14.35" customHeight="1" x14ac:dyDescent="0.45">
      <c r="B262" s="4"/>
      <c r="G262" s="44"/>
      <c r="I262" s="15"/>
      <c r="J262" s="230"/>
    </row>
    <row r="263" spans="2:10" s="1" customFormat="1" ht="14.35" customHeight="1" x14ac:dyDescent="0.45">
      <c r="B263" s="4"/>
      <c r="G263" s="44"/>
      <c r="I263" s="15"/>
      <c r="J263" s="230"/>
    </row>
    <row r="264" spans="2:10" s="1" customFormat="1" ht="14.35" customHeight="1" x14ac:dyDescent="0.45">
      <c r="B264" s="4"/>
      <c r="G264" s="44"/>
      <c r="I264" s="15"/>
      <c r="J264" s="230"/>
    </row>
    <row r="265" spans="2:10" s="1" customFormat="1" ht="14.35" customHeight="1" x14ac:dyDescent="0.45">
      <c r="B265" s="4"/>
      <c r="G265" s="44"/>
      <c r="I265" s="15"/>
      <c r="J265" s="230"/>
    </row>
    <row r="266" spans="2:10" s="1" customFormat="1" ht="14.35" customHeight="1" x14ac:dyDescent="0.45">
      <c r="B266" s="4"/>
      <c r="G266" s="44"/>
      <c r="I266" s="15"/>
      <c r="J266" s="230"/>
    </row>
    <row r="267" spans="2:10" s="1" customFormat="1" ht="14.35" customHeight="1" x14ac:dyDescent="0.45">
      <c r="B267" s="4"/>
      <c r="G267" s="44"/>
      <c r="I267" s="15"/>
      <c r="J267" s="230"/>
    </row>
    <row r="268" spans="2:10" s="1" customFormat="1" ht="14.35" customHeight="1" x14ac:dyDescent="0.45">
      <c r="B268" s="4"/>
      <c r="G268" s="44"/>
      <c r="I268" s="15"/>
      <c r="J268" s="230"/>
    </row>
    <row r="269" spans="2:10" s="1" customFormat="1" ht="14.35" customHeight="1" x14ac:dyDescent="0.45">
      <c r="B269" s="4"/>
      <c r="G269" s="44"/>
      <c r="I269" s="15"/>
      <c r="J269" s="230"/>
    </row>
    <row r="270" spans="2:10" s="1" customFormat="1" ht="14.35" customHeight="1" x14ac:dyDescent="0.45">
      <c r="B270" s="4"/>
      <c r="G270" s="44"/>
      <c r="I270" s="15"/>
      <c r="J270" s="230"/>
    </row>
    <row r="271" spans="2:10" s="1" customFormat="1" ht="14.35" customHeight="1" x14ac:dyDescent="0.45">
      <c r="B271" s="4"/>
      <c r="G271" s="44"/>
      <c r="I271" s="15"/>
      <c r="J271" s="230"/>
    </row>
    <row r="272" spans="2:10" s="1" customFormat="1" ht="14.35" customHeight="1" x14ac:dyDescent="0.45">
      <c r="B272" s="4"/>
      <c r="G272" s="44"/>
      <c r="I272" s="15"/>
      <c r="J272" s="230"/>
    </row>
    <row r="273" spans="2:10" s="1" customFormat="1" ht="14.35" customHeight="1" x14ac:dyDescent="0.45">
      <c r="B273" s="4"/>
      <c r="G273" s="44"/>
      <c r="I273" s="15"/>
      <c r="J273" s="230"/>
    </row>
    <row r="274" spans="2:10" s="1" customFormat="1" ht="14.35" customHeight="1" x14ac:dyDescent="0.45">
      <c r="B274" s="4"/>
      <c r="G274" s="44"/>
      <c r="I274" s="15"/>
      <c r="J274" s="230"/>
    </row>
    <row r="275" spans="2:10" s="1" customFormat="1" ht="14.35" customHeight="1" x14ac:dyDescent="0.45">
      <c r="B275" s="4"/>
      <c r="G275" s="44"/>
      <c r="I275" s="15"/>
      <c r="J275" s="230"/>
    </row>
    <row r="276" spans="2:10" s="1" customFormat="1" ht="14.35" customHeight="1" x14ac:dyDescent="0.45">
      <c r="B276" s="4"/>
      <c r="G276" s="44"/>
      <c r="I276" s="15"/>
      <c r="J276" s="230"/>
    </row>
    <row r="277" spans="2:10" s="1" customFormat="1" ht="14.35" customHeight="1" x14ac:dyDescent="0.45">
      <c r="B277" s="4"/>
      <c r="G277" s="44"/>
      <c r="I277" s="15"/>
      <c r="J277" s="230"/>
    </row>
    <row r="278" spans="2:10" s="1" customFormat="1" ht="14.35" customHeight="1" x14ac:dyDescent="0.45">
      <c r="B278" s="4"/>
      <c r="G278" s="44"/>
      <c r="I278" s="15"/>
      <c r="J278" s="230"/>
    </row>
    <row r="279" spans="2:10" s="1" customFormat="1" ht="14.35" customHeight="1" x14ac:dyDescent="0.45">
      <c r="B279" s="4"/>
      <c r="G279" s="44"/>
      <c r="I279" s="15"/>
      <c r="J279" s="230"/>
    </row>
    <row r="280" spans="2:10" s="1" customFormat="1" ht="14.35" customHeight="1" x14ac:dyDescent="0.45">
      <c r="B280" s="4"/>
      <c r="G280" s="44"/>
      <c r="I280" s="15"/>
      <c r="J280" s="230"/>
    </row>
    <row r="281" spans="2:10" s="1" customFormat="1" ht="14.35" customHeight="1" x14ac:dyDescent="0.45">
      <c r="B281" s="4"/>
      <c r="G281" s="44"/>
      <c r="I281" s="15"/>
      <c r="J281" s="230"/>
    </row>
    <row r="282" spans="2:10" s="1" customFormat="1" ht="14.35" customHeight="1" x14ac:dyDescent="0.45">
      <c r="B282" s="4"/>
      <c r="G282" s="44"/>
      <c r="I282" s="15"/>
      <c r="J282" s="230"/>
    </row>
    <row r="283" spans="2:10" s="1" customFormat="1" ht="14.35" customHeight="1" x14ac:dyDescent="0.45">
      <c r="B283" s="4"/>
      <c r="G283" s="44"/>
      <c r="I283" s="15"/>
      <c r="J283" s="230"/>
    </row>
    <row r="284" spans="2:10" s="1" customFormat="1" ht="14.35" customHeight="1" x14ac:dyDescent="0.45">
      <c r="B284" s="4"/>
      <c r="G284" s="44"/>
      <c r="I284" s="15"/>
      <c r="J284" s="230"/>
    </row>
    <row r="285" spans="2:10" s="1" customFormat="1" ht="14.35" customHeight="1" x14ac:dyDescent="0.45">
      <c r="B285" s="4"/>
      <c r="G285" s="44"/>
      <c r="I285" s="15"/>
      <c r="J285" s="230"/>
    </row>
    <row r="286" spans="2:10" s="1" customFormat="1" ht="14.35" customHeight="1" x14ac:dyDescent="0.45">
      <c r="B286" s="4"/>
      <c r="G286" s="44"/>
      <c r="I286" s="15"/>
      <c r="J286" s="230"/>
    </row>
    <row r="287" spans="2:10" s="1" customFormat="1" ht="14.35" customHeight="1" x14ac:dyDescent="0.45">
      <c r="B287" s="4"/>
      <c r="G287" s="44"/>
      <c r="I287" s="15"/>
      <c r="J287" s="230"/>
    </row>
    <row r="288" spans="2:10" s="1" customFormat="1" ht="14.35" customHeight="1" x14ac:dyDescent="0.45">
      <c r="B288" s="4"/>
      <c r="G288" s="44"/>
      <c r="I288" s="15"/>
      <c r="J288" s="230"/>
    </row>
    <row r="289" spans="2:10" s="1" customFormat="1" ht="14.35" customHeight="1" x14ac:dyDescent="0.45">
      <c r="B289" s="4"/>
      <c r="G289" s="44"/>
      <c r="I289" s="15"/>
      <c r="J289" s="230"/>
    </row>
    <row r="290" spans="2:10" s="1" customFormat="1" ht="14.35" customHeight="1" x14ac:dyDescent="0.45">
      <c r="B290" s="4"/>
      <c r="G290" s="44"/>
      <c r="I290" s="15"/>
      <c r="J290" s="230"/>
    </row>
    <row r="291" spans="2:10" s="1" customFormat="1" ht="14.35" customHeight="1" x14ac:dyDescent="0.45">
      <c r="B291" s="4"/>
      <c r="G291" s="44"/>
      <c r="I291" s="15"/>
      <c r="J291" s="230"/>
    </row>
    <row r="292" spans="2:10" s="1" customFormat="1" ht="14.35" customHeight="1" x14ac:dyDescent="0.45">
      <c r="B292" s="4"/>
      <c r="G292" s="44"/>
      <c r="I292" s="15"/>
      <c r="J292" s="230"/>
    </row>
    <row r="293" spans="2:10" s="1" customFormat="1" ht="14.35" customHeight="1" x14ac:dyDescent="0.45">
      <c r="B293" s="4"/>
      <c r="G293" s="44"/>
      <c r="I293" s="15"/>
      <c r="J293" s="230"/>
    </row>
    <row r="294" spans="2:10" s="1" customFormat="1" ht="14.35" customHeight="1" x14ac:dyDescent="0.45">
      <c r="B294" s="4"/>
      <c r="G294" s="44"/>
      <c r="I294" s="15"/>
      <c r="J294" s="230"/>
    </row>
    <row r="295" spans="2:10" s="1" customFormat="1" ht="14.35" customHeight="1" x14ac:dyDescent="0.45">
      <c r="B295" s="4"/>
      <c r="G295" s="44"/>
      <c r="I295" s="15"/>
      <c r="J295" s="230"/>
    </row>
    <row r="296" spans="2:10" s="1" customFormat="1" ht="14.35" customHeight="1" x14ac:dyDescent="0.45">
      <c r="B296" s="4"/>
      <c r="G296" s="44"/>
      <c r="I296" s="15"/>
      <c r="J296" s="230"/>
    </row>
    <row r="297" spans="2:10" s="1" customFormat="1" ht="14.35" customHeight="1" x14ac:dyDescent="0.45">
      <c r="B297" s="4"/>
      <c r="G297" s="44"/>
      <c r="I297" s="15"/>
      <c r="J297" s="230"/>
    </row>
    <row r="298" spans="2:10" s="1" customFormat="1" ht="14.35" customHeight="1" x14ac:dyDescent="0.45">
      <c r="B298" s="4"/>
      <c r="G298" s="44"/>
      <c r="I298" s="15"/>
      <c r="J298" s="230"/>
    </row>
    <row r="299" spans="2:10" s="1" customFormat="1" ht="14.35" customHeight="1" x14ac:dyDescent="0.45">
      <c r="B299" s="4"/>
      <c r="G299" s="44"/>
      <c r="I299" s="15"/>
      <c r="J299" s="230"/>
    </row>
    <row r="300" spans="2:10" s="1" customFormat="1" ht="14.35" customHeight="1" x14ac:dyDescent="0.45">
      <c r="B300" s="4"/>
      <c r="G300" s="44"/>
      <c r="I300" s="15"/>
      <c r="J300" s="230"/>
    </row>
    <row r="301" spans="2:10" s="1" customFormat="1" ht="14.35" customHeight="1" x14ac:dyDescent="0.45">
      <c r="B301" s="4"/>
      <c r="G301" s="44"/>
      <c r="I301" s="15"/>
      <c r="J301" s="230"/>
    </row>
    <row r="302" spans="2:10" s="1" customFormat="1" ht="14.35" customHeight="1" x14ac:dyDescent="0.45">
      <c r="B302" s="4"/>
      <c r="G302" s="44"/>
      <c r="I302" s="15"/>
      <c r="J302" s="230"/>
    </row>
    <row r="303" spans="2:10" s="1" customFormat="1" ht="14.35" customHeight="1" x14ac:dyDescent="0.45">
      <c r="B303" s="4"/>
      <c r="G303" s="44"/>
      <c r="I303" s="15"/>
      <c r="J303" s="230"/>
    </row>
    <row r="304" spans="2:10" s="1" customFormat="1" ht="14.35" customHeight="1" x14ac:dyDescent="0.45">
      <c r="B304" s="4"/>
      <c r="G304" s="44"/>
      <c r="I304" s="15"/>
      <c r="J304" s="230"/>
    </row>
    <row r="305" spans="2:10" s="1" customFormat="1" ht="14.35" customHeight="1" x14ac:dyDescent="0.45">
      <c r="B305" s="4"/>
      <c r="G305" s="44"/>
      <c r="I305" s="15"/>
      <c r="J305" s="230"/>
    </row>
    <row r="306" spans="2:10" s="1" customFormat="1" ht="14.25" x14ac:dyDescent="0.45">
      <c r="B306" s="4"/>
      <c r="G306" s="44"/>
      <c r="I306" s="15"/>
      <c r="J306" s="230"/>
    </row>
    <row r="307" spans="2:10" s="1" customFormat="1" ht="14.25" x14ac:dyDescent="0.45">
      <c r="B307" s="4"/>
      <c r="G307" s="44"/>
      <c r="I307" s="15"/>
      <c r="J307" s="230"/>
    </row>
    <row r="308" spans="2:10" s="1" customFormat="1" ht="14.25" x14ac:dyDescent="0.45">
      <c r="B308" s="4"/>
      <c r="G308" s="44"/>
      <c r="I308" s="15"/>
      <c r="J308" s="230"/>
    </row>
    <row r="309" spans="2:10" s="1" customFormat="1" ht="14.25" x14ac:dyDescent="0.45">
      <c r="B309" s="4"/>
      <c r="G309" s="44"/>
      <c r="I309" s="15"/>
      <c r="J309" s="230"/>
    </row>
    <row r="310" spans="2:10" s="1" customFormat="1" ht="14.25" x14ac:dyDescent="0.45">
      <c r="B310" s="4"/>
      <c r="G310" s="44"/>
      <c r="I310" s="15"/>
      <c r="J310" s="230"/>
    </row>
    <row r="311" spans="2:10" s="1" customFormat="1" ht="14.25" x14ac:dyDescent="0.45">
      <c r="B311" s="4"/>
      <c r="G311" s="44"/>
      <c r="I311" s="15"/>
      <c r="J311" s="230"/>
    </row>
    <row r="312" spans="2:10" s="1" customFormat="1" ht="14.25" x14ac:dyDescent="0.45">
      <c r="B312" s="4"/>
      <c r="G312" s="44"/>
      <c r="I312" s="15"/>
      <c r="J312" s="230"/>
    </row>
    <row r="313" spans="2:10" s="1" customFormat="1" ht="14.25" x14ac:dyDescent="0.45">
      <c r="B313" s="4"/>
      <c r="G313" s="44"/>
      <c r="I313" s="15"/>
      <c r="J313" s="230"/>
    </row>
    <row r="314" spans="2:10" s="1" customFormat="1" ht="14.25" x14ac:dyDescent="0.45">
      <c r="B314" s="4"/>
      <c r="G314" s="44"/>
      <c r="I314" s="15"/>
      <c r="J314" s="230"/>
    </row>
    <row r="315" spans="2:10" s="1" customFormat="1" ht="14.25" x14ac:dyDescent="0.45">
      <c r="B315" s="4"/>
      <c r="G315" s="44"/>
      <c r="I315" s="15"/>
      <c r="J315" s="230"/>
    </row>
    <row r="316" spans="2:10" s="1" customFormat="1" ht="14.25" x14ac:dyDescent="0.45">
      <c r="B316" s="4"/>
      <c r="G316" s="44"/>
      <c r="I316" s="15"/>
      <c r="J316" s="230"/>
    </row>
    <row r="317" spans="2:10" s="1" customFormat="1" ht="14.25" x14ac:dyDescent="0.45">
      <c r="B317" s="4"/>
      <c r="G317" s="44"/>
      <c r="I317" s="15"/>
      <c r="J317" s="230"/>
    </row>
    <row r="318" spans="2:10" s="1" customFormat="1" ht="14.25" x14ac:dyDescent="0.45">
      <c r="B318" s="4"/>
      <c r="G318" s="44"/>
      <c r="I318" s="15"/>
      <c r="J318" s="230"/>
    </row>
    <row r="319" spans="2:10" s="1" customFormat="1" ht="14.25" x14ac:dyDescent="0.45">
      <c r="B319" s="4"/>
      <c r="G319" s="44"/>
      <c r="I319" s="15"/>
      <c r="J319" s="230"/>
    </row>
    <row r="320" spans="2:10" s="1" customFormat="1" ht="14.25" x14ac:dyDescent="0.45">
      <c r="B320" s="4"/>
      <c r="G320" s="44"/>
      <c r="I320" s="15"/>
      <c r="J320" s="230"/>
    </row>
    <row r="321" spans="2:10" s="1" customFormat="1" ht="14.25" x14ac:dyDescent="0.45">
      <c r="B321" s="4"/>
      <c r="G321" s="44"/>
      <c r="I321" s="15"/>
      <c r="J321" s="230"/>
    </row>
    <row r="322" spans="2:10" s="1" customFormat="1" ht="14.25" x14ac:dyDescent="0.45">
      <c r="B322" s="4"/>
      <c r="G322" s="44"/>
      <c r="I322" s="15"/>
      <c r="J322" s="230"/>
    </row>
    <row r="323" spans="2:10" s="1" customFormat="1" ht="14.25" x14ac:dyDescent="0.45">
      <c r="B323" s="4"/>
      <c r="G323" s="44"/>
      <c r="I323" s="15"/>
      <c r="J323" s="230"/>
    </row>
    <row r="324" spans="2:10" s="1" customFormat="1" ht="14.25" x14ac:dyDescent="0.45">
      <c r="B324" s="4"/>
      <c r="G324" s="44"/>
      <c r="I324" s="15"/>
      <c r="J324" s="230"/>
    </row>
    <row r="325" spans="2:10" s="1" customFormat="1" ht="14.25" x14ac:dyDescent="0.45">
      <c r="B325" s="4"/>
      <c r="G325" s="44"/>
      <c r="I325" s="15"/>
      <c r="J325" s="230"/>
    </row>
    <row r="326" spans="2:10" s="1" customFormat="1" ht="14.25" x14ac:dyDescent="0.45">
      <c r="B326" s="4"/>
      <c r="G326" s="44"/>
      <c r="I326" s="15"/>
      <c r="J326" s="230"/>
    </row>
    <row r="327" spans="2:10" s="1" customFormat="1" ht="14.25" x14ac:dyDescent="0.45">
      <c r="B327" s="4"/>
      <c r="G327" s="44"/>
      <c r="I327" s="15"/>
      <c r="J327" s="230"/>
    </row>
    <row r="328" spans="2:10" s="1" customFormat="1" ht="14.25" x14ac:dyDescent="0.45">
      <c r="B328" s="4"/>
      <c r="G328" s="44"/>
      <c r="I328" s="15"/>
      <c r="J328" s="230"/>
    </row>
    <row r="329" spans="2:10" s="1" customFormat="1" ht="14.25" x14ac:dyDescent="0.45">
      <c r="B329" s="4"/>
      <c r="G329" s="44"/>
      <c r="I329" s="15"/>
      <c r="J329" s="230"/>
    </row>
    <row r="330" spans="2:10" s="1" customFormat="1" ht="14.25" x14ac:dyDescent="0.45">
      <c r="B330" s="4"/>
      <c r="G330" s="44"/>
      <c r="I330" s="15"/>
      <c r="J330" s="230"/>
    </row>
    <row r="331" spans="2:10" s="1" customFormat="1" ht="14.25" x14ac:dyDescent="0.45">
      <c r="B331" s="4"/>
      <c r="G331" s="44"/>
      <c r="I331" s="15"/>
      <c r="J331" s="230"/>
    </row>
    <row r="332" spans="2:10" s="1" customFormat="1" ht="14.25" x14ac:dyDescent="0.45">
      <c r="B332" s="4"/>
      <c r="G332" s="44"/>
      <c r="I332" s="15"/>
      <c r="J332" s="230"/>
    </row>
    <row r="333" spans="2:10" s="1" customFormat="1" ht="14.25" x14ac:dyDescent="0.45">
      <c r="B333" s="4"/>
      <c r="G333" s="44"/>
      <c r="I333" s="15"/>
      <c r="J333" s="230"/>
    </row>
    <row r="334" spans="2:10" s="1" customFormat="1" ht="14.25" x14ac:dyDescent="0.45">
      <c r="B334" s="4"/>
      <c r="G334" s="44"/>
      <c r="I334" s="15"/>
      <c r="J334" s="230"/>
    </row>
    <row r="335" spans="2:10" s="1" customFormat="1" ht="14.25" x14ac:dyDescent="0.45">
      <c r="B335" s="4"/>
      <c r="G335" s="44"/>
      <c r="I335" s="15"/>
      <c r="J335" s="230"/>
    </row>
    <row r="336" spans="2:10" s="1" customFormat="1" ht="14.25" x14ac:dyDescent="0.45">
      <c r="B336" s="4"/>
      <c r="G336" s="44"/>
      <c r="I336" s="15"/>
      <c r="J336" s="230"/>
    </row>
    <row r="337" spans="2:10" s="1" customFormat="1" ht="14.25" x14ac:dyDescent="0.45">
      <c r="B337" s="4"/>
      <c r="G337" s="44"/>
      <c r="I337" s="15"/>
      <c r="J337" s="230"/>
    </row>
    <row r="338" spans="2:10" s="1" customFormat="1" ht="14.25" x14ac:dyDescent="0.45">
      <c r="B338" s="4"/>
      <c r="G338" s="44"/>
      <c r="I338" s="15"/>
      <c r="J338" s="230"/>
    </row>
    <row r="339" spans="2:10" s="1" customFormat="1" ht="14.25" x14ac:dyDescent="0.45">
      <c r="B339" s="4"/>
      <c r="G339" s="44"/>
      <c r="I339" s="15"/>
      <c r="J339" s="230"/>
    </row>
    <row r="340" spans="2:10" s="1" customFormat="1" ht="14.25" x14ac:dyDescent="0.45">
      <c r="B340" s="4"/>
      <c r="G340" s="44"/>
      <c r="I340" s="15"/>
      <c r="J340" s="230"/>
    </row>
    <row r="341" spans="2:10" s="1" customFormat="1" ht="14.25" x14ac:dyDescent="0.45">
      <c r="B341" s="4"/>
      <c r="G341" s="44"/>
      <c r="I341" s="15"/>
      <c r="J341" s="230"/>
    </row>
    <row r="342" spans="2:10" s="1" customFormat="1" ht="14.25" x14ac:dyDescent="0.45">
      <c r="B342" s="4"/>
      <c r="G342" s="44"/>
      <c r="I342" s="15"/>
      <c r="J342" s="230"/>
    </row>
    <row r="343" spans="2:10" s="1" customFormat="1" ht="14.25" x14ac:dyDescent="0.45">
      <c r="B343" s="4"/>
      <c r="G343" s="44"/>
      <c r="I343" s="15"/>
      <c r="J343" s="230"/>
    </row>
    <row r="344" spans="2:10" s="1" customFormat="1" ht="14.25" x14ac:dyDescent="0.45">
      <c r="B344" s="4"/>
      <c r="G344" s="44"/>
      <c r="I344" s="15"/>
      <c r="J344" s="230"/>
    </row>
    <row r="345" spans="2:10" s="1" customFormat="1" ht="14.25" x14ac:dyDescent="0.45">
      <c r="B345" s="4"/>
      <c r="G345" s="44"/>
      <c r="I345" s="15"/>
      <c r="J345" s="230"/>
    </row>
    <row r="346" spans="2:10" s="1" customFormat="1" ht="14.25" x14ac:dyDescent="0.45">
      <c r="B346" s="4"/>
      <c r="G346" s="44"/>
      <c r="I346" s="15"/>
      <c r="J346" s="230"/>
    </row>
    <row r="347" spans="2:10" s="1" customFormat="1" ht="14.25" x14ac:dyDescent="0.45">
      <c r="B347" s="4"/>
      <c r="G347" s="44"/>
      <c r="I347" s="15"/>
      <c r="J347" s="230"/>
    </row>
    <row r="348" spans="2:10" s="1" customFormat="1" ht="14.25" x14ac:dyDescent="0.45">
      <c r="B348" s="4"/>
      <c r="G348" s="44"/>
      <c r="I348" s="15"/>
      <c r="J348" s="230"/>
    </row>
    <row r="349" spans="2:10" s="1" customFormat="1" ht="14.25" x14ac:dyDescent="0.45">
      <c r="B349" s="4"/>
      <c r="G349" s="44"/>
      <c r="I349" s="15"/>
      <c r="J349" s="230"/>
    </row>
    <row r="350" spans="2:10" s="1" customFormat="1" ht="14.25" x14ac:dyDescent="0.45">
      <c r="B350" s="4"/>
      <c r="G350" s="44"/>
      <c r="I350" s="15"/>
      <c r="J350" s="230"/>
    </row>
    <row r="351" spans="2:10" s="1" customFormat="1" ht="14.25" x14ac:dyDescent="0.45">
      <c r="B351" s="4"/>
      <c r="G351" s="44"/>
      <c r="I351" s="15"/>
      <c r="J351" s="230"/>
    </row>
    <row r="352" spans="2:10" s="1" customFormat="1" ht="14.25" x14ac:dyDescent="0.45">
      <c r="B352" s="4"/>
      <c r="G352" s="44"/>
      <c r="I352" s="15"/>
      <c r="J352" s="230"/>
    </row>
    <row r="353" spans="2:10" s="1" customFormat="1" ht="14.25" x14ac:dyDescent="0.45">
      <c r="B353" s="4"/>
      <c r="G353" s="44"/>
      <c r="I353" s="15"/>
      <c r="J353" s="230"/>
    </row>
    <row r="354" spans="2:10" s="1" customFormat="1" ht="14.25" x14ac:dyDescent="0.45">
      <c r="B354" s="4"/>
      <c r="G354" s="44"/>
      <c r="I354" s="15"/>
      <c r="J354" s="230"/>
    </row>
    <row r="355" spans="2:10" s="1" customFormat="1" ht="14.25" x14ac:dyDescent="0.45">
      <c r="B355" s="4"/>
      <c r="G355" s="44"/>
      <c r="I355" s="15"/>
      <c r="J355" s="230"/>
    </row>
    <row r="356" spans="2:10" s="1" customFormat="1" ht="14.25" x14ac:dyDescent="0.45">
      <c r="B356" s="4"/>
      <c r="G356" s="44"/>
      <c r="I356" s="15"/>
      <c r="J356" s="230"/>
    </row>
    <row r="357" spans="2:10" s="1" customFormat="1" ht="14.25" x14ac:dyDescent="0.45">
      <c r="B357" s="4"/>
      <c r="G357" s="44"/>
      <c r="I357" s="15"/>
      <c r="J357" s="230"/>
    </row>
    <row r="358" spans="2:10" s="1" customFormat="1" ht="14.25" x14ac:dyDescent="0.45">
      <c r="B358" s="4"/>
      <c r="G358" s="44"/>
      <c r="I358" s="15"/>
      <c r="J358" s="230"/>
    </row>
    <row r="359" spans="2:10" s="1" customFormat="1" ht="14.25" x14ac:dyDescent="0.45">
      <c r="B359" s="4"/>
      <c r="G359" s="44"/>
      <c r="I359" s="15"/>
      <c r="J359" s="230"/>
    </row>
    <row r="360" spans="2:10" s="1" customFormat="1" ht="14.25" x14ac:dyDescent="0.45">
      <c r="B360" s="4"/>
      <c r="G360" s="44"/>
      <c r="I360" s="15"/>
      <c r="J360" s="230"/>
    </row>
    <row r="361" spans="2:10" s="1" customFormat="1" ht="14.25" x14ac:dyDescent="0.45">
      <c r="B361" s="4"/>
      <c r="G361" s="44"/>
      <c r="I361" s="15"/>
      <c r="J361" s="230"/>
    </row>
    <row r="362" spans="2:10" s="1" customFormat="1" ht="14.25" x14ac:dyDescent="0.45">
      <c r="B362" s="4"/>
      <c r="G362" s="44"/>
      <c r="I362" s="15"/>
      <c r="J362" s="230"/>
    </row>
    <row r="363" spans="2:10" s="1" customFormat="1" ht="14.25" x14ac:dyDescent="0.45">
      <c r="B363" s="4"/>
      <c r="G363" s="44"/>
      <c r="I363" s="15"/>
      <c r="J363" s="230"/>
    </row>
    <row r="364" spans="2:10" s="1" customFormat="1" ht="14.25" x14ac:dyDescent="0.45">
      <c r="B364" s="4"/>
      <c r="G364" s="44"/>
      <c r="I364" s="15"/>
      <c r="J364" s="230"/>
    </row>
    <row r="365" spans="2:10" s="1" customFormat="1" ht="14.25" x14ac:dyDescent="0.45">
      <c r="B365" s="4"/>
      <c r="G365" s="44"/>
      <c r="I365" s="15"/>
      <c r="J365" s="230"/>
    </row>
    <row r="366" spans="2:10" s="1" customFormat="1" ht="14.25" x14ac:dyDescent="0.45">
      <c r="B366" s="4"/>
      <c r="G366" s="44"/>
      <c r="I366" s="15"/>
      <c r="J366" s="230"/>
    </row>
    <row r="367" spans="2:10" s="1" customFormat="1" ht="14.25" x14ac:dyDescent="0.45">
      <c r="B367" s="4"/>
      <c r="G367" s="44"/>
      <c r="I367" s="15"/>
      <c r="J367" s="230"/>
    </row>
    <row r="368" spans="2:10" s="1" customFormat="1" ht="14.25" x14ac:dyDescent="0.45">
      <c r="B368" s="4"/>
      <c r="G368" s="44"/>
      <c r="I368" s="15"/>
      <c r="J368" s="230"/>
    </row>
    <row r="369" spans="2:10" s="1" customFormat="1" ht="14.25" x14ac:dyDescent="0.45">
      <c r="B369" s="4"/>
      <c r="G369" s="44"/>
      <c r="I369" s="15"/>
      <c r="J369" s="230"/>
    </row>
    <row r="370" spans="2:10" s="1" customFormat="1" ht="14.25" x14ac:dyDescent="0.45">
      <c r="B370" s="4"/>
      <c r="G370" s="44"/>
      <c r="I370" s="15"/>
      <c r="J370" s="230"/>
    </row>
    <row r="371" spans="2:10" s="1" customFormat="1" ht="14.25" x14ac:dyDescent="0.45">
      <c r="B371" s="4"/>
      <c r="G371" s="44"/>
      <c r="I371" s="15"/>
      <c r="J371" s="230"/>
    </row>
    <row r="372" spans="2:10" s="1" customFormat="1" ht="14.25" x14ac:dyDescent="0.45">
      <c r="B372" s="4"/>
      <c r="G372" s="44"/>
      <c r="I372" s="15"/>
      <c r="J372" s="230"/>
    </row>
    <row r="373" spans="2:10" s="1" customFormat="1" ht="14.25" x14ac:dyDescent="0.45">
      <c r="B373" s="4"/>
      <c r="G373" s="44"/>
      <c r="I373" s="15"/>
      <c r="J373" s="230"/>
    </row>
    <row r="374" spans="2:10" s="1" customFormat="1" ht="14.25" x14ac:dyDescent="0.45">
      <c r="B374" s="4"/>
      <c r="G374" s="44"/>
      <c r="I374" s="15"/>
      <c r="J374" s="230"/>
    </row>
    <row r="375" spans="2:10" s="1" customFormat="1" ht="14.25" x14ac:dyDescent="0.45">
      <c r="B375" s="4"/>
      <c r="G375" s="44"/>
      <c r="I375" s="15"/>
      <c r="J375" s="230"/>
    </row>
    <row r="376" spans="2:10" s="1" customFormat="1" ht="14.25" x14ac:dyDescent="0.45">
      <c r="B376" s="4"/>
      <c r="G376" s="44"/>
      <c r="I376" s="15"/>
      <c r="J376" s="230"/>
    </row>
    <row r="377" spans="2:10" s="1" customFormat="1" ht="14.25" x14ac:dyDescent="0.45">
      <c r="B377" s="4"/>
      <c r="G377" s="44"/>
      <c r="I377" s="15"/>
      <c r="J377" s="230"/>
    </row>
    <row r="378" spans="2:10" s="1" customFormat="1" ht="14.25" x14ac:dyDescent="0.45">
      <c r="B378" s="4"/>
      <c r="G378" s="44"/>
      <c r="I378" s="15"/>
      <c r="J378" s="230"/>
    </row>
    <row r="379" spans="2:10" s="1" customFormat="1" ht="14.25" x14ac:dyDescent="0.45">
      <c r="B379" s="4"/>
      <c r="G379" s="44"/>
      <c r="I379" s="15"/>
      <c r="J379" s="230"/>
    </row>
    <row r="380" spans="2:10" s="1" customFormat="1" ht="14.25" x14ac:dyDescent="0.45">
      <c r="B380" s="4"/>
      <c r="G380" s="44"/>
      <c r="I380" s="15"/>
      <c r="J380" s="230"/>
    </row>
    <row r="381" spans="2:10" s="1" customFormat="1" ht="14.25" x14ac:dyDescent="0.45">
      <c r="B381" s="4"/>
      <c r="G381" s="44"/>
      <c r="I381" s="15"/>
      <c r="J381" s="230"/>
    </row>
    <row r="382" spans="2:10" s="1" customFormat="1" ht="14.25" x14ac:dyDescent="0.45">
      <c r="B382" s="4"/>
      <c r="G382" s="44"/>
      <c r="I382" s="15"/>
      <c r="J382" s="230"/>
    </row>
    <row r="383" spans="2:10" s="1" customFormat="1" ht="14.25" x14ac:dyDescent="0.45">
      <c r="B383" s="4"/>
      <c r="G383" s="44"/>
      <c r="I383" s="15"/>
      <c r="J383" s="230"/>
    </row>
    <row r="384" spans="2:10" s="1" customFormat="1" ht="14.25" x14ac:dyDescent="0.45">
      <c r="B384" s="4"/>
      <c r="G384" s="44"/>
      <c r="I384" s="15"/>
      <c r="J384" s="230"/>
    </row>
    <row r="385" spans="2:10" s="1" customFormat="1" ht="14.25" x14ac:dyDescent="0.45">
      <c r="B385" s="4"/>
      <c r="G385" s="44"/>
      <c r="I385" s="15"/>
      <c r="J385" s="230"/>
    </row>
    <row r="386" spans="2:10" s="1" customFormat="1" ht="14.25" x14ac:dyDescent="0.45">
      <c r="B386" s="4"/>
      <c r="G386" s="44"/>
      <c r="I386" s="15"/>
      <c r="J386" s="230"/>
    </row>
    <row r="387" spans="2:10" s="1" customFormat="1" ht="14.25" x14ac:dyDescent="0.45">
      <c r="B387" s="4"/>
      <c r="G387" s="44"/>
      <c r="I387" s="15"/>
      <c r="J387" s="230"/>
    </row>
    <row r="388" spans="2:10" s="1" customFormat="1" ht="14.25" x14ac:dyDescent="0.45">
      <c r="B388" s="4"/>
      <c r="G388" s="44"/>
      <c r="I388" s="15"/>
      <c r="J388" s="230"/>
    </row>
    <row r="389" spans="2:10" s="1" customFormat="1" ht="14.25" x14ac:dyDescent="0.45">
      <c r="B389" s="4"/>
      <c r="G389" s="44"/>
      <c r="I389" s="15"/>
      <c r="J389" s="230"/>
    </row>
    <row r="390" spans="2:10" s="1" customFormat="1" ht="14.25" x14ac:dyDescent="0.45">
      <c r="B390" s="4"/>
      <c r="G390" s="44"/>
      <c r="I390" s="15"/>
      <c r="J390" s="230"/>
    </row>
    <row r="391" spans="2:10" s="1" customFormat="1" ht="14.25" x14ac:dyDescent="0.45">
      <c r="B391" s="4"/>
      <c r="G391" s="44"/>
      <c r="I391" s="15"/>
      <c r="J391" s="230"/>
    </row>
    <row r="392" spans="2:10" s="1" customFormat="1" ht="14.25" x14ac:dyDescent="0.45">
      <c r="B392" s="4"/>
      <c r="G392" s="44"/>
      <c r="I392" s="15"/>
      <c r="J392" s="230"/>
    </row>
    <row r="393" spans="2:10" s="1" customFormat="1" ht="14.25" x14ac:dyDescent="0.45">
      <c r="B393" s="4"/>
      <c r="G393" s="44"/>
      <c r="I393" s="15"/>
      <c r="J393" s="230"/>
    </row>
    <row r="394" spans="2:10" s="1" customFormat="1" ht="14.25" x14ac:dyDescent="0.45">
      <c r="B394" s="4"/>
      <c r="G394" s="44"/>
      <c r="I394" s="15"/>
      <c r="J394" s="230"/>
    </row>
    <row r="395" spans="2:10" s="1" customFormat="1" ht="14.25" x14ac:dyDescent="0.45">
      <c r="B395" s="4"/>
      <c r="G395" s="44"/>
      <c r="I395" s="15"/>
      <c r="J395" s="230"/>
    </row>
    <row r="396" spans="2:10" s="1" customFormat="1" ht="14.25" x14ac:dyDescent="0.45">
      <c r="B396" s="4"/>
      <c r="G396" s="44"/>
      <c r="I396" s="15"/>
      <c r="J396" s="230"/>
    </row>
    <row r="397" spans="2:10" s="1" customFormat="1" ht="14.25" x14ac:dyDescent="0.45">
      <c r="B397" s="4"/>
      <c r="G397" s="44"/>
      <c r="I397" s="15"/>
      <c r="J397" s="230"/>
    </row>
    <row r="398" spans="2:10" s="1" customFormat="1" ht="14.25" x14ac:dyDescent="0.45">
      <c r="B398" s="4"/>
      <c r="G398" s="44"/>
      <c r="I398" s="15"/>
      <c r="J398" s="230"/>
    </row>
    <row r="399" spans="2:10" s="1" customFormat="1" ht="14.25" x14ac:dyDescent="0.45">
      <c r="B399" s="4"/>
      <c r="G399" s="44"/>
      <c r="I399" s="15"/>
      <c r="J399" s="230"/>
    </row>
    <row r="400" spans="2:10" s="1" customFormat="1" ht="14.25" x14ac:dyDescent="0.45">
      <c r="B400" s="4"/>
      <c r="G400" s="44"/>
      <c r="I400" s="15"/>
      <c r="J400" s="230"/>
    </row>
    <row r="401" spans="2:10" s="1" customFormat="1" ht="14.25" x14ac:dyDescent="0.45">
      <c r="B401" s="4"/>
      <c r="G401" s="44"/>
      <c r="I401" s="15"/>
      <c r="J401" s="230"/>
    </row>
    <row r="402" spans="2:10" s="1" customFormat="1" ht="14.25" x14ac:dyDescent="0.45">
      <c r="B402" s="4"/>
      <c r="G402" s="44"/>
      <c r="I402" s="15"/>
      <c r="J402" s="230"/>
    </row>
    <row r="403" spans="2:10" s="1" customFormat="1" ht="14.25" x14ac:dyDescent="0.45">
      <c r="B403" s="4"/>
      <c r="G403" s="44"/>
      <c r="I403" s="15"/>
      <c r="J403" s="230"/>
    </row>
    <row r="404" spans="2:10" s="1" customFormat="1" ht="14.25" x14ac:dyDescent="0.45">
      <c r="B404" s="4"/>
      <c r="G404" s="44"/>
      <c r="I404" s="15"/>
      <c r="J404" s="230"/>
    </row>
    <row r="405" spans="2:10" s="1" customFormat="1" ht="14.25" x14ac:dyDescent="0.45">
      <c r="B405" s="4"/>
      <c r="G405" s="44"/>
      <c r="I405" s="15"/>
      <c r="J405" s="230"/>
    </row>
    <row r="406" spans="2:10" s="1" customFormat="1" ht="14.25" x14ac:dyDescent="0.45">
      <c r="B406" s="4"/>
      <c r="G406" s="44"/>
      <c r="I406" s="15"/>
      <c r="J406" s="230"/>
    </row>
    <row r="407" spans="2:10" s="1" customFormat="1" ht="14.25" x14ac:dyDescent="0.45">
      <c r="B407" s="4"/>
      <c r="G407" s="44"/>
      <c r="I407" s="15"/>
      <c r="J407" s="230"/>
    </row>
    <row r="408" spans="2:10" s="1" customFormat="1" ht="14.25" x14ac:dyDescent="0.45">
      <c r="B408" s="4"/>
      <c r="G408" s="44"/>
      <c r="I408" s="15"/>
      <c r="J408" s="230"/>
    </row>
    <row r="409" spans="2:10" s="1" customFormat="1" ht="14.25" x14ac:dyDescent="0.45">
      <c r="B409" s="4"/>
      <c r="G409" s="44"/>
      <c r="I409" s="15"/>
      <c r="J409" s="230"/>
    </row>
    <row r="410" spans="2:10" s="1" customFormat="1" ht="14.25" x14ac:dyDescent="0.45">
      <c r="B410" s="4"/>
      <c r="G410" s="44"/>
      <c r="I410" s="15"/>
      <c r="J410" s="230"/>
    </row>
    <row r="411" spans="2:10" s="1" customFormat="1" ht="14.25" x14ac:dyDescent="0.45">
      <c r="B411" s="4"/>
      <c r="G411" s="44"/>
      <c r="I411" s="15"/>
      <c r="J411" s="230"/>
    </row>
    <row r="412" spans="2:10" s="1" customFormat="1" ht="14.25" x14ac:dyDescent="0.45">
      <c r="B412" s="4"/>
      <c r="G412" s="44"/>
      <c r="I412" s="15"/>
      <c r="J412" s="230"/>
    </row>
    <row r="413" spans="2:10" s="1" customFormat="1" ht="14.25" x14ac:dyDescent="0.45">
      <c r="B413" s="4"/>
      <c r="G413" s="44"/>
      <c r="I413" s="15"/>
      <c r="J413" s="230"/>
    </row>
    <row r="414" spans="2:10" s="1" customFormat="1" ht="14.25" x14ac:dyDescent="0.45">
      <c r="B414" s="4"/>
      <c r="G414" s="44"/>
      <c r="I414" s="15"/>
      <c r="J414" s="230"/>
    </row>
    <row r="415" spans="2:10" s="1" customFormat="1" ht="14.25" x14ac:dyDescent="0.45">
      <c r="B415" s="4"/>
      <c r="G415" s="44"/>
      <c r="I415" s="15"/>
      <c r="J415" s="230"/>
    </row>
    <row r="416" spans="2:10" s="1" customFormat="1" ht="14.25" x14ac:dyDescent="0.45">
      <c r="B416" s="4"/>
      <c r="G416" s="44"/>
      <c r="I416" s="15"/>
      <c r="J416" s="230"/>
    </row>
    <row r="417" spans="2:10" s="1" customFormat="1" ht="14.25" x14ac:dyDescent="0.45">
      <c r="B417" s="4"/>
      <c r="G417" s="44"/>
      <c r="I417" s="15"/>
      <c r="J417" s="230"/>
    </row>
    <row r="418" spans="2:10" s="1" customFormat="1" ht="14.25" x14ac:dyDescent="0.45">
      <c r="B418" s="4"/>
      <c r="G418" s="44"/>
      <c r="I418" s="15"/>
      <c r="J418" s="230"/>
    </row>
    <row r="419" spans="2:10" s="1" customFormat="1" ht="14.25" x14ac:dyDescent="0.45">
      <c r="B419" s="4"/>
      <c r="G419" s="44"/>
      <c r="I419" s="15"/>
      <c r="J419" s="230"/>
    </row>
    <row r="420" spans="2:10" s="1" customFormat="1" ht="14.25" x14ac:dyDescent="0.45">
      <c r="B420" s="4"/>
      <c r="G420" s="44"/>
      <c r="I420" s="15"/>
      <c r="J420" s="230"/>
    </row>
    <row r="421" spans="2:10" s="1" customFormat="1" ht="14.25" x14ac:dyDescent="0.45">
      <c r="B421" s="4"/>
      <c r="G421" s="44"/>
      <c r="I421" s="15"/>
      <c r="J421" s="230"/>
    </row>
    <row r="422" spans="2:10" s="1" customFormat="1" ht="14.25" x14ac:dyDescent="0.45">
      <c r="B422" s="4"/>
      <c r="G422" s="44"/>
      <c r="I422" s="15"/>
      <c r="J422" s="230"/>
    </row>
    <row r="423" spans="2:10" s="1" customFormat="1" ht="14.25" x14ac:dyDescent="0.45">
      <c r="B423" s="4"/>
      <c r="G423" s="44"/>
      <c r="I423" s="15"/>
      <c r="J423" s="230"/>
    </row>
    <row r="424" spans="2:10" s="1" customFormat="1" ht="14.25" x14ac:dyDescent="0.45">
      <c r="B424" s="4"/>
      <c r="G424" s="44"/>
      <c r="I424" s="15"/>
      <c r="J424" s="230"/>
    </row>
    <row r="425" spans="2:10" s="1" customFormat="1" ht="14.25" x14ac:dyDescent="0.45">
      <c r="B425" s="4"/>
      <c r="G425" s="44"/>
      <c r="I425" s="15"/>
      <c r="J425" s="230"/>
    </row>
    <row r="426" spans="2:10" s="1" customFormat="1" ht="14.25" x14ac:dyDescent="0.45">
      <c r="B426" s="4"/>
      <c r="G426" s="44"/>
      <c r="I426" s="15"/>
      <c r="J426" s="230"/>
    </row>
    <row r="427" spans="2:10" s="1" customFormat="1" ht="14.25" x14ac:dyDescent="0.45">
      <c r="B427" s="4"/>
      <c r="G427" s="44"/>
      <c r="I427" s="15"/>
      <c r="J427" s="230"/>
    </row>
    <row r="428" spans="2:10" s="1" customFormat="1" ht="14.25" x14ac:dyDescent="0.45">
      <c r="B428" s="4"/>
      <c r="G428" s="44"/>
      <c r="I428" s="15"/>
      <c r="J428" s="230"/>
    </row>
    <row r="429" spans="2:10" s="1" customFormat="1" ht="14.25" x14ac:dyDescent="0.45">
      <c r="B429" s="4"/>
      <c r="G429" s="44"/>
      <c r="I429" s="15"/>
      <c r="J429" s="230"/>
    </row>
    <row r="430" spans="2:10" s="1" customFormat="1" ht="14.25" x14ac:dyDescent="0.45">
      <c r="B430" s="4"/>
      <c r="G430" s="44"/>
      <c r="I430" s="15"/>
      <c r="J430" s="230"/>
    </row>
    <row r="431" spans="2:10" s="1" customFormat="1" ht="14.25" x14ac:dyDescent="0.45">
      <c r="B431" s="4"/>
      <c r="G431" s="44"/>
      <c r="I431" s="15"/>
      <c r="J431" s="230"/>
    </row>
    <row r="432" spans="2:10" s="1" customFormat="1" ht="14.25" x14ac:dyDescent="0.45">
      <c r="B432" s="4"/>
      <c r="G432" s="44"/>
      <c r="I432" s="15"/>
      <c r="J432" s="230"/>
    </row>
    <row r="433" spans="2:10" s="1" customFormat="1" ht="14.25" x14ac:dyDescent="0.45">
      <c r="B433" s="4"/>
      <c r="G433" s="44"/>
      <c r="I433" s="15"/>
      <c r="J433" s="230"/>
    </row>
    <row r="434" spans="2:10" s="1" customFormat="1" ht="14.25" x14ac:dyDescent="0.45">
      <c r="B434" s="4"/>
      <c r="G434" s="44"/>
      <c r="I434" s="15"/>
      <c r="J434" s="230"/>
    </row>
    <row r="435" spans="2:10" s="1" customFormat="1" ht="14.25" x14ac:dyDescent="0.45">
      <c r="B435" s="4"/>
      <c r="G435" s="44"/>
      <c r="I435" s="15"/>
      <c r="J435" s="230"/>
    </row>
    <row r="436" spans="2:10" s="1" customFormat="1" ht="14.25" x14ac:dyDescent="0.45">
      <c r="B436" s="4"/>
      <c r="G436" s="44"/>
      <c r="I436" s="15"/>
      <c r="J436" s="230"/>
    </row>
    <row r="437" spans="2:10" s="1" customFormat="1" ht="14.25" x14ac:dyDescent="0.45">
      <c r="B437" s="4"/>
      <c r="G437" s="44"/>
      <c r="I437" s="15"/>
      <c r="J437" s="230"/>
    </row>
    <row r="438" spans="2:10" s="1" customFormat="1" ht="14.25" x14ac:dyDescent="0.45">
      <c r="B438" s="4"/>
      <c r="G438" s="44"/>
      <c r="I438" s="15"/>
      <c r="J438" s="230"/>
    </row>
    <row r="439" spans="2:10" s="1" customFormat="1" ht="14.25" x14ac:dyDescent="0.45">
      <c r="B439" s="4"/>
      <c r="G439" s="44"/>
      <c r="I439" s="15"/>
      <c r="J439" s="230"/>
    </row>
    <row r="440" spans="2:10" s="1" customFormat="1" ht="14.25" x14ac:dyDescent="0.45">
      <c r="B440" s="4"/>
      <c r="G440" s="44"/>
      <c r="I440" s="15"/>
      <c r="J440" s="230"/>
    </row>
    <row r="441" spans="2:10" s="1" customFormat="1" ht="14.25" x14ac:dyDescent="0.45">
      <c r="B441" s="4"/>
      <c r="G441" s="44"/>
      <c r="I441" s="15"/>
      <c r="J441" s="230"/>
    </row>
    <row r="442" spans="2:10" s="1" customFormat="1" ht="14.25" x14ac:dyDescent="0.45">
      <c r="B442" s="4"/>
      <c r="G442" s="44"/>
      <c r="I442" s="15"/>
      <c r="J442" s="230"/>
    </row>
    <row r="443" spans="2:10" s="1" customFormat="1" ht="14.25" x14ac:dyDescent="0.45">
      <c r="B443" s="4"/>
      <c r="G443" s="44"/>
      <c r="I443" s="15"/>
      <c r="J443" s="230"/>
    </row>
    <row r="444" spans="2:10" s="1" customFormat="1" ht="14.25" x14ac:dyDescent="0.45">
      <c r="B444" s="4"/>
      <c r="G444" s="44"/>
      <c r="I444" s="15"/>
      <c r="J444" s="230"/>
    </row>
    <row r="445" spans="2:10" s="1" customFormat="1" ht="14.25" x14ac:dyDescent="0.45">
      <c r="B445" s="4"/>
      <c r="G445" s="44"/>
      <c r="I445" s="15"/>
      <c r="J445" s="230"/>
    </row>
    <row r="446" spans="2:10" s="1" customFormat="1" ht="14.25" x14ac:dyDescent="0.45">
      <c r="B446" s="4"/>
      <c r="G446" s="44"/>
      <c r="I446" s="15"/>
      <c r="J446" s="230"/>
    </row>
    <row r="447" spans="2:10" s="1" customFormat="1" ht="14.25" x14ac:dyDescent="0.45">
      <c r="B447" s="4"/>
      <c r="G447" s="44"/>
      <c r="I447" s="15"/>
      <c r="J447" s="230"/>
    </row>
    <row r="448" spans="2:10" s="1" customFormat="1" ht="14.25" x14ac:dyDescent="0.45">
      <c r="B448" s="4"/>
      <c r="G448" s="44"/>
      <c r="I448" s="15"/>
      <c r="J448" s="230"/>
    </row>
    <row r="449" spans="2:10" s="1" customFormat="1" ht="14.25" x14ac:dyDescent="0.45">
      <c r="B449" s="4"/>
      <c r="G449" s="44"/>
      <c r="I449" s="15"/>
      <c r="J449" s="230"/>
    </row>
    <row r="450" spans="2:10" s="1" customFormat="1" ht="14.25" x14ac:dyDescent="0.45">
      <c r="B450" s="4"/>
      <c r="G450" s="44"/>
      <c r="I450" s="15"/>
      <c r="J450" s="230"/>
    </row>
    <row r="451" spans="2:10" s="1" customFormat="1" ht="14.25" x14ac:dyDescent="0.45">
      <c r="B451" s="4"/>
      <c r="G451" s="44"/>
      <c r="I451" s="15"/>
      <c r="J451" s="230"/>
    </row>
    <row r="452" spans="2:10" s="1" customFormat="1" ht="14.25" x14ac:dyDescent="0.45">
      <c r="B452" s="4"/>
      <c r="G452" s="44"/>
      <c r="I452" s="15"/>
      <c r="J452" s="230"/>
    </row>
    <row r="453" spans="2:10" s="1" customFormat="1" ht="14.25" x14ac:dyDescent="0.45">
      <c r="B453" s="4"/>
      <c r="G453" s="44"/>
      <c r="I453" s="15"/>
      <c r="J453" s="230"/>
    </row>
    <row r="454" spans="2:10" s="1" customFormat="1" ht="14.25" x14ac:dyDescent="0.45">
      <c r="B454" s="4"/>
      <c r="G454" s="44"/>
      <c r="I454" s="15"/>
      <c r="J454" s="230"/>
    </row>
    <row r="455" spans="2:10" s="1" customFormat="1" ht="14.25" x14ac:dyDescent="0.45">
      <c r="B455" s="4"/>
      <c r="G455" s="44"/>
      <c r="I455" s="15"/>
      <c r="J455" s="230"/>
    </row>
    <row r="456" spans="2:10" s="1" customFormat="1" ht="14.25" x14ac:dyDescent="0.45">
      <c r="B456" s="4"/>
      <c r="G456" s="44"/>
      <c r="I456" s="15"/>
      <c r="J456" s="230"/>
    </row>
    <row r="457" spans="2:10" s="1" customFormat="1" ht="14.25" x14ac:dyDescent="0.45">
      <c r="B457" s="4"/>
      <c r="G457" s="44"/>
      <c r="I457" s="15"/>
      <c r="J457" s="230"/>
    </row>
    <row r="458" spans="2:10" s="1" customFormat="1" ht="14.25" x14ac:dyDescent="0.45">
      <c r="B458" s="4"/>
      <c r="G458" s="44"/>
      <c r="I458" s="15"/>
      <c r="J458" s="230"/>
    </row>
    <row r="459" spans="2:10" s="1" customFormat="1" ht="14.25" x14ac:dyDescent="0.45">
      <c r="B459" s="4"/>
      <c r="G459" s="44"/>
      <c r="I459" s="15"/>
      <c r="J459" s="230"/>
    </row>
    <row r="460" spans="2:10" s="1" customFormat="1" ht="14.25" x14ac:dyDescent="0.45">
      <c r="B460" s="4"/>
      <c r="G460" s="44"/>
      <c r="I460" s="15"/>
      <c r="J460" s="230"/>
    </row>
    <row r="461" spans="2:10" s="1" customFormat="1" ht="14.25" x14ac:dyDescent="0.45">
      <c r="B461" s="4"/>
      <c r="G461" s="44"/>
      <c r="I461" s="15"/>
      <c r="J461" s="230"/>
    </row>
    <row r="462" spans="2:10" s="1" customFormat="1" ht="14.25" x14ac:dyDescent="0.45">
      <c r="B462" s="4"/>
      <c r="G462" s="44"/>
      <c r="I462" s="15"/>
      <c r="J462" s="230"/>
    </row>
    <row r="463" spans="2:10" s="1" customFormat="1" ht="14.25" x14ac:dyDescent="0.45">
      <c r="B463" s="4"/>
      <c r="G463" s="44"/>
      <c r="I463" s="15"/>
      <c r="J463" s="230"/>
    </row>
    <row r="464" spans="2:10" s="1" customFormat="1" ht="14.25" x14ac:dyDescent="0.45">
      <c r="B464" s="4"/>
      <c r="G464" s="44"/>
      <c r="I464" s="15"/>
      <c r="J464" s="230"/>
    </row>
    <row r="465" spans="2:10" s="1" customFormat="1" ht="14.25" x14ac:dyDescent="0.45">
      <c r="B465" s="4"/>
      <c r="G465" s="44"/>
      <c r="I465" s="15"/>
      <c r="J465" s="230"/>
    </row>
    <row r="466" spans="2:10" s="1" customFormat="1" ht="14.25" x14ac:dyDescent="0.45">
      <c r="B466" s="4"/>
      <c r="G466" s="44"/>
      <c r="I466" s="15"/>
      <c r="J466" s="230"/>
    </row>
    <row r="467" spans="2:10" s="1" customFormat="1" ht="14.25" x14ac:dyDescent="0.45">
      <c r="B467" s="4"/>
      <c r="G467" s="44"/>
      <c r="I467" s="15"/>
      <c r="J467" s="230"/>
    </row>
    <row r="468" spans="2:10" s="1" customFormat="1" ht="14.25" x14ac:dyDescent="0.45">
      <c r="B468" s="4"/>
      <c r="G468" s="44"/>
      <c r="I468" s="15"/>
      <c r="J468" s="230"/>
    </row>
    <row r="469" spans="2:10" s="1" customFormat="1" ht="14.25" x14ac:dyDescent="0.45">
      <c r="B469" s="4"/>
      <c r="G469" s="44"/>
      <c r="I469" s="15"/>
      <c r="J469" s="230"/>
    </row>
    <row r="470" spans="2:10" s="1" customFormat="1" ht="14.25" x14ac:dyDescent="0.45">
      <c r="B470" s="4"/>
      <c r="G470" s="44"/>
      <c r="I470" s="15"/>
      <c r="J470" s="230"/>
    </row>
    <row r="471" spans="2:10" s="1" customFormat="1" ht="14.25" x14ac:dyDescent="0.45">
      <c r="B471" s="4"/>
      <c r="G471" s="44"/>
      <c r="I471" s="15"/>
      <c r="J471" s="230"/>
    </row>
    <row r="472" spans="2:10" s="1" customFormat="1" ht="14.25" x14ac:dyDescent="0.45">
      <c r="B472" s="4"/>
      <c r="G472" s="44"/>
      <c r="I472" s="15"/>
      <c r="J472" s="230"/>
    </row>
    <row r="473" spans="2:10" s="1" customFormat="1" ht="14.25" x14ac:dyDescent="0.45">
      <c r="B473" s="4"/>
      <c r="G473" s="44"/>
      <c r="I473" s="15"/>
      <c r="J473" s="230"/>
    </row>
    <row r="474" spans="2:10" s="1" customFormat="1" ht="14.25" x14ac:dyDescent="0.45">
      <c r="B474" s="4"/>
      <c r="G474" s="44"/>
      <c r="I474" s="15"/>
      <c r="J474" s="230"/>
    </row>
    <row r="475" spans="2:10" s="1" customFormat="1" ht="14.25" x14ac:dyDescent="0.45">
      <c r="B475" s="4"/>
      <c r="G475" s="44"/>
      <c r="I475" s="15"/>
      <c r="J475" s="230"/>
    </row>
    <row r="476" spans="2:10" s="1" customFormat="1" ht="14.25" x14ac:dyDescent="0.45">
      <c r="B476" s="4"/>
      <c r="G476" s="44"/>
      <c r="I476" s="15"/>
      <c r="J476" s="230"/>
    </row>
    <row r="477" spans="2:10" s="1" customFormat="1" ht="14.25" x14ac:dyDescent="0.45">
      <c r="B477" s="4"/>
      <c r="G477" s="44"/>
      <c r="I477" s="15"/>
      <c r="J477" s="230"/>
    </row>
    <row r="478" spans="2:10" s="1" customFormat="1" ht="14.25" x14ac:dyDescent="0.45">
      <c r="B478" s="4"/>
      <c r="G478" s="44"/>
      <c r="I478" s="15"/>
      <c r="J478" s="230"/>
    </row>
    <row r="479" spans="2:10" s="1" customFormat="1" ht="14.25" x14ac:dyDescent="0.45">
      <c r="B479" s="4"/>
      <c r="G479" s="44"/>
      <c r="I479" s="15"/>
      <c r="J479" s="230"/>
    </row>
    <row r="480" spans="2:10" s="1" customFormat="1" ht="14.25" x14ac:dyDescent="0.45">
      <c r="B480" s="4"/>
      <c r="G480" s="44"/>
      <c r="I480" s="15"/>
      <c r="J480" s="230"/>
    </row>
    <row r="481" spans="1:14" s="1" customFormat="1" ht="14.25" x14ac:dyDescent="0.45">
      <c r="B481" s="4"/>
      <c r="G481" s="44"/>
      <c r="I481" s="15"/>
      <c r="J481" s="230"/>
    </row>
    <row r="482" spans="1:14" s="1" customFormat="1" ht="14.25" x14ac:dyDescent="0.45">
      <c r="B482" s="4"/>
      <c r="G482" s="44"/>
      <c r="I482" s="15"/>
      <c r="J482" s="230"/>
    </row>
    <row r="483" spans="1:14" s="1" customFormat="1" ht="14.25" x14ac:dyDescent="0.45">
      <c r="B483" s="4"/>
      <c r="G483" s="44"/>
      <c r="I483" s="15"/>
      <c r="J483" s="230"/>
    </row>
    <row r="484" spans="1:14" ht="15.4" x14ac:dyDescent="0.45">
      <c r="A484" s="1"/>
      <c r="B484" s="4"/>
      <c r="C484" s="1"/>
      <c r="D484" s="1"/>
      <c r="E484" s="1"/>
      <c r="F484" s="1"/>
      <c r="G484" s="44"/>
      <c r="H484" s="1"/>
      <c r="I484" s="15"/>
      <c r="J484" s="230"/>
      <c r="K484" s="1"/>
      <c r="L484" s="1"/>
      <c r="M484" s="1"/>
      <c r="N484" s="1"/>
    </row>
    <row r="485" spans="1:14" ht="15.4" x14ac:dyDescent="0.45">
      <c r="A485" s="1"/>
      <c r="B485" s="4"/>
      <c r="C485" s="1"/>
      <c r="D485" s="1"/>
      <c r="E485" s="1"/>
      <c r="F485" s="1"/>
      <c r="G485" s="44"/>
      <c r="H485" s="1"/>
      <c r="I485" s="15"/>
      <c r="J485" s="230"/>
      <c r="K485" s="1"/>
      <c r="L485" s="1"/>
      <c r="M485" s="1"/>
      <c r="N485" s="1"/>
    </row>
    <row r="486" spans="1:14" ht="15.4" x14ac:dyDescent="0.45">
      <c r="A486" s="1"/>
      <c r="B486" s="4"/>
      <c r="C486" s="1"/>
      <c r="D486" s="1"/>
      <c r="E486" s="1"/>
      <c r="F486" s="1"/>
      <c r="G486" s="44"/>
      <c r="H486" s="1"/>
      <c r="I486" s="15"/>
      <c r="J486" s="230"/>
      <c r="K486" s="1"/>
      <c r="L486" s="1"/>
      <c r="M486" s="1"/>
      <c r="N486" s="1"/>
    </row>
    <row r="487" spans="1:14" ht="15.4" x14ac:dyDescent="0.45">
      <c r="A487" s="1"/>
      <c r="B487" s="4"/>
      <c r="C487" s="1"/>
      <c r="D487" s="1"/>
      <c r="E487" s="1"/>
      <c r="F487" s="1"/>
      <c r="G487" s="44"/>
      <c r="H487" s="1"/>
      <c r="I487" s="15"/>
      <c r="J487" s="230"/>
      <c r="K487" s="1"/>
      <c r="L487" s="1"/>
      <c r="M487" s="1"/>
      <c r="N487" s="1"/>
    </row>
    <row r="488" spans="1:14" ht="15.4" x14ac:dyDescent="0.45">
      <c r="A488" s="1"/>
      <c r="B488" s="4"/>
      <c r="C488" s="1"/>
      <c r="D488" s="1"/>
      <c r="E488" s="1"/>
      <c r="F488" s="1"/>
      <c r="G488" s="44"/>
      <c r="H488" s="1"/>
      <c r="I488" s="15"/>
      <c r="J488" s="230"/>
      <c r="K488" s="1"/>
      <c r="L488" s="1"/>
      <c r="M488" s="1"/>
      <c r="N488" s="1"/>
    </row>
    <row r="489" spans="1:14" ht="15.4" x14ac:dyDescent="0.45">
      <c r="A489" s="1"/>
      <c r="B489" s="4"/>
      <c r="C489" s="1"/>
      <c r="D489" s="1"/>
      <c r="E489" s="1"/>
      <c r="F489" s="1"/>
      <c r="G489" s="44"/>
      <c r="H489" s="1"/>
      <c r="I489" s="15"/>
      <c r="J489" s="230"/>
      <c r="K489" s="1"/>
      <c r="L489" s="1"/>
      <c r="M489" s="1"/>
      <c r="N489" s="1"/>
    </row>
    <row r="490" spans="1:14" ht="15.4" x14ac:dyDescent="0.45">
      <c r="A490" s="1"/>
      <c r="B490" s="4"/>
      <c r="C490" s="1"/>
      <c r="D490" s="1"/>
      <c r="E490" s="1"/>
      <c r="F490" s="1"/>
      <c r="G490" s="44"/>
      <c r="H490" s="1"/>
      <c r="I490" s="15"/>
      <c r="J490" s="230"/>
      <c r="K490" s="1"/>
      <c r="L490" s="1"/>
      <c r="M490" s="1"/>
      <c r="N490" s="1"/>
    </row>
    <row r="491" spans="1:14" ht="15.4" x14ac:dyDescent="0.45">
      <c r="A491" s="1"/>
      <c r="B491" s="4"/>
      <c r="C491" s="1"/>
      <c r="D491" s="1"/>
      <c r="E491" s="1"/>
      <c r="F491" s="1"/>
      <c r="G491" s="44"/>
      <c r="H491" s="1"/>
      <c r="I491" s="15"/>
      <c r="J491" s="230"/>
      <c r="K491" s="1"/>
      <c r="L491" s="1"/>
      <c r="M491" s="1"/>
      <c r="N491" s="1"/>
    </row>
    <row r="492" spans="1:14" ht="15.4" x14ac:dyDescent="0.45">
      <c r="A492" s="1"/>
      <c r="B492" s="4"/>
      <c r="C492" s="1"/>
      <c r="D492" s="1"/>
      <c r="E492" s="1"/>
      <c r="F492" s="1"/>
      <c r="G492" s="44"/>
      <c r="H492" s="1"/>
      <c r="I492" s="15"/>
      <c r="J492" s="230"/>
      <c r="K492" s="1"/>
      <c r="L492" s="1"/>
      <c r="M492" s="1"/>
      <c r="N492" s="1"/>
    </row>
    <row r="493" spans="1:14" ht="15.4" x14ac:dyDescent="0.45">
      <c r="A493" s="1"/>
      <c r="B493" s="4"/>
      <c r="C493" s="1"/>
      <c r="D493" s="1"/>
      <c r="E493" s="1"/>
      <c r="F493" s="1"/>
      <c r="G493" s="44"/>
      <c r="H493" s="1"/>
      <c r="I493" s="15"/>
      <c r="J493" s="230"/>
      <c r="K493" s="1"/>
      <c r="L493" s="1"/>
      <c r="M493" s="1"/>
      <c r="N493" s="1"/>
    </row>
    <row r="494" spans="1:14" ht="15.4" x14ac:dyDescent="0.45">
      <c r="A494" s="1"/>
      <c r="B494" s="4"/>
      <c r="C494" s="1"/>
      <c r="D494" s="1"/>
      <c r="E494" s="1"/>
      <c r="F494" s="1"/>
      <c r="G494" s="44"/>
      <c r="H494" s="1"/>
      <c r="I494" s="15"/>
      <c r="J494" s="230"/>
      <c r="K494" s="1"/>
      <c r="L494" s="1"/>
      <c r="M494" s="1"/>
      <c r="N494" s="1"/>
    </row>
    <row r="495" spans="1:14" ht="15.4" x14ac:dyDescent="0.45">
      <c r="A495" s="1"/>
      <c r="B495" s="4"/>
      <c r="C495" s="1"/>
      <c r="D495" s="1"/>
      <c r="E495" s="1"/>
      <c r="F495" s="1"/>
      <c r="G495" s="44"/>
      <c r="H495" s="1"/>
      <c r="I495" s="15"/>
      <c r="J495" s="230"/>
      <c r="K495" s="1"/>
      <c r="L495" s="1"/>
      <c r="M495" s="1"/>
      <c r="N495" s="1"/>
    </row>
    <row r="496" spans="1:14" ht="15.4" x14ac:dyDescent="0.45">
      <c r="A496" s="1"/>
      <c r="B496" s="4"/>
      <c r="C496" s="1"/>
      <c r="D496" s="1"/>
      <c r="E496" s="1"/>
      <c r="F496" s="1"/>
      <c r="G496" s="44"/>
      <c r="H496" s="1"/>
      <c r="I496" s="15"/>
      <c r="J496" s="230"/>
      <c r="K496" s="1"/>
      <c r="L496" s="1"/>
      <c r="M496" s="1"/>
      <c r="N496" s="1"/>
    </row>
  </sheetData>
  <mergeCells count="33">
    <mergeCell ref="D202:E202"/>
    <mergeCell ref="D210:E210"/>
    <mergeCell ref="E211:F211"/>
    <mergeCell ref="E64:F64"/>
    <mergeCell ref="A1:H1"/>
    <mergeCell ref="A2:H2"/>
    <mergeCell ref="B5:G5"/>
    <mergeCell ref="E38:F38"/>
    <mergeCell ref="D36:E36"/>
    <mergeCell ref="D22:E22"/>
    <mergeCell ref="D63:E63"/>
    <mergeCell ref="D50:E50"/>
    <mergeCell ref="D87:E87"/>
    <mergeCell ref="D75:E75"/>
    <mergeCell ref="D98:E98"/>
    <mergeCell ref="E88:F88"/>
    <mergeCell ref="E110:F110"/>
    <mergeCell ref="E130:F130"/>
    <mergeCell ref="D109:E109"/>
    <mergeCell ref="D119:E119"/>
    <mergeCell ref="D129:E129"/>
    <mergeCell ref="D138:E138"/>
    <mergeCell ref="D148:E148"/>
    <mergeCell ref="D157:E157"/>
    <mergeCell ref="D166:E166"/>
    <mergeCell ref="D182:E182"/>
    <mergeCell ref="D174:E174"/>
    <mergeCell ref="E197:F197"/>
    <mergeCell ref="E149:F149"/>
    <mergeCell ref="E167:F167"/>
    <mergeCell ref="D189:E189"/>
    <mergeCell ref="D196:E196"/>
    <mergeCell ref="E183:F183"/>
  </mergeCells>
  <pageMargins left="0.7" right="0.7" top="0.75" bottom="0.75" header="0.3" footer="0.3"/>
  <pageSetup scale="63" fitToHeight="8" orientation="landscape" horizontalDpi="4294967293" verticalDpi="0" r:id="rId1"/>
  <rowBreaks count="4" manualBreakCount="4">
    <brk id="48" max="13" man="1"/>
    <brk id="96" max="13" man="1"/>
    <brk id="136" max="13" man="1"/>
    <brk id="17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91"/>
  <sheetViews>
    <sheetView showGridLines="0" topLeftCell="A191" zoomScaleNormal="100" workbookViewId="0">
      <selection activeCell="H216" sqref="H216"/>
    </sheetView>
  </sheetViews>
  <sheetFormatPr defaultRowHeight="15" x14ac:dyDescent="0.4"/>
  <cols>
    <col min="1" max="1" width="7.77734375" customWidth="1"/>
    <col min="2" max="2" width="8" style="104" customWidth="1"/>
    <col min="3" max="4" width="10.5546875" customWidth="1"/>
    <col min="5" max="6" width="12.609375" customWidth="1"/>
    <col min="7" max="7" width="12.609375" style="111" customWidth="1"/>
    <col min="8" max="8" width="12.609375" customWidth="1"/>
    <col min="9" max="9" width="12.609375" style="232" customWidth="1"/>
    <col min="10" max="10" width="12.609375" style="231" customWidth="1"/>
    <col min="11" max="14" width="12.609375" customWidth="1"/>
    <col min="15" max="16" width="8.77734375" customWidth="1"/>
  </cols>
  <sheetData>
    <row r="1" spans="1:18" ht="21" x14ac:dyDescent="0.65">
      <c r="A1" s="385" t="s">
        <v>303</v>
      </c>
      <c r="B1" s="385"/>
      <c r="C1" s="385"/>
      <c r="D1" s="385"/>
      <c r="E1" s="385"/>
      <c r="F1" s="385"/>
      <c r="G1" s="385"/>
      <c r="H1" s="385"/>
      <c r="I1" s="15"/>
      <c r="J1" s="230"/>
      <c r="K1" s="1"/>
      <c r="L1" s="1"/>
      <c r="M1" s="1"/>
      <c r="N1" s="1"/>
      <c r="O1" s="1"/>
      <c r="P1" s="1"/>
      <c r="Q1" s="1"/>
      <c r="R1" s="1"/>
    </row>
    <row r="2" spans="1:18" ht="18" x14ac:dyDescent="0.45">
      <c r="A2" s="386" t="str">
        <f>SAO!A2</f>
        <v>UNION COUNTY WATER DISTRICT</v>
      </c>
      <c r="B2" s="386"/>
      <c r="C2" s="386"/>
      <c r="D2" s="386"/>
      <c r="E2" s="386"/>
      <c r="F2" s="386"/>
      <c r="G2" s="386"/>
      <c r="H2" s="386"/>
      <c r="I2" s="15"/>
      <c r="J2" s="230"/>
      <c r="K2" s="1"/>
      <c r="L2" s="1"/>
      <c r="M2" s="1"/>
      <c r="N2" s="1"/>
      <c r="O2" s="1"/>
      <c r="P2" s="1"/>
      <c r="Q2" s="1"/>
      <c r="R2" s="1"/>
    </row>
    <row r="3" spans="1:18" ht="18" x14ac:dyDescent="0.45">
      <c r="A3" s="29"/>
      <c r="B3" s="101"/>
      <c r="C3" s="29"/>
      <c r="D3" s="29"/>
      <c r="E3" s="29"/>
      <c r="F3" s="29"/>
      <c r="G3" s="106"/>
      <c r="H3" s="29"/>
      <c r="I3" s="15"/>
      <c r="J3" s="230"/>
      <c r="K3" s="1"/>
      <c r="L3" s="1"/>
      <c r="M3" s="1"/>
      <c r="N3" s="1"/>
      <c r="O3" s="1"/>
      <c r="P3" s="1"/>
      <c r="Q3" s="1"/>
      <c r="R3" s="1"/>
    </row>
    <row r="4" spans="1:18" ht="15.4" x14ac:dyDescent="0.45">
      <c r="A4" s="94"/>
      <c r="B4" s="102"/>
      <c r="C4" s="95"/>
      <c r="D4" s="95"/>
      <c r="E4" s="95"/>
      <c r="F4" s="95"/>
      <c r="G4" s="107"/>
      <c r="H4" s="95"/>
      <c r="I4" s="15"/>
      <c r="J4" s="230"/>
      <c r="K4" s="1"/>
      <c r="L4" s="1"/>
      <c r="M4" s="1"/>
      <c r="N4" s="1"/>
      <c r="O4" s="1"/>
      <c r="P4" s="1"/>
      <c r="Q4" s="1"/>
      <c r="R4" s="1"/>
    </row>
    <row r="5" spans="1:18" ht="15.75" x14ac:dyDescent="0.45">
      <c r="A5" s="1"/>
      <c r="B5" s="387" t="s">
        <v>49</v>
      </c>
      <c r="C5" s="387"/>
      <c r="D5" s="387"/>
      <c r="E5" s="387"/>
      <c r="F5" s="387"/>
      <c r="G5" s="387"/>
      <c r="H5" s="1"/>
      <c r="I5" s="15"/>
      <c r="J5" s="230"/>
      <c r="K5" s="1"/>
      <c r="L5" s="1"/>
      <c r="M5" s="1"/>
      <c r="N5" s="1"/>
      <c r="O5" s="1"/>
      <c r="P5" s="1"/>
      <c r="Q5" s="1"/>
      <c r="R5" s="1"/>
    </row>
    <row r="6" spans="1:18" s="1" customFormat="1" ht="14.25" x14ac:dyDescent="0.45">
      <c r="B6" s="4" t="s">
        <v>120</v>
      </c>
      <c r="C6" s="99"/>
      <c r="D6" s="329" t="s">
        <v>51</v>
      </c>
      <c r="E6" s="329" t="s">
        <v>52</v>
      </c>
      <c r="F6" s="89"/>
      <c r="G6" s="108" t="s">
        <v>55</v>
      </c>
      <c r="I6" s="15"/>
      <c r="J6" s="230"/>
    </row>
    <row r="7" spans="1:18" s="1" customFormat="1" ht="14.25" x14ac:dyDescent="0.45">
      <c r="B7" s="4" t="s">
        <v>256</v>
      </c>
      <c r="D7" s="131">
        <f>C34+C60+C84+C106+C126+C145+C163+C179+C193</f>
        <v>26420</v>
      </c>
      <c r="E7" s="131">
        <f>D43+D68+D91+D112+D131+D150+D167+D182+D195</f>
        <v>253844808</v>
      </c>
      <c r="F7" s="91"/>
      <c r="G7" s="21">
        <f>G43+G68+G91+G112+G131+G150+G167+G182+G195</f>
        <v>1635919.4</v>
      </c>
      <c r="I7" s="15"/>
      <c r="J7" s="230"/>
      <c r="K7" s="4"/>
    </row>
    <row r="8" spans="1:18" s="1" customFormat="1" ht="16.5" x14ac:dyDescent="0.75">
      <c r="B8" s="4" t="s">
        <v>125</v>
      </c>
      <c r="C8" s="96"/>
      <c r="D8" s="105"/>
      <c r="E8" s="40"/>
      <c r="F8" s="40"/>
      <c r="G8" s="332">
        <f>-29243.5-660</f>
        <v>-29903.5</v>
      </c>
      <c r="I8" s="15"/>
      <c r="J8" s="230"/>
      <c r="K8" s="93"/>
      <c r="L8" s="97"/>
    </row>
    <row r="9" spans="1:18" s="1" customFormat="1" ht="16.5" x14ac:dyDescent="0.75">
      <c r="B9" s="4" t="s">
        <v>126</v>
      </c>
      <c r="C9" s="96"/>
      <c r="D9" s="38"/>
      <c r="E9" s="91"/>
      <c r="F9" s="91"/>
      <c r="G9" s="21">
        <f>G7+G8</f>
        <v>1606015.9</v>
      </c>
      <c r="I9" s="15"/>
      <c r="J9" s="230"/>
      <c r="K9" s="93"/>
      <c r="L9" s="97"/>
    </row>
    <row r="10" spans="1:18" s="1" customFormat="1" ht="16.5" x14ac:dyDescent="0.75">
      <c r="B10" s="4"/>
      <c r="C10" s="96"/>
      <c r="D10" s="329" t="s">
        <v>51</v>
      </c>
      <c r="E10" s="329" t="s">
        <v>52</v>
      </c>
      <c r="F10" s="91"/>
      <c r="G10" s="69"/>
      <c r="I10" s="15"/>
      <c r="J10" s="238"/>
      <c r="K10" s="93"/>
      <c r="L10" s="97"/>
    </row>
    <row r="11" spans="1:18" s="1" customFormat="1" ht="16.5" x14ac:dyDescent="0.75">
      <c r="B11" s="4" t="s">
        <v>257</v>
      </c>
      <c r="D11" s="131">
        <f>C203</f>
        <v>12</v>
      </c>
      <c r="E11" s="131">
        <f>D203</f>
        <v>32825924</v>
      </c>
      <c r="F11" s="91"/>
      <c r="G11" s="332">
        <f>G210</f>
        <v>145974</v>
      </c>
      <c r="I11" s="15"/>
      <c r="J11" s="238"/>
      <c r="K11" s="93"/>
      <c r="L11" s="97"/>
    </row>
    <row r="12" spans="1:18" s="1" customFormat="1" ht="16.5" x14ac:dyDescent="0.75">
      <c r="B12" s="4"/>
      <c r="C12" s="96"/>
      <c r="D12" s="4"/>
      <c r="E12" s="91"/>
      <c r="F12" s="91"/>
      <c r="G12" s="69"/>
      <c r="I12" s="15"/>
      <c r="J12" s="238"/>
      <c r="K12" s="93"/>
      <c r="L12" s="97"/>
    </row>
    <row r="13" spans="1:18" s="1" customFormat="1" ht="16.5" x14ac:dyDescent="0.75">
      <c r="B13" s="4" t="s">
        <v>53</v>
      </c>
      <c r="C13" s="96"/>
      <c r="D13" s="4">
        <f>D7+D11</f>
        <v>26432</v>
      </c>
      <c r="E13" s="4">
        <f>E7+E11</f>
        <v>286670732</v>
      </c>
      <c r="F13" s="91"/>
      <c r="G13" s="333">
        <f>G9+G11</f>
        <v>1751989.9</v>
      </c>
      <c r="I13" s="15"/>
      <c r="J13" s="238"/>
      <c r="K13" s="93"/>
      <c r="L13" s="97"/>
    </row>
    <row r="14" spans="1:18" s="1" customFormat="1" ht="16.5" x14ac:dyDescent="0.75">
      <c r="B14" s="4" t="s">
        <v>261</v>
      </c>
      <c r="C14" s="96"/>
      <c r="D14" s="4"/>
      <c r="E14" s="4"/>
      <c r="F14" s="91"/>
      <c r="G14" s="334">
        <f>'Revenue Requirements'!G8</f>
        <v>1736349.3636773825</v>
      </c>
      <c r="I14" s="15"/>
      <c r="J14" s="238"/>
      <c r="K14" s="93"/>
      <c r="L14" s="97"/>
    </row>
    <row r="15" spans="1:18" s="1" customFormat="1" ht="16.5" x14ac:dyDescent="0.75">
      <c r="B15" s="4"/>
      <c r="C15" s="96"/>
      <c r="D15" s="38"/>
      <c r="E15" s="91"/>
      <c r="F15" s="91"/>
      <c r="G15" s="214">
        <f>G13-G14</f>
        <v>15640.536322617438</v>
      </c>
      <c r="H15" s="69">
        <f>G15/G14</f>
        <v>9.0077127620749268E-3</v>
      </c>
      <c r="I15" s="15"/>
      <c r="J15" s="238"/>
      <c r="K15" s="93"/>
      <c r="L15" s="97"/>
    </row>
    <row r="16" spans="1:18" s="1" customFormat="1" ht="16.899999999999999" thickBot="1" x14ac:dyDescent="0.8">
      <c r="B16" s="4"/>
      <c r="C16" s="96"/>
      <c r="D16" s="38"/>
      <c r="E16" s="91"/>
      <c r="F16" s="91"/>
      <c r="G16" s="44"/>
      <c r="I16" s="15"/>
      <c r="J16" s="238"/>
      <c r="K16" s="93"/>
      <c r="L16" s="97"/>
    </row>
    <row r="17" spans="1:14" s="1" customFormat="1" ht="16.5" x14ac:dyDescent="0.75">
      <c r="A17" s="279" t="s">
        <v>242</v>
      </c>
      <c r="B17" s="280"/>
      <c r="C17" s="281"/>
      <c r="D17" s="383" t="s">
        <v>222</v>
      </c>
      <c r="E17" s="383"/>
      <c r="F17" s="282"/>
      <c r="G17" s="299"/>
      <c r="H17" s="302"/>
      <c r="I17" s="306"/>
      <c r="J17" s="311"/>
      <c r="K17" s="314"/>
      <c r="L17" s="317"/>
      <c r="M17" s="302"/>
      <c r="N17" s="300"/>
    </row>
    <row r="18" spans="1:14" s="1" customFormat="1" ht="14.25" x14ac:dyDescent="0.45">
      <c r="A18" s="284"/>
      <c r="B18" s="4"/>
      <c r="C18" s="96"/>
      <c r="D18" s="272"/>
      <c r="E18" s="98" t="s">
        <v>211</v>
      </c>
      <c r="F18" s="98" t="s">
        <v>212</v>
      </c>
      <c r="G18" s="98" t="s">
        <v>212</v>
      </c>
      <c r="H18" s="98" t="s">
        <v>212</v>
      </c>
      <c r="I18" s="98" t="s">
        <v>212</v>
      </c>
      <c r="J18" s="98" t="s">
        <v>212</v>
      </c>
      <c r="K18" s="98" t="s">
        <v>212</v>
      </c>
      <c r="L18" s="98" t="s">
        <v>212</v>
      </c>
      <c r="M18" s="244" t="s">
        <v>213</v>
      </c>
      <c r="N18" s="285"/>
    </row>
    <row r="19" spans="1:14" s="1" customFormat="1" ht="14.25" x14ac:dyDescent="0.45">
      <c r="A19" s="256"/>
      <c r="B19" s="103" t="s">
        <v>50</v>
      </c>
      <c r="C19" s="89" t="s">
        <v>51</v>
      </c>
      <c r="D19" s="89" t="s">
        <v>52</v>
      </c>
      <c r="E19" s="273">
        <f>B20</f>
        <v>2000</v>
      </c>
      <c r="F19" s="273">
        <f>B21</f>
        <v>3000</v>
      </c>
      <c r="G19" s="273">
        <f>B22</f>
        <v>5000</v>
      </c>
      <c r="H19" s="273">
        <f>B23</f>
        <v>15000</v>
      </c>
      <c r="I19" s="273">
        <f>B24</f>
        <v>25000</v>
      </c>
      <c r="J19" s="273">
        <f>B25</f>
        <v>50000</v>
      </c>
      <c r="K19" s="273">
        <f>B26</f>
        <v>100000</v>
      </c>
      <c r="L19" s="273">
        <f>B27</f>
        <v>100000</v>
      </c>
      <c r="M19" s="274">
        <f>B28</f>
        <v>300000</v>
      </c>
      <c r="N19" s="286" t="s">
        <v>12</v>
      </c>
    </row>
    <row r="20" spans="1:14" s="1" customFormat="1" ht="14.35" customHeight="1" x14ac:dyDescent="0.45">
      <c r="A20" s="287" t="s">
        <v>211</v>
      </c>
      <c r="B20" s="4">
        <f>Rates!D9</f>
        <v>2000</v>
      </c>
      <c r="C20" s="20">
        <f>ExBA!C25</f>
        <v>7956</v>
      </c>
      <c r="D20" s="20">
        <f>ExBA!D25</f>
        <v>8981000</v>
      </c>
      <c r="E20" s="274">
        <f>D20</f>
        <v>8981000</v>
      </c>
      <c r="F20" s="274"/>
      <c r="G20" s="274"/>
      <c r="H20" s="274"/>
      <c r="I20" s="274"/>
      <c r="J20" s="274"/>
      <c r="K20" s="274"/>
      <c r="L20" s="274"/>
      <c r="M20" s="274"/>
      <c r="N20" s="288">
        <f>SUM(E20:M20)</f>
        <v>8981000</v>
      </c>
    </row>
    <row r="21" spans="1:14" s="1" customFormat="1" ht="14.35" customHeight="1" x14ac:dyDescent="0.45">
      <c r="A21" s="287" t="s">
        <v>212</v>
      </c>
      <c r="B21" s="4">
        <f>Rates!D10</f>
        <v>3000</v>
      </c>
      <c r="C21" s="20">
        <f>ExBA!C26</f>
        <v>11047</v>
      </c>
      <c r="D21" s="20">
        <f>ExBA!D26</f>
        <v>36545950</v>
      </c>
      <c r="E21" s="274">
        <f>C21*E19</f>
        <v>22094000</v>
      </c>
      <c r="F21" s="274">
        <f>D21-E21</f>
        <v>14451950</v>
      </c>
      <c r="G21" s="274"/>
      <c r="H21" s="274"/>
      <c r="I21" s="274"/>
      <c r="J21" s="274"/>
      <c r="K21" s="274"/>
      <c r="L21" s="274"/>
      <c r="M21" s="274"/>
      <c r="N21" s="288">
        <f t="shared" ref="N21:N28" si="0">SUM(E21:M21)</f>
        <v>36545950</v>
      </c>
    </row>
    <row r="22" spans="1:14" s="1" customFormat="1" ht="14.35" customHeight="1" x14ac:dyDescent="0.45">
      <c r="A22" s="287" t="s">
        <v>212</v>
      </c>
      <c r="B22" s="4">
        <f>Rates!D11</f>
        <v>5000</v>
      </c>
      <c r="C22" s="20">
        <f>ExBA!C27</f>
        <v>4901</v>
      </c>
      <c r="D22" s="20">
        <f>ExBA!D27</f>
        <v>33154110</v>
      </c>
      <c r="E22" s="274">
        <f>C22*E19</f>
        <v>9802000</v>
      </c>
      <c r="F22" s="274">
        <f>C22*F19</f>
        <v>14703000</v>
      </c>
      <c r="G22" s="274">
        <f>D22-E22-F22</f>
        <v>8649110</v>
      </c>
      <c r="H22" s="274"/>
      <c r="I22" s="274"/>
      <c r="J22" s="274"/>
      <c r="K22" s="274"/>
      <c r="L22" s="274"/>
      <c r="M22" s="274"/>
      <c r="N22" s="288">
        <f t="shared" si="0"/>
        <v>33154110</v>
      </c>
    </row>
    <row r="23" spans="1:14" s="1" customFormat="1" ht="14.35" customHeight="1" x14ac:dyDescent="0.45">
      <c r="A23" s="287" t="s">
        <v>212</v>
      </c>
      <c r="B23" s="4">
        <f>Rates!D12</f>
        <v>15000</v>
      </c>
      <c r="C23" s="20">
        <f>ExBA!C28</f>
        <v>1320</v>
      </c>
      <c r="D23" s="20">
        <f>ExBA!D28</f>
        <v>18843520</v>
      </c>
      <c r="E23" s="274">
        <f>C23*E19</f>
        <v>2640000</v>
      </c>
      <c r="F23" s="274">
        <f>C23*F19</f>
        <v>3960000</v>
      </c>
      <c r="G23" s="274">
        <f>C23*G19</f>
        <v>6600000</v>
      </c>
      <c r="H23" s="274">
        <f>D23-E23-F23-G23</f>
        <v>5643520</v>
      </c>
      <c r="I23" s="274"/>
      <c r="J23" s="274"/>
      <c r="K23" s="274"/>
      <c r="L23" s="274"/>
      <c r="M23" s="274"/>
      <c r="N23" s="288">
        <f t="shared" si="0"/>
        <v>18843520</v>
      </c>
    </row>
    <row r="24" spans="1:14" s="1" customFormat="1" ht="14.35" customHeight="1" x14ac:dyDescent="0.45">
      <c r="A24" s="287" t="s">
        <v>212</v>
      </c>
      <c r="B24" s="4">
        <f>Rates!D13</f>
        <v>25000</v>
      </c>
      <c r="C24" s="20">
        <f>ExBA!C29</f>
        <v>209</v>
      </c>
      <c r="D24" s="20">
        <f>ExBA!D29</f>
        <v>6778250</v>
      </c>
      <c r="E24" s="274">
        <f>C24*E19</f>
        <v>418000</v>
      </c>
      <c r="F24" s="274">
        <f>C24*F19</f>
        <v>627000</v>
      </c>
      <c r="G24" s="274">
        <f>C24*G19</f>
        <v>1045000</v>
      </c>
      <c r="H24" s="274">
        <f>C24*H19</f>
        <v>3135000</v>
      </c>
      <c r="I24" s="274">
        <f>D24-E24-F24-G24-H24</f>
        <v>1553250</v>
      </c>
      <c r="J24" s="274"/>
      <c r="K24" s="274"/>
      <c r="L24" s="274"/>
      <c r="M24" s="274"/>
      <c r="N24" s="288">
        <f t="shared" si="0"/>
        <v>6778250</v>
      </c>
    </row>
    <row r="25" spans="1:14" s="1" customFormat="1" ht="14.35" customHeight="1" x14ac:dyDescent="0.45">
      <c r="A25" s="287" t="s">
        <v>212</v>
      </c>
      <c r="B25" s="4">
        <f>Rates!D14</f>
        <v>50000</v>
      </c>
      <c r="C25" s="20">
        <f>ExBA!C30</f>
        <v>50</v>
      </c>
      <c r="D25" s="20">
        <f>ExBA!D30</f>
        <v>3477560</v>
      </c>
      <c r="E25" s="274">
        <f>C25*E19</f>
        <v>100000</v>
      </c>
      <c r="F25" s="274">
        <f>C25*F19</f>
        <v>150000</v>
      </c>
      <c r="G25" s="274">
        <f>C25*G19</f>
        <v>250000</v>
      </c>
      <c r="H25" s="274">
        <f>C25*H19</f>
        <v>750000</v>
      </c>
      <c r="I25" s="274">
        <f>C25*I19</f>
        <v>1250000</v>
      </c>
      <c r="J25" s="274">
        <f>D25-E25-F25-G25-H25-I25</f>
        <v>977560</v>
      </c>
      <c r="K25" s="274"/>
      <c r="L25" s="274"/>
      <c r="M25" s="274"/>
      <c r="N25" s="288">
        <f t="shared" si="0"/>
        <v>3477560</v>
      </c>
    </row>
    <row r="26" spans="1:14" s="1" customFormat="1" ht="14.35" customHeight="1" x14ac:dyDescent="0.45">
      <c r="A26" s="287" t="s">
        <v>212</v>
      </c>
      <c r="B26" s="4">
        <f>Rates!D15</f>
        <v>100000</v>
      </c>
      <c r="C26" s="20">
        <f>ExBA!C31</f>
        <v>13</v>
      </c>
      <c r="D26" s="20">
        <f>ExBA!D31</f>
        <v>1692450</v>
      </c>
      <c r="E26" s="274">
        <f>C26*E19</f>
        <v>26000</v>
      </c>
      <c r="F26" s="274">
        <f>C26*F19</f>
        <v>39000</v>
      </c>
      <c r="G26" s="274">
        <f>C26*G19</f>
        <v>65000</v>
      </c>
      <c r="H26" s="274">
        <f>C26*H19</f>
        <v>195000</v>
      </c>
      <c r="I26" s="274">
        <f>C26*I19</f>
        <v>325000</v>
      </c>
      <c r="J26" s="274">
        <f>C26*J19</f>
        <v>650000</v>
      </c>
      <c r="K26" s="274">
        <f>D26-E26-F26-G26-H26-I26-J26</f>
        <v>392450</v>
      </c>
      <c r="L26" s="274"/>
      <c r="M26" s="274"/>
      <c r="N26" s="288">
        <f t="shared" si="0"/>
        <v>1692450</v>
      </c>
    </row>
    <row r="27" spans="1:14" s="1" customFormat="1" ht="14.35" customHeight="1" x14ac:dyDescent="0.45">
      <c r="A27" s="287" t="s">
        <v>212</v>
      </c>
      <c r="B27" s="4">
        <f>Rates!D16</f>
        <v>100000</v>
      </c>
      <c r="C27" s="20">
        <f>ExBA!C32</f>
        <v>1</v>
      </c>
      <c r="D27" s="20">
        <f>ExBA!D32</f>
        <v>295610</v>
      </c>
      <c r="E27" s="4">
        <f>C27*E19</f>
        <v>2000</v>
      </c>
      <c r="F27" s="4">
        <f>C27*F19</f>
        <v>3000</v>
      </c>
      <c r="G27" s="4">
        <f>C27*G19</f>
        <v>5000</v>
      </c>
      <c r="H27" s="4">
        <f>C27*H19</f>
        <v>15000</v>
      </c>
      <c r="I27" s="4">
        <f>C27*I19</f>
        <v>25000</v>
      </c>
      <c r="J27" s="103">
        <f>C27*J19</f>
        <v>50000</v>
      </c>
      <c r="K27" s="4">
        <f>C27*K19</f>
        <v>100000</v>
      </c>
      <c r="L27" s="275">
        <f>D27-E27-F27-G27-H27-I27-J27-K27</f>
        <v>95610</v>
      </c>
      <c r="M27" s="4"/>
      <c r="N27" s="288">
        <f t="shared" si="0"/>
        <v>295610</v>
      </c>
    </row>
    <row r="28" spans="1:14" s="1" customFormat="1" ht="14.35" customHeight="1" x14ac:dyDescent="0.75">
      <c r="A28" s="293" t="s">
        <v>213</v>
      </c>
      <c r="B28" s="4">
        <f>Rates!D17</f>
        <v>300000</v>
      </c>
      <c r="C28" s="92">
        <f>ExBA!C33</f>
        <v>1</v>
      </c>
      <c r="D28" s="92">
        <f>ExBA!D33</f>
        <v>302980</v>
      </c>
      <c r="E28" s="40">
        <f>C28*E19</f>
        <v>2000</v>
      </c>
      <c r="F28" s="40">
        <f>C28*F19</f>
        <v>3000</v>
      </c>
      <c r="G28" s="40">
        <f>C28*G19</f>
        <v>5000</v>
      </c>
      <c r="H28" s="40">
        <f>C28*H19</f>
        <v>15000</v>
      </c>
      <c r="I28" s="40">
        <f>C28*I19</f>
        <v>25000</v>
      </c>
      <c r="J28" s="14">
        <f>C28*J19</f>
        <v>50000</v>
      </c>
      <c r="K28" s="40">
        <f>C28*K19</f>
        <v>100000</v>
      </c>
      <c r="L28" s="276">
        <f>C28*L19</f>
        <v>100000</v>
      </c>
      <c r="M28" s="40">
        <f>D28-E28-F28-G28-H28-I28-J28-K28-L28</f>
        <v>2980</v>
      </c>
      <c r="N28" s="289">
        <f t="shared" si="0"/>
        <v>302980</v>
      </c>
    </row>
    <row r="29" spans="1:14" s="1" customFormat="1" ht="14.35" customHeight="1" x14ac:dyDescent="0.45">
      <c r="A29" s="287"/>
      <c r="B29" s="4"/>
      <c r="C29" s="20">
        <f>SUM(C20:C28)</f>
        <v>25498</v>
      </c>
      <c r="D29" s="4">
        <f>SUM(D20:D28)</f>
        <v>110071430</v>
      </c>
      <c r="E29" s="4">
        <f t="shared" ref="E29:M29" si="1">SUM(E20:E28)</f>
        <v>44065000</v>
      </c>
      <c r="F29" s="4">
        <f t="shared" si="1"/>
        <v>33936950</v>
      </c>
      <c r="G29" s="4">
        <f t="shared" si="1"/>
        <v>16619110</v>
      </c>
      <c r="H29" s="4">
        <f t="shared" si="1"/>
        <v>9753520</v>
      </c>
      <c r="I29" s="4">
        <f t="shared" si="1"/>
        <v>3178250</v>
      </c>
      <c r="J29" s="4">
        <f t="shared" si="1"/>
        <v>1727560</v>
      </c>
      <c r="K29" s="4">
        <f t="shared" si="1"/>
        <v>592450</v>
      </c>
      <c r="L29" s="4">
        <f t="shared" si="1"/>
        <v>195610</v>
      </c>
      <c r="M29" s="4">
        <f t="shared" si="1"/>
        <v>2980</v>
      </c>
      <c r="N29" s="288">
        <f>SUM(N20:N28)</f>
        <v>110071430</v>
      </c>
    </row>
    <row r="30" spans="1:14" s="1" customFormat="1" ht="14.35" customHeight="1" x14ac:dyDescent="0.75">
      <c r="A30" s="256"/>
      <c r="B30" s="4"/>
      <c r="C30" s="96"/>
      <c r="D30" s="38"/>
      <c r="E30" s="91"/>
      <c r="F30" s="91"/>
      <c r="G30" s="44"/>
      <c r="I30" s="15"/>
      <c r="J30" s="238"/>
      <c r="K30" s="93"/>
      <c r="L30" s="97"/>
      <c r="N30" s="285"/>
    </row>
    <row r="31" spans="1:14" s="1" customFormat="1" ht="14.35" customHeight="1" x14ac:dyDescent="0.45">
      <c r="A31" s="284" t="s">
        <v>241</v>
      </c>
      <c r="D31" s="384" t="s">
        <v>222</v>
      </c>
      <c r="E31" s="384"/>
      <c r="F31" s="123"/>
      <c r="G31" s="123"/>
      <c r="I31" s="15"/>
      <c r="J31" s="230"/>
      <c r="K31" s="4"/>
      <c r="M31" s="4"/>
      <c r="N31" s="320"/>
    </row>
    <row r="32" spans="1:14" s="1" customFormat="1" ht="14.35" customHeight="1" x14ac:dyDescent="0.45">
      <c r="A32" s="284"/>
      <c r="D32" s="272"/>
      <c r="E32" s="272"/>
      <c r="F32" s="123"/>
      <c r="G32" s="123"/>
      <c r="I32" s="15"/>
      <c r="J32" s="230"/>
      <c r="K32" s="4"/>
      <c r="M32" s="4"/>
      <c r="N32" s="320"/>
    </row>
    <row r="33" spans="1:14" s="1" customFormat="1" ht="14.35" customHeight="1" x14ac:dyDescent="0.45">
      <c r="A33" s="256"/>
      <c r="B33" s="103" t="s">
        <v>50</v>
      </c>
      <c r="C33" s="89" t="s">
        <v>51</v>
      </c>
      <c r="D33" s="89" t="s">
        <v>52</v>
      </c>
      <c r="E33" s="382" t="s">
        <v>54</v>
      </c>
      <c r="F33" s="382"/>
      <c r="G33" s="108" t="s">
        <v>55</v>
      </c>
      <c r="H33" s="18"/>
      <c r="I33" s="15"/>
      <c r="J33" s="230"/>
      <c r="N33" s="285"/>
    </row>
    <row r="34" spans="1:14" s="1" customFormat="1" ht="14.35" customHeight="1" x14ac:dyDescent="0.45">
      <c r="A34" s="287" t="s">
        <v>211</v>
      </c>
      <c r="B34" s="4">
        <f>Rates!D9</f>
        <v>2000</v>
      </c>
      <c r="C34" s="20">
        <f>C29</f>
        <v>25498</v>
      </c>
      <c r="D34" s="20">
        <f>E29</f>
        <v>44065000</v>
      </c>
      <c r="E34" s="245">
        <f>Rates!H9</f>
        <v>15.09</v>
      </c>
      <c r="F34" s="46" t="s">
        <v>115</v>
      </c>
      <c r="G34" s="109">
        <f>ROUND(C34*E34,0)</f>
        <v>384765</v>
      </c>
      <c r="H34" s="20"/>
      <c r="I34" s="15"/>
      <c r="J34" s="230"/>
      <c r="N34" s="285"/>
    </row>
    <row r="35" spans="1:14" s="1" customFormat="1" ht="14.35" customHeight="1" x14ac:dyDescent="0.45">
      <c r="A35" s="287" t="s">
        <v>212</v>
      </c>
      <c r="B35" s="4">
        <f>Rates!D10</f>
        <v>3000</v>
      </c>
      <c r="C35" s="20"/>
      <c r="D35" s="20">
        <f>F29</f>
        <v>33936950</v>
      </c>
      <c r="E35" s="335">
        <f>Rates!H10</f>
        <v>7.5399999999999998E-3</v>
      </c>
      <c r="F35" s="46" t="s">
        <v>209</v>
      </c>
      <c r="G35" s="109">
        <f>ROUND(D35*E35,0)</f>
        <v>255885</v>
      </c>
      <c r="H35" s="20"/>
      <c r="I35" s="15"/>
      <c r="J35" s="230"/>
      <c r="N35" s="285"/>
    </row>
    <row r="36" spans="1:14" s="1" customFormat="1" ht="14.35" customHeight="1" x14ac:dyDescent="0.45">
      <c r="A36" s="287" t="s">
        <v>212</v>
      </c>
      <c r="B36" s="4">
        <f>Rates!D11</f>
        <v>5000</v>
      </c>
      <c r="C36" s="20"/>
      <c r="D36" s="20">
        <f>G29</f>
        <v>16619110</v>
      </c>
      <c r="E36" s="335">
        <f>Rates!H11</f>
        <v>7.1000000000000004E-3</v>
      </c>
      <c r="F36" s="46" t="s">
        <v>209</v>
      </c>
      <c r="G36" s="109">
        <f t="shared" ref="G36:G42" si="2">ROUND(D36*E36,0)</f>
        <v>117996</v>
      </c>
      <c r="H36" s="20"/>
      <c r="I36" s="15"/>
      <c r="J36" s="230"/>
      <c r="N36" s="285"/>
    </row>
    <row r="37" spans="1:14" s="1" customFormat="1" ht="14.35" customHeight="1" x14ac:dyDescent="0.45">
      <c r="A37" s="287" t="s">
        <v>212</v>
      </c>
      <c r="B37" s="4">
        <f>Rates!D12</f>
        <v>15000</v>
      </c>
      <c r="C37" s="20"/>
      <c r="D37" s="20">
        <f>H29</f>
        <v>9753520</v>
      </c>
      <c r="E37" s="335">
        <f>Rates!H12</f>
        <v>6.7200000000000003E-3</v>
      </c>
      <c r="F37" s="46" t="s">
        <v>209</v>
      </c>
      <c r="G37" s="109">
        <f t="shared" si="2"/>
        <v>65544</v>
      </c>
      <c r="H37" s="20"/>
      <c r="I37" s="15"/>
      <c r="J37" s="230"/>
      <c r="N37" s="285"/>
    </row>
    <row r="38" spans="1:14" s="1" customFormat="1" ht="14.35" customHeight="1" x14ac:dyDescent="0.45">
      <c r="A38" s="287" t="s">
        <v>212</v>
      </c>
      <c r="B38" s="4">
        <f>Rates!D13</f>
        <v>25000</v>
      </c>
      <c r="C38" s="20"/>
      <c r="D38" s="20">
        <f>I29</f>
        <v>3178250</v>
      </c>
      <c r="E38" s="335">
        <f>Rates!H13</f>
        <v>6.3899999999999998E-3</v>
      </c>
      <c r="F38" s="46" t="s">
        <v>209</v>
      </c>
      <c r="G38" s="109">
        <f t="shared" si="2"/>
        <v>20309</v>
      </c>
      <c r="H38" s="20"/>
      <c r="I38" s="15"/>
      <c r="J38" s="230"/>
      <c r="N38" s="285"/>
    </row>
    <row r="39" spans="1:14" s="1" customFormat="1" ht="14.35" customHeight="1" x14ac:dyDescent="0.45">
      <c r="A39" s="287" t="s">
        <v>212</v>
      </c>
      <c r="B39" s="4">
        <f>Rates!D14</f>
        <v>50000</v>
      </c>
      <c r="C39" s="20"/>
      <c r="D39" s="20">
        <f>J29</f>
        <v>1727560</v>
      </c>
      <c r="E39" s="335">
        <f>Rates!H14</f>
        <v>5.9500000000000004E-3</v>
      </c>
      <c r="F39" s="46" t="s">
        <v>209</v>
      </c>
      <c r="G39" s="109">
        <f t="shared" si="2"/>
        <v>10279</v>
      </c>
      <c r="H39" s="20"/>
      <c r="I39" s="15"/>
      <c r="J39" s="230"/>
      <c r="N39" s="285"/>
    </row>
    <row r="40" spans="1:14" s="1" customFormat="1" ht="14.35" customHeight="1" x14ac:dyDescent="0.45">
      <c r="A40" s="287" t="s">
        <v>212</v>
      </c>
      <c r="B40" s="4">
        <f>Rates!D15</f>
        <v>100000</v>
      </c>
      <c r="C40" s="20"/>
      <c r="D40" s="20">
        <f>K29</f>
        <v>592450</v>
      </c>
      <c r="E40" s="335">
        <f>Rates!H15</f>
        <v>5.5100000000000001E-3</v>
      </c>
      <c r="F40" s="46" t="s">
        <v>209</v>
      </c>
      <c r="G40" s="109">
        <f t="shared" si="2"/>
        <v>3264</v>
      </c>
      <c r="H40" s="20"/>
      <c r="I40" s="15"/>
      <c r="J40" s="230"/>
      <c r="N40" s="285"/>
    </row>
    <row r="41" spans="1:14" s="1" customFormat="1" ht="14.35" customHeight="1" x14ac:dyDescent="0.45">
      <c r="A41" s="287" t="s">
        <v>212</v>
      </c>
      <c r="B41" s="4">
        <f>Rates!D16</f>
        <v>100000</v>
      </c>
      <c r="C41" s="20"/>
      <c r="D41" s="20">
        <f>L29</f>
        <v>195610</v>
      </c>
      <c r="E41" s="335">
        <f>Rates!H16</f>
        <v>5.0800000000000003E-3</v>
      </c>
      <c r="F41" s="46" t="s">
        <v>209</v>
      </c>
      <c r="G41" s="109">
        <f t="shared" si="2"/>
        <v>994</v>
      </c>
      <c r="H41" s="20"/>
      <c r="I41" s="15"/>
      <c r="J41" s="230"/>
      <c r="N41" s="285"/>
    </row>
    <row r="42" spans="1:14" s="1" customFormat="1" ht="14.35" customHeight="1" x14ac:dyDescent="0.75">
      <c r="A42" s="293" t="s">
        <v>213</v>
      </c>
      <c r="B42" s="4">
        <f>Rates!D17</f>
        <v>300000</v>
      </c>
      <c r="C42" s="92"/>
      <c r="D42" s="92">
        <f>M29</f>
        <v>2980</v>
      </c>
      <c r="E42" s="335">
        <f>Rates!H17</f>
        <v>4.64E-3</v>
      </c>
      <c r="F42" s="46" t="s">
        <v>209</v>
      </c>
      <c r="G42" s="110">
        <f t="shared" si="2"/>
        <v>14</v>
      </c>
      <c r="H42" s="92"/>
      <c r="I42" s="15"/>
      <c r="J42" s="230"/>
      <c r="N42" s="285"/>
    </row>
    <row r="43" spans="1:14" s="1" customFormat="1" ht="14.35" customHeight="1" thickBot="1" x14ac:dyDescent="0.5">
      <c r="A43" s="318"/>
      <c r="B43" s="295"/>
      <c r="C43" s="319"/>
      <c r="D43" s="321">
        <f>SUM(D34:D42)</f>
        <v>110071430</v>
      </c>
      <c r="E43" s="319"/>
      <c r="F43" s="319"/>
      <c r="G43" s="316">
        <f>SUM(G34:G42)</f>
        <v>859050</v>
      </c>
      <c r="H43" s="319"/>
      <c r="I43" s="309"/>
      <c r="J43" s="313"/>
      <c r="K43" s="297"/>
      <c r="L43" s="297"/>
      <c r="M43" s="297"/>
      <c r="N43" s="301"/>
    </row>
    <row r="44" spans="1:14" s="1" customFormat="1" ht="14.65" thickBot="1" x14ac:dyDescent="0.5">
      <c r="A44" s="98"/>
      <c r="B44" s="4"/>
      <c r="C44" s="20"/>
      <c r="D44" s="268"/>
      <c r="E44" s="20"/>
      <c r="F44" s="20"/>
      <c r="G44" s="109"/>
      <c r="H44" s="20"/>
      <c r="I44" s="15"/>
      <c r="J44" s="230"/>
    </row>
    <row r="45" spans="1:14" s="1" customFormat="1" ht="14.35" customHeight="1" x14ac:dyDescent="0.75">
      <c r="A45" s="279" t="s">
        <v>242</v>
      </c>
      <c r="B45" s="280"/>
      <c r="C45" s="281"/>
      <c r="D45" s="383" t="s">
        <v>223</v>
      </c>
      <c r="E45" s="383"/>
      <c r="F45" s="282"/>
      <c r="G45" s="299"/>
      <c r="H45" s="302"/>
      <c r="I45" s="306"/>
      <c r="J45" s="311"/>
      <c r="K45" s="314"/>
      <c r="L45" s="317"/>
      <c r="M45" s="300"/>
    </row>
    <row r="46" spans="1:14" s="1" customFormat="1" ht="14.35" customHeight="1" x14ac:dyDescent="0.45">
      <c r="A46" s="284"/>
      <c r="B46" s="4"/>
      <c r="C46" s="96"/>
      <c r="D46" s="272"/>
      <c r="E46" s="98" t="s">
        <v>211</v>
      </c>
      <c r="F46" s="98" t="s">
        <v>212</v>
      </c>
      <c r="G46" s="98" t="s">
        <v>212</v>
      </c>
      <c r="H46" s="98" t="s">
        <v>212</v>
      </c>
      <c r="I46" s="98" t="s">
        <v>212</v>
      </c>
      <c r="J46" s="98" t="s">
        <v>212</v>
      </c>
      <c r="K46" s="98" t="s">
        <v>212</v>
      </c>
      <c r="L46" s="98" t="s">
        <v>213</v>
      </c>
      <c r="M46" s="285"/>
    </row>
    <row r="47" spans="1:14" s="1" customFormat="1" ht="14.35" customHeight="1" x14ac:dyDescent="0.45">
      <c r="A47" s="256"/>
      <c r="B47" s="103" t="s">
        <v>50</v>
      </c>
      <c r="C47" s="89" t="s">
        <v>51</v>
      </c>
      <c r="D47" s="89" t="s">
        <v>52</v>
      </c>
      <c r="E47" s="273">
        <f>B48</f>
        <v>5000</v>
      </c>
      <c r="F47" s="273">
        <f>B49</f>
        <v>5000</v>
      </c>
      <c r="G47" s="273">
        <f>B50</f>
        <v>15000</v>
      </c>
      <c r="H47" s="273">
        <f>B51</f>
        <v>25000</v>
      </c>
      <c r="I47" s="273">
        <f>B52</f>
        <v>50000</v>
      </c>
      <c r="J47" s="273">
        <f>B53</f>
        <v>100000</v>
      </c>
      <c r="K47" s="273">
        <f>B54</f>
        <v>100000</v>
      </c>
      <c r="L47" s="273">
        <f>B55</f>
        <v>300000</v>
      </c>
      <c r="M47" s="286" t="s">
        <v>12</v>
      </c>
    </row>
    <row r="48" spans="1:14" s="1" customFormat="1" ht="14.35" customHeight="1" x14ac:dyDescent="0.45">
      <c r="A48" s="287" t="s">
        <v>211</v>
      </c>
      <c r="B48" s="4">
        <f>Rates!D20</f>
        <v>5000</v>
      </c>
      <c r="C48" s="20">
        <f>ExBA!C53</f>
        <v>179</v>
      </c>
      <c r="D48" s="20">
        <f>ExBA!D53</f>
        <v>461410</v>
      </c>
      <c r="E48" s="274">
        <f>D48</f>
        <v>461410</v>
      </c>
      <c r="F48" s="274"/>
      <c r="G48" s="274"/>
      <c r="H48" s="274"/>
      <c r="I48" s="274"/>
      <c r="J48" s="274"/>
      <c r="K48" s="274"/>
      <c r="L48" s="274"/>
      <c r="M48" s="288">
        <f t="shared" ref="M48:M55" si="3">SUM(E48:L48)</f>
        <v>461410</v>
      </c>
    </row>
    <row r="49" spans="1:13" s="1" customFormat="1" ht="14.35" customHeight="1" x14ac:dyDescent="0.45">
      <c r="A49" s="287" t="s">
        <v>212</v>
      </c>
      <c r="B49" s="4">
        <f>Rates!D21</f>
        <v>5000</v>
      </c>
      <c r="C49" s="20">
        <f>ExBA!C54</f>
        <v>69</v>
      </c>
      <c r="D49" s="20">
        <f>ExBA!D54</f>
        <v>506930</v>
      </c>
      <c r="E49" s="274">
        <f>C49*E47</f>
        <v>345000</v>
      </c>
      <c r="F49" s="274">
        <f>D49-E49</f>
        <v>161930</v>
      </c>
      <c r="G49" s="274"/>
      <c r="H49" s="274"/>
      <c r="I49" s="274"/>
      <c r="J49" s="274"/>
      <c r="K49" s="274"/>
      <c r="L49" s="274"/>
      <c r="M49" s="288">
        <f t="shared" si="3"/>
        <v>506930</v>
      </c>
    </row>
    <row r="50" spans="1:13" s="1" customFormat="1" ht="14.35" customHeight="1" x14ac:dyDescent="0.45">
      <c r="A50" s="287" t="s">
        <v>212</v>
      </c>
      <c r="B50" s="4">
        <f>Rates!D22</f>
        <v>15000</v>
      </c>
      <c r="C50" s="20">
        <f>ExBA!C55</f>
        <v>64</v>
      </c>
      <c r="D50" s="20">
        <f>ExBA!D55</f>
        <v>1019240</v>
      </c>
      <c r="E50" s="274">
        <f>C50*E47</f>
        <v>320000</v>
      </c>
      <c r="F50" s="274">
        <f>C50*F47</f>
        <v>320000</v>
      </c>
      <c r="G50" s="274">
        <f>D50-E50-F50</f>
        <v>379240</v>
      </c>
      <c r="H50" s="274"/>
      <c r="I50" s="274"/>
      <c r="J50" s="274"/>
      <c r="K50" s="274"/>
      <c r="L50" s="274"/>
      <c r="M50" s="288">
        <f t="shared" si="3"/>
        <v>1019240</v>
      </c>
    </row>
    <row r="51" spans="1:13" s="1" customFormat="1" ht="14.35" customHeight="1" x14ac:dyDescent="0.45">
      <c r="A51" s="287" t="s">
        <v>212</v>
      </c>
      <c r="B51" s="4">
        <f>Rates!D23</f>
        <v>25000</v>
      </c>
      <c r="C51" s="20">
        <f>ExBA!C56</f>
        <v>15</v>
      </c>
      <c r="D51" s="20">
        <f>ExBA!D56</f>
        <v>483570</v>
      </c>
      <c r="E51" s="274">
        <f>C51*E47</f>
        <v>75000</v>
      </c>
      <c r="F51" s="274">
        <f>C51*F47</f>
        <v>75000</v>
      </c>
      <c r="G51" s="274">
        <f>C51*G47</f>
        <v>225000</v>
      </c>
      <c r="H51" s="274">
        <f>D51-E51-F51-G51</f>
        <v>108570</v>
      </c>
      <c r="I51" s="274"/>
      <c r="J51" s="274"/>
      <c r="K51" s="274"/>
      <c r="L51" s="274"/>
      <c r="M51" s="288">
        <f t="shared" si="3"/>
        <v>483570</v>
      </c>
    </row>
    <row r="52" spans="1:13" s="1" customFormat="1" ht="14.35" customHeight="1" x14ac:dyDescent="0.45">
      <c r="A52" s="287" t="s">
        <v>212</v>
      </c>
      <c r="B52" s="4">
        <f>Rates!D24</f>
        <v>50000</v>
      </c>
      <c r="C52" s="20">
        <f>ExBA!C57</f>
        <v>14</v>
      </c>
      <c r="D52" s="20">
        <f>ExBA!D57</f>
        <v>1038940</v>
      </c>
      <c r="E52" s="274">
        <f>C52*E47</f>
        <v>70000</v>
      </c>
      <c r="F52" s="274">
        <f>C52*F47</f>
        <v>70000</v>
      </c>
      <c r="G52" s="274">
        <f>C52*G47</f>
        <v>210000</v>
      </c>
      <c r="H52" s="274">
        <f>C52*H47</f>
        <v>350000</v>
      </c>
      <c r="I52" s="274">
        <f>D52-E52-F52-G52-H52</f>
        <v>338940</v>
      </c>
      <c r="J52" s="274"/>
      <c r="K52" s="274"/>
      <c r="L52" s="274"/>
      <c r="M52" s="288">
        <f t="shared" si="3"/>
        <v>1038940</v>
      </c>
    </row>
    <row r="53" spans="1:13" s="1" customFormat="1" ht="14.35" customHeight="1" x14ac:dyDescent="0.45">
      <c r="A53" s="287" t="s">
        <v>212</v>
      </c>
      <c r="B53" s="4">
        <f>Rates!D25</f>
        <v>100000</v>
      </c>
      <c r="C53" s="20">
        <f>ExBA!C58</f>
        <v>3</v>
      </c>
      <c r="D53" s="20">
        <f>ExBA!D58</f>
        <v>308900</v>
      </c>
      <c r="E53" s="274">
        <f>C53*E47</f>
        <v>15000</v>
      </c>
      <c r="F53" s="274">
        <f>C53*F47</f>
        <v>15000</v>
      </c>
      <c r="G53" s="274">
        <f>C53*G47</f>
        <v>45000</v>
      </c>
      <c r="H53" s="274">
        <f>C53*H47</f>
        <v>75000</v>
      </c>
      <c r="I53" s="274">
        <f>C53*I47</f>
        <v>150000</v>
      </c>
      <c r="J53" s="274">
        <f>D53-E53-F53-G53-H53-I53</f>
        <v>8900</v>
      </c>
      <c r="K53" s="274"/>
      <c r="L53" s="274"/>
      <c r="M53" s="288">
        <f t="shared" si="3"/>
        <v>308900</v>
      </c>
    </row>
    <row r="54" spans="1:13" s="1" customFormat="1" ht="14.35" customHeight="1" x14ac:dyDescent="0.45">
      <c r="A54" s="287" t="s">
        <v>212</v>
      </c>
      <c r="B54" s="4">
        <f>Rates!D26</f>
        <v>100000</v>
      </c>
      <c r="C54" s="20">
        <f>ExBA!C59</f>
        <v>1</v>
      </c>
      <c r="D54" s="20">
        <f>ExBA!D59</f>
        <v>234420</v>
      </c>
      <c r="E54" s="274">
        <f>C54*E47</f>
        <v>5000</v>
      </c>
      <c r="F54" s="274">
        <f>C54*F47</f>
        <v>5000</v>
      </c>
      <c r="G54" s="274">
        <f>C54*G47</f>
        <v>15000</v>
      </c>
      <c r="H54" s="274">
        <f>C54*H47</f>
        <v>25000</v>
      </c>
      <c r="I54" s="274">
        <f>C54*I47</f>
        <v>50000</v>
      </c>
      <c r="J54" s="274">
        <f>C54*J47</f>
        <v>100000</v>
      </c>
      <c r="K54" s="274">
        <f>D54-E54-F54-G54-H54-I54-J54</f>
        <v>34420</v>
      </c>
      <c r="L54" s="274"/>
      <c r="M54" s="288">
        <f t="shared" si="3"/>
        <v>234420</v>
      </c>
    </row>
    <row r="55" spans="1:13" s="1" customFormat="1" ht="14.35" customHeight="1" x14ac:dyDescent="0.75">
      <c r="A55" s="287" t="s">
        <v>213</v>
      </c>
      <c r="B55" s="4">
        <f>Rates!D27</f>
        <v>300000</v>
      </c>
      <c r="C55" s="92">
        <f>ExBA!C60</f>
        <v>0</v>
      </c>
      <c r="D55" s="92">
        <f>ExBA!D60</f>
        <v>0</v>
      </c>
      <c r="E55" s="40">
        <f>C55*E47</f>
        <v>0</v>
      </c>
      <c r="F55" s="40">
        <f>C55*F47</f>
        <v>0</v>
      </c>
      <c r="G55" s="40">
        <f>C55*G47</f>
        <v>0</v>
      </c>
      <c r="H55" s="40">
        <f>C55*H47</f>
        <v>0</v>
      </c>
      <c r="I55" s="40">
        <f>C55*I47</f>
        <v>0</v>
      </c>
      <c r="J55" s="14">
        <f>C55*J47</f>
        <v>0</v>
      </c>
      <c r="K55" s="40">
        <f>C55*K47</f>
        <v>0</v>
      </c>
      <c r="L55" s="276">
        <f>D55-E55-F55-G55-H55-I55-J55-K55</f>
        <v>0</v>
      </c>
      <c r="M55" s="289">
        <f t="shared" si="3"/>
        <v>0</v>
      </c>
    </row>
    <row r="56" spans="1:13" s="1" customFormat="1" ht="14.35" customHeight="1" x14ac:dyDescent="0.45">
      <c r="A56" s="287"/>
      <c r="B56" s="4"/>
      <c r="C56" s="20">
        <f t="shared" ref="C56:M56" si="4">SUM(C48:C55)</f>
        <v>345</v>
      </c>
      <c r="D56" s="4">
        <f t="shared" si="4"/>
        <v>4053410</v>
      </c>
      <c r="E56" s="4">
        <f t="shared" si="4"/>
        <v>1291410</v>
      </c>
      <c r="F56" s="4">
        <f t="shared" si="4"/>
        <v>646930</v>
      </c>
      <c r="G56" s="4">
        <f t="shared" si="4"/>
        <v>874240</v>
      </c>
      <c r="H56" s="4">
        <f t="shared" si="4"/>
        <v>558570</v>
      </c>
      <c r="I56" s="4">
        <f t="shared" si="4"/>
        <v>538940</v>
      </c>
      <c r="J56" s="4">
        <f t="shared" si="4"/>
        <v>108900</v>
      </c>
      <c r="K56" s="4">
        <f t="shared" si="4"/>
        <v>34420</v>
      </c>
      <c r="L56" s="4">
        <f t="shared" si="4"/>
        <v>0</v>
      </c>
      <c r="M56" s="288">
        <f t="shared" si="4"/>
        <v>4053410</v>
      </c>
    </row>
    <row r="57" spans="1:13" s="1" customFormat="1" ht="14.35" customHeight="1" x14ac:dyDescent="0.45">
      <c r="A57" s="287"/>
      <c r="B57" s="4"/>
      <c r="C57" s="20"/>
      <c r="D57" s="20"/>
      <c r="E57" s="20"/>
      <c r="F57" s="20"/>
      <c r="G57" s="109"/>
      <c r="H57" s="20"/>
      <c r="I57" s="15"/>
      <c r="J57" s="230"/>
      <c r="M57" s="285"/>
    </row>
    <row r="58" spans="1:13" s="1" customFormat="1" ht="14.35" customHeight="1" x14ac:dyDescent="0.45">
      <c r="A58" s="284" t="s">
        <v>241</v>
      </c>
      <c r="C58" s="123"/>
      <c r="D58" s="384" t="s">
        <v>223</v>
      </c>
      <c r="E58" s="384"/>
      <c r="F58" s="123"/>
      <c r="G58" s="123"/>
      <c r="H58" s="90"/>
      <c r="I58" s="15"/>
      <c r="J58" s="230"/>
      <c r="M58" s="285"/>
    </row>
    <row r="59" spans="1:13" s="1" customFormat="1" ht="14.35" customHeight="1" x14ac:dyDescent="0.45">
      <c r="A59" s="256"/>
      <c r="B59" s="103" t="s">
        <v>50</v>
      </c>
      <c r="C59" s="89" t="s">
        <v>51</v>
      </c>
      <c r="D59" s="89" t="s">
        <v>52</v>
      </c>
      <c r="E59" s="382" t="s">
        <v>54</v>
      </c>
      <c r="F59" s="382"/>
      <c r="G59" s="108" t="s">
        <v>55</v>
      </c>
      <c r="H59" s="90"/>
      <c r="I59" s="15"/>
      <c r="J59" s="230"/>
      <c r="M59" s="285"/>
    </row>
    <row r="60" spans="1:13" s="1" customFormat="1" ht="14.35" customHeight="1" x14ac:dyDescent="0.45">
      <c r="A60" s="287" t="s">
        <v>211</v>
      </c>
      <c r="B60" s="4">
        <f>Rates!D20</f>
        <v>5000</v>
      </c>
      <c r="C60" s="20">
        <f>C56</f>
        <v>345</v>
      </c>
      <c r="D60" s="20">
        <f>E56</f>
        <v>1291410</v>
      </c>
      <c r="E60" s="245">
        <f>Rates!H20</f>
        <v>37.69</v>
      </c>
      <c r="F60" s="46" t="s">
        <v>115</v>
      </c>
      <c r="G60" s="109">
        <f>ROUND(C60*E60,0)</f>
        <v>13003</v>
      </c>
      <c r="I60" s="15"/>
      <c r="J60" s="230"/>
      <c r="M60" s="285"/>
    </row>
    <row r="61" spans="1:13" s="1" customFormat="1" ht="14.35" customHeight="1" x14ac:dyDescent="0.45">
      <c r="A61" s="287" t="s">
        <v>212</v>
      </c>
      <c r="B61" s="4">
        <f>Rates!D21</f>
        <v>5000</v>
      </c>
      <c r="C61" s="20"/>
      <c r="D61" s="20">
        <f>F56</f>
        <v>646930</v>
      </c>
      <c r="E61" s="246">
        <f>Rates!H21</f>
        <v>7.1000000000000004E-3</v>
      </c>
      <c r="F61" s="46" t="s">
        <v>209</v>
      </c>
      <c r="G61" s="109">
        <f t="shared" ref="G61:G67" si="5">ROUND(D61*E61,0)</f>
        <v>4593</v>
      </c>
      <c r="I61" s="15"/>
      <c r="J61" s="230"/>
      <c r="M61" s="285"/>
    </row>
    <row r="62" spans="1:13" s="1" customFormat="1" ht="14.35" customHeight="1" x14ac:dyDescent="0.45">
      <c r="A62" s="287" t="s">
        <v>212</v>
      </c>
      <c r="B62" s="4">
        <f>Rates!D22</f>
        <v>15000</v>
      </c>
      <c r="C62" s="20"/>
      <c r="D62" s="20">
        <f>G56</f>
        <v>874240</v>
      </c>
      <c r="E62" s="246">
        <f>Rates!H22</f>
        <v>6.7200000000000003E-3</v>
      </c>
      <c r="F62" s="46" t="s">
        <v>209</v>
      </c>
      <c r="G62" s="109">
        <f t="shared" si="5"/>
        <v>5875</v>
      </c>
      <c r="I62" s="15"/>
      <c r="J62" s="230"/>
      <c r="M62" s="285"/>
    </row>
    <row r="63" spans="1:13" s="1" customFormat="1" ht="14.35" customHeight="1" x14ac:dyDescent="0.45">
      <c r="A63" s="287" t="s">
        <v>212</v>
      </c>
      <c r="B63" s="4">
        <f>Rates!D23</f>
        <v>25000</v>
      </c>
      <c r="C63" s="20"/>
      <c r="D63" s="20">
        <f>H56</f>
        <v>558570</v>
      </c>
      <c r="E63" s="246">
        <f>Rates!H23</f>
        <v>6.3899999999999998E-3</v>
      </c>
      <c r="F63" s="46" t="s">
        <v>209</v>
      </c>
      <c r="G63" s="109">
        <f t="shared" si="5"/>
        <v>3569</v>
      </c>
      <c r="I63" s="15"/>
      <c r="J63" s="230"/>
      <c r="M63" s="285"/>
    </row>
    <row r="64" spans="1:13" s="1" customFormat="1" ht="14.35" customHeight="1" x14ac:dyDescent="0.45">
      <c r="A64" s="287" t="s">
        <v>212</v>
      </c>
      <c r="B64" s="4">
        <f>Rates!D24</f>
        <v>50000</v>
      </c>
      <c r="C64" s="20"/>
      <c r="D64" s="20">
        <f>I56</f>
        <v>538940</v>
      </c>
      <c r="E64" s="246">
        <f>Rates!H24</f>
        <v>5.9500000000000004E-3</v>
      </c>
      <c r="F64" s="46" t="s">
        <v>209</v>
      </c>
      <c r="G64" s="109">
        <f t="shared" si="5"/>
        <v>3207</v>
      </c>
      <c r="I64" s="15"/>
      <c r="J64" s="230"/>
      <c r="M64" s="285"/>
    </row>
    <row r="65" spans="1:13" s="1" customFormat="1" ht="14.35" customHeight="1" x14ac:dyDescent="0.45">
      <c r="A65" s="287" t="s">
        <v>212</v>
      </c>
      <c r="B65" s="4">
        <f>Rates!D25</f>
        <v>100000</v>
      </c>
      <c r="C65" s="20"/>
      <c r="D65" s="20">
        <f>J56</f>
        <v>108900</v>
      </c>
      <c r="E65" s="246">
        <f>Rates!H25</f>
        <v>5.5100000000000001E-3</v>
      </c>
      <c r="F65" s="46" t="s">
        <v>209</v>
      </c>
      <c r="G65" s="109">
        <f t="shared" si="5"/>
        <v>600</v>
      </c>
      <c r="I65" s="15"/>
      <c r="J65" s="230"/>
      <c r="M65" s="285"/>
    </row>
    <row r="66" spans="1:13" s="1" customFormat="1" ht="14.35" customHeight="1" x14ac:dyDescent="0.45">
      <c r="A66" s="287" t="s">
        <v>212</v>
      </c>
      <c r="B66" s="4">
        <f>Rates!D26</f>
        <v>100000</v>
      </c>
      <c r="C66" s="20"/>
      <c r="D66" s="20">
        <f>K56</f>
        <v>34420</v>
      </c>
      <c r="E66" s="246">
        <f>Rates!H26</f>
        <v>5.0800000000000003E-3</v>
      </c>
      <c r="F66" s="46" t="s">
        <v>209</v>
      </c>
      <c r="G66" s="109">
        <f t="shared" si="5"/>
        <v>175</v>
      </c>
      <c r="I66" s="15"/>
      <c r="J66" s="230"/>
      <c r="M66" s="285"/>
    </row>
    <row r="67" spans="1:13" s="1" customFormat="1" ht="14.35" customHeight="1" x14ac:dyDescent="0.75">
      <c r="A67" s="293" t="s">
        <v>213</v>
      </c>
      <c r="B67" s="4">
        <f>Rates!D27</f>
        <v>300000</v>
      </c>
      <c r="C67" s="92"/>
      <c r="D67" s="92">
        <f>L56</f>
        <v>0</v>
      </c>
      <c r="E67" s="246">
        <f>Rates!H27</f>
        <v>4.64E-3</v>
      </c>
      <c r="F67" s="46" t="s">
        <v>209</v>
      </c>
      <c r="G67" s="110">
        <f t="shared" si="5"/>
        <v>0</v>
      </c>
      <c r="I67" s="15"/>
      <c r="J67" s="230"/>
      <c r="M67" s="285"/>
    </row>
    <row r="68" spans="1:13" s="1" customFormat="1" ht="14.35" customHeight="1" thickBot="1" x14ac:dyDescent="0.5">
      <c r="A68" s="318"/>
      <c r="B68" s="295"/>
      <c r="C68" s="319"/>
      <c r="D68" s="295">
        <f>SUM(D60:D67)</f>
        <v>4053410</v>
      </c>
      <c r="E68" s="319"/>
      <c r="F68" s="319"/>
      <c r="G68" s="316">
        <f>G60+G67</f>
        <v>13003</v>
      </c>
      <c r="H68" s="297"/>
      <c r="I68" s="309"/>
      <c r="J68" s="313"/>
      <c r="K68" s="297"/>
      <c r="L68" s="297"/>
      <c r="M68" s="301"/>
    </row>
    <row r="69" spans="1:13" s="1" customFormat="1" ht="14.35" customHeight="1" thickBot="1" x14ac:dyDescent="0.5">
      <c r="A69" s="98"/>
      <c r="B69" s="4"/>
      <c r="C69" s="20"/>
      <c r="D69" s="4"/>
      <c r="E69" s="20"/>
      <c r="F69" s="20"/>
      <c r="G69" s="109"/>
      <c r="I69" s="15"/>
      <c r="J69" s="230"/>
    </row>
    <row r="70" spans="1:13" s="1" customFormat="1" ht="14.35" customHeight="1" x14ac:dyDescent="0.75">
      <c r="A70" s="279" t="s">
        <v>242</v>
      </c>
      <c r="B70" s="280"/>
      <c r="C70" s="281"/>
      <c r="D70" s="383" t="s">
        <v>121</v>
      </c>
      <c r="E70" s="383"/>
      <c r="F70" s="282"/>
      <c r="G70" s="299"/>
      <c r="H70" s="302"/>
      <c r="I70" s="306"/>
      <c r="J70" s="311"/>
      <c r="K70" s="314"/>
      <c r="L70" s="315"/>
    </row>
    <row r="71" spans="1:13" s="1" customFormat="1" ht="14.35" customHeight="1" x14ac:dyDescent="0.45">
      <c r="A71" s="284"/>
      <c r="B71" s="4"/>
      <c r="C71" s="96"/>
      <c r="D71" s="272"/>
      <c r="E71" s="98" t="s">
        <v>211</v>
      </c>
      <c r="F71" s="98" t="s">
        <v>212</v>
      </c>
      <c r="G71" s="98" t="s">
        <v>212</v>
      </c>
      <c r="H71" s="98" t="s">
        <v>212</v>
      </c>
      <c r="I71" s="98" t="s">
        <v>212</v>
      </c>
      <c r="J71" s="98" t="s">
        <v>212</v>
      </c>
      <c r="K71" s="98" t="s">
        <v>213</v>
      </c>
      <c r="L71" s="285"/>
    </row>
    <row r="72" spans="1:13" s="1" customFormat="1" ht="14.35" customHeight="1" x14ac:dyDescent="0.45">
      <c r="A72" s="256"/>
      <c r="B72" s="103" t="s">
        <v>50</v>
      </c>
      <c r="C72" s="89" t="s">
        <v>51</v>
      </c>
      <c r="D72" s="89" t="s">
        <v>52</v>
      </c>
      <c r="E72" s="273">
        <f>B73</f>
        <v>10000</v>
      </c>
      <c r="F72" s="273">
        <f>B74</f>
        <v>15000</v>
      </c>
      <c r="G72" s="273">
        <f>B75</f>
        <v>25000</v>
      </c>
      <c r="H72" s="273">
        <f>B76</f>
        <v>50000</v>
      </c>
      <c r="I72" s="273">
        <f>B77</f>
        <v>100000</v>
      </c>
      <c r="J72" s="273">
        <f>B78</f>
        <v>100000</v>
      </c>
      <c r="K72" s="273">
        <f>B79</f>
        <v>300000</v>
      </c>
      <c r="L72" s="286" t="s">
        <v>12</v>
      </c>
    </row>
    <row r="73" spans="1:13" s="1" customFormat="1" ht="14.35" customHeight="1" x14ac:dyDescent="0.45">
      <c r="A73" s="287" t="s">
        <v>211</v>
      </c>
      <c r="B73" s="4">
        <f>Rates!D30</f>
        <v>10000</v>
      </c>
      <c r="C73" s="20">
        <f>ExBA!C78</f>
        <v>195</v>
      </c>
      <c r="D73" s="20">
        <f>ExBA!D78</f>
        <v>912390</v>
      </c>
      <c r="E73" s="274">
        <f>D73</f>
        <v>912390</v>
      </c>
      <c r="F73" s="274"/>
      <c r="G73" s="274"/>
      <c r="H73" s="274"/>
      <c r="I73" s="274"/>
      <c r="J73" s="274"/>
      <c r="K73" s="274"/>
      <c r="L73" s="288">
        <f t="shared" ref="L73:L79" si="6">SUM(E73:K73)</f>
        <v>912390</v>
      </c>
    </row>
    <row r="74" spans="1:13" s="1" customFormat="1" ht="14.35" customHeight="1" x14ac:dyDescent="0.45">
      <c r="A74" s="287" t="s">
        <v>212</v>
      </c>
      <c r="B74" s="4">
        <f>Rates!D31</f>
        <v>15000</v>
      </c>
      <c r="C74" s="20">
        <f>ExBA!C79</f>
        <v>98</v>
      </c>
      <c r="D74" s="20">
        <f>ExBA!D79</f>
        <v>1490290</v>
      </c>
      <c r="E74" s="274">
        <f>C74*E72</f>
        <v>980000</v>
      </c>
      <c r="F74" s="274">
        <f>D74-E74</f>
        <v>510290</v>
      </c>
      <c r="G74" s="274"/>
      <c r="H74" s="274"/>
      <c r="I74" s="274"/>
      <c r="J74" s="274"/>
      <c r="K74" s="274"/>
      <c r="L74" s="288">
        <f t="shared" si="6"/>
        <v>1490290</v>
      </c>
    </row>
    <row r="75" spans="1:13" s="1" customFormat="1" ht="14.35" customHeight="1" x14ac:dyDescent="0.45">
      <c r="A75" s="287" t="s">
        <v>212</v>
      </c>
      <c r="B75" s="4">
        <f>Rates!D32</f>
        <v>25000</v>
      </c>
      <c r="C75" s="20">
        <f>ExBA!C80</f>
        <v>23</v>
      </c>
      <c r="D75" s="20">
        <f>ExBA!D80</f>
        <v>813620</v>
      </c>
      <c r="E75" s="274">
        <f>C75*E72</f>
        <v>230000</v>
      </c>
      <c r="F75" s="274">
        <f>C75*F72</f>
        <v>345000</v>
      </c>
      <c r="G75" s="274">
        <f>D75-E75-F75</f>
        <v>238620</v>
      </c>
      <c r="H75" s="274"/>
      <c r="I75" s="274"/>
      <c r="J75" s="274"/>
      <c r="K75" s="274"/>
      <c r="L75" s="288">
        <f t="shared" si="6"/>
        <v>813620</v>
      </c>
    </row>
    <row r="76" spans="1:13" s="1" customFormat="1" ht="14.35" customHeight="1" x14ac:dyDescent="0.45">
      <c r="A76" s="287" t="s">
        <v>212</v>
      </c>
      <c r="B76" s="4">
        <f>Rates!D33</f>
        <v>50000</v>
      </c>
      <c r="C76" s="20">
        <f>ExBA!C81</f>
        <v>9</v>
      </c>
      <c r="D76" s="20">
        <f>ExBA!D81</f>
        <v>657310</v>
      </c>
      <c r="E76" s="274">
        <f>C76*E72</f>
        <v>90000</v>
      </c>
      <c r="F76" s="274">
        <f>C76*F72</f>
        <v>135000</v>
      </c>
      <c r="G76" s="274">
        <f>C76*G72</f>
        <v>225000</v>
      </c>
      <c r="H76" s="274">
        <f>D76-E76-F76-G76</f>
        <v>207310</v>
      </c>
      <c r="I76" s="274"/>
      <c r="J76" s="274"/>
      <c r="K76" s="274"/>
      <c r="L76" s="288">
        <f t="shared" si="6"/>
        <v>657310</v>
      </c>
    </row>
    <row r="77" spans="1:13" s="1" customFormat="1" ht="14.35" customHeight="1" x14ac:dyDescent="0.45">
      <c r="A77" s="287" t="s">
        <v>212</v>
      </c>
      <c r="B77" s="4">
        <f>Rates!D34</f>
        <v>100000</v>
      </c>
      <c r="C77" s="20">
        <f>ExBA!C82</f>
        <v>6</v>
      </c>
      <c r="D77" s="20">
        <f>ExBA!D82</f>
        <v>717710</v>
      </c>
      <c r="E77" s="274">
        <f>C77*E72</f>
        <v>60000</v>
      </c>
      <c r="F77" s="274">
        <f>C77*F72</f>
        <v>90000</v>
      </c>
      <c r="G77" s="274">
        <f>C77*G72</f>
        <v>150000</v>
      </c>
      <c r="H77" s="274">
        <f>C77*H72</f>
        <v>300000</v>
      </c>
      <c r="I77" s="274">
        <f>D77-E77-F77-G77-H77</f>
        <v>117710</v>
      </c>
      <c r="J77" s="274"/>
      <c r="K77" s="274"/>
      <c r="L77" s="288">
        <f t="shared" si="6"/>
        <v>717710</v>
      </c>
    </row>
    <row r="78" spans="1:13" s="1" customFormat="1" ht="14.35" customHeight="1" x14ac:dyDescent="0.45">
      <c r="A78" s="287" t="s">
        <v>212</v>
      </c>
      <c r="B78" s="4">
        <f>Rates!D35</f>
        <v>100000</v>
      </c>
      <c r="C78" s="20">
        <f>ExBA!C83</f>
        <v>0</v>
      </c>
      <c r="D78" s="20">
        <f>ExBA!D83</f>
        <v>0</v>
      </c>
      <c r="E78" s="274">
        <f>C78*E72</f>
        <v>0</v>
      </c>
      <c r="F78" s="274">
        <f>C78*F72</f>
        <v>0</v>
      </c>
      <c r="G78" s="274">
        <f>C78*G72</f>
        <v>0</v>
      </c>
      <c r="H78" s="274">
        <f>C78*H72</f>
        <v>0</v>
      </c>
      <c r="I78" s="274">
        <f>C78*I72</f>
        <v>0</v>
      </c>
      <c r="J78" s="274">
        <f>D78-E78-F78-G78-H78-I78</f>
        <v>0</v>
      </c>
      <c r="K78" s="274"/>
      <c r="L78" s="288">
        <f t="shared" si="6"/>
        <v>0</v>
      </c>
    </row>
    <row r="79" spans="1:13" s="1" customFormat="1" ht="14.35" customHeight="1" x14ac:dyDescent="0.75">
      <c r="A79" s="287" t="s">
        <v>212</v>
      </c>
      <c r="B79" s="4">
        <f>Rates!D36</f>
        <v>300000</v>
      </c>
      <c r="C79" s="92">
        <f>ExBA!C84</f>
        <v>2</v>
      </c>
      <c r="D79" s="92">
        <f>ExBA!D84</f>
        <v>714470</v>
      </c>
      <c r="E79" s="277">
        <f>C79*E72</f>
        <v>20000</v>
      </c>
      <c r="F79" s="277">
        <f>C79*F72</f>
        <v>30000</v>
      </c>
      <c r="G79" s="277">
        <f>C79*G72</f>
        <v>50000</v>
      </c>
      <c r="H79" s="277">
        <f>C79*H72</f>
        <v>100000</v>
      </c>
      <c r="I79" s="277">
        <f>C79*I72</f>
        <v>200000</v>
      </c>
      <c r="J79" s="277">
        <f>C79*J72</f>
        <v>200000</v>
      </c>
      <c r="K79" s="277">
        <f>D79-E79-F79-G79-H79-I79-J79</f>
        <v>114470</v>
      </c>
      <c r="L79" s="289">
        <f t="shared" si="6"/>
        <v>714470</v>
      </c>
    </row>
    <row r="80" spans="1:13" s="1" customFormat="1" ht="14.35" customHeight="1" x14ac:dyDescent="0.45">
      <c r="A80" s="287"/>
      <c r="B80" s="4"/>
      <c r="C80" s="20">
        <f t="shared" ref="C80:L80" si="7">SUM(C73:C79)</f>
        <v>333</v>
      </c>
      <c r="D80" s="4">
        <f t="shared" si="7"/>
        <v>5305790</v>
      </c>
      <c r="E80" s="4">
        <f t="shared" si="7"/>
        <v>2292390</v>
      </c>
      <c r="F80" s="4">
        <f t="shared" si="7"/>
        <v>1110290</v>
      </c>
      <c r="G80" s="4">
        <f t="shared" si="7"/>
        <v>663620</v>
      </c>
      <c r="H80" s="4">
        <f t="shared" si="7"/>
        <v>607310</v>
      </c>
      <c r="I80" s="4">
        <f t="shared" si="7"/>
        <v>317710</v>
      </c>
      <c r="J80" s="4">
        <f t="shared" si="7"/>
        <v>200000</v>
      </c>
      <c r="K80" s="4">
        <f t="shared" si="7"/>
        <v>114470</v>
      </c>
      <c r="L80" s="288">
        <f t="shared" si="7"/>
        <v>5305790</v>
      </c>
    </row>
    <row r="81" spans="1:13" s="1" customFormat="1" ht="14.35" customHeight="1" x14ac:dyDescent="0.45">
      <c r="A81" s="287"/>
      <c r="B81" s="4"/>
      <c r="C81" s="20"/>
      <c r="D81" s="4"/>
      <c r="E81" s="4"/>
      <c r="F81" s="4"/>
      <c r="G81" s="4"/>
      <c r="H81" s="4"/>
      <c r="I81" s="4"/>
      <c r="J81" s="4"/>
      <c r="K81" s="4"/>
      <c r="L81" s="288"/>
      <c r="M81" s="4"/>
    </row>
    <row r="82" spans="1:13" s="1" customFormat="1" ht="14.35" customHeight="1" x14ac:dyDescent="0.45">
      <c r="A82" s="284" t="s">
        <v>241</v>
      </c>
      <c r="C82" s="123"/>
      <c r="D82" s="384" t="s">
        <v>121</v>
      </c>
      <c r="E82" s="384"/>
      <c r="F82" s="123"/>
      <c r="G82" s="123"/>
      <c r="I82" s="15"/>
      <c r="J82" s="230"/>
      <c r="L82" s="285"/>
    </row>
    <row r="83" spans="1:13" s="1" customFormat="1" ht="14.35" customHeight="1" x14ac:dyDescent="0.45">
      <c r="A83" s="256"/>
      <c r="B83" s="103" t="s">
        <v>50</v>
      </c>
      <c r="C83" s="89" t="s">
        <v>51</v>
      </c>
      <c r="D83" s="89" t="s">
        <v>52</v>
      </c>
      <c r="E83" s="382" t="s">
        <v>54</v>
      </c>
      <c r="F83" s="382"/>
      <c r="G83" s="108" t="s">
        <v>55</v>
      </c>
      <c r="I83" s="15"/>
      <c r="J83" s="230"/>
      <c r="L83" s="285"/>
    </row>
    <row r="84" spans="1:13" s="1" customFormat="1" ht="14.35" customHeight="1" x14ac:dyDescent="0.45">
      <c r="A84" s="287" t="s">
        <v>211</v>
      </c>
      <c r="B84" s="4">
        <f>Rates!D30</f>
        <v>10000</v>
      </c>
      <c r="C84" s="91">
        <f>C80</f>
        <v>333</v>
      </c>
      <c r="D84" s="91">
        <f>E80</f>
        <v>2292390</v>
      </c>
      <c r="E84" s="245">
        <f>Rates!H30</f>
        <v>73.2</v>
      </c>
      <c r="F84" s="46" t="s">
        <v>115</v>
      </c>
      <c r="G84" s="109">
        <f>ROUND(C84*E84,0)</f>
        <v>24376</v>
      </c>
      <c r="I84" s="15"/>
      <c r="J84" s="230"/>
      <c r="L84" s="285"/>
    </row>
    <row r="85" spans="1:13" s="1" customFormat="1" ht="14.35" customHeight="1" x14ac:dyDescent="0.45">
      <c r="A85" s="287" t="s">
        <v>212</v>
      </c>
      <c r="B85" s="4">
        <f>Rates!D31</f>
        <v>15000</v>
      </c>
      <c r="D85" s="91">
        <f>F80</f>
        <v>1110290</v>
      </c>
      <c r="E85" s="246">
        <f>Rates!H31</f>
        <v>6.7200000000000003E-3</v>
      </c>
      <c r="F85" s="46" t="s">
        <v>209</v>
      </c>
      <c r="G85" s="109">
        <f t="shared" ref="G85:G90" si="8">ROUND(D85*E85,0)</f>
        <v>7461</v>
      </c>
      <c r="I85" s="15"/>
      <c r="J85" s="230"/>
      <c r="L85" s="285"/>
    </row>
    <row r="86" spans="1:13" s="1" customFormat="1" ht="14.35" customHeight="1" x14ac:dyDescent="0.45">
      <c r="A86" s="287" t="s">
        <v>212</v>
      </c>
      <c r="B86" s="4">
        <f>Rates!D32</f>
        <v>25000</v>
      </c>
      <c r="D86" s="91">
        <f>G80</f>
        <v>663620</v>
      </c>
      <c r="E86" s="246">
        <f>Rates!H32</f>
        <v>6.3899999999999998E-3</v>
      </c>
      <c r="F86" s="46" t="s">
        <v>209</v>
      </c>
      <c r="G86" s="109">
        <f t="shared" si="8"/>
        <v>4241</v>
      </c>
      <c r="I86" s="15"/>
      <c r="J86" s="230"/>
      <c r="L86" s="285"/>
    </row>
    <row r="87" spans="1:13" s="1" customFormat="1" ht="14.35" customHeight="1" x14ac:dyDescent="0.45">
      <c r="A87" s="287" t="s">
        <v>212</v>
      </c>
      <c r="B87" s="4">
        <f>Rates!D33</f>
        <v>50000</v>
      </c>
      <c r="D87" s="91">
        <f>H80</f>
        <v>607310</v>
      </c>
      <c r="E87" s="246">
        <f>Rates!H33</f>
        <v>5.9500000000000004E-3</v>
      </c>
      <c r="F87" s="46" t="s">
        <v>209</v>
      </c>
      <c r="G87" s="109">
        <f t="shared" si="8"/>
        <v>3613</v>
      </c>
      <c r="I87" s="15"/>
      <c r="J87" s="230"/>
      <c r="L87" s="285"/>
    </row>
    <row r="88" spans="1:13" s="1" customFormat="1" ht="14.35" customHeight="1" x14ac:dyDescent="0.45">
      <c r="A88" s="287" t="s">
        <v>212</v>
      </c>
      <c r="B88" s="4">
        <f>Rates!D34</f>
        <v>100000</v>
      </c>
      <c r="D88" s="91">
        <f>I80</f>
        <v>317710</v>
      </c>
      <c r="E88" s="246">
        <f>Rates!H34</f>
        <v>5.5100000000000001E-3</v>
      </c>
      <c r="F88" s="46" t="s">
        <v>209</v>
      </c>
      <c r="G88" s="109">
        <f t="shared" si="8"/>
        <v>1751</v>
      </c>
      <c r="I88" s="15"/>
      <c r="J88" s="230"/>
      <c r="L88" s="285"/>
    </row>
    <row r="89" spans="1:13" s="1" customFormat="1" ht="14.35" customHeight="1" x14ac:dyDescent="0.45">
      <c r="A89" s="287" t="s">
        <v>212</v>
      </c>
      <c r="B89" s="4">
        <f>Rates!D35</f>
        <v>100000</v>
      </c>
      <c r="D89" s="91">
        <f>J80</f>
        <v>200000</v>
      </c>
      <c r="E89" s="246">
        <f>Rates!H35</f>
        <v>5.0800000000000003E-3</v>
      </c>
      <c r="F89" s="46" t="s">
        <v>209</v>
      </c>
      <c r="G89" s="109">
        <f t="shared" si="8"/>
        <v>1016</v>
      </c>
      <c r="I89" s="15"/>
      <c r="J89" s="230"/>
      <c r="L89" s="285"/>
    </row>
    <row r="90" spans="1:13" s="1" customFormat="1" ht="14.35" customHeight="1" x14ac:dyDescent="0.75">
      <c r="A90" s="293" t="s">
        <v>213</v>
      </c>
      <c r="B90" s="4">
        <f>Rates!D36</f>
        <v>300000</v>
      </c>
      <c r="C90" s="82"/>
      <c r="D90" s="278">
        <f>K80</f>
        <v>114470</v>
      </c>
      <c r="E90" s="246">
        <f>Rates!H36</f>
        <v>4.64E-3</v>
      </c>
      <c r="F90" s="46" t="s">
        <v>209</v>
      </c>
      <c r="G90" s="110">
        <f t="shared" si="8"/>
        <v>531</v>
      </c>
      <c r="I90" s="15"/>
      <c r="J90" s="230"/>
      <c r="L90" s="285"/>
    </row>
    <row r="91" spans="1:13" s="1" customFormat="1" ht="14.35" customHeight="1" thickBot="1" x14ac:dyDescent="0.5">
      <c r="A91" s="294"/>
      <c r="B91" s="295"/>
      <c r="C91" s="309"/>
      <c r="D91" s="295">
        <f>SUM(D84:D90)</f>
        <v>5305790</v>
      </c>
      <c r="E91" s="297"/>
      <c r="F91" s="297"/>
      <c r="G91" s="316">
        <f>SUM(G84:G90)</f>
        <v>42989</v>
      </c>
      <c r="H91" s="297"/>
      <c r="I91" s="309"/>
      <c r="J91" s="313"/>
      <c r="K91" s="297"/>
      <c r="L91" s="301"/>
    </row>
    <row r="92" spans="1:13" s="1" customFormat="1" ht="14.35" customHeight="1" thickBot="1" x14ac:dyDescent="0.5">
      <c r="B92" s="4"/>
      <c r="C92" s="15"/>
      <c r="D92" s="4"/>
      <c r="G92" s="109"/>
      <c r="I92" s="15"/>
      <c r="J92" s="230"/>
    </row>
    <row r="93" spans="1:13" s="1" customFormat="1" ht="14.35" customHeight="1" x14ac:dyDescent="0.75">
      <c r="A93" s="279" t="s">
        <v>242</v>
      </c>
      <c r="B93" s="280"/>
      <c r="C93" s="281"/>
      <c r="D93" s="383" t="s">
        <v>122</v>
      </c>
      <c r="E93" s="383"/>
      <c r="F93" s="282"/>
      <c r="G93" s="299"/>
      <c r="H93" s="302"/>
      <c r="I93" s="306"/>
      <c r="J93" s="311"/>
      <c r="K93" s="312"/>
      <c r="L93" s="97"/>
    </row>
    <row r="94" spans="1:13" s="1" customFormat="1" ht="14.35" customHeight="1" x14ac:dyDescent="0.45">
      <c r="A94" s="284"/>
      <c r="B94" s="4"/>
      <c r="C94" s="96"/>
      <c r="D94" s="272"/>
      <c r="E94" s="98" t="s">
        <v>211</v>
      </c>
      <c r="F94" s="98" t="s">
        <v>212</v>
      </c>
      <c r="G94" s="98" t="s">
        <v>212</v>
      </c>
      <c r="H94" s="98" t="s">
        <v>212</v>
      </c>
      <c r="I94" s="98" t="s">
        <v>212</v>
      </c>
      <c r="J94" s="98" t="s">
        <v>213</v>
      </c>
      <c r="K94" s="285"/>
    </row>
    <row r="95" spans="1:13" s="1" customFormat="1" ht="14.35" customHeight="1" x14ac:dyDescent="0.45">
      <c r="A95" s="256"/>
      <c r="B95" s="103" t="s">
        <v>50</v>
      </c>
      <c r="C95" s="89" t="s">
        <v>51</v>
      </c>
      <c r="D95" s="89" t="s">
        <v>52</v>
      </c>
      <c r="E95" s="273">
        <f>B96</f>
        <v>25000</v>
      </c>
      <c r="F95" s="273">
        <f>B97</f>
        <v>25000</v>
      </c>
      <c r="G95" s="273">
        <f>B98</f>
        <v>50000</v>
      </c>
      <c r="H95" s="273">
        <f>B99</f>
        <v>100000</v>
      </c>
      <c r="I95" s="273">
        <f>B100</f>
        <v>100000</v>
      </c>
      <c r="J95" s="273">
        <f>B101</f>
        <v>300000</v>
      </c>
      <c r="K95" s="286" t="s">
        <v>12</v>
      </c>
    </row>
    <row r="96" spans="1:13" s="1" customFormat="1" ht="14.35" customHeight="1" x14ac:dyDescent="0.45">
      <c r="A96" s="287" t="s">
        <v>211</v>
      </c>
      <c r="B96" s="4">
        <f>Rates!D39</f>
        <v>25000</v>
      </c>
      <c r="C96" s="20">
        <f>ExBA!C101</f>
        <v>16</v>
      </c>
      <c r="D96" s="20">
        <f>ExBA!D101</f>
        <v>191400</v>
      </c>
      <c r="E96" s="274">
        <f>D96</f>
        <v>191400</v>
      </c>
      <c r="F96" s="274"/>
      <c r="G96" s="274"/>
      <c r="H96" s="274"/>
      <c r="I96" s="274"/>
      <c r="J96" s="274"/>
      <c r="K96" s="288">
        <f t="shared" ref="K96:K101" si="9">SUM(E96:J96)</f>
        <v>191400</v>
      </c>
    </row>
    <row r="97" spans="1:11" s="1" customFormat="1" ht="14.35" customHeight="1" x14ac:dyDescent="0.45">
      <c r="A97" s="287" t="s">
        <v>212</v>
      </c>
      <c r="B97" s="4">
        <f>Rates!D40</f>
        <v>25000</v>
      </c>
      <c r="C97" s="20">
        <f>ExBA!C102</f>
        <v>2</v>
      </c>
      <c r="D97" s="20">
        <f>ExBA!D102</f>
        <v>74300</v>
      </c>
      <c r="E97" s="274">
        <f>C97*E95</f>
        <v>50000</v>
      </c>
      <c r="F97" s="274">
        <f>D97-E97</f>
        <v>24300</v>
      </c>
      <c r="G97" s="274"/>
      <c r="H97" s="274"/>
      <c r="I97" s="274"/>
      <c r="J97" s="274"/>
      <c r="K97" s="288">
        <f t="shared" si="9"/>
        <v>74300</v>
      </c>
    </row>
    <row r="98" spans="1:11" s="1" customFormat="1" ht="14.35" customHeight="1" x14ac:dyDescent="0.45">
      <c r="A98" s="287" t="s">
        <v>212</v>
      </c>
      <c r="B98" s="4">
        <f>Rates!D41</f>
        <v>50000</v>
      </c>
      <c r="C98" s="20">
        <f>ExBA!C103</f>
        <v>3</v>
      </c>
      <c r="D98" s="20">
        <f>ExBA!D103</f>
        <v>229200</v>
      </c>
      <c r="E98" s="274">
        <f>C98*E95</f>
        <v>75000</v>
      </c>
      <c r="F98" s="274">
        <f>C98*F95</f>
        <v>75000</v>
      </c>
      <c r="G98" s="274">
        <f>D98-E98-F98</f>
        <v>79200</v>
      </c>
      <c r="H98" s="274"/>
      <c r="I98" s="274"/>
      <c r="J98" s="274"/>
      <c r="K98" s="288">
        <f t="shared" si="9"/>
        <v>229200</v>
      </c>
    </row>
    <row r="99" spans="1:11" s="1" customFormat="1" ht="14.35" customHeight="1" x14ac:dyDescent="0.45">
      <c r="A99" s="287" t="s">
        <v>212</v>
      </c>
      <c r="B99" s="4">
        <f>Rates!D42</f>
        <v>100000</v>
      </c>
      <c r="C99" s="20">
        <f>ExBA!C104</f>
        <v>1</v>
      </c>
      <c r="D99" s="20">
        <f>ExBA!D104</f>
        <v>195700</v>
      </c>
      <c r="E99" s="274">
        <f>C99*E95</f>
        <v>25000</v>
      </c>
      <c r="F99" s="274">
        <f>C99*F95</f>
        <v>25000</v>
      </c>
      <c r="G99" s="274">
        <f>C99*G95</f>
        <v>50000</v>
      </c>
      <c r="H99" s="274">
        <f>D99-E99-F99-G99</f>
        <v>95700</v>
      </c>
      <c r="I99" s="274"/>
      <c r="J99" s="274"/>
      <c r="K99" s="288">
        <f t="shared" si="9"/>
        <v>195700</v>
      </c>
    </row>
    <row r="100" spans="1:11" s="1" customFormat="1" ht="14.35" customHeight="1" x14ac:dyDescent="0.45">
      <c r="A100" s="287" t="s">
        <v>212</v>
      </c>
      <c r="B100" s="4">
        <f>Rates!D43</f>
        <v>100000</v>
      </c>
      <c r="C100" s="20">
        <f>ExBA!C105</f>
        <v>1</v>
      </c>
      <c r="D100" s="20">
        <f>ExBA!D105</f>
        <v>201000</v>
      </c>
      <c r="E100" s="274">
        <f>C100*E95</f>
        <v>25000</v>
      </c>
      <c r="F100" s="274">
        <f>C100*F95</f>
        <v>25000</v>
      </c>
      <c r="G100" s="274">
        <f>C100*G95</f>
        <v>50000</v>
      </c>
      <c r="H100" s="274">
        <f>C100*H95</f>
        <v>100000</v>
      </c>
      <c r="I100" s="274">
        <f>D100-E100-F100-G100-H100</f>
        <v>1000</v>
      </c>
      <c r="J100" s="274"/>
      <c r="K100" s="288">
        <f t="shared" si="9"/>
        <v>201000</v>
      </c>
    </row>
    <row r="101" spans="1:11" s="1" customFormat="1" ht="14.35" customHeight="1" x14ac:dyDescent="0.75">
      <c r="A101" s="287" t="s">
        <v>213</v>
      </c>
      <c r="B101" s="4">
        <f>Rates!D44</f>
        <v>300000</v>
      </c>
      <c r="C101" s="92">
        <f>ExBA!C106</f>
        <v>0</v>
      </c>
      <c r="D101" s="92">
        <f>ExBA!D106</f>
        <v>0</v>
      </c>
      <c r="E101" s="277">
        <f>C101*E95</f>
        <v>0</v>
      </c>
      <c r="F101" s="277">
        <f>C101*F95</f>
        <v>0</v>
      </c>
      <c r="G101" s="277">
        <f>C101*G95</f>
        <v>0</v>
      </c>
      <c r="H101" s="277">
        <f>C101*H95</f>
        <v>0</v>
      </c>
      <c r="I101" s="277">
        <f>C101*I95</f>
        <v>0</v>
      </c>
      <c r="J101" s="277">
        <f>D101-E101-F101-G101-H101-I101</f>
        <v>0</v>
      </c>
      <c r="K101" s="289">
        <f t="shared" si="9"/>
        <v>0</v>
      </c>
    </row>
    <row r="102" spans="1:11" s="1" customFormat="1" ht="14.35" customHeight="1" x14ac:dyDescent="0.45">
      <c r="A102" s="287"/>
      <c r="B102" s="4"/>
      <c r="C102" s="20">
        <f t="shared" ref="C102:K102" si="10">SUM(C96:C101)</f>
        <v>23</v>
      </c>
      <c r="D102" s="4">
        <f t="shared" si="10"/>
        <v>891600</v>
      </c>
      <c r="E102" s="4">
        <f t="shared" si="10"/>
        <v>366400</v>
      </c>
      <c r="F102" s="4">
        <f t="shared" si="10"/>
        <v>149300</v>
      </c>
      <c r="G102" s="4">
        <f t="shared" si="10"/>
        <v>179200</v>
      </c>
      <c r="H102" s="4">
        <f t="shared" si="10"/>
        <v>195700</v>
      </c>
      <c r="I102" s="4">
        <f t="shared" si="10"/>
        <v>1000</v>
      </c>
      <c r="J102" s="4">
        <f t="shared" si="10"/>
        <v>0</v>
      </c>
      <c r="K102" s="288">
        <f t="shared" si="10"/>
        <v>891600</v>
      </c>
    </row>
    <row r="103" spans="1:11" s="1" customFormat="1" ht="14.35" customHeight="1" x14ac:dyDescent="0.45">
      <c r="A103" s="256"/>
      <c r="B103" s="4"/>
      <c r="G103" s="44"/>
      <c r="I103" s="15"/>
      <c r="J103" s="230"/>
      <c r="K103" s="285"/>
    </row>
    <row r="104" spans="1:11" s="1" customFormat="1" ht="14.35" customHeight="1" x14ac:dyDescent="0.45">
      <c r="A104" s="284" t="s">
        <v>241</v>
      </c>
      <c r="B104" s="4"/>
      <c r="C104" s="96"/>
      <c r="D104" s="384" t="s">
        <v>122</v>
      </c>
      <c r="E104" s="384"/>
      <c r="F104" s="123"/>
      <c r="G104" s="123"/>
      <c r="I104" s="15"/>
      <c r="J104" s="230"/>
      <c r="K104" s="285"/>
    </row>
    <row r="105" spans="1:11" s="1" customFormat="1" ht="14.35" customHeight="1" x14ac:dyDescent="0.45">
      <c r="A105" s="256"/>
      <c r="B105" s="103" t="s">
        <v>50</v>
      </c>
      <c r="C105" s="89" t="s">
        <v>51</v>
      </c>
      <c r="D105" s="89" t="s">
        <v>52</v>
      </c>
      <c r="E105" s="382" t="s">
        <v>54</v>
      </c>
      <c r="F105" s="382"/>
      <c r="G105" s="108" t="s">
        <v>55</v>
      </c>
      <c r="I105" s="15"/>
      <c r="J105" s="230"/>
      <c r="K105" s="285"/>
    </row>
    <row r="106" spans="1:11" s="1" customFormat="1" ht="14.35" customHeight="1" x14ac:dyDescent="0.45">
      <c r="A106" s="287" t="s">
        <v>211</v>
      </c>
      <c r="B106" s="4">
        <f>Rates!D39</f>
        <v>25000</v>
      </c>
      <c r="C106" s="91">
        <f>C102</f>
        <v>23</v>
      </c>
      <c r="D106" s="91">
        <f>E102</f>
        <v>366400</v>
      </c>
      <c r="E106" s="81">
        <f>Rates!H39</f>
        <v>173.96</v>
      </c>
      <c r="F106" s="46" t="s">
        <v>115</v>
      </c>
      <c r="G106" s="109">
        <f>ROUND(C106*E106,0)</f>
        <v>4001</v>
      </c>
      <c r="I106" s="15"/>
      <c r="J106" s="230"/>
      <c r="K106" s="285"/>
    </row>
    <row r="107" spans="1:11" s="1" customFormat="1" ht="14.35" customHeight="1" x14ac:dyDescent="0.45">
      <c r="A107" s="287" t="s">
        <v>212</v>
      </c>
      <c r="B107" s="4">
        <f>Rates!D40</f>
        <v>25000</v>
      </c>
      <c r="D107" s="91">
        <f>F102</f>
        <v>149300</v>
      </c>
      <c r="E107" s="266">
        <f>Rates!H40</f>
        <v>6.3899999999999998E-3</v>
      </c>
      <c r="F107" s="46" t="s">
        <v>209</v>
      </c>
      <c r="G107" s="109">
        <f t="shared" ref="G107:G111" si="11">ROUND(D107*E107,0)</f>
        <v>954</v>
      </c>
      <c r="I107" s="15"/>
      <c r="J107" s="230"/>
      <c r="K107" s="285"/>
    </row>
    <row r="108" spans="1:11" s="1" customFormat="1" ht="14.35" customHeight="1" x14ac:dyDescent="0.45">
      <c r="A108" s="287" t="s">
        <v>212</v>
      </c>
      <c r="B108" s="4">
        <f>Rates!D41</f>
        <v>50000</v>
      </c>
      <c r="D108" s="91">
        <f>G102</f>
        <v>179200</v>
      </c>
      <c r="E108" s="266">
        <f>Rates!H41</f>
        <v>5.9500000000000004E-3</v>
      </c>
      <c r="F108" s="46" t="s">
        <v>209</v>
      </c>
      <c r="G108" s="109">
        <f t="shared" si="11"/>
        <v>1066</v>
      </c>
      <c r="I108" s="15"/>
      <c r="J108" s="230"/>
      <c r="K108" s="285"/>
    </row>
    <row r="109" spans="1:11" s="1" customFormat="1" ht="14.35" customHeight="1" x14ac:dyDescent="0.45">
      <c r="A109" s="287" t="s">
        <v>212</v>
      </c>
      <c r="B109" s="4">
        <f>Rates!D42</f>
        <v>100000</v>
      </c>
      <c r="D109" s="91">
        <f>H102</f>
        <v>195700</v>
      </c>
      <c r="E109" s="266">
        <f>Rates!H42</f>
        <v>5.5100000000000001E-3</v>
      </c>
      <c r="F109" s="46" t="s">
        <v>209</v>
      </c>
      <c r="G109" s="109">
        <f t="shared" si="11"/>
        <v>1078</v>
      </c>
      <c r="I109" s="15"/>
      <c r="J109" s="230"/>
      <c r="K109" s="285"/>
    </row>
    <row r="110" spans="1:11" s="1" customFormat="1" ht="14.35" customHeight="1" x14ac:dyDescent="0.45">
      <c r="A110" s="287" t="s">
        <v>212</v>
      </c>
      <c r="B110" s="4">
        <f>Rates!D43</f>
        <v>100000</v>
      </c>
      <c r="D110" s="91">
        <f>I102</f>
        <v>1000</v>
      </c>
      <c r="E110" s="266">
        <f>Rates!H43</f>
        <v>5.0800000000000003E-3</v>
      </c>
      <c r="F110" s="46" t="s">
        <v>209</v>
      </c>
      <c r="G110" s="109">
        <f t="shared" si="11"/>
        <v>5</v>
      </c>
      <c r="I110" s="15"/>
      <c r="J110" s="230"/>
      <c r="K110" s="285"/>
    </row>
    <row r="111" spans="1:11" s="1" customFormat="1" ht="14.35" customHeight="1" x14ac:dyDescent="0.75">
      <c r="A111" s="293" t="s">
        <v>213</v>
      </c>
      <c r="B111" s="4">
        <f>Rates!D44</f>
        <v>300000</v>
      </c>
      <c r="C111" s="82"/>
      <c r="D111" s="278">
        <f>J102</f>
        <v>0</v>
      </c>
      <c r="E111" s="266">
        <f>Rates!H44</f>
        <v>4.64E-3</v>
      </c>
      <c r="F111" s="46" t="s">
        <v>209</v>
      </c>
      <c r="G111" s="110">
        <f t="shared" si="11"/>
        <v>0</v>
      </c>
      <c r="I111" s="15"/>
      <c r="J111" s="230"/>
      <c r="K111" s="285"/>
    </row>
    <row r="112" spans="1:11" s="1" customFormat="1" ht="14.35" customHeight="1" thickBot="1" x14ac:dyDescent="0.5">
      <c r="A112" s="294"/>
      <c r="B112" s="295"/>
      <c r="C112" s="296"/>
      <c r="D112" s="295">
        <f>SUM(D106:D111)</f>
        <v>891600</v>
      </c>
      <c r="E112" s="297"/>
      <c r="F112" s="297"/>
      <c r="G112" s="296">
        <f>SUM(G106:G111)</f>
        <v>7104</v>
      </c>
      <c r="H112" s="297"/>
      <c r="I112" s="309"/>
      <c r="J112" s="313"/>
      <c r="K112" s="301"/>
    </row>
    <row r="113" spans="1:11" s="1" customFormat="1" ht="14.35" customHeight="1" thickBot="1" x14ac:dyDescent="0.5">
      <c r="B113" s="4"/>
      <c r="C113" s="214"/>
      <c r="D113" s="4"/>
      <c r="G113" s="214"/>
      <c r="I113" s="15"/>
      <c r="J113" s="230"/>
    </row>
    <row r="114" spans="1:11" s="1" customFormat="1" ht="14.35" customHeight="1" x14ac:dyDescent="0.75">
      <c r="A114" s="279" t="s">
        <v>242</v>
      </c>
      <c r="B114" s="280"/>
      <c r="C114" s="281"/>
      <c r="D114" s="383" t="s">
        <v>123</v>
      </c>
      <c r="E114" s="383"/>
      <c r="F114" s="282"/>
      <c r="G114" s="299"/>
      <c r="H114" s="302"/>
      <c r="I114" s="306"/>
      <c r="J114" s="307"/>
      <c r="K114" s="93"/>
    </row>
    <row r="115" spans="1:11" s="1" customFormat="1" ht="14.35" customHeight="1" x14ac:dyDescent="0.45">
      <c r="A115" s="284"/>
      <c r="B115" s="4"/>
      <c r="C115" s="96"/>
      <c r="D115" s="272"/>
      <c r="E115" s="98" t="s">
        <v>211</v>
      </c>
      <c r="F115" s="98" t="s">
        <v>212</v>
      </c>
      <c r="G115" s="98" t="s">
        <v>212</v>
      </c>
      <c r="H115" s="98" t="s">
        <v>212</v>
      </c>
      <c r="I115" s="98" t="s">
        <v>213</v>
      </c>
      <c r="J115" s="285"/>
    </row>
    <row r="116" spans="1:11" s="1" customFormat="1" ht="14.35" customHeight="1" x14ac:dyDescent="0.45">
      <c r="A116" s="256"/>
      <c r="B116" s="103" t="s">
        <v>50</v>
      </c>
      <c r="C116" s="89" t="s">
        <v>51</v>
      </c>
      <c r="D116" s="89" t="s">
        <v>52</v>
      </c>
      <c r="E116" s="273">
        <f>B117</f>
        <v>50000</v>
      </c>
      <c r="F116" s="273">
        <f>B118</f>
        <v>50000</v>
      </c>
      <c r="G116" s="273">
        <f>B119</f>
        <v>100000</v>
      </c>
      <c r="H116" s="273">
        <f>B120</f>
        <v>100000</v>
      </c>
      <c r="I116" s="273">
        <f>B121</f>
        <v>300000</v>
      </c>
      <c r="J116" s="286" t="s">
        <v>12</v>
      </c>
    </row>
    <row r="117" spans="1:11" s="1" customFormat="1" ht="14.35" customHeight="1" x14ac:dyDescent="0.45">
      <c r="A117" s="287" t="s">
        <v>211</v>
      </c>
      <c r="B117" s="4">
        <f>Rates!D47</f>
        <v>50000</v>
      </c>
      <c r="C117" s="20">
        <f>ExBA!C122</f>
        <v>71</v>
      </c>
      <c r="D117" s="20">
        <f>ExBA!D122</f>
        <v>1080980</v>
      </c>
      <c r="E117" s="274">
        <f>D117</f>
        <v>1080980</v>
      </c>
      <c r="F117" s="274"/>
      <c r="G117" s="274"/>
      <c r="H117" s="274"/>
      <c r="I117" s="274"/>
      <c r="J117" s="288">
        <f>SUM(E117:I117)</f>
        <v>1080980</v>
      </c>
    </row>
    <row r="118" spans="1:11" s="1" customFormat="1" ht="14.35" customHeight="1" x14ac:dyDescent="0.45">
      <c r="A118" s="287" t="s">
        <v>212</v>
      </c>
      <c r="B118" s="4">
        <f>Rates!D48</f>
        <v>50000</v>
      </c>
      <c r="C118" s="20">
        <f>ExBA!C123</f>
        <v>15</v>
      </c>
      <c r="D118" s="20">
        <f>ExBA!D123</f>
        <v>1006270</v>
      </c>
      <c r="E118" s="274">
        <f>C118*E116</f>
        <v>750000</v>
      </c>
      <c r="F118" s="274">
        <f>D118-E118</f>
        <v>256270</v>
      </c>
      <c r="G118" s="274"/>
      <c r="H118" s="274"/>
      <c r="I118" s="274"/>
      <c r="J118" s="288">
        <f>SUM(E118:I118)</f>
        <v>1006270</v>
      </c>
    </row>
    <row r="119" spans="1:11" s="1" customFormat="1" ht="14.35" customHeight="1" x14ac:dyDescent="0.45">
      <c r="A119" s="287" t="s">
        <v>212</v>
      </c>
      <c r="B119" s="4">
        <f>Rates!D49</f>
        <v>100000</v>
      </c>
      <c r="C119" s="20">
        <f>ExBA!C124</f>
        <v>6</v>
      </c>
      <c r="D119" s="20">
        <f>ExBA!D124</f>
        <v>904400</v>
      </c>
      <c r="E119" s="274">
        <f>C119*E116</f>
        <v>300000</v>
      </c>
      <c r="F119" s="274">
        <f>C119*F116</f>
        <v>300000</v>
      </c>
      <c r="G119" s="274">
        <f>D119-E119-F119</f>
        <v>304400</v>
      </c>
      <c r="H119" s="274"/>
      <c r="I119" s="274"/>
      <c r="J119" s="288">
        <f>SUM(E119:I119)</f>
        <v>904400</v>
      </c>
    </row>
    <row r="120" spans="1:11" s="1" customFormat="1" ht="14.35" customHeight="1" x14ac:dyDescent="0.45">
      <c r="A120" s="287" t="s">
        <v>212</v>
      </c>
      <c r="B120" s="4">
        <f>Rates!D50</f>
        <v>100000</v>
      </c>
      <c r="C120" s="20">
        <f>ExBA!C125</f>
        <v>7</v>
      </c>
      <c r="D120" s="20">
        <f>ExBA!D125</f>
        <v>1506600</v>
      </c>
      <c r="E120" s="274">
        <f>C120*E116</f>
        <v>350000</v>
      </c>
      <c r="F120" s="274">
        <f>C120*F116</f>
        <v>350000</v>
      </c>
      <c r="G120" s="274">
        <f>C120*G116</f>
        <v>700000</v>
      </c>
      <c r="H120" s="274">
        <f>D120-E120-F120-G120</f>
        <v>106600</v>
      </c>
      <c r="I120" s="274"/>
      <c r="J120" s="288">
        <f>SUM(E120:I120)</f>
        <v>1506600</v>
      </c>
    </row>
    <row r="121" spans="1:11" s="1" customFormat="1" ht="14.35" customHeight="1" x14ac:dyDescent="0.75">
      <c r="A121" s="287" t="s">
        <v>213</v>
      </c>
      <c r="B121" s="4">
        <f>Rates!D51</f>
        <v>300000</v>
      </c>
      <c r="C121" s="92">
        <f>ExBA!C126</f>
        <v>12</v>
      </c>
      <c r="D121" s="92">
        <f>ExBA!D126</f>
        <v>16961700</v>
      </c>
      <c r="E121" s="277">
        <f>C121*E116</f>
        <v>600000</v>
      </c>
      <c r="F121" s="277">
        <f>C121*F116</f>
        <v>600000</v>
      </c>
      <c r="G121" s="277">
        <f>C121*G116</f>
        <v>1200000</v>
      </c>
      <c r="H121" s="277">
        <f>C121*H116</f>
        <v>1200000</v>
      </c>
      <c r="I121" s="277">
        <f>D121-E121-F121-G121-H121</f>
        <v>13361700</v>
      </c>
      <c r="J121" s="289">
        <f>SUM(E121:I121)</f>
        <v>16961700</v>
      </c>
    </row>
    <row r="122" spans="1:11" s="1" customFormat="1" ht="14.35" customHeight="1" x14ac:dyDescent="0.45">
      <c r="A122" s="287"/>
      <c r="B122" s="4"/>
      <c r="C122" s="20">
        <f t="shared" ref="C122:J122" si="12">SUM(C117:C121)</f>
        <v>111</v>
      </c>
      <c r="D122" s="4">
        <f t="shared" si="12"/>
        <v>21459950</v>
      </c>
      <c r="E122" s="4">
        <f t="shared" si="12"/>
        <v>3080980</v>
      </c>
      <c r="F122" s="4">
        <f t="shared" si="12"/>
        <v>1506270</v>
      </c>
      <c r="G122" s="4">
        <f t="shared" si="12"/>
        <v>2204400</v>
      </c>
      <c r="H122" s="4">
        <f t="shared" si="12"/>
        <v>1306600</v>
      </c>
      <c r="I122" s="4">
        <f t="shared" si="12"/>
        <v>13361700</v>
      </c>
      <c r="J122" s="288">
        <f t="shared" si="12"/>
        <v>21459950</v>
      </c>
    </row>
    <row r="123" spans="1:11" s="1" customFormat="1" ht="14.35" customHeight="1" x14ac:dyDescent="0.45">
      <c r="A123" s="256"/>
      <c r="B123" s="4"/>
      <c r="G123" s="44"/>
      <c r="I123" s="15"/>
      <c r="J123" s="308"/>
    </row>
    <row r="124" spans="1:11" s="1" customFormat="1" ht="14.35" customHeight="1" x14ac:dyDescent="0.45">
      <c r="A124" s="284" t="s">
        <v>241</v>
      </c>
      <c r="B124" s="123"/>
      <c r="C124" s="123"/>
      <c r="D124" s="384" t="s">
        <v>123</v>
      </c>
      <c r="E124" s="384"/>
      <c r="F124" s="123"/>
      <c r="G124" s="123"/>
      <c r="I124" s="15"/>
      <c r="J124" s="308"/>
    </row>
    <row r="125" spans="1:11" s="1" customFormat="1" ht="14.35" customHeight="1" x14ac:dyDescent="0.45">
      <c r="A125" s="256"/>
      <c r="B125" s="103" t="s">
        <v>50</v>
      </c>
      <c r="C125" s="89" t="s">
        <v>51</v>
      </c>
      <c r="D125" s="89" t="s">
        <v>52</v>
      </c>
      <c r="E125" s="382" t="s">
        <v>54</v>
      </c>
      <c r="F125" s="382"/>
      <c r="G125" s="108" t="s">
        <v>55</v>
      </c>
      <c r="I125" s="15"/>
      <c r="J125" s="308"/>
    </row>
    <row r="126" spans="1:11" s="1" customFormat="1" ht="14.35" customHeight="1" x14ac:dyDescent="0.45">
      <c r="A126" s="287" t="s">
        <v>211</v>
      </c>
      <c r="B126" s="4">
        <f>Rates!D47</f>
        <v>50000</v>
      </c>
      <c r="C126" s="91">
        <f>C122</f>
        <v>111</v>
      </c>
      <c r="D126" s="91">
        <f>E122</f>
        <v>3080980</v>
      </c>
      <c r="E126" s="81">
        <f>Rates!H47</f>
        <v>333.7</v>
      </c>
      <c r="F126" s="46" t="s">
        <v>115</v>
      </c>
      <c r="G126" s="109">
        <f>ROUND(C126*E126,0)</f>
        <v>37041</v>
      </c>
      <c r="I126" s="15"/>
      <c r="J126" s="308"/>
    </row>
    <row r="127" spans="1:11" s="1" customFormat="1" ht="14.35" customHeight="1" x14ac:dyDescent="0.45">
      <c r="A127" s="287" t="s">
        <v>212</v>
      </c>
      <c r="B127" s="4">
        <f>Rates!D48</f>
        <v>50000</v>
      </c>
      <c r="D127" s="91">
        <f>F122</f>
        <v>1506270</v>
      </c>
      <c r="E127" s="266">
        <f>Rates!H48</f>
        <v>5.9500000000000004E-3</v>
      </c>
      <c r="F127" s="46" t="s">
        <v>209</v>
      </c>
      <c r="G127" s="109">
        <f t="shared" ref="G127:G130" si="13">ROUND(D127*E127,0)</f>
        <v>8962</v>
      </c>
      <c r="I127" s="15"/>
      <c r="J127" s="308"/>
    </row>
    <row r="128" spans="1:11" s="1" customFormat="1" ht="14.35" customHeight="1" x14ac:dyDescent="0.45">
      <c r="A128" s="287" t="s">
        <v>212</v>
      </c>
      <c r="B128" s="4">
        <f>Rates!D49</f>
        <v>100000</v>
      </c>
      <c r="D128" s="91">
        <f>G122</f>
        <v>2204400</v>
      </c>
      <c r="E128" s="266">
        <f>Rates!H49</f>
        <v>5.5100000000000001E-3</v>
      </c>
      <c r="F128" s="46" t="s">
        <v>209</v>
      </c>
      <c r="G128" s="109">
        <f t="shared" si="13"/>
        <v>12146</v>
      </c>
      <c r="I128" s="15"/>
      <c r="J128" s="308"/>
    </row>
    <row r="129" spans="1:10" s="1" customFormat="1" ht="14.35" customHeight="1" x14ac:dyDescent="0.45">
      <c r="A129" s="287" t="s">
        <v>212</v>
      </c>
      <c r="B129" s="4">
        <f>Rates!D50</f>
        <v>100000</v>
      </c>
      <c r="D129" s="91">
        <f>H122</f>
        <v>1306600</v>
      </c>
      <c r="E129" s="266">
        <f>Rates!H50</f>
        <v>5.0800000000000003E-3</v>
      </c>
      <c r="F129" s="46" t="s">
        <v>209</v>
      </c>
      <c r="G129" s="109">
        <f t="shared" si="13"/>
        <v>6638</v>
      </c>
      <c r="I129" s="15"/>
      <c r="J129" s="308"/>
    </row>
    <row r="130" spans="1:10" s="1" customFormat="1" ht="14.35" customHeight="1" x14ac:dyDescent="0.75">
      <c r="A130" s="293" t="s">
        <v>213</v>
      </c>
      <c r="B130" s="4">
        <f>Rates!D51</f>
        <v>300000</v>
      </c>
      <c r="C130" s="82"/>
      <c r="D130" s="278">
        <f>I122</f>
        <v>13361700</v>
      </c>
      <c r="E130" s="266">
        <f>Rates!H51</f>
        <v>4.64E-3</v>
      </c>
      <c r="F130" s="46" t="s">
        <v>209</v>
      </c>
      <c r="G130" s="110">
        <f t="shared" si="13"/>
        <v>61998</v>
      </c>
      <c r="I130" s="15"/>
      <c r="J130" s="308"/>
    </row>
    <row r="131" spans="1:10" s="1" customFormat="1" ht="14.35" customHeight="1" thickBot="1" x14ac:dyDescent="0.5">
      <c r="A131" s="294"/>
      <c r="B131" s="295"/>
      <c r="C131" s="296"/>
      <c r="D131" s="295">
        <f>SUM(D126:D130)</f>
        <v>21459950</v>
      </c>
      <c r="E131" s="297"/>
      <c r="F131" s="297"/>
      <c r="G131" s="296">
        <f>SUM(G126:G130)</f>
        <v>126785</v>
      </c>
      <c r="H131" s="297"/>
      <c r="I131" s="309"/>
      <c r="J131" s="310"/>
    </row>
    <row r="132" spans="1:10" s="1" customFormat="1" ht="14.35" customHeight="1" thickBot="1" x14ac:dyDescent="0.5">
      <c r="B132" s="4"/>
      <c r="C132" s="214"/>
      <c r="D132" s="4"/>
      <c r="G132" s="214"/>
      <c r="I132" s="15"/>
      <c r="J132" s="230"/>
    </row>
    <row r="133" spans="1:10" s="1" customFormat="1" ht="14.35" customHeight="1" x14ac:dyDescent="0.45">
      <c r="A133" s="279" t="s">
        <v>242</v>
      </c>
      <c r="B133" s="280"/>
      <c r="C133" s="281"/>
      <c r="D133" s="383" t="s">
        <v>224</v>
      </c>
      <c r="E133" s="383"/>
      <c r="F133" s="282"/>
      <c r="G133" s="299"/>
      <c r="H133" s="302"/>
      <c r="I133" s="306"/>
      <c r="J133" s="307"/>
    </row>
    <row r="134" spans="1:10" s="1" customFormat="1" ht="14.35" customHeight="1" x14ac:dyDescent="0.45">
      <c r="A134" s="284"/>
      <c r="B134" s="4"/>
      <c r="C134" s="96"/>
      <c r="D134" s="272"/>
      <c r="E134" s="98" t="s">
        <v>211</v>
      </c>
      <c r="F134" s="98" t="s">
        <v>212</v>
      </c>
      <c r="G134" s="98" t="s">
        <v>212</v>
      </c>
      <c r="H134" s="98" t="s">
        <v>212</v>
      </c>
      <c r="I134" s="98" t="s">
        <v>213</v>
      </c>
      <c r="J134" s="285"/>
    </row>
    <row r="135" spans="1:10" s="1" customFormat="1" ht="14.35" customHeight="1" x14ac:dyDescent="0.45">
      <c r="A135" s="256"/>
      <c r="B135" s="103" t="s">
        <v>50</v>
      </c>
      <c r="C135" s="89" t="s">
        <v>51</v>
      </c>
      <c r="D135" s="89" t="s">
        <v>52</v>
      </c>
      <c r="E135" s="273">
        <f>B136</f>
        <v>75000</v>
      </c>
      <c r="F135" s="273">
        <f>B137</f>
        <v>25000</v>
      </c>
      <c r="G135" s="273">
        <f>B138</f>
        <v>100000</v>
      </c>
      <c r="H135" s="273">
        <f>B139</f>
        <v>100000</v>
      </c>
      <c r="I135" s="273">
        <f>B140</f>
        <v>300000</v>
      </c>
      <c r="J135" s="286" t="s">
        <v>12</v>
      </c>
    </row>
    <row r="136" spans="1:10" s="1" customFormat="1" ht="14.35" customHeight="1" x14ac:dyDescent="0.45">
      <c r="A136" s="287" t="s">
        <v>211</v>
      </c>
      <c r="B136" s="4">
        <f>Rates!D54</f>
        <v>75000</v>
      </c>
      <c r="C136" s="20">
        <v>0</v>
      </c>
      <c r="D136" s="4">
        <v>0</v>
      </c>
      <c r="E136" s="274">
        <f>D136</f>
        <v>0</v>
      </c>
      <c r="F136" s="274"/>
      <c r="G136" s="274"/>
      <c r="H136" s="274"/>
      <c r="I136" s="274"/>
      <c r="J136" s="288">
        <f>SUM(E136:I136)</f>
        <v>0</v>
      </c>
    </row>
    <row r="137" spans="1:10" s="1" customFormat="1" ht="14.35" customHeight="1" x14ac:dyDescent="0.45">
      <c r="A137" s="287" t="s">
        <v>212</v>
      </c>
      <c r="B137" s="4">
        <f>Rates!D55</f>
        <v>25000</v>
      </c>
      <c r="C137" s="20">
        <v>0</v>
      </c>
      <c r="D137" s="4">
        <v>0</v>
      </c>
      <c r="E137" s="274">
        <f>C137*E135</f>
        <v>0</v>
      </c>
      <c r="F137" s="274">
        <f>D137-E137</f>
        <v>0</v>
      </c>
      <c r="G137" s="274"/>
      <c r="H137" s="274"/>
      <c r="I137" s="274"/>
      <c r="J137" s="288">
        <f>SUM(E137:I137)</f>
        <v>0</v>
      </c>
    </row>
    <row r="138" spans="1:10" s="1" customFormat="1" ht="14.35" customHeight="1" x14ac:dyDescent="0.45">
      <c r="A138" s="287" t="s">
        <v>212</v>
      </c>
      <c r="B138" s="4">
        <f>Rates!D56</f>
        <v>100000</v>
      </c>
      <c r="C138" s="20">
        <v>0</v>
      </c>
      <c r="D138" s="4">
        <v>0</v>
      </c>
      <c r="E138" s="274">
        <f>C138*E135</f>
        <v>0</v>
      </c>
      <c r="F138" s="274">
        <f>C138*F135</f>
        <v>0</v>
      </c>
      <c r="G138" s="274">
        <f>D138-E138-F138</f>
        <v>0</v>
      </c>
      <c r="H138" s="274"/>
      <c r="I138" s="274"/>
      <c r="J138" s="288">
        <f>SUM(E138:I138)</f>
        <v>0</v>
      </c>
    </row>
    <row r="139" spans="1:10" s="1" customFormat="1" ht="14.35" customHeight="1" x14ac:dyDescent="0.45">
      <c r="A139" s="287" t="s">
        <v>212</v>
      </c>
      <c r="B139" s="4">
        <f>Rates!D57</f>
        <v>100000</v>
      </c>
      <c r="C139" s="20">
        <v>0</v>
      </c>
      <c r="D139" s="4">
        <v>0</v>
      </c>
      <c r="E139" s="274">
        <f>C139*E135</f>
        <v>0</v>
      </c>
      <c r="F139" s="274">
        <f>C139*F135</f>
        <v>0</v>
      </c>
      <c r="G139" s="274">
        <f>C139*G135</f>
        <v>0</v>
      </c>
      <c r="H139" s="274">
        <f>D139-E139-F139-G139</f>
        <v>0</v>
      </c>
      <c r="I139" s="274"/>
      <c r="J139" s="288">
        <f>SUM(E139:I139)</f>
        <v>0</v>
      </c>
    </row>
    <row r="140" spans="1:10" s="1" customFormat="1" ht="14.35" customHeight="1" x14ac:dyDescent="0.75">
      <c r="A140" s="287" t="s">
        <v>213</v>
      </c>
      <c r="B140" s="4">
        <f>Rates!D58</f>
        <v>300000</v>
      </c>
      <c r="C140" s="92">
        <v>0</v>
      </c>
      <c r="D140" s="40">
        <v>0</v>
      </c>
      <c r="E140" s="277">
        <f>C140*E135</f>
        <v>0</v>
      </c>
      <c r="F140" s="277">
        <f>C140*F135</f>
        <v>0</v>
      </c>
      <c r="G140" s="277">
        <f>C140*G135</f>
        <v>0</v>
      </c>
      <c r="H140" s="277">
        <f>C140*H135</f>
        <v>0</v>
      </c>
      <c r="I140" s="277">
        <f>D140-E140-F140-G140-H140</f>
        <v>0</v>
      </c>
      <c r="J140" s="289">
        <f>SUM(E140:I140)</f>
        <v>0</v>
      </c>
    </row>
    <row r="141" spans="1:10" s="1" customFormat="1" ht="14.35" customHeight="1" x14ac:dyDescent="0.45">
      <c r="A141" s="287"/>
      <c r="B141" s="4"/>
      <c r="C141" s="20">
        <f t="shared" ref="C141:J141" si="14">SUM(C136:C140)</f>
        <v>0</v>
      </c>
      <c r="D141" s="4">
        <f t="shared" si="14"/>
        <v>0</v>
      </c>
      <c r="E141" s="4">
        <f t="shared" si="14"/>
        <v>0</v>
      </c>
      <c r="F141" s="4">
        <f t="shared" si="14"/>
        <v>0</v>
      </c>
      <c r="G141" s="4">
        <f t="shared" si="14"/>
        <v>0</v>
      </c>
      <c r="H141" s="4">
        <f t="shared" si="14"/>
        <v>0</v>
      </c>
      <c r="I141" s="4">
        <f t="shared" si="14"/>
        <v>0</v>
      </c>
      <c r="J141" s="288">
        <f t="shared" si="14"/>
        <v>0</v>
      </c>
    </row>
    <row r="142" spans="1:10" s="1" customFormat="1" ht="14.35" customHeight="1" x14ac:dyDescent="0.45">
      <c r="A142" s="256"/>
      <c r="B142" s="4"/>
      <c r="C142" s="214"/>
      <c r="D142" s="4"/>
      <c r="G142" s="214"/>
      <c r="I142" s="15"/>
      <c r="J142" s="308"/>
    </row>
    <row r="143" spans="1:10" s="1" customFormat="1" ht="14.35" customHeight="1" x14ac:dyDescent="0.45">
      <c r="A143" s="284" t="s">
        <v>241</v>
      </c>
      <c r="B143" s="123"/>
      <c r="C143" s="123"/>
      <c r="D143" s="384" t="s">
        <v>224</v>
      </c>
      <c r="E143" s="384"/>
      <c r="F143" s="123"/>
      <c r="G143" s="123"/>
      <c r="I143" s="15"/>
      <c r="J143" s="308"/>
    </row>
    <row r="144" spans="1:10" s="1" customFormat="1" ht="14.35" customHeight="1" x14ac:dyDescent="0.45">
      <c r="A144" s="256"/>
      <c r="B144" s="103" t="s">
        <v>50</v>
      </c>
      <c r="C144" s="89" t="s">
        <v>51</v>
      </c>
      <c r="D144" s="89" t="s">
        <v>52</v>
      </c>
      <c r="E144" s="382" t="s">
        <v>54</v>
      </c>
      <c r="F144" s="382"/>
      <c r="G144" s="108" t="s">
        <v>55</v>
      </c>
      <c r="I144" s="15"/>
      <c r="J144" s="308"/>
    </row>
    <row r="145" spans="1:10" s="1" customFormat="1" ht="14.35" customHeight="1" x14ac:dyDescent="0.45">
      <c r="A145" s="287" t="s">
        <v>211</v>
      </c>
      <c r="B145" s="4">
        <f>Rates!D54</f>
        <v>75000</v>
      </c>
      <c r="C145" s="91">
        <f>C141</f>
        <v>0</v>
      </c>
      <c r="D145" s="91">
        <f>E141</f>
        <v>0</v>
      </c>
      <c r="E145" s="81">
        <f>Rates!H54</f>
        <v>482.49</v>
      </c>
      <c r="F145" s="46" t="s">
        <v>115</v>
      </c>
      <c r="G145" s="109">
        <f>ROUND(C145*E145,0)</f>
        <v>0</v>
      </c>
      <c r="I145" s="15"/>
      <c r="J145" s="308"/>
    </row>
    <row r="146" spans="1:10" s="1" customFormat="1" ht="14.35" customHeight="1" x14ac:dyDescent="0.45">
      <c r="A146" s="287" t="s">
        <v>212</v>
      </c>
      <c r="B146" s="4">
        <f>Rates!D55</f>
        <v>25000</v>
      </c>
      <c r="D146" s="91">
        <f>F141</f>
        <v>0</v>
      </c>
      <c r="E146" s="267">
        <f>Rates!H55</f>
        <v>5.9500000000000004E-3</v>
      </c>
      <c r="F146" s="46" t="s">
        <v>209</v>
      </c>
      <c r="G146" s="109">
        <f t="shared" ref="G146:G149" si="15">ROUND(D146*E146,0)</f>
        <v>0</v>
      </c>
      <c r="I146" s="15"/>
      <c r="J146" s="308"/>
    </row>
    <row r="147" spans="1:10" s="1" customFormat="1" ht="14.35" customHeight="1" x14ac:dyDescent="0.45">
      <c r="A147" s="287" t="s">
        <v>212</v>
      </c>
      <c r="B147" s="4">
        <f>Rates!D56</f>
        <v>100000</v>
      </c>
      <c r="D147" s="91">
        <f>G141</f>
        <v>0</v>
      </c>
      <c r="E147" s="267">
        <f>Rates!H56</f>
        <v>5.5100000000000001E-3</v>
      </c>
      <c r="F147" s="46" t="s">
        <v>209</v>
      </c>
      <c r="G147" s="109">
        <f t="shared" si="15"/>
        <v>0</v>
      </c>
      <c r="I147" s="15"/>
      <c r="J147" s="308"/>
    </row>
    <row r="148" spans="1:10" s="1" customFormat="1" ht="14.35" customHeight="1" x14ac:dyDescent="0.45">
      <c r="A148" s="287" t="s">
        <v>212</v>
      </c>
      <c r="B148" s="4">
        <f>Rates!D57</f>
        <v>100000</v>
      </c>
      <c r="D148" s="91">
        <f>H141</f>
        <v>0</v>
      </c>
      <c r="E148" s="267">
        <f>Rates!H57</f>
        <v>5.0800000000000003E-3</v>
      </c>
      <c r="F148" s="46" t="s">
        <v>209</v>
      </c>
      <c r="G148" s="109">
        <f t="shared" si="15"/>
        <v>0</v>
      </c>
      <c r="I148" s="15"/>
      <c r="J148" s="308"/>
    </row>
    <row r="149" spans="1:10" s="1" customFormat="1" ht="14.35" customHeight="1" x14ac:dyDescent="0.75">
      <c r="A149" s="293" t="s">
        <v>213</v>
      </c>
      <c r="B149" s="4">
        <f>Rates!D58</f>
        <v>300000</v>
      </c>
      <c r="C149" s="82"/>
      <c r="D149" s="278">
        <f>I141</f>
        <v>0</v>
      </c>
      <c r="E149" s="267">
        <f>Rates!H58</f>
        <v>4.64E-3</v>
      </c>
      <c r="F149" s="46" t="s">
        <v>209</v>
      </c>
      <c r="G149" s="110">
        <f t="shared" si="15"/>
        <v>0</v>
      </c>
      <c r="I149" s="15"/>
      <c r="J149" s="308"/>
    </row>
    <row r="150" spans="1:10" s="1" customFormat="1" ht="14.35" customHeight="1" thickBot="1" x14ac:dyDescent="0.5">
      <c r="A150" s="294"/>
      <c r="B150" s="295"/>
      <c r="C150" s="296"/>
      <c r="D150" s="295">
        <f>SUM(D145:D149)</f>
        <v>0</v>
      </c>
      <c r="E150" s="297"/>
      <c r="F150" s="297"/>
      <c r="G150" s="296">
        <f>SUM(G145:G149)</f>
        <v>0</v>
      </c>
      <c r="H150" s="297"/>
      <c r="I150" s="309"/>
      <c r="J150" s="310"/>
    </row>
    <row r="151" spans="1:10" s="1" customFormat="1" ht="14.35" customHeight="1" thickBot="1" x14ac:dyDescent="0.5">
      <c r="B151" s="4"/>
      <c r="C151" s="214"/>
      <c r="D151" s="4"/>
      <c r="G151" s="214"/>
      <c r="I151" s="15"/>
      <c r="J151" s="230"/>
    </row>
    <row r="152" spans="1:10" s="1" customFormat="1" ht="14.35" customHeight="1" x14ac:dyDescent="0.45">
      <c r="A152" s="279" t="s">
        <v>242</v>
      </c>
      <c r="B152" s="280"/>
      <c r="C152" s="281"/>
      <c r="D152" s="383" t="s">
        <v>225</v>
      </c>
      <c r="E152" s="383"/>
      <c r="F152" s="282"/>
      <c r="G152" s="299"/>
      <c r="H152" s="302"/>
      <c r="I152" s="303"/>
      <c r="J152" s="238"/>
    </row>
    <row r="153" spans="1:10" s="1" customFormat="1" ht="14.35" customHeight="1" x14ac:dyDescent="0.45">
      <c r="A153" s="284"/>
      <c r="B153" s="4"/>
      <c r="C153" s="96"/>
      <c r="D153" s="272"/>
      <c r="E153" s="98" t="s">
        <v>211</v>
      </c>
      <c r="F153" s="98" t="s">
        <v>212</v>
      </c>
      <c r="G153" s="98" t="s">
        <v>212</v>
      </c>
      <c r="H153" s="98" t="s">
        <v>213</v>
      </c>
      <c r="I153" s="285"/>
    </row>
    <row r="154" spans="1:10" s="1" customFormat="1" ht="14.35" customHeight="1" x14ac:dyDescent="0.45">
      <c r="A154" s="256"/>
      <c r="B154" s="103" t="s">
        <v>50</v>
      </c>
      <c r="C154" s="89" t="s">
        <v>51</v>
      </c>
      <c r="D154" s="89" t="s">
        <v>52</v>
      </c>
      <c r="E154" s="273">
        <f>B155</f>
        <v>100000</v>
      </c>
      <c r="F154" s="273">
        <f>B156</f>
        <v>100000</v>
      </c>
      <c r="G154" s="273">
        <f>B157</f>
        <v>100000</v>
      </c>
      <c r="H154" s="273">
        <f>B158</f>
        <v>300000</v>
      </c>
      <c r="I154" s="286" t="s">
        <v>12</v>
      </c>
    </row>
    <row r="155" spans="1:10" s="1" customFormat="1" ht="14.35" customHeight="1" x14ac:dyDescent="0.45">
      <c r="A155" s="287" t="s">
        <v>211</v>
      </c>
      <c r="B155" s="4">
        <f>Rates!D61</f>
        <v>100000</v>
      </c>
      <c r="C155" s="20">
        <f>ExBA!C160</f>
        <v>0</v>
      </c>
      <c r="D155" s="20">
        <f>ExBA!D160</f>
        <v>0</v>
      </c>
      <c r="E155" s="274">
        <f>D155</f>
        <v>0</v>
      </c>
      <c r="F155" s="274"/>
      <c r="G155" s="274"/>
      <c r="H155" s="274"/>
      <c r="I155" s="288">
        <f>SUM(E155:H155)</f>
        <v>0</v>
      </c>
    </row>
    <row r="156" spans="1:10" s="1" customFormat="1" ht="14.35" customHeight="1" x14ac:dyDescent="0.45">
      <c r="A156" s="287" t="s">
        <v>212</v>
      </c>
      <c r="B156" s="4">
        <f>Rates!D62</f>
        <v>100000</v>
      </c>
      <c r="C156" s="20">
        <f>ExBA!C161</f>
        <v>12</v>
      </c>
      <c r="D156" s="20">
        <f>ExBA!D161</f>
        <v>1722100</v>
      </c>
      <c r="E156" s="274">
        <f>C156*E154</f>
        <v>1200000</v>
      </c>
      <c r="F156" s="274">
        <f>D156-E156</f>
        <v>522100</v>
      </c>
      <c r="G156" s="274"/>
      <c r="H156" s="274"/>
      <c r="I156" s="288">
        <f>SUM(E156:H156)</f>
        <v>1722100</v>
      </c>
    </row>
    <row r="157" spans="1:10" s="1" customFormat="1" ht="14.35" customHeight="1" x14ac:dyDescent="0.45">
      <c r="A157" s="287" t="s">
        <v>212</v>
      </c>
      <c r="B157" s="4">
        <f>Rates!D63</f>
        <v>100000</v>
      </c>
      <c r="C157" s="20">
        <f>ExBA!C162</f>
        <v>0</v>
      </c>
      <c r="D157" s="20">
        <f>ExBA!D162</f>
        <v>0</v>
      </c>
      <c r="E157" s="274">
        <f>C157*E154</f>
        <v>0</v>
      </c>
      <c r="F157" s="274">
        <f>C157*F154</f>
        <v>0</v>
      </c>
      <c r="G157" s="274">
        <f>D157-E157-F157</f>
        <v>0</v>
      </c>
      <c r="H157" s="274"/>
      <c r="I157" s="288">
        <f>SUM(E157:H157)</f>
        <v>0</v>
      </c>
    </row>
    <row r="158" spans="1:10" s="1" customFormat="1" ht="14.35" customHeight="1" x14ac:dyDescent="0.75">
      <c r="A158" s="287" t="s">
        <v>212</v>
      </c>
      <c r="B158" s="4">
        <f>Rates!D64</f>
        <v>300000</v>
      </c>
      <c r="C158" s="92">
        <f>ExBA!C163</f>
        <v>0</v>
      </c>
      <c r="D158" s="92">
        <f>ExBA!D163</f>
        <v>0</v>
      </c>
      <c r="E158" s="277">
        <f>C158*E154</f>
        <v>0</v>
      </c>
      <c r="F158" s="277">
        <f>C158*F154</f>
        <v>0</v>
      </c>
      <c r="G158" s="277">
        <f>C158*G154</f>
        <v>0</v>
      </c>
      <c r="H158" s="277">
        <f>D158-E158-F158-G158</f>
        <v>0</v>
      </c>
      <c r="I158" s="289">
        <f>SUM(E158:H158)</f>
        <v>0</v>
      </c>
    </row>
    <row r="159" spans="1:10" s="1" customFormat="1" ht="14.35" customHeight="1" x14ac:dyDescent="0.45">
      <c r="A159" s="287"/>
      <c r="B159" s="4"/>
      <c r="C159" s="20">
        <f>SUM(C155:C158)</f>
        <v>12</v>
      </c>
      <c r="D159" s="4">
        <f t="shared" ref="D159:I159" si="16">SUM(D155:D158)</f>
        <v>1722100</v>
      </c>
      <c r="E159" s="4">
        <f t="shared" si="16"/>
        <v>1200000</v>
      </c>
      <c r="F159" s="4">
        <f t="shared" si="16"/>
        <v>522100</v>
      </c>
      <c r="G159" s="4">
        <f t="shared" si="16"/>
        <v>0</v>
      </c>
      <c r="H159" s="4">
        <f t="shared" si="16"/>
        <v>0</v>
      </c>
      <c r="I159" s="288">
        <f t="shared" si="16"/>
        <v>1722100</v>
      </c>
    </row>
    <row r="160" spans="1:10" s="1" customFormat="1" ht="14.35" customHeight="1" x14ac:dyDescent="0.45">
      <c r="A160" s="256"/>
      <c r="B160" s="4"/>
      <c r="G160" s="44"/>
      <c r="I160" s="304"/>
      <c r="J160" s="230"/>
    </row>
    <row r="161" spans="1:10" s="1" customFormat="1" ht="14.35" customHeight="1" x14ac:dyDescent="0.45">
      <c r="A161" s="284" t="s">
        <v>241</v>
      </c>
      <c r="C161" s="123"/>
      <c r="D161" s="384" t="s">
        <v>225</v>
      </c>
      <c r="E161" s="384"/>
      <c r="F161" s="123"/>
      <c r="G161" s="123"/>
      <c r="I161" s="304"/>
      <c r="J161" s="230"/>
    </row>
    <row r="162" spans="1:10" s="1" customFormat="1" ht="14.35" customHeight="1" x14ac:dyDescent="0.45">
      <c r="A162" s="256"/>
      <c r="B162" s="103" t="s">
        <v>50</v>
      </c>
      <c r="C162" s="89" t="s">
        <v>51</v>
      </c>
      <c r="D162" s="89" t="s">
        <v>52</v>
      </c>
      <c r="E162" s="382" t="s">
        <v>54</v>
      </c>
      <c r="F162" s="382"/>
      <c r="G162" s="108" t="s">
        <v>55</v>
      </c>
      <c r="I162" s="304"/>
      <c r="J162" s="230"/>
    </row>
    <row r="163" spans="1:10" s="1" customFormat="1" ht="14.35" customHeight="1" x14ac:dyDescent="0.45">
      <c r="A163" s="287" t="s">
        <v>211</v>
      </c>
      <c r="B163" s="4">
        <f>Rates!D61</f>
        <v>100000</v>
      </c>
      <c r="C163" s="91">
        <f>C159</f>
        <v>12</v>
      </c>
      <c r="D163" s="91">
        <f>E159</f>
        <v>1200000</v>
      </c>
      <c r="E163" s="81">
        <f>Rates!H61</f>
        <v>631.28</v>
      </c>
      <c r="F163" s="46" t="s">
        <v>115</v>
      </c>
      <c r="G163" s="109">
        <f>ROUND(C163*E163,0)</f>
        <v>7575</v>
      </c>
      <c r="I163" s="304"/>
      <c r="J163" s="230"/>
    </row>
    <row r="164" spans="1:10" s="1" customFormat="1" ht="14.35" customHeight="1" x14ac:dyDescent="0.45">
      <c r="A164" s="287" t="s">
        <v>212</v>
      </c>
      <c r="B164" s="4">
        <f>Rates!D62</f>
        <v>100000</v>
      </c>
      <c r="D164" s="91">
        <f>F159</f>
        <v>522100</v>
      </c>
      <c r="E164" s="267">
        <f>Rates!H62</f>
        <v>5.5100000000000001E-3</v>
      </c>
      <c r="F164" s="46" t="s">
        <v>209</v>
      </c>
      <c r="G164" s="109">
        <f t="shared" ref="G164:G166" si="17">ROUND(D164*E164,0)</f>
        <v>2877</v>
      </c>
      <c r="I164" s="304"/>
      <c r="J164" s="230"/>
    </row>
    <row r="165" spans="1:10" s="1" customFormat="1" ht="14.35" customHeight="1" x14ac:dyDescent="0.45">
      <c r="A165" s="287" t="s">
        <v>212</v>
      </c>
      <c r="B165" s="4">
        <f>Rates!D63</f>
        <v>100000</v>
      </c>
      <c r="D165" s="91">
        <f>G159</f>
        <v>0</v>
      </c>
      <c r="E165" s="267">
        <f>Rates!H63</f>
        <v>5.0800000000000003E-3</v>
      </c>
      <c r="F165" s="46" t="s">
        <v>209</v>
      </c>
      <c r="G165" s="109">
        <f t="shared" si="17"/>
        <v>0</v>
      </c>
      <c r="I165" s="304"/>
      <c r="J165" s="230"/>
    </row>
    <row r="166" spans="1:10" s="1" customFormat="1" ht="14.35" customHeight="1" x14ac:dyDescent="0.75">
      <c r="A166" s="293" t="s">
        <v>213</v>
      </c>
      <c r="B166" s="4">
        <f>Rates!D64</f>
        <v>300000</v>
      </c>
      <c r="C166" s="82"/>
      <c r="D166" s="93">
        <f>H159</f>
        <v>0</v>
      </c>
      <c r="E166" s="267">
        <f>Rates!H64</f>
        <v>4.64E-3</v>
      </c>
      <c r="F166" s="46" t="s">
        <v>209</v>
      </c>
      <c r="G166" s="110">
        <f t="shared" si="17"/>
        <v>0</v>
      </c>
      <c r="I166" s="304"/>
      <c r="J166" s="230"/>
    </row>
    <row r="167" spans="1:10" s="1" customFormat="1" ht="14.35" customHeight="1" thickBot="1" x14ac:dyDescent="0.5">
      <c r="A167" s="294"/>
      <c r="B167" s="295"/>
      <c r="C167" s="296"/>
      <c r="D167" s="295">
        <f>SUM(D163:D166)</f>
        <v>1722100</v>
      </c>
      <c r="E167" s="297"/>
      <c r="F167" s="297"/>
      <c r="G167" s="296">
        <f>SUM(G163:G166)</f>
        <v>10452</v>
      </c>
      <c r="H167" s="297"/>
      <c r="I167" s="305"/>
      <c r="J167" s="230"/>
    </row>
    <row r="168" spans="1:10" s="1" customFormat="1" ht="14.35" customHeight="1" thickBot="1" x14ac:dyDescent="0.5">
      <c r="B168" s="4"/>
      <c r="C168" s="214"/>
      <c r="D168" s="269"/>
      <c r="G168" s="214"/>
      <c r="I168" s="15"/>
      <c r="J168" s="230"/>
    </row>
    <row r="169" spans="1:10" s="1" customFormat="1" ht="14.35" customHeight="1" x14ac:dyDescent="0.45">
      <c r="A169" s="279" t="s">
        <v>242</v>
      </c>
      <c r="B169" s="280"/>
      <c r="C169" s="281"/>
      <c r="D169" s="383" t="s">
        <v>124</v>
      </c>
      <c r="E169" s="383"/>
      <c r="F169" s="282"/>
      <c r="G169" s="299"/>
      <c r="H169" s="300"/>
      <c r="I169" s="15"/>
      <c r="J169" s="230"/>
    </row>
    <row r="170" spans="1:10" s="1" customFormat="1" ht="14.35" customHeight="1" x14ac:dyDescent="0.45">
      <c r="A170" s="284"/>
      <c r="B170" s="4"/>
      <c r="C170" s="96"/>
      <c r="D170" s="272"/>
      <c r="E170" s="98" t="s">
        <v>211</v>
      </c>
      <c r="F170" s="98" t="s">
        <v>212</v>
      </c>
      <c r="G170" s="98" t="s">
        <v>212</v>
      </c>
      <c r="H170" s="285"/>
      <c r="I170" s="230"/>
    </row>
    <row r="171" spans="1:10" s="1" customFormat="1" ht="14.35" customHeight="1" x14ac:dyDescent="0.45">
      <c r="A171" s="256"/>
      <c r="B171" s="103" t="s">
        <v>50</v>
      </c>
      <c r="C171" s="89" t="s">
        <v>51</v>
      </c>
      <c r="D171" s="89" t="s">
        <v>52</v>
      </c>
      <c r="E171" s="273">
        <f>B172</f>
        <v>200000</v>
      </c>
      <c r="F171" s="273">
        <f>B173</f>
        <v>100000</v>
      </c>
      <c r="G171" s="273">
        <f>B174</f>
        <v>300000</v>
      </c>
      <c r="H171" s="286" t="s">
        <v>12</v>
      </c>
      <c r="I171" s="230"/>
    </row>
    <row r="172" spans="1:10" s="1" customFormat="1" ht="14.35" customHeight="1" x14ac:dyDescent="0.45">
      <c r="A172" s="287" t="s">
        <v>211</v>
      </c>
      <c r="B172" s="4">
        <f>Rates!D67</f>
        <v>200000</v>
      </c>
      <c r="C172" s="20">
        <f>ExBA!C177</f>
        <v>59</v>
      </c>
      <c r="D172" s="20">
        <f>ExBA!D177</f>
        <v>3621528</v>
      </c>
      <c r="E172" s="274">
        <f>D172</f>
        <v>3621528</v>
      </c>
      <c r="F172" s="274"/>
      <c r="G172" s="274"/>
      <c r="H172" s="288">
        <f>SUM(E172:G172)</f>
        <v>3621528</v>
      </c>
      <c r="I172" s="230"/>
    </row>
    <row r="173" spans="1:10" s="1" customFormat="1" ht="14.35" customHeight="1" x14ac:dyDescent="0.45">
      <c r="A173" s="287" t="s">
        <v>212</v>
      </c>
      <c r="B173" s="4">
        <f>Rates!D68</f>
        <v>100000</v>
      </c>
      <c r="C173" s="20">
        <f>ExBA!C178</f>
        <v>3</v>
      </c>
      <c r="D173" s="20">
        <f>ExBA!D178</f>
        <v>764000</v>
      </c>
      <c r="E173" s="274">
        <f>C173*E171</f>
        <v>600000</v>
      </c>
      <c r="F173" s="274">
        <f>D173-E173</f>
        <v>164000</v>
      </c>
      <c r="G173" s="274"/>
      <c r="H173" s="288">
        <f>SUM(E173:G173)</f>
        <v>764000</v>
      </c>
      <c r="I173" s="230"/>
    </row>
    <row r="174" spans="1:10" s="1" customFormat="1" ht="14.35" customHeight="1" x14ac:dyDescent="0.75">
      <c r="A174" s="287" t="s">
        <v>212</v>
      </c>
      <c r="B174" s="4">
        <f>Rates!D69</f>
        <v>300000</v>
      </c>
      <c r="C174" s="92">
        <f>ExBA!C179</f>
        <v>12</v>
      </c>
      <c r="D174" s="92">
        <f>ExBA!D179</f>
        <v>22897000</v>
      </c>
      <c r="E174" s="277">
        <f>C174*E171</f>
        <v>2400000</v>
      </c>
      <c r="F174" s="277">
        <f>C174*F171</f>
        <v>1200000</v>
      </c>
      <c r="G174" s="277">
        <f>D174-E174-F174</f>
        <v>19297000</v>
      </c>
      <c r="H174" s="289">
        <f>SUM(E174:G174)</f>
        <v>22897000</v>
      </c>
      <c r="I174" s="230"/>
    </row>
    <row r="175" spans="1:10" s="1" customFormat="1" ht="14.35" customHeight="1" x14ac:dyDescent="0.45">
      <c r="A175" s="287"/>
      <c r="B175" s="4"/>
      <c r="C175" s="20">
        <f t="shared" ref="C175:H175" si="18">SUM(C172:C174)</f>
        <v>74</v>
      </c>
      <c r="D175" s="4">
        <f t="shared" si="18"/>
        <v>27282528</v>
      </c>
      <c r="E175" s="4">
        <f t="shared" si="18"/>
        <v>6621528</v>
      </c>
      <c r="F175" s="4">
        <f t="shared" si="18"/>
        <v>1364000</v>
      </c>
      <c r="G175" s="4">
        <f t="shared" si="18"/>
        <v>19297000</v>
      </c>
      <c r="H175" s="288">
        <f t="shared" si="18"/>
        <v>27282528</v>
      </c>
      <c r="I175" s="230"/>
    </row>
    <row r="176" spans="1:10" s="1" customFormat="1" ht="14.35" customHeight="1" x14ac:dyDescent="0.45">
      <c r="A176" s="256"/>
      <c r="B176" s="4"/>
      <c r="G176" s="44"/>
      <c r="H176" s="285"/>
      <c r="I176" s="15"/>
      <c r="J176" s="230"/>
    </row>
    <row r="177" spans="1:10" s="1" customFormat="1" ht="14.35" customHeight="1" x14ac:dyDescent="0.45">
      <c r="A177" s="284" t="s">
        <v>241</v>
      </c>
      <c r="B177" s="123"/>
      <c r="C177" s="123"/>
      <c r="D177" s="384" t="s">
        <v>124</v>
      </c>
      <c r="E177" s="384"/>
      <c r="F177" s="123"/>
      <c r="G177" s="123"/>
      <c r="H177" s="285"/>
      <c r="I177" s="15"/>
      <c r="J177" s="230"/>
    </row>
    <row r="178" spans="1:10" s="1" customFormat="1" ht="14.35" customHeight="1" x14ac:dyDescent="0.45">
      <c r="A178" s="256"/>
      <c r="B178" s="103" t="s">
        <v>50</v>
      </c>
      <c r="C178" s="89" t="s">
        <v>51</v>
      </c>
      <c r="D178" s="89" t="s">
        <v>52</v>
      </c>
      <c r="E178" s="382" t="s">
        <v>54</v>
      </c>
      <c r="F178" s="382"/>
      <c r="G178" s="108" t="s">
        <v>55</v>
      </c>
      <c r="H178" s="285"/>
      <c r="I178" s="15"/>
      <c r="J178" s="230"/>
    </row>
    <row r="179" spans="1:10" s="1" customFormat="1" ht="14.35" customHeight="1" x14ac:dyDescent="0.45">
      <c r="A179" s="287" t="s">
        <v>211</v>
      </c>
      <c r="B179" s="4">
        <f>Rates!D67</f>
        <v>200000</v>
      </c>
      <c r="C179" s="91">
        <f>C175</f>
        <v>74</v>
      </c>
      <c r="D179" s="91">
        <f>E175</f>
        <v>6621528</v>
      </c>
      <c r="E179" s="81">
        <f>Rates!H67</f>
        <v>1182.7</v>
      </c>
      <c r="F179" s="46" t="s">
        <v>115</v>
      </c>
      <c r="G179" s="213">
        <f>ROUND(C179*E179,0)</f>
        <v>87520</v>
      </c>
      <c r="H179" s="285"/>
      <c r="I179" s="15"/>
      <c r="J179" s="230"/>
    </row>
    <row r="180" spans="1:10" s="1" customFormat="1" ht="14.35" customHeight="1" x14ac:dyDescent="0.45">
      <c r="A180" s="287" t="s">
        <v>212</v>
      </c>
      <c r="B180" s="4">
        <f>Rates!D68</f>
        <v>100000</v>
      </c>
      <c r="D180" s="91">
        <f>F175</f>
        <v>1364000</v>
      </c>
      <c r="E180" s="267">
        <f>Rates!H68</f>
        <v>5.0800000000000003E-3</v>
      </c>
      <c r="F180" s="46" t="s">
        <v>209</v>
      </c>
      <c r="G180" s="213">
        <f t="shared" ref="G180:G181" si="19">ROUND(D180*E180,0)</f>
        <v>6929</v>
      </c>
      <c r="H180" s="285"/>
      <c r="I180" s="15"/>
      <c r="J180" s="230"/>
    </row>
    <row r="181" spans="1:10" s="1" customFormat="1" ht="14.35" customHeight="1" x14ac:dyDescent="0.75">
      <c r="A181" s="293" t="s">
        <v>213</v>
      </c>
      <c r="B181" s="4">
        <f>Rates!D69</f>
        <v>300000</v>
      </c>
      <c r="C181" s="82"/>
      <c r="D181" s="278">
        <f>G175</f>
        <v>19297000</v>
      </c>
      <c r="E181" s="267">
        <f>Rates!H69</f>
        <v>4.64E-3</v>
      </c>
      <c r="F181" s="46" t="s">
        <v>209</v>
      </c>
      <c r="G181" s="330">
        <f t="shared" si="19"/>
        <v>89538</v>
      </c>
      <c r="H181" s="285"/>
      <c r="I181" s="15"/>
      <c r="J181" s="230"/>
    </row>
    <row r="182" spans="1:10" s="1" customFormat="1" ht="14.35" customHeight="1" thickBot="1" x14ac:dyDescent="0.5">
      <c r="A182" s="294"/>
      <c r="B182" s="295"/>
      <c r="C182" s="296"/>
      <c r="D182" s="295">
        <f>SUM(D179:D181)</f>
        <v>27282528</v>
      </c>
      <c r="E182" s="297"/>
      <c r="F182" s="297"/>
      <c r="G182" s="296">
        <f>SUM(G179:G181)</f>
        <v>183987</v>
      </c>
      <c r="H182" s="301"/>
      <c r="I182" s="15"/>
      <c r="J182" s="230"/>
    </row>
    <row r="183" spans="1:10" s="1" customFormat="1" ht="14.35" customHeight="1" thickBot="1" x14ac:dyDescent="0.5">
      <c r="B183" s="4"/>
      <c r="C183" s="214"/>
      <c r="D183" s="4"/>
      <c r="G183" s="214"/>
      <c r="I183" s="15"/>
      <c r="J183" s="230"/>
    </row>
    <row r="184" spans="1:10" s="1" customFormat="1" ht="14.35" customHeight="1" x14ac:dyDescent="0.45">
      <c r="A184" s="279" t="s">
        <v>242</v>
      </c>
      <c r="B184" s="280"/>
      <c r="C184" s="281"/>
      <c r="D184" s="383" t="s">
        <v>226</v>
      </c>
      <c r="E184" s="383"/>
      <c r="F184" s="282"/>
      <c r="G184" s="283"/>
      <c r="I184" s="15"/>
      <c r="J184" s="230"/>
    </row>
    <row r="185" spans="1:10" s="1" customFormat="1" ht="14.35" customHeight="1" x14ac:dyDescent="0.45">
      <c r="A185" s="284"/>
      <c r="B185" s="4"/>
      <c r="C185" s="96"/>
      <c r="D185" s="272"/>
      <c r="E185" s="98" t="s">
        <v>211</v>
      </c>
      <c r="F185" s="98" t="s">
        <v>212</v>
      </c>
      <c r="G185" s="285"/>
      <c r="H185" s="15"/>
      <c r="I185" s="230"/>
    </row>
    <row r="186" spans="1:10" s="1" customFormat="1" ht="14.35" customHeight="1" x14ac:dyDescent="0.45">
      <c r="A186" s="256"/>
      <c r="B186" s="103" t="s">
        <v>50</v>
      </c>
      <c r="C186" s="89" t="s">
        <v>51</v>
      </c>
      <c r="D186" s="89" t="s">
        <v>52</v>
      </c>
      <c r="E186" s="273">
        <f>B187</f>
        <v>300000</v>
      </c>
      <c r="F186" s="273">
        <f>B188</f>
        <v>300000</v>
      </c>
      <c r="G186" s="286" t="s">
        <v>12</v>
      </c>
      <c r="H186" s="15"/>
      <c r="I186" s="230"/>
    </row>
    <row r="187" spans="1:10" s="1" customFormat="1" ht="14.35" customHeight="1" x14ac:dyDescent="0.45">
      <c r="A187" s="287" t="s">
        <v>211</v>
      </c>
      <c r="B187" s="4">
        <f>Rates!D72</f>
        <v>300000</v>
      </c>
      <c r="C187" s="20">
        <f>ExBA!C192</f>
        <v>0</v>
      </c>
      <c r="D187" s="20">
        <f>ExBA!D192</f>
        <v>0</v>
      </c>
      <c r="E187" s="274">
        <f>D187</f>
        <v>0</v>
      </c>
      <c r="F187" s="274"/>
      <c r="G187" s="288">
        <f>SUM(E187:F187)</f>
        <v>0</v>
      </c>
      <c r="H187" s="15"/>
      <c r="I187" s="230"/>
    </row>
    <row r="188" spans="1:10" s="1" customFormat="1" ht="14.35" customHeight="1" x14ac:dyDescent="0.75">
      <c r="A188" s="287" t="s">
        <v>212</v>
      </c>
      <c r="B188" s="4">
        <f>Rates!D73</f>
        <v>300000</v>
      </c>
      <c r="C188" s="92">
        <f>ExBA!C193</f>
        <v>24</v>
      </c>
      <c r="D188" s="92">
        <f>ExBA!D193</f>
        <v>83058000</v>
      </c>
      <c r="E188" s="277">
        <f>C188*E186</f>
        <v>7200000</v>
      </c>
      <c r="F188" s="277">
        <f>D188-E188</f>
        <v>75858000</v>
      </c>
      <c r="G188" s="289">
        <f>SUM(E188:F188)</f>
        <v>83058000</v>
      </c>
      <c r="H188" s="15"/>
      <c r="I188" s="230"/>
    </row>
    <row r="189" spans="1:10" s="1" customFormat="1" ht="14.35" customHeight="1" x14ac:dyDescent="0.45">
      <c r="A189" s="287"/>
      <c r="B189" s="4"/>
      <c r="C189" s="20">
        <f>SUM(C187:C188)</f>
        <v>24</v>
      </c>
      <c r="D189" s="4">
        <f>SUM(D187:D188)</f>
        <v>83058000</v>
      </c>
      <c r="E189" s="4">
        <f>SUM(E187:E188)</f>
        <v>7200000</v>
      </c>
      <c r="F189" s="4">
        <f>SUM(F187:F188)</f>
        <v>75858000</v>
      </c>
      <c r="G189" s="288">
        <f>SUM(G187:G188)</f>
        <v>83058000</v>
      </c>
      <c r="H189" s="15"/>
      <c r="I189" s="230"/>
    </row>
    <row r="190" spans="1:10" s="1" customFormat="1" ht="14.35" customHeight="1" x14ac:dyDescent="0.45">
      <c r="A190" s="256"/>
      <c r="B190" s="4"/>
      <c r="G190" s="290"/>
      <c r="I190" s="15"/>
      <c r="J190" s="230"/>
    </row>
    <row r="191" spans="1:10" s="1" customFormat="1" ht="14.35" customHeight="1" x14ac:dyDescent="0.45">
      <c r="A191" s="284" t="s">
        <v>241</v>
      </c>
      <c r="B191" s="123"/>
      <c r="C191" s="123"/>
      <c r="D191" s="384" t="s">
        <v>226</v>
      </c>
      <c r="E191" s="384"/>
      <c r="F191" s="123"/>
      <c r="G191" s="291"/>
      <c r="I191" s="15"/>
      <c r="J191" s="230"/>
    </row>
    <row r="192" spans="1:10" s="1" customFormat="1" ht="14.35" customHeight="1" x14ac:dyDescent="0.45">
      <c r="A192" s="256"/>
      <c r="B192" s="103" t="s">
        <v>50</v>
      </c>
      <c r="C192" s="89" t="s">
        <v>51</v>
      </c>
      <c r="D192" s="89" t="s">
        <v>52</v>
      </c>
      <c r="E192" s="382" t="s">
        <v>54</v>
      </c>
      <c r="F192" s="382"/>
      <c r="G192" s="292" t="s">
        <v>55</v>
      </c>
      <c r="I192" s="15"/>
      <c r="J192" s="230"/>
    </row>
    <row r="193" spans="1:10" s="1" customFormat="1" ht="14.35" customHeight="1" x14ac:dyDescent="0.45">
      <c r="A193" s="287" t="s">
        <v>211</v>
      </c>
      <c r="B193" s="4">
        <f>Rates!D72</f>
        <v>300000</v>
      </c>
      <c r="C193" s="91">
        <f>C189</f>
        <v>24</v>
      </c>
      <c r="D193" s="91">
        <f>E189</f>
        <v>7200000</v>
      </c>
      <c r="E193" s="81">
        <f>Rates!H72</f>
        <v>1690.35</v>
      </c>
      <c r="F193" s="46" t="s">
        <v>115</v>
      </c>
      <c r="G193" s="327">
        <f>C193*E193</f>
        <v>40568.399999999994</v>
      </c>
      <c r="I193" s="15"/>
      <c r="J193" s="230"/>
    </row>
    <row r="194" spans="1:10" s="1" customFormat="1" ht="14.35" customHeight="1" x14ac:dyDescent="0.75">
      <c r="A194" s="293" t="s">
        <v>213</v>
      </c>
      <c r="B194" s="4">
        <f>Rates!D73</f>
        <v>300000</v>
      </c>
      <c r="C194" s="82"/>
      <c r="D194" s="278">
        <f>F189</f>
        <v>75858000</v>
      </c>
      <c r="E194" s="267">
        <f>Rates!H73</f>
        <v>4.64E-3</v>
      </c>
      <c r="F194" s="46" t="s">
        <v>209</v>
      </c>
      <c r="G194" s="328">
        <f t="shared" ref="G194" si="20">ROUND(D194*E194,0)</f>
        <v>351981</v>
      </c>
      <c r="I194" s="15"/>
      <c r="J194" s="230"/>
    </row>
    <row r="195" spans="1:10" s="1" customFormat="1" ht="14.35" customHeight="1" thickBot="1" x14ac:dyDescent="0.5">
      <c r="A195" s="294"/>
      <c r="B195" s="295"/>
      <c r="C195" s="296"/>
      <c r="D195" s="295">
        <f>SUM(D193:D194)</f>
        <v>83058000</v>
      </c>
      <c r="E195" s="297"/>
      <c r="F195" s="297"/>
      <c r="G195" s="298">
        <f>SUM(G193:G194)</f>
        <v>392549.4</v>
      </c>
      <c r="I195" s="15"/>
      <c r="J195" s="230"/>
    </row>
    <row r="196" spans="1:10" s="1" customFormat="1" ht="14.35" customHeight="1" thickBot="1" x14ac:dyDescent="0.5">
      <c r="B196" s="4"/>
      <c r="G196" s="44"/>
      <c r="I196" s="15"/>
      <c r="J196" s="230"/>
    </row>
    <row r="197" spans="1:10" s="1" customFormat="1" ht="14.35" customHeight="1" x14ac:dyDescent="0.45">
      <c r="A197" s="279" t="s">
        <v>242</v>
      </c>
      <c r="B197" s="280"/>
      <c r="C197" s="281"/>
      <c r="D197" s="383" t="s">
        <v>258</v>
      </c>
      <c r="E197" s="383"/>
      <c r="F197" s="282"/>
      <c r="G197" s="299"/>
      <c r="H197" s="300"/>
      <c r="I197" s="15"/>
      <c r="J197" s="230"/>
    </row>
    <row r="198" spans="1:10" s="1" customFormat="1" ht="14.35" customHeight="1" x14ac:dyDescent="0.45">
      <c r="A198" s="284"/>
      <c r="B198" s="4"/>
      <c r="C198" s="96"/>
      <c r="D198" s="272"/>
      <c r="E198" s="98" t="s">
        <v>211</v>
      </c>
      <c r="F198" s="98" t="s">
        <v>212</v>
      </c>
      <c r="G198" s="98" t="s">
        <v>212</v>
      </c>
      <c r="H198" s="285"/>
      <c r="I198" s="230"/>
      <c r="J198" s="230"/>
    </row>
    <row r="199" spans="1:10" s="1" customFormat="1" ht="14.35" customHeight="1" x14ac:dyDescent="0.45">
      <c r="A199" s="256"/>
      <c r="B199" s="103" t="s">
        <v>50</v>
      </c>
      <c r="C199" s="89" t="s">
        <v>51</v>
      </c>
      <c r="D199" s="89" t="s">
        <v>52</v>
      </c>
      <c r="E199" s="273">
        <f>B200</f>
        <v>200000</v>
      </c>
      <c r="F199" s="273">
        <f>B201</f>
        <v>100000</v>
      </c>
      <c r="G199" s="273">
        <f>B202</f>
        <v>300000</v>
      </c>
      <c r="H199" s="286" t="s">
        <v>12</v>
      </c>
      <c r="I199" s="230"/>
      <c r="J199" s="230"/>
    </row>
    <row r="200" spans="1:10" s="1" customFormat="1" ht="14.35" customHeight="1" x14ac:dyDescent="0.45">
      <c r="A200" s="287" t="s">
        <v>211</v>
      </c>
      <c r="B200" s="4">
        <f>Rates!D67</f>
        <v>200000</v>
      </c>
      <c r="C200" s="20">
        <f>ExBA!C205</f>
        <v>2</v>
      </c>
      <c r="D200" s="20">
        <f>ExBA!D205</f>
        <v>3739488</v>
      </c>
      <c r="E200" s="274">
        <f>D200</f>
        <v>3739488</v>
      </c>
      <c r="F200" s="274"/>
      <c r="G200" s="274"/>
      <c r="H200" s="288">
        <f>SUM(E200:G200)</f>
        <v>3739488</v>
      </c>
      <c r="I200" s="230"/>
      <c r="J200" s="230"/>
    </row>
    <row r="201" spans="1:10" s="1" customFormat="1" ht="14.35" customHeight="1" x14ac:dyDescent="0.45">
      <c r="A201" s="287" t="s">
        <v>212</v>
      </c>
      <c r="B201" s="4">
        <f>Rates!D68</f>
        <v>100000</v>
      </c>
      <c r="C201" s="20">
        <f>ExBA!C206</f>
        <v>6</v>
      </c>
      <c r="D201" s="20">
        <f>ExBA!D206</f>
        <v>14665157</v>
      </c>
      <c r="E201" s="274">
        <f>C201*E199</f>
        <v>1200000</v>
      </c>
      <c r="F201" s="274">
        <f>D201-E201</f>
        <v>13465157</v>
      </c>
      <c r="G201" s="274"/>
      <c r="H201" s="288">
        <f>SUM(E201:G201)</f>
        <v>14665157</v>
      </c>
      <c r="I201" s="230"/>
      <c r="J201" s="230"/>
    </row>
    <row r="202" spans="1:10" s="1" customFormat="1" ht="14.35" customHeight="1" x14ac:dyDescent="0.75">
      <c r="A202" s="287" t="s">
        <v>212</v>
      </c>
      <c r="B202" s="4">
        <f>Rates!D69</f>
        <v>300000</v>
      </c>
      <c r="C202" s="92">
        <f>ExBA!C207</f>
        <v>4</v>
      </c>
      <c r="D202" s="92">
        <f>ExBA!D207</f>
        <v>14421279</v>
      </c>
      <c r="E202" s="277">
        <f>C202*E199</f>
        <v>800000</v>
      </c>
      <c r="F202" s="277">
        <f>C202*F199</f>
        <v>400000</v>
      </c>
      <c r="G202" s="277">
        <f>D202-E202-F202</f>
        <v>13221279</v>
      </c>
      <c r="H202" s="289">
        <f>SUM(E202:G202)</f>
        <v>14421279</v>
      </c>
      <c r="I202" s="230"/>
      <c r="J202" s="230"/>
    </row>
    <row r="203" spans="1:10" s="1" customFormat="1" ht="14.35" customHeight="1" x14ac:dyDescent="0.45">
      <c r="A203" s="287"/>
      <c r="B203" s="4"/>
      <c r="C203" s="20">
        <f t="shared" ref="C203:H203" si="21">SUM(C200:C202)</f>
        <v>12</v>
      </c>
      <c r="D203" s="4">
        <f t="shared" si="21"/>
        <v>32825924</v>
      </c>
      <c r="E203" s="4">
        <f t="shared" si="21"/>
        <v>5739488</v>
      </c>
      <c r="F203" s="4">
        <f t="shared" si="21"/>
        <v>13865157</v>
      </c>
      <c r="G203" s="4">
        <f t="shared" si="21"/>
        <v>13221279</v>
      </c>
      <c r="H203" s="288">
        <f t="shared" si="21"/>
        <v>32825924</v>
      </c>
      <c r="I203" s="230"/>
      <c r="J203" s="230"/>
    </row>
    <row r="204" spans="1:10" s="1" customFormat="1" ht="14.35" customHeight="1" thickBot="1" x14ac:dyDescent="0.5">
      <c r="A204" s="256"/>
      <c r="B204" s="4"/>
      <c r="G204" s="44"/>
      <c r="H204" s="285"/>
      <c r="I204" s="15"/>
      <c r="J204" s="230"/>
    </row>
    <row r="205" spans="1:10" s="1" customFormat="1" ht="14.35" customHeight="1" x14ac:dyDescent="0.45">
      <c r="A205" s="284" t="s">
        <v>241</v>
      </c>
      <c r="B205" s="123"/>
      <c r="C205" s="123"/>
      <c r="D205" s="383" t="s">
        <v>258</v>
      </c>
      <c r="E205" s="383"/>
      <c r="F205" s="123"/>
      <c r="G205" s="123"/>
      <c r="H205" s="285"/>
      <c r="I205" s="15"/>
      <c r="J205" s="230"/>
    </row>
    <row r="206" spans="1:10" s="1" customFormat="1" ht="14.35" customHeight="1" x14ac:dyDescent="0.45">
      <c r="A206" s="256"/>
      <c r="B206" s="103" t="s">
        <v>50</v>
      </c>
      <c r="C206" s="89" t="s">
        <v>51</v>
      </c>
      <c r="D206" s="89" t="s">
        <v>52</v>
      </c>
      <c r="E206" s="382" t="s">
        <v>54</v>
      </c>
      <c r="F206" s="382"/>
      <c r="G206" s="108" t="s">
        <v>55</v>
      </c>
      <c r="H206" s="285"/>
      <c r="I206" s="15"/>
      <c r="J206" s="230"/>
    </row>
    <row r="207" spans="1:10" s="1" customFormat="1" ht="14.35" customHeight="1" x14ac:dyDescent="0.45">
      <c r="A207" s="287" t="s">
        <v>211</v>
      </c>
      <c r="B207" s="4">
        <f>Rates!D67</f>
        <v>200000</v>
      </c>
      <c r="C207" s="91">
        <f>C203</f>
        <v>12</v>
      </c>
      <c r="D207" s="91">
        <f>E203</f>
        <v>5739488</v>
      </c>
      <c r="E207" s="81">
        <f>Rates!H67</f>
        <v>1182.7</v>
      </c>
      <c r="F207" s="46" t="s">
        <v>115</v>
      </c>
      <c r="G207" s="213">
        <f>ROUND(C207*E207,0)</f>
        <v>14192</v>
      </c>
      <c r="H207" s="285"/>
      <c r="I207" s="15"/>
      <c r="J207" s="230"/>
    </row>
    <row r="208" spans="1:10" s="1" customFormat="1" ht="14.35" customHeight="1" x14ac:dyDescent="0.45">
      <c r="A208" s="287" t="s">
        <v>212</v>
      </c>
      <c r="B208" s="4">
        <f>Rates!D68</f>
        <v>100000</v>
      </c>
      <c r="D208" s="91">
        <f>F203</f>
        <v>13865157</v>
      </c>
      <c r="E208" s="267">
        <f>Rates!H68</f>
        <v>5.0800000000000003E-3</v>
      </c>
      <c r="F208" s="46" t="s">
        <v>209</v>
      </c>
      <c r="G208" s="213">
        <f t="shared" ref="G208:G209" si="22">ROUND(D208*E208,0)</f>
        <v>70435</v>
      </c>
      <c r="H208" s="285"/>
      <c r="I208" s="15"/>
      <c r="J208" s="230"/>
    </row>
    <row r="209" spans="1:10" s="1" customFormat="1" ht="14.35" customHeight="1" x14ac:dyDescent="0.75">
      <c r="A209" s="293" t="s">
        <v>213</v>
      </c>
      <c r="B209" s="4">
        <f>Rates!D69</f>
        <v>300000</v>
      </c>
      <c r="C209" s="82"/>
      <c r="D209" s="278">
        <f>G203</f>
        <v>13221279</v>
      </c>
      <c r="E209" s="267">
        <f>Rates!H69</f>
        <v>4.64E-3</v>
      </c>
      <c r="F209" s="46" t="s">
        <v>209</v>
      </c>
      <c r="G209" s="330">
        <f t="shared" si="22"/>
        <v>61347</v>
      </c>
      <c r="H209" s="285"/>
      <c r="I209" s="15"/>
      <c r="J209" s="230"/>
    </row>
    <row r="210" spans="1:10" s="1" customFormat="1" ht="14.35" customHeight="1" thickBot="1" x14ac:dyDescent="0.5">
      <c r="A210" s="294"/>
      <c r="B210" s="295"/>
      <c r="C210" s="296"/>
      <c r="D210" s="295">
        <f>SUM(D207:D209)</f>
        <v>32825924</v>
      </c>
      <c r="E210" s="297"/>
      <c r="F210" s="297"/>
      <c r="G210" s="296">
        <f>SUM(G207:G209)</f>
        <v>145974</v>
      </c>
      <c r="H210" s="301"/>
      <c r="I210" s="15"/>
      <c r="J210" s="230"/>
    </row>
    <row r="211" spans="1:10" s="1" customFormat="1" ht="14.35" customHeight="1" x14ac:dyDescent="0.45">
      <c r="B211" s="4"/>
      <c r="C211" s="214"/>
      <c r="D211" s="4"/>
      <c r="G211" s="214"/>
      <c r="I211" s="15"/>
      <c r="J211" s="230"/>
    </row>
    <row r="212" spans="1:10" s="1" customFormat="1" ht="14.35" customHeight="1" x14ac:dyDescent="0.45">
      <c r="B212" s="4"/>
      <c r="G212" s="44"/>
      <c r="I212" s="15"/>
      <c r="J212" s="230"/>
    </row>
    <row r="213" spans="1:10" s="1" customFormat="1" ht="14.35" customHeight="1" x14ac:dyDescent="0.45">
      <c r="B213" s="4"/>
      <c r="G213" s="44"/>
      <c r="I213" s="15"/>
      <c r="J213" s="230"/>
    </row>
    <row r="214" spans="1:10" s="1" customFormat="1" ht="14.35" customHeight="1" x14ac:dyDescent="0.45">
      <c r="B214" s="4"/>
      <c r="G214" s="44"/>
      <c r="I214" s="15"/>
      <c r="J214" s="230"/>
    </row>
    <row r="215" spans="1:10" s="1" customFormat="1" ht="14.35" customHeight="1" x14ac:dyDescent="0.45">
      <c r="B215" s="4"/>
      <c r="D215" s="91"/>
      <c r="G215" s="44"/>
      <c r="I215" s="15"/>
      <c r="J215" s="230"/>
    </row>
    <row r="216" spans="1:10" s="1" customFormat="1" ht="14.35" customHeight="1" x14ac:dyDescent="0.45">
      <c r="B216" s="4"/>
      <c r="G216" s="44"/>
      <c r="I216" s="15"/>
      <c r="J216" s="230"/>
    </row>
    <row r="217" spans="1:10" s="1" customFormat="1" ht="14.35" customHeight="1" x14ac:dyDescent="0.45">
      <c r="B217" s="4"/>
      <c r="G217" s="44"/>
      <c r="I217" s="15"/>
      <c r="J217" s="230"/>
    </row>
    <row r="218" spans="1:10" s="1" customFormat="1" ht="14.35" customHeight="1" x14ac:dyDescent="0.45">
      <c r="B218" s="4"/>
      <c r="G218" s="44"/>
      <c r="I218" s="15"/>
      <c r="J218" s="230"/>
    </row>
    <row r="219" spans="1:10" s="1" customFormat="1" ht="14.35" customHeight="1" x14ac:dyDescent="0.45">
      <c r="B219" s="4"/>
      <c r="G219" s="336"/>
      <c r="I219" s="15"/>
      <c r="J219" s="230"/>
    </row>
    <row r="220" spans="1:10" s="1" customFormat="1" ht="14.35" customHeight="1" x14ac:dyDescent="0.45">
      <c r="B220" s="4"/>
      <c r="G220" s="44"/>
      <c r="I220" s="15"/>
      <c r="J220" s="230"/>
    </row>
    <row r="221" spans="1:10" s="1" customFormat="1" ht="14.35" customHeight="1" x14ac:dyDescent="0.45">
      <c r="B221" s="4"/>
      <c r="G221" s="44"/>
      <c r="I221" s="15"/>
      <c r="J221" s="230"/>
    </row>
    <row r="222" spans="1:10" s="1" customFormat="1" ht="14.35" customHeight="1" x14ac:dyDescent="0.45">
      <c r="B222" s="4"/>
      <c r="G222" s="44"/>
      <c r="I222" s="15"/>
      <c r="J222" s="230"/>
    </row>
    <row r="223" spans="1:10" s="1" customFormat="1" ht="14.35" customHeight="1" x14ac:dyDescent="0.45">
      <c r="B223" s="4"/>
      <c r="G223" s="44"/>
      <c r="I223" s="15"/>
      <c r="J223" s="230"/>
    </row>
    <row r="224" spans="1:10" s="1" customFormat="1" ht="14.35" customHeight="1" x14ac:dyDescent="0.45">
      <c r="B224" s="4"/>
      <c r="G224" s="44"/>
      <c r="I224" s="15"/>
      <c r="J224" s="230"/>
    </row>
    <row r="225" spans="2:10" s="1" customFormat="1" ht="14.35" customHeight="1" x14ac:dyDescent="0.45">
      <c r="B225" s="4"/>
      <c r="G225" s="44"/>
      <c r="I225" s="15"/>
      <c r="J225" s="230"/>
    </row>
    <row r="226" spans="2:10" s="1" customFormat="1" ht="14.35" customHeight="1" x14ac:dyDescent="0.45">
      <c r="B226" s="4"/>
      <c r="G226" s="44"/>
      <c r="I226" s="15"/>
      <c r="J226" s="230"/>
    </row>
    <row r="227" spans="2:10" s="1" customFormat="1" ht="14.35" customHeight="1" x14ac:dyDescent="0.45">
      <c r="B227" s="4"/>
      <c r="G227" s="44"/>
      <c r="I227" s="15"/>
      <c r="J227" s="230"/>
    </row>
    <row r="228" spans="2:10" s="1" customFormat="1" ht="14.35" customHeight="1" x14ac:dyDescent="0.45">
      <c r="B228" s="4"/>
      <c r="G228" s="44"/>
      <c r="I228" s="15"/>
      <c r="J228" s="230"/>
    </row>
    <row r="229" spans="2:10" s="1" customFormat="1" ht="14.35" customHeight="1" x14ac:dyDescent="0.45">
      <c r="B229" s="4"/>
      <c r="G229" s="44"/>
      <c r="I229" s="15"/>
      <c r="J229" s="230"/>
    </row>
    <row r="230" spans="2:10" s="1" customFormat="1" ht="14.35" customHeight="1" x14ac:dyDescent="0.45">
      <c r="B230" s="4"/>
      <c r="G230" s="44"/>
      <c r="I230" s="15"/>
      <c r="J230" s="230"/>
    </row>
    <row r="231" spans="2:10" s="1" customFormat="1" ht="14.35" customHeight="1" x14ac:dyDescent="0.45">
      <c r="B231" s="4"/>
      <c r="G231" s="44"/>
      <c r="I231" s="15"/>
      <c r="J231" s="230"/>
    </row>
    <row r="232" spans="2:10" s="1" customFormat="1" ht="14.35" customHeight="1" x14ac:dyDescent="0.45">
      <c r="B232" s="4"/>
      <c r="G232" s="44"/>
      <c r="I232" s="15"/>
      <c r="J232" s="230"/>
    </row>
    <row r="233" spans="2:10" s="1" customFormat="1" ht="14.35" customHeight="1" x14ac:dyDescent="0.45">
      <c r="B233" s="4"/>
      <c r="G233" s="44"/>
      <c r="I233" s="15"/>
      <c r="J233" s="230"/>
    </row>
    <row r="234" spans="2:10" s="1" customFormat="1" ht="14.35" customHeight="1" x14ac:dyDescent="0.45">
      <c r="B234" s="4"/>
      <c r="G234" s="44"/>
      <c r="I234" s="15"/>
      <c r="J234" s="230"/>
    </row>
    <row r="235" spans="2:10" s="1" customFormat="1" ht="14.35" customHeight="1" x14ac:dyDescent="0.45">
      <c r="B235" s="4"/>
      <c r="G235" s="44"/>
      <c r="I235" s="15"/>
      <c r="J235" s="230"/>
    </row>
    <row r="236" spans="2:10" s="1" customFormat="1" ht="14.35" customHeight="1" x14ac:dyDescent="0.45">
      <c r="B236" s="4"/>
      <c r="G236" s="44"/>
      <c r="I236" s="15"/>
      <c r="J236" s="230"/>
    </row>
    <row r="237" spans="2:10" s="1" customFormat="1" ht="14.35" customHeight="1" x14ac:dyDescent="0.45">
      <c r="B237" s="4"/>
      <c r="G237" s="44"/>
      <c r="I237" s="15"/>
      <c r="J237" s="230"/>
    </row>
    <row r="238" spans="2:10" s="1" customFormat="1" ht="14.35" customHeight="1" x14ac:dyDescent="0.45">
      <c r="B238" s="4"/>
      <c r="G238" s="44"/>
      <c r="I238" s="15"/>
      <c r="J238" s="230"/>
    </row>
    <row r="239" spans="2:10" s="1" customFormat="1" ht="14.35" customHeight="1" x14ac:dyDescent="0.45">
      <c r="B239" s="4"/>
      <c r="G239" s="44"/>
      <c r="I239" s="15"/>
      <c r="J239" s="230"/>
    </row>
    <row r="240" spans="2:10" s="1" customFormat="1" ht="14.35" customHeight="1" x14ac:dyDescent="0.45">
      <c r="B240" s="4"/>
      <c r="G240" s="44"/>
      <c r="I240" s="15"/>
      <c r="J240" s="230"/>
    </row>
    <row r="241" spans="2:10" s="1" customFormat="1" ht="14.35" customHeight="1" x14ac:dyDescent="0.45">
      <c r="B241" s="4"/>
      <c r="G241" s="44"/>
      <c r="I241" s="15"/>
      <c r="J241" s="230"/>
    </row>
    <row r="242" spans="2:10" s="1" customFormat="1" ht="14.35" customHeight="1" x14ac:dyDescent="0.45">
      <c r="B242" s="4"/>
      <c r="G242" s="44"/>
      <c r="I242" s="15"/>
      <c r="J242" s="230"/>
    </row>
    <row r="243" spans="2:10" s="1" customFormat="1" ht="14.35" customHeight="1" x14ac:dyDescent="0.45">
      <c r="B243" s="4"/>
      <c r="G243" s="44"/>
      <c r="I243" s="15"/>
      <c r="J243" s="230"/>
    </row>
    <row r="244" spans="2:10" s="1" customFormat="1" ht="14.35" customHeight="1" x14ac:dyDescent="0.45">
      <c r="B244" s="4"/>
      <c r="G244" s="44"/>
      <c r="I244" s="15"/>
      <c r="J244" s="230"/>
    </row>
    <row r="245" spans="2:10" s="1" customFormat="1" ht="14.35" customHeight="1" x14ac:dyDescent="0.45">
      <c r="B245" s="4"/>
      <c r="G245" s="44"/>
      <c r="I245" s="15"/>
      <c r="J245" s="230"/>
    </row>
    <row r="246" spans="2:10" s="1" customFormat="1" ht="14.35" customHeight="1" x14ac:dyDescent="0.45">
      <c r="B246" s="4"/>
      <c r="G246" s="44"/>
      <c r="I246" s="15"/>
      <c r="J246" s="230"/>
    </row>
    <row r="247" spans="2:10" s="1" customFormat="1" ht="14.35" customHeight="1" x14ac:dyDescent="0.45">
      <c r="B247" s="4"/>
      <c r="G247" s="44"/>
      <c r="I247" s="15"/>
      <c r="J247" s="230"/>
    </row>
    <row r="248" spans="2:10" s="1" customFormat="1" ht="14.35" customHeight="1" x14ac:dyDescent="0.45">
      <c r="B248" s="4"/>
      <c r="G248" s="44"/>
      <c r="I248" s="15"/>
      <c r="J248" s="230"/>
    </row>
    <row r="249" spans="2:10" s="1" customFormat="1" ht="14.35" customHeight="1" x14ac:dyDescent="0.45">
      <c r="B249" s="4"/>
      <c r="G249" s="44"/>
      <c r="I249" s="15"/>
      <c r="J249" s="230"/>
    </row>
    <row r="250" spans="2:10" s="1" customFormat="1" ht="14.35" customHeight="1" x14ac:dyDescent="0.45">
      <c r="B250" s="4"/>
      <c r="G250" s="44"/>
      <c r="I250" s="15"/>
      <c r="J250" s="230"/>
    </row>
    <row r="251" spans="2:10" s="1" customFormat="1" ht="14.35" customHeight="1" x14ac:dyDescent="0.45">
      <c r="B251" s="4"/>
      <c r="G251" s="44"/>
      <c r="I251" s="15"/>
      <c r="J251" s="230"/>
    </row>
    <row r="252" spans="2:10" s="1" customFormat="1" ht="14.35" customHeight="1" x14ac:dyDescent="0.45">
      <c r="B252" s="4"/>
      <c r="G252" s="44"/>
      <c r="I252" s="15"/>
      <c r="J252" s="230"/>
    </row>
    <row r="253" spans="2:10" s="1" customFormat="1" ht="14.35" customHeight="1" x14ac:dyDescent="0.45">
      <c r="B253" s="4"/>
      <c r="G253" s="44"/>
      <c r="I253" s="15"/>
      <c r="J253" s="230"/>
    </row>
    <row r="254" spans="2:10" s="1" customFormat="1" ht="14.35" customHeight="1" x14ac:dyDescent="0.45">
      <c r="B254" s="4"/>
      <c r="G254" s="44"/>
      <c r="I254" s="15"/>
      <c r="J254" s="230"/>
    </row>
    <row r="255" spans="2:10" s="1" customFormat="1" ht="14.35" customHeight="1" x14ac:dyDescent="0.45">
      <c r="B255" s="4"/>
      <c r="G255" s="44"/>
      <c r="I255" s="15"/>
      <c r="J255" s="230"/>
    </row>
    <row r="256" spans="2:10" s="1" customFormat="1" ht="14.35" customHeight="1" x14ac:dyDescent="0.45">
      <c r="B256" s="4"/>
      <c r="G256" s="44"/>
      <c r="I256" s="15"/>
      <c r="J256" s="230"/>
    </row>
    <row r="257" spans="2:10" s="1" customFormat="1" ht="14.35" customHeight="1" x14ac:dyDescent="0.45">
      <c r="B257" s="4"/>
      <c r="G257" s="44"/>
      <c r="I257" s="15"/>
      <c r="J257" s="230"/>
    </row>
    <row r="258" spans="2:10" s="1" customFormat="1" ht="14.35" customHeight="1" x14ac:dyDescent="0.45">
      <c r="B258" s="4"/>
      <c r="G258" s="44"/>
      <c r="I258" s="15"/>
      <c r="J258" s="230"/>
    </row>
    <row r="259" spans="2:10" s="1" customFormat="1" ht="14.35" customHeight="1" x14ac:dyDescent="0.45">
      <c r="B259" s="4"/>
      <c r="G259" s="44"/>
      <c r="I259" s="15"/>
      <c r="J259" s="230"/>
    </row>
    <row r="260" spans="2:10" s="1" customFormat="1" ht="14.35" customHeight="1" x14ac:dyDescent="0.45">
      <c r="B260" s="4"/>
      <c r="G260" s="44"/>
      <c r="I260" s="15"/>
      <c r="J260" s="230"/>
    </row>
    <row r="261" spans="2:10" s="1" customFormat="1" ht="14.35" customHeight="1" x14ac:dyDescent="0.45">
      <c r="B261" s="4"/>
      <c r="G261" s="44"/>
      <c r="I261" s="15"/>
      <c r="J261" s="230"/>
    </row>
    <row r="262" spans="2:10" s="1" customFormat="1" ht="14.35" customHeight="1" x14ac:dyDescent="0.45">
      <c r="B262" s="4"/>
      <c r="G262" s="44"/>
      <c r="I262" s="15"/>
      <c r="J262" s="230"/>
    </row>
    <row r="263" spans="2:10" s="1" customFormat="1" ht="14.35" customHeight="1" x14ac:dyDescent="0.45">
      <c r="B263" s="4"/>
      <c r="G263" s="44"/>
      <c r="I263" s="15"/>
      <c r="J263" s="230"/>
    </row>
    <row r="264" spans="2:10" s="1" customFormat="1" ht="14.35" customHeight="1" x14ac:dyDescent="0.45">
      <c r="B264" s="4"/>
      <c r="G264" s="44"/>
      <c r="I264" s="15"/>
      <c r="J264" s="230"/>
    </row>
    <row r="265" spans="2:10" s="1" customFormat="1" ht="14.35" customHeight="1" x14ac:dyDescent="0.45">
      <c r="B265" s="4"/>
      <c r="G265" s="44"/>
      <c r="I265" s="15"/>
      <c r="J265" s="230"/>
    </row>
    <row r="266" spans="2:10" s="1" customFormat="1" ht="14.35" customHeight="1" x14ac:dyDescent="0.45">
      <c r="B266" s="4"/>
      <c r="G266" s="44"/>
      <c r="I266" s="15"/>
      <c r="J266" s="230"/>
    </row>
    <row r="267" spans="2:10" s="1" customFormat="1" ht="14.35" customHeight="1" x14ac:dyDescent="0.45">
      <c r="B267" s="4"/>
      <c r="G267" s="44"/>
      <c r="I267" s="15"/>
      <c r="J267" s="230"/>
    </row>
    <row r="268" spans="2:10" s="1" customFormat="1" ht="14.35" customHeight="1" x14ac:dyDescent="0.45">
      <c r="B268" s="4"/>
      <c r="G268" s="44"/>
      <c r="I268" s="15"/>
      <c r="J268" s="230"/>
    </row>
    <row r="269" spans="2:10" s="1" customFormat="1" ht="14.35" customHeight="1" x14ac:dyDescent="0.45">
      <c r="B269" s="4"/>
      <c r="G269" s="44"/>
      <c r="I269" s="15"/>
      <c r="J269" s="230"/>
    </row>
    <row r="270" spans="2:10" s="1" customFormat="1" ht="14.35" customHeight="1" x14ac:dyDescent="0.45">
      <c r="B270" s="4"/>
      <c r="G270" s="44"/>
      <c r="I270" s="15"/>
      <c r="J270" s="230"/>
    </row>
    <row r="271" spans="2:10" s="1" customFormat="1" ht="14.35" customHeight="1" x14ac:dyDescent="0.45">
      <c r="B271" s="4"/>
      <c r="G271" s="44"/>
      <c r="I271" s="15"/>
      <c r="J271" s="230"/>
    </row>
    <row r="272" spans="2:10" s="1" customFormat="1" ht="14.35" customHeight="1" x14ac:dyDescent="0.45">
      <c r="B272" s="4"/>
      <c r="G272" s="44"/>
      <c r="I272" s="15"/>
      <c r="J272" s="230"/>
    </row>
    <row r="273" spans="2:10" s="1" customFormat="1" ht="14.35" customHeight="1" x14ac:dyDescent="0.45">
      <c r="B273" s="4"/>
      <c r="G273" s="44"/>
      <c r="I273" s="15"/>
      <c r="J273" s="230"/>
    </row>
    <row r="274" spans="2:10" s="1" customFormat="1" ht="14.35" customHeight="1" x14ac:dyDescent="0.45">
      <c r="B274" s="4"/>
      <c r="G274" s="44"/>
      <c r="I274" s="15"/>
      <c r="J274" s="230"/>
    </row>
    <row r="275" spans="2:10" s="1" customFormat="1" ht="14.35" customHeight="1" x14ac:dyDescent="0.45">
      <c r="B275" s="4"/>
      <c r="G275" s="44"/>
      <c r="I275" s="15"/>
      <c r="J275" s="230"/>
    </row>
    <row r="276" spans="2:10" s="1" customFormat="1" ht="14.35" customHeight="1" x14ac:dyDescent="0.45">
      <c r="B276" s="4"/>
      <c r="G276" s="44"/>
      <c r="I276" s="15"/>
      <c r="J276" s="230"/>
    </row>
    <row r="277" spans="2:10" s="1" customFormat="1" ht="14.35" customHeight="1" x14ac:dyDescent="0.45">
      <c r="B277" s="4"/>
      <c r="G277" s="44"/>
      <c r="I277" s="15"/>
      <c r="J277" s="230"/>
    </row>
    <row r="278" spans="2:10" s="1" customFormat="1" ht="14.35" customHeight="1" x14ac:dyDescent="0.45">
      <c r="B278" s="4"/>
      <c r="G278" s="44"/>
      <c r="I278" s="15"/>
      <c r="J278" s="230"/>
    </row>
    <row r="279" spans="2:10" s="1" customFormat="1" ht="14.35" customHeight="1" x14ac:dyDescent="0.45">
      <c r="B279" s="4"/>
      <c r="G279" s="44"/>
      <c r="I279" s="15"/>
      <c r="J279" s="230"/>
    </row>
    <row r="280" spans="2:10" s="1" customFormat="1" ht="14.35" customHeight="1" x14ac:dyDescent="0.45">
      <c r="B280" s="4"/>
      <c r="G280" s="44"/>
      <c r="I280" s="15"/>
      <c r="J280" s="230"/>
    </row>
    <row r="281" spans="2:10" s="1" customFormat="1" ht="14.35" customHeight="1" x14ac:dyDescent="0.45">
      <c r="B281" s="4"/>
      <c r="G281" s="44"/>
      <c r="I281" s="15"/>
      <c r="J281" s="230"/>
    </row>
    <row r="282" spans="2:10" s="1" customFormat="1" ht="14.35" customHeight="1" x14ac:dyDescent="0.45">
      <c r="B282" s="4"/>
      <c r="G282" s="44"/>
      <c r="I282" s="15"/>
      <c r="J282" s="230"/>
    </row>
    <row r="283" spans="2:10" s="1" customFormat="1" ht="14.35" customHeight="1" x14ac:dyDescent="0.45">
      <c r="B283" s="4"/>
      <c r="G283" s="44"/>
      <c r="I283" s="15"/>
      <c r="J283" s="230"/>
    </row>
    <row r="284" spans="2:10" s="1" customFormat="1" ht="14.35" customHeight="1" x14ac:dyDescent="0.45">
      <c r="B284" s="4"/>
      <c r="G284" s="44"/>
      <c r="I284" s="15"/>
      <c r="J284" s="230"/>
    </row>
    <row r="285" spans="2:10" s="1" customFormat="1" ht="14.35" customHeight="1" x14ac:dyDescent="0.45">
      <c r="B285" s="4"/>
      <c r="G285" s="44"/>
      <c r="I285" s="15"/>
      <c r="J285" s="230"/>
    </row>
    <row r="286" spans="2:10" s="1" customFormat="1" ht="14.35" customHeight="1" x14ac:dyDescent="0.45">
      <c r="B286" s="4"/>
      <c r="G286" s="44"/>
      <c r="I286" s="15"/>
      <c r="J286" s="230"/>
    </row>
    <row r="287" spans="2:10" s="1" customFormat="1" ht="14.35" customHeight="1" x14ac:dyDescent="0.45">
      <c r="B287" s="4"/>
      <c r="G287" s="44"/>
      <c r="I287" s="15"/>
      <c r="J287" s="230"/>
    </row>
    <row r="288" spans="2:10" s="1" customFormat="1" ht="14.35" customHeight="1" x14ac:dyDescent="0.45">
      <c r="B288" s="4"/>
      <c r="G288" s="44"/>
      <c r="I288" s="15"/>
      <c r="J288" s="230"/>
    </row>
    <row r="289" spans="2:10" s="1" customFormat="1" ht="14.35" customHeight="1" x14ac:dyDescent="0.45">
      <c r="B289" s="4"/>
      <c r="G289" s="44"/>
      <c r="I289" s="15"/>
      <c r="J289" s="230"/>
    </row>
    <row r="290" spans="2:10" s="1" customFormat="1" ht="14.35" customHeight="1" x14ac:dyDescent="0.45">
      <c r="B290" s="4"/>
      <c r="G290" s="44"/>
      <c r="I290" s="15"/>
      <c r="J290" s="230"/>
    </row>
    <row r="291" spans="2:10" s="1" customFormat="1" ht="14.35" customHeight="1" x14ac:dyDescent="0.45">
      <c r="B291" s="4"/>
      <c r="G291" s="44"/>
      <c r="I291" s="15"/>
      <c r="J291" s="230"/>
    </row>
    <row r="292" spans="2:10" s="1" customFormat="1" ht="14.35" customHeight="1" x14ac:dyDescent="0.45">
      <c r="B292" s="4"/>
      <c r="G292" s="44"/>
      <c r="I292" s="15"/>
      <c r="J292" s="230"/>
    </row>
    <row r="293" spans="2:10" s="1" customFormat="1" ht="14.35" customHeight="1" x14ac:dyDescent="0.45">
      <c r="B293" s="4"/>
      <c r="G293" s="44"/>
      <c r="I293" s="15"/>
      <c r="J293" s="230"/>
    </row>
    <row r="294" spans="2:10" s="1" customFormat="1" ht="14.35" customHeight="1" x14ac:dyDescent="0.45">
      <c r="B294" s="4"/>
      <c r="G294" s="44"/>
      <c r="I294" s="15"/>
      <c r="J294" s="230"/>
    </row>
    <row r="295" spans="2:10" s="1" customFormat="1" ht="14.35" customHeight="1" x14ac:dyDescent="0.45">
      <c r="B295" s="4"/>
      <c r="G295" s="44"/>
      <c r="I295" s="15"/>
      <c r="J295" s="230"/>
    </row>
    <row r="296" spans="2:10" s="1" customFormat="1" ht="14.35" customHeight="1" x14ac:dyDescent="0.45">
      <c r="B296" s="4"/>
      <c r="G296" s="44"/>
      <c r="I296" s="15"/>
      <c r="J296" s="230"/>
    </row>
    <row r="297" spans="2:10" s="1" customFormat="1" ht="14.35" customHeight="1" x14ac:dyDescent="0.45">
      <c r="B297" s="4"/>
      <c r="G297" s="44"/>
      <c r="I297" s="15"/>
      <c r="J297" s="230"/>
    </row>
    <row r="298" spans="2:10" s="1" customFormat="1" ht="14.35" customHeight="1" x14ac:dyDescent="0.45">
      <c r="B298" s="4"/>
      <c r="G298" s="44"/>
      <c r="I298" s="15"/>
      <c r="J298" s="230"/>
    </row>
    <row r="299" spans="2:10" s="1" customFormat="1" ht="14.35" customHeight="1" x14ac:dyDescent="0.45">
      <c r="B299" s="4"/>
      <c r="G299" s="44"/>
      <c r="I299" s="15"/>
      <c r="J299" s="230"/>
    </row>
    <row r="300" spans="2:10" s="1" customFormat="1" ht="14.35" customHeight="1" x14ac:dyDescent="0.45">
      <c r="B300" s="4"/>
      <c r="G300" s="44"/>
      <c r="I300" s="15"/>
      <c r="J300" s="230"/>
    </row>
    <row r="301" spans="2:10" s="1" customFormat="1" ht="14.25" x14ac:dyDescent="0.45">
      <c r="B301" s="4"/>
      <c r="G301" s="44"/>
      <c r="I301" s="15"/>
      <c r="J301" s="230"/>
    </row>
    <row r="302" spans="2:10" s="1" customFormat="1" ht="14.25" x14ac:dyDescent="0.45">
      <c r="B302" s="4"/>
      <c r="G302" s="44"/>
      <c r="I302" s="15"/>
      <c r="J302" s="230"/>
    </row>
    <row r="303" spans="2:10" s="1" customFormat="1" ht="14.25" x14ac:dyDescent="0.45">
      <c r="B303" s="4"/>
      <c r="G303" s="44"/>
      <c r="I303" s="15"/>
      <c r="J303" s="230"/>
    </row>
    <row r="304" spans="2:10" s="1" customFormat="1" ht="14.25" x14ac:dyDescent="0.45">
      <c r="B304" s="4"/>
      <c r="G304" s="44"/>
      <c r="I304" s="15"/>
      <c r="J304" s="230"/>
    </row>
    <row r="305" spans="2:10" s="1" customFormat="1" ht="14.25" x14ac:dyDescent="0.45">
      <c r="B305" s="4"/>
      <c r="G305" s="44"/>
      <c r="I305" s="15"/>
      <c r="J305" s="230"/>
    </row>
    <row r="306" spans="2:10" s="1" customFormat="1" ht="14.25" x14ac:dyDescent="0.45">
      <c r="B306" s="4"/>
      <c r="G306" s="44"/>
      <c r="I306" s="15"/>
      <c r="J306" s="230"/>
    </row>
    <row r="307" spans="2:10" s="1" customFormat="1" ht="14.25" x14ac:dyDescent="0.45">
      <c r="B307" s="4"/>
      <c r="G307" s="44"/>
      <c r="I307" s="15"/>
      <c r="J307" s="230"/>
    </row>
    <row r="308" spans="2:10" s="1" customFormat="1" ht="14.25" x14ac:dyDescent="0.45">
      <c r="B308" s="4"/>
      <c r="G308" s="44"/>
      <c r="I308" s="15"/>
      <c r="J308" s="230"/>
    </row>
    <row r="309" spans="2:10" s="1" customFormat="1" ht="14.25" x14ac:dyDescent="0.45">
      <c r="B309" s="4"/>
      <c r="G309" s="44"/>
      <c r="I309" s="15"/>
      <c r="J309" s="230"/>
    </row>
    <row r="310" spans="2:10" s="1" customFormat="1" ht="14.25" x14ac:dyDescent="0.45">
      <c r="B310" s="4"/>
      <c r="G310" s="44"/>
      <c r="I310" s="15"/>
      <c r="J310" s="230"/>
    </row>
    <row r="311" spans="2:10" s="1" customFormat="1" ht="14.25" x14ac:dyDescent="0.45">
      <c r="B311" s="4"/>
      <c r="G311" s="44"/>
      <c r="I311" s="15"/>
      <c r="J311" s="230"/>
    </row>
    <row r="312" spans="2:10" s="1" customFormat="1" ht="14.25" x14ac:dyDescent="0.45">
      <c r="B312" s="4"/>
      <c r="G312" s="44"/>
      <c r="I312" s="15"/>
      <c r="J312" s="230"/>
    </row>
    <row r="313" spans="2:10" s="1" customFormat="1" ht="14.25" x14ac:dyDescent="0.45">
      <c r="B313" s="4"/>
      <c r="G313" s="44"/>
      <c r="I313" s="15"/>
      <c r="J313" s="230"/>
    </row>
    <row r="314" spans="2:10" s="1" customFormat="1" ht="14.25" x14ac:dyDescent="0.45">
      <c r="B314" s="4"/>
      <c r="G314" s="44"/>
      <c r="I314" s="15"/>
      <c r="J314" s="230"/>
    </row>
    <row r="315" spans="2:10" s="1" customFormat="1" ht="14.25" x14ac:dyDescent="0.45">
      <c r="B315" s="4"/>
      <c r="G315" s="44"/>
      <c r="I315" s="15"/>
      <c r="J315" s="230"/>
    </row>
    <row r="316" spans="2:10" s="1" customFormat="1" ht="14.25" x14ac:dyDescent="0.45">
      <c r="B316" s="4"/>
      <c r="G316" s="44"/>
      <c r="I316" s="15"/>
      <c r="J316" s="230"/>
    </row>
    <row r="317" spans="2:10" s="1" customFormat="1" ht="14.25" x14ac:dyDescent="0.45">
      <c r="B317" s="4"/>
      <c r="G317" s="44"/>
      <c r="I317" s="15"/>
      <c r="J317" s="230"/>
    </row>
    <row r="318" spans="2:10" s="1" customFormat="1" ht="14.25" x14ac:dyDescent="0.45">
      <c r="B318" s="4"/>
      <c r="G318" s="44"/>
      <c r="I318" s="15"/>
      <c r="J318" s="230"/>
    </row>
    <row r="319" spans="2:10" s="1" customFormat="1" ht="14.25" x14ac:dyDescent="0.45">
      <c r="B319" s="4"/>
      <c r="G319" s="44"/>
      <c r="I319" s="15"/>
      <c r="J319" s="230"/>
    </row>
    <row r="320" spans="2:10" s="1" customFormat="1" ht="14.25" x14ac:dyDescent="0.45">
      <c r="B320" s="4"/>
      <c r="G320" s="44"/>
      <c r="I320" s="15"/>
      <c r="J320" s="230"/>
    </row>
    <row r="321" spans="2:10" s="1" customFormat="1" ht="14.25" x14ac:dyDescent="0.45">
      <c r="B321" s="4"/>
      <c r="G321" s="44"/>
      <c r="I321" s="15"/>
      <c r="J321" s="230"/>
    </row>
    <row r="322" spans="2:10" s="1" customFormat="1" ht="14.25" x14ac:dyDescent="0.45">
      <c r="B322" s="4"/>
      <c r="G322" s="44"/>
      <c r="I322" s="15"/>
      <c r="J322" s="230"/>
    </row>
    <row r="323" spans="2:10" s="1" customFormat="1" ht="14.25" x14ac:dyDescent="0.45">
      <c r="B323" s="4"/>
      <c r="G323" s="44"/>
      <c r="I323" s="15"/>
      <c r="J323" s="230"/>
    </row>
    <row r="324" spans="2:10" s="1" customFormat="1" ht="14.25" x14ac:dyDescent="0.45">
      <c r="B324" s="4"/>
      <c r="G324" s="44"/>
      <c r="I324" s="15"/>
      <c r="J324" s="230"/>
    </row>
    <row r="325" spans="2:10" s="1" customFormat="1" ht="14.25" x14ac:dyDescent="0.45">
      <c r="B325" s="4"/>
      <c r="G325" s="44"/>
      <c r="I325" s="15"/>
      <c r="J325" s="230"/>
    </row>
    <row r="326" spans="2:10" s="1" customFormat="1" ht="14.25" x14ac:dyDescent="0.45">
      <c r="B326" s="4"/>
      <c r="G326" s="44"/>
      <c r="I326" s="15"/>
      <c r="J326" s="230"/>
    </row>
    <row r="327" spans="2:10" s="1" customFormat="1" ht="14.25" x14ac:dyDescent="0.45">
      <c r="B327" s="4"/>
      <c r="G327" s="44"/>
      <c r="I327" s="15"/>
      <c r="J327" s="230"/>
    </row>
    <row r="328" spans="2:10" s="1" customFormat="1" ht="14.25" x14ac:dyDescent="0.45">
      <c r="B328" s="4"/>
      <c r="G328" s="44"/>
      <c r="I328" s="15"/>
      <c r="J328" s="230"/>
    </row>
    <row r="329" spans="2:10" s="1" customFormat="1" ht="14.25" x14ac:dyDescent="0.45">
      <c r="B329" s="4"/>
      <c r="G329" s="44"/>
      <c r="I329" s="15"/>
      <c r="J329" s="230"/>
    </row>
    <row r="330" spans="2:10" s="1" customFormat="1" ht="14.25" x14ac:dyDescent="0.45">
      <c r="B330" s="4"/>
      <c r="G330" s="44"/>
      <c r="I330" s="15"/>
      <c r="J330" s="230"/>
    </row>
    <row r="331" spans="2:10" s="1" customFormat="1" ht="14.25" x14ac:dyDescent="0.45">
      <c r="B331" s="4"/>
      <c r="G331" s="44"/>
      <c r="I331" s="15"/>
      <c r="J331" s="230"/>
    </row>
    <row r="332" spans="2:10" s="1" customFormat="1" ht="14.25" x14ac:dyDescent="0.45">
      <c r="B332" s="4"/>
      <c r="G332" s="44"/>
      <c r="I332" s="15"/>
      <c r="J332" s="230"/>
    </row>
    <row r="333" spans="2:10" s="1" customFormat="1" ht="14.25" x14ac:dyDescent="0.45">
      <c r="B333" s="4"/>
      <c r="G333" s="44"/>
      <c r="I333" s="15"/>
      <c r="J333" s="230"/>
    </row>
    <row r="334" spans="2:10" s="1" customFormat="1" ht="14.25" x14ac:dyDescent="0.45">
      <c r="B334" s="4"/>
      <c r="G334" s="44"/>
      <c r="I334" s="15"/>
      <c r="J334" s="230"/>
    </row>
    <row r="335" spans="2:10" s="1" customFormat="1" ht="14.25" x14ac:dyDescent="0.45">
      <c r="B335" s="4"/>
      <c r="G335" s="44"/>
      <c r="I335" s="15"/>
      <c r="J335" s="230"/>
    </row>
    <row r="336" spans="2:10" s="1" customFormat="1" ht="14.25" x14ac:dyDescent="0.45">
      <c r="B336" s="4"/>
      <c r="G336" s="44"/>
      <c r="I336" s="15"/>
      <c r="J336" s="230"/>
    </row>
    <row r="337" spans="2:10" s="1" customFormat="1" ht="14.25" x14ac:dyDescent="0.45">
      <c r="B337" s="4"/>
      <c r="G337" s="44"/>
      <c r="I337" s="15"/>
      <c r="J337" s="230"/>
    </row>
    <row r="338" spans="2:10" s="1" customFormat="1" ht="14.25" x14ac:dyDescent="0.45">
      <c r="B338" s="4"/>
      <c r="G338" s="44"/>
      <c r="I338" s="15"/>
      <c r="J338" s="230"/>
    </row>
    <row r="339" spans="2:10" s="1" customFormat="1" ht="14.25" x14ac:dyDescent="0.45">
      <c r="B339" s="4"/>
      <c r="G339" s="44"/>
      <c r="I339" s="15"/>
      <c r="J339" s="230"/>
    </row>
    <row r="340" spans="2:10" s="1" customFormat="1" ht="14.25" x14ac:dyDescent="0.45">
      <c r="B340" s="4"/>
      <c r="G340" s="44"/>
      <c r="I340" s="15"/>
      <c r="J340" s="230"/>
    </row>
    <row r="341" spans="2:10" s="1" customFormat="1" ht="14.25" x14ac:dyDescent="0.45">
      <c r="B341" s="4"/>
      <c r="G341" s="44"/>
      <c r="I341" s="15"/>
      <c r="J341" s="230"/>
    </row>
    <row r="342" spans="2:10" s="1" customFormat="1" ht="14.25" x14ac:dyDescent="0.45">
      <c r="B342" s="4"/>
      <c r="G342" s="44"/>
      <c r="I342" s="15"/>
      <c r="J342" s="230"/>
    </row>
    <row r="343" spans="2:10" s="1" customFormat="1" ht="14.25" x14ac:dyDescent="0.45">
      <c r="B343" s="4"/>
      <c r="G343" s="44"/>
      <c r="I343" s="15"/>
      <c r="J343" s="230"/>
    </row>
    <row r="344" spans="2:10" s="1" customFormat="1" ht="14.25" x14ac:dyDescent="0.45">
      <c r="B344" s="4"/>
      <c r="G344" s="44"/>
      <c r="I344" s="15"/>
      <c r="J344" s="230"/>
    </row>
    <row r="345" spans="2:10" s="1" customFormat="1" ht="14.25" x14ac:dyDescent="0.45">
      <c r="B345" s="4"/>
      <c r="G345" s="44"/>
      <c r="I345" s="15"/>
      <c r="J345" s="230"/>
    </row>
    <row r="346" spans="2:10" s="1" customFormat="1" ht="14.25" x14ac:dyDescent="0.45">
      <c r="B346" s="4"/>
      <c r="G346" s="44"/>
      <c r="I346" s="15"/>
      <c r="J346" s="230"/>
    </row>
    <row r="347" spans="2:10" s="1" customFormat="1" ht="14.25" x14ac:dyDescent="0.45">
      <c r="B347" s="4"/>
      <c r="G347" s="44"/>
      <c r="I347" s="15"/>
      <c r="J347" s="230"/>
    </row>
    <row r="348" spans="2:10" s="1" customFormat="1" ht="14.25" x14ac:dyDescent="0.45">
      <c r="B348" s="4"/>
      <c r="G348" s="44"/>
      <c r="I348" s="15"/>
      <c r="J348" s="230"/>
    </row>
    <row r="349" spans="2:10" s="1" customFormat="1" ht="14.25" x14ac:dyDescent="0.45">
      <c r="B349" s="4"/>
      <c r="G349" s="44"/>
      <c r="I349" s="15"/>
      <c r="J349" s="230"/>
    </row>
    <row r="350" spans="2:10" s="1" customFormat="1" ht="14.25" x14ac:dyDescent="0.45">
      <c r="B350" s="4"/>
      <c r="G350" s="44"/>
      <c r="I350" s="15"/>
      <c r="J350" s="230"/>
    </row>
    <row r="351" spans="2:10" s="1" customFormat="1" ht="14.25" x14ac:dyDescent="0.45">
      <c r="B351" s="4"/>
      <c r="G351" s="44"/>
      <c r="I351" s="15"/>
      <c r="J351" s="230"/>
    </row>
    <row r="352" spans="2:10" s="1" customFormat="1" ht="14.25" x14ac:dyDescent="0.45">
      <c r="B352" s="4"/>
      <c r="G352" s="44"/>
      <c r="I352" s="15"/>
      <c r="J352" s="230"/>
    </row>
    <row r="353" spans="2:10" s="1" customFormat="1" ht="14.25" x14ac:dyDescent="0.45">
      <c r="B353" s="4"/>
      <c r="G353" s="44"/>
      <c r="I353" s="15"/>
      <c r="J353" s="230"/>
    </row>
    <row r="354" spans="2:10" s="1" customFormat="1" ht="14.25" x14ac:dyDescent="0.45">
      <c r="B354" s="4"/>
      <c r="G354" s="44"/>
      <c r="I354" s="15"/>
      <c r="J354" s="230"/>
    </row>
    <row r="355" spans="2:10" s="1" customFormat="1" ht="14.25" x14ac:dyDescent="0.45">
      <c r="B355" s="4"/>
      <c r="G355" s="44"/>
      <c r="I355" s="15"/>
      <c r="J355" s="230"/>
    </row>
    <row r="356" spans="2:10" s="1" customFormat="1" ht="14.25" x14ac:dyDescent="0.45">
      <c r="B356" s="4"/>
      <c r="G356" s="44"/>
      <c r="I356" s="15"/>
      <c r="J356" s="230"/>
    </row>
    <row r="357" spans="2:10" s="1" customFormat="1" ht="14.25" x14ac:dyDescent="0.45">
      <c r="B357" s="4"/>
      <c r="G357" s="44"/>
      <c r="I357" s="15"/>
      <c r="J357" s="230"/>
    </row>
    <row r="358" spans="2:10" s="1" customFormat="1" ht="14.25" x14ac:dyDescent="0.45">
      <c r="B358" s="4"/>
      <c r="G358" s="44"/>
      <c r="I358" s="15"/>
      <c r="J358" s="230"/>
    </row>
    <row r="359" spans="2:10" s="1" customFormat="1" ht="14.25" x14ac:dyDescent="0.45">
      <c r="B359" s="4"/>
      <c r="G359" s="44"/>
      <c r="I359" s="15"/>
      <c r="J359" s="230"/>
    </row>
    <row r="360" spans="2:10" s="1" customFormat="1" ht="14.25" x14ac:dyDescent="0.45">
      <c r="B360" s="4"/>
      <c r="G360" s="44"/>
      <c r="I360" s="15"/>
      <c r="J360" s="230"/>
    </row>
    <row r="361" spans="2:10" s="1" customFormat="1" ht="14.25" x14ac:dyDescent="0.45">
      <c r="B361" s="4"/>
      <c r="G361" s="44"/>
      <c r="I361" s="15"/>
      <c r="J361" s="230"/>
    </row>
    <row r="362" spans="2:10" s="1" customFormat="1" ht="14.25" x14ac:dyDescent="0.45">
      <c r="B362" s="4"/>
      <c r="G362" s="44"/>
      <c r="I362" s="15"/>
      <c r="J362" s="230"/>
    </row>
    <row r="363" spans="2:10" s="1" customFormat="1" ht="14.25" x14ac:dyDescent="0.45">
      <c r="B363" s="4"/>
      <c r="G363" s="44"/>
      <c r="I363" s="15"/>
      <c r="J363" s="230"/>
    </row>
    <row r="364" spans="2:10" s="1" customFormat="1" ht="14.25" x14ac:dyDescent="0.45">
      <c r="B364" s="4"/>
      <c r="G364" s="44"/>
      <c r="I364" s="15"/>
      <c r="J364" s="230"/>
    </row>
    <row r="365" spans="2:10" s="1" customFormat="1" ht="14.25" x14ac:dyDescent="0.45">
      <c r="B365" s="4"/>
      <c r="G365" s="44"/>
      <c r="I365" s="15"/>
      <c r="J365" s="230"/>
    </row>
    <row r="366" spans="2:10" s="1" customFormat="1" ht="14.25" x14ac:dyDescent="0.45">
      <c r="B366" s="4"/>
      <c r="G366" s="44"/>
      <c r="I366" s="15"/>
      <c r="J366" s="230"/>
    </row>
    <row r="367" spans="2:10" s="1" customFormat="1" ht="14.25" x14ac:dyDescent="0.45">
      <c r="B367" s="4"/>
      <c r="G367" s="44"/>
      <c r="I367" s="15"/>
      <c r="J367" s="230"/>
    </row>
    <row r="368" spans="2:10" s="1" customFormat="1" ht="14.25" x14ac:dyDescent="0.45">
      <c r="B368" s="4"/>
      <c r="G368" s="44"/>
      <c r="I368" s="15"/>
      <c r="J368" s="230"/>
    </row>
    <row r="369" spans="2:10" s="1" customFormat="1" ht="14.25" x14ac:dyDescent="0.45">
      <c r="B369" s="4"/>
      <c r="G369" s="44"/>
      <c r="I369" s="15"/>
      <c r="J369" s="230"/>
    </row>
    <row r="370" spans="2:10" s="1" customFormat="1" ht="14.25" x14ac:dyDescent="0.45">
      <c r="B370" s="4"/>
      <c r="G370" s="44"/>
      <c r="I370" s="15"/>
      <c r="J370" s="230"/>
    </row>
    <row r="371" spans="2:10" s="1" customFormat="1" ht="14.25" x14ac:dyDescent="0.45">
      <c r="B371" s="4"/>
      <c r="G371" s="44"/>
      <c r="I371" s="15"/>
      <c r="J371" s="230"/>
    </row>
    <row r="372" spans="2:10" s="1" customFormat="1" ht="14.25" x14ac:dyDescent="0.45">
      <c r="B372" s="4"/>
      <c r="G372" s="44"/>
      <c r="I372" s="15"/>
      <c r="J372" s="230"/>
    </row>
    <row r="373" spans="2:10" s="1" customFormat="1" ht="14.25" x14ac:dyDescent="0.45">
      <c r="B373" s="4"/>
      <c r="G373" s="44"/>
      <c r="I373" s="15"/>
      <c r="J373" s="230"/>
    </row>
    <row r="374" spans="2:10" s="1" customFormat="1" ht="14.25" x14ac:dyDescent="0.45">
      <c r="B374" s="4"/>
      <c r="G374" s="44"/>
      <c r="I374" s="15"/>
      <c r="J374" s="230"/>
    </row>
    <row r="375" spans="2:10" s="1" customFormat="1" ht="14.25" x14ac:dyDescent="0.45">
      <c r="B375" s="4"/>
      <c r="G375" s="44"/>
      <c r="I375" s="15"/>
      <c r="J375" s="230"/>
    </row>
    <row r="376" spans="2:10" s="1" customFormat="1" ht="14.25" x14ac:dyDescent="0.45">
      <c r="B376" s="4"/>
      <c r="G376" s="44"/>
      <c r="I376" s="15"/>
      <c r="J376" s="230"/>
    </row>
    <row r="377" spans="2:10" s="1" customFormat="1" ht="14.25" x14ac:dyDescent="0.45">
      <c r="B377" s="4"/>
      <c r="G377" s="44"/>
      <c r="I377" s="15"/>
      <c r="J377" s="230"/>
    </row>
    <row r="378" spans="2:10" s="1" customFormat="1" ht="14.25" x14ac:dyDescent="0.45">
      <c r="B378" s="4"/>
      <c r="G378" s="44"/>
      <c r="I378" s="15"/>
      <c r="J378" s="230"/>
    </row>
    <row r="379" spans="2:10" s="1" customFormat="1" ht="14.25" x14ac:dyDescent="0.45">
      <c r="B379" s="4"/>
      <c r="G379" s="44"/>
      <c r="I379" s="15"/>
      <c r="J379" s="230"/>
    </row>
    <row r="380" spans="2:10" s="1" customFormat="1" ht="14.25" x14ac:dyDescent="0.45">
      <c r="B380" s="4"/>
      <c r="G380" s="44"/>
      <c r="I380" s="15"/>
      <c r="J380" s="230"/>
    </row>
    <row r="381" spans="2:10" s="1" customFormat="1" ht="14.25" x14ac:dyDescent="0.45">
      <c r="B381" s="4"/>
      <c r="G381" s="44"/>
      <c r="I381" s="15"/>
      <c r="J381" s="230"/>
    </row>
    <row r="382" spans="2:10" s="1" customFormat="1" ht="14.25" x14ac:dyDescent="0.45">
      <c r="B382" s="4"/>
      <c r="G382" s="44"/>
      <c r="I382" s="15"/>
      <c r="J382" s="230"/>
    </row>
    <row r="383" spans="2:10" s="1" customFormat="1" ht="14.25" x14ac:dyDescent="0.45">
      <c r="B383" s="4"/>
      <c r="G383" s="44"/>
      <c r="I383" s="15"/>
      <c r="J383" s="230"/>
    </row>
    <row r="384" spans="2:10" s="1" customFormat="1" ht="14.25" x14ac:dyDescent="0.45">
      <c r="B384" s="4"/>
      <c r="G384" s="44"/>
      <c r="I384" s="15"/>
      <c r="J384" s="230"/>
    </row>
    <row r="385" spans="2:10" s="1" customFormat="1" ht="14.25" x14ac:dyDescent="0.45">
      <c r="B385" s="4"/>
      <c r="G385" s="44"/>
      <c r="I385" s="15"/>
      <c r="J385" s="230"/>
    </row>
    <row r="386" spans="2:10" s="1" customFormat="1" ht="14.25" x14ac:dyDescent="0.45">
      <c r="B386" s="4"/>
      <c r="G386" s="44"/>
      <c r="I386" s="15"/>
      <c r="J386" s="230"/>
    </row>
    <row r="387" spans="2:10" s="1" customFormat="1" ht="14.25" x14ac:dyDescent="0.45">
      <c r="B387" s="4"/>
      <c r="G387" s="44"/>
      <c r="I387" s="15"/>
      <c r="J387" s="230"/>
    </row>
    <row r="388" spans="2:10" s="1" customFormat="1" ht="14.25" x14ac:dyDescent="0.45">
      <c r="B388" s="4"/>
      <c r="G388" s="44"/>
      <c r="I388" s="15"/>
      <c r="J388" s="230"/>
    </row>
    <row r="389" spans="2:10" s="1" customFormat="1" ht="14.25" x14ac:dyDescent="0.45">
      <c r="B389" s="4"/>
      <c r="G389" s="44"/>
      <c r="I389" s="15"/>
      <c r="J389" s="230"/>
    </row>
    <row r="390" spans="2:10" s="1" customFormat="1" ht="14.25" x14ac:dyDescent="0.45">
      <c r="B390" s="4"/>
      <c r="G390" s="44"/>
      <c r="I390" s="15"/>
      <c r="J390" s="230"/>
    </row>
    <row r="391" spans="2:10" s="1" customFormat="1" ht="14.25" x14ac:dyDescent="0.45">
      <c r="B391" s="4"/>
      <c r="G391" s="44"/>
      <c r="I391" s="15"/>
      <c r="J391" s="230"/>
    </row>
    <row r="392" spans="2:10" s="1" customFormat="1" ht="14.25" x14ac:dyDescent="0.45">
      <c r="B392" s="4"/>
      <c r="G392" s="44"/>
      <c r="I392" s="15"/>
      <c r="J392" s="230"/>
    </row>
    <row r="393" spans="2:10" s="1" customFormat="1" ht="14.25" x14ac:dyDescent="0.45">
      <c r="B393" s="4"/>
      <c r="G393" s="44"/>
      <c r="I393" s="15"/>
      <c r="J393" s="230"/>
    </row>
    <row r="394" spans="2:10" s="1" customFormat="1" ht="14.25" x14ac:dyDescent="0.45">
      <c r="B394" s="4"/>
      <c r="G394" s="44"/>
      <c r="I394" s="15"/>
      <c r="J394" s="230"/>
    </row>
    <row r="395" spans="2:10" s="1" customFormat="1" ht="14.25" x14ac:dyDescent="0.45">
      <c r="B395" s="4"/>
      <c r="G395" s="44"/>
      <c r="I395" s="15"/>
      <c r="J395" s="230"/>
    </row>
    <row r="396" spans="2:10" s="1" customFormat="1" ht="14.25" x14ac:dyDescent="0.45">
      <c r="B396" s="4"/>
      <c r="G396" s="44"/>
      <c r="I396" s="15"/>
      <c r="J396" s="230"/>
    </row>
    <row r="397" spans="2:10" s="1" customFormat="1" ht="14.25" x14ac:dyDescent="0.45">
      <c r="B397" s="4"/>
      <c r="G397" s="44"/>
      <c r="I397" s="15"/>
      <c r="J397" s="230"/>
    </row>
    <row r="398" spans="2:10" s="1" customFormat="1" ht="14.25" x14ac:dyDescent="0.45">
      <c r="B398" s="4"/>
      <c r="G398" s="44"/>
      <c r="I398" s="15"/>
      <c r="J398" s="230"/>
    </row>
    <row r="399" spans="2:10" s="1" customFormat="1" ht="14.25" x14ac:dyDescent="0.45">
      <c r="B399" s="4"/>
      <c r="G399" s="44"/>
      <c r="I399" s="15"/>
      <c r="J399" s="230"/>
    </row>
    <row r="400" spans="2:10" s="1" customFormat="1" ht="14.25" x14ac:dyDescent="0.45">
      <c r="B400" s="4"/>
      <c r="G400" s="44"/>
      <c r="I400" s="15"/>
      <c r="J400" s="230"/>
    </row>
    <row r="401" spans="2:10" s="1" customFormat="1" ht="14.25" x14ac:dyDescent="0.45">
      <c r="B401" s="4"/>
      <c r="G401" s="44"/>
      <c r="I401" s="15"/>
      <c r="J401" s="230"/>
    </row>
    <row r="402" spans="2:10" s="1" customFormat="1" ht="14.25" x14ac:dyDescent="0.45">
      <c r="B402" s="4"/>
      <c r="G402" s="44"/>
      <c r="I402" s="15"/>
      <c r="J402" s="230"/>
    </row>
    <row r="403" spans="2:10" s="1" customFormat="1" ht="14.25" x14ac:dyDescent="0.45">
      <c r="B403" s="4"/>
      <c r="G403" s="44"/>
      <c r="I403" s="15"/>
      <c r="J403" s="230"/>
    </row>
    <row r="404" spans="2:10" s="1" customFormat="1" ht="14.25" x14ac:dyDescent="0.45">
      <c r="B404" s="4"/>
      <c r="G404" s="44"/>
      <c r="I404" s="15"/>
      <c r="J404" s="230"/>
    </row>
    <row r="405" spans="2:10" s="1" customFormat="1" ht="14.25" x14ac:dyDescent="0.45">
      <c r="B405" s="4"/>
      <c r="G405" s="44"/>
      <c r="I405" s="15"/>
      <c r="J405" s="230"/>
    </row>
    <row r="406" spans="2:10" s="1" customFormat="1" ht="14.25" x14ac:dyDescent="0.45">
      <c r="B406" s="4"/>
      <c r="G406" s="44"/>
      <c r="I406" s="15"/>
      <c r="J406" s="230"/>
    </row>
    <row r="407" spans="2:10" s="1" customFormat="1" ht="14.25" x14ac:dyDescent="0.45">
      <c r="B407" s="4"/>
      <c r="G407" s="44"/>
      <c r="I407" s="15"/>
      <c r="J407" s="230"/>
    </row>
    <row r="408" spans="2:10" s="1" customFormat="1" ht="14.25" x14ac:dyDescent="0.45">
      <c r="B408" s="4"/>
      <c r="G408" s="44"/>
      <c r="I408" s="15"/>
      <c r="J408" s="230"/>
    </row>
    <row r="409" spans="2:10" s="1" customFormat="1" ht="14.25" x14ac:dyDescent="0.45">
      <c r="B409" s="4"/>
      <c r="G409" s="44"/>
      <c r="I409" s="15"/>
      <c r="J409" s="230"/>
    </row>
    <row r="410" spans="2:10" s="1" customFormat="1" ht="14.25" x14ac:dyDescent="0.45">
      <c r="B410" s="4"/>
      <c r="G410" s="44"/>
      <c r="I410" s="15"/>
      <c r="J410" s="230"/>
    </row>
    <row r="411" spans="2:10" s="1" customFormat="1" ht="14.25" x14ac:dyDescent="0.45">
      <c r="B411" s="4"/>
      <c r="G411" s="44"/>
      <c r="I411" s="15"/>
      <c r="J411" s="230"/>
    </row>
    <row r="412" spans="2:10" s="1" customFormat="1" ht="14.25" x14ac:dyDescent="0.45">
      <c r="B412" s="4"/>
      <c r="G412" s="44"/>
      <c r="I412" s="15"/>
      <c r="J412" s="230"/>
    </row>
    <row r="413" spans="2:10" s="1" customFormat="1" ht="14.25" x14ac:dyDescent="0.45">
      <c r="B413" s="4"/>
      <c r="G413" s="44"/>
      <c r="I413" s="15"/>
      <c r="J413" s="230"/>
    </row>
    <row r="414" spans="2:10" s="1" customFormat="1" ht="14.25" x14ac:dyDescent="0.45">
      <c r="B414" s="4"/>
      <c r="G414" s="44"/>
      <c r="I414" s="15"/>
      <c r="J414" s="230"/>
    </row>
    <row r="415" spans="2:10" s="1" customFormat="1" ht="14.25" x14ac:dyDescent="0.45">
      <c r="B415" s="4"/>
      <c r="G415" s="44"/>
      <c r="I415" s="15"/>
      <c r="J415" s="230"/>
    </row>
    <row r="416" spans="2:10" s="1" customFormat="1" ht="14.25" x14ac:dyDescent="0.45">
      <c r="B416" s="4"/>
      <c r="G416" s="44"/>
      <c r="I416" s="15"/>
      <c r="J416" s="230"/>
    </row>
    <row r="417" spans="2:10" s="1" customFormat="1" ht="14.25" x14ac:dyDescent="0.45">
      <c r="B417" s="4"/>
      <c r="G417" s="44"/>
      <c r="I417" s="15"/>
      <c r="J417" s="230"/>
    </row>
    <row r="418" spans="2:10" s="1" customFormat="1" ht="14.25" x14ac:dyDescent="0.45">
      <c r="B418" s="4"/>
      <c r="G418" s="44"/>
      <c r="I418" s="15"/>
      <c r="J418" s="230"/>
    </row>
    <row r="419" spans="2:10" s="1" customFormat="1" ht="14.25" x14ac:dyDescent="0.45">
      <c r="B419" s="4"/>
      <c r="G419" s="44"/>
      <c r="I419" s="15"/>
      <c r="J419" s="230"/>
    </row>
    <row r="420" spans="2:10" s="1" customFormat="1" ht="14.25" x14ac:dyDescent="0.45">
      <c r="B420" s="4"/>
      <c r="G420" s="44"/>
      <c r="I420" s="15"/>
      <c r="J420" s="230"/>
    </row>
    <row r="421" spans="2:10" s="1" customFormat="1" ht="14.25" x14ac:dyDescent="0.45">
      <c r="B421" s="4"/>
      <c r="G421" s="44"/>
      <c r="I421" s="15"/>
      <c r="J421" s="230"/>
    </row>
    <row r="422" spans="2:10" s="1" customFormat="1" ht="14.25" x14ac:dyDescent="0.45">
      <c r="B422" s="4"/>
      <c r="G422" s="44"/>
      <c r="I422" s="15"/>
      <c r="J422" s="230"/>
    </row>
    <row r="423" spans="2:10" s="1" customFormat="1" ht="14.25" x14ac:dyDescent="0.45">
      <c r="B423" s="4"/>
      <c r="G423" s="44"/>
      <c r="I423" s="15"/>
      <c r="J423" s="230"/>
    </row>
    <row r="424" spans="2:10" s="1" customFormat="1" ht="14.25" x14ac:dyDescent="0.45">
      <c r="B424" s="4"/>
      <c r="G424" s="44"/>
      <c r="I424" s="15"/>
      <c r="J424" s="230"/>
    </row>
    <row r="425" spans="2:10" s="1" customFormat="1" ht="14.25" x14ac:dyDescent="0.45">
      <c r="B425" s="4"/>
      <c r="G425" s="44"/>
      <c r="I425" s="15"/>
      <c r="J425" s="230"/>
    </row>
    <row r="426" spans="2:10" s="1" customFormat="1" ht="14.25" x14ac:dyDescent="0.45">
      <c r="B426" s="4"/>
      <c r="G426" s="44"/>
      <c r="I426" s="15"/>
      <c r="J426" s="230"/>
    </row>
    <row r="427" spans="2:10" s="1" customFormat="1" ht="14.25" x14ac:dyDescent="0.45">
      <c r="B427" s="4"/>
      <c r="G427" s="44"/>
      <c r="I427" s="15"/>
      <c r="J427" s="230"/>
    </row>
    <row r="428" spans="2:10" s="1" customFormat="1" ht="14.25" x14ac:dyDescent="0.45">
      <c r="B428" s="4"/>
      <c r="G428" s="44"/>
      <c r="I428" s="15"/>
      <c r="J428" s="230"/>
    </row>
    <row r="429" spans="2:10" s="1" customFormat="1" ht="14.25" x14ac:dyDescent="0.45">
      <c r="B429" s="4"/>
      <c r="G429" s="44"/>
      <c r="I429" s="15"/>
      <c r="J429" s="230"/>
    </row>
    <row r="430" spans="2:10" s="1" customFormat="1" ht="14.25" x14ac:dyDescent="0.45">
      <c r="B430" s="4"/>
      <c r="G430" s="44"/>
      <c r="I430" s="15"/>
      <c r="J430" s="230"/>
    </row>
    <row r="431" spans="2:10" s="1" customFormat="1" ht="14.25" x14ac:dyDescent="0.45">
      <c r="B431" s="4"/>
      <c r="G431" s="44"/>
      <c r="I431" s="15"/>
      <c r="J431" s="230"/>
    </row>
    <row r="432" spans="2:10" s="1" customFormat="1" ht="14.25" x14ac:dyDescent="0.45">
      <c r="B432" s="4"/>
      <c r="G432" s="44"/>
      <c r="I432" s="15"/>
      <c r="J432" s="230"/>
    </row>
    <row r="433" spans="2:10" s="1" customFormat="1" ht="14.25" x14ac:dyDescent="0.45">
      <c r="B433" s="4"/>
      <c r="G433" s="44"/>
      <c r="I433" s="15"/>
      <c r="J433" s="230"/>
    </row>
    <row r="434" spans="2:10" s="1" customFormat="1" ht="14.25" x14ac:dyDescent="0.45">
      <c r="B434" s="4"/>
      <c r="G434" s="44"/>
      <c r="I434" s="15"/>
      <c r="J434" s="230"/>
    </row>
    <row r="435" spans="2:10" s="1" customFormat="1" ht="14.25" x14ac:dyDescent="0.45">
      <c r="B435" s="4"/>
      <c r="G435" s="44"/>
      <c r="I435" s="15"/>
      <c r="J435" s="230"/>
    </row>
    <row r="436" spans="2:10" s="1" customFormat="1" ht="14.25" x14ac:dyDescent="0.45">
      <c r="B436" s="4"/>
      <c r="G436" s="44"/>
      <c r="I436" s="15"/>
      <c r="J436" s="230"/>
    </row>
    <row r="437" spans="2:10" s="1" customFormat="1" ht="14.25" x14ac:dyDescent="0.45">
      <c r="B437" s="4"/>
      <c r="G437" s="44"/>
      <c r="I437" s="15"/>
      <c r="J437" s="230"/>
    </row>
    <row r="438" spans="2:10" s="1" customFormat="1" ht="14.25" x14ac:dyDescent="0.45">
      <c r="B438" s="4"/>
      <c r="G438" s="44"/>
      <c r="I438" s="15"/>
      <c r="J438" s="230"/>
    </row>
    <row r="439" spans="2:10" s="1" customFormat="1" ht="14.25" x14ac:dyDescent="0.45">
      <c r="B439" s="4"/>
      <c r="G439" s="44"/>
      <c r="I439" s="15"/>
      <c r="J439" s="230"/>
    </row>
    <row r="440" spans="2:10" s="1" customFormat="1" ht="14.25" x14ac:dyDescent="0.45">
      <c r="B440" s="4"/>
      <c r="G440" s="44"/>
      <c r="I440" s="15"/>
      <c r="J440" s="230"/>
    </row>
    <row r="441" spans="2:10" s="1" customFormat="1" ht="14.25" x14ac:dyDescent="0.45">
      <c r="B441" s="4"/>
      <c r="G441" s="44"/>
      <c r="I441" s="15"/>
      <c r="J441" s="230"/>
    </row>
    <row r="442" spans="2:10" s="1" customFormat="1" ht="14.25" x14ac:dyDescent="0.45">
      <c r="B442" s="4"/>
      <c r="G442" s="44"/>
      <c r="I442" s="15"/>
      <c r="J442" s="230"/>
    </row>
    <row r="443" spans="2:10" s="1" customFormat="1" ht="14.25" x14ac:dyDescent="0.45">
      <c r="B443" s="4"/>
      <c r="G443" s="44"/>
      <c r="I443" s="15"/>
      <c r="J443" s="230"/>
    </row>
    <row r="444" spans="2:10" s="1" customFormat="1" ht="14.25" x14ac:dyDescent="0.45">
      <c r="B444" s="4"/>
      <c r="G444" s="44"/>
      <c r="I444" s="15"/>
      <c r="J444" s="230"/>
    </row>
    <row r="445" spans="2:10" s="1" customFormat="1" ht="14.25" x14ac:dyDescent="0.45">
      <c r="B445" s="4"/>
      <c r="G445" s="44"/>
      <c r="I445" s="15"/>
      <c r="J445" s="230"/>
    </row>
    <row r="446" spans="2:10" s="1" customFormat="1" ht="14.25" x14ac:dyDescent="0.45">
      <c r="B446" s="4"/>
      <c r="G446" s="44"/>
      <c r="I446" s="15"/>
      <c r="J446" s="230"/>
    </row>
    <row r="447" spans="2:10" s="1" customFormat="1" ht="14.25" x14ac:dyDescent="0.45">
      <c r="B447" s="4"/>
      <c r="G447" s="44"/>
      <c r="I447" s="15"/>
      <c r="J447" s="230"/>
    </row>
    <row r="448" spans="2:10" s="1" customFormat="1" ht="14.25" x14ac:dyDescent="0.45">
      <c r="B448" s="4"/>
      <c r="G448" s="44"/>
      <c r="I448" s="15"/>
      <c r="J448" s="230"/>
    </row>
    <row r="449" spans="2:10" s="1" customFormat="1" ht="14.25" x14ac:dyDescent="0.45">
      <c r="B449" s="4"/>
      <c r="G449" s="44"/>
      <c r="I449" s="15"/>
      <c r="J449" s="230"/>
    </row>
    <row r="450" spans="2:10" s="1" customFormat="1" ht="14.25" x14ac:dyDescent="0.45">
      <c r="B450" s="4"/>
      <c r="G450" s="44"/>
      <c r="I450" s="15"/>
      <c r="J450" s="230"/>
    </row>
    <row r="451" spans="2:10" s="1" customFormat="1" ht="14.25" x14ac:dyDescent="0.45">
      <c r="B451" s="4"/>
      <c r="G451" s="44"/>
      <c r="I451" s="15"/>
      <c r="J451" s="230"/>
    </row>
    <row r="452" spans="2:10" s="1" customFormat="1" ht="14.25" x14ac:dyDescent="0.45">
      <c r="B452" s="4"/>
      <c r="G452" s="44"/>
      <c r="I452" s="15"/>
      <c r="J452" s="230"/>
    </row>
    <row r="453" spans="2:10" s="1" customFormat="1" ht="14.25" x14ac:dyDescent="0.45">
      <c r="B453" s="4"/>
      <c r="G453" s="44"/>
      <c r="I453" s="15"/>
      <c r="J453" s="230"/>
    </row>
    <row r="454" spans="2:10" s="1" customFormat="1" ht="14.25" x14ac:dyDescent="0.45">
      <c r="B454" s="4"/>
      <c r="G454" s="44"/>
      <c r="I454" s="15"/>
      <c r="J454" s="230"/>
    </row>
    <row r="455" spans="2:10" s="1" customFormat="1" ht="14.25" x14ac:dyDescent="0.45">
      <c r="B455" s="4"/>
      <c r="G455" s="44"/>
      <c r="I455" s="15"/>
      <c r="J455" s="230"/>
    </row>
    <row r="456" spans="2:10" s="1" customFormat="1" ht="14.25" x14ac:dyDescent="0.45">
      <c r="B456" s="4"/>
      <c r="G456" s="44"/>
      <c r="I456" s="15"/>
      <c r="J456" s="230"/>
    </row>
    <row r="457" spans="2:10" s="1" customFormat="1" ht="14.25" x14ac:dyDescent="0.45">
      <c r="B457" s="4"/>
      <c r="G457" s="44"/>
      <c r="I457" s="15"/>
      <c r="J457" s="230"/>
    </row>
    <row r="458" spans="2:10" s="1" customFormat="1" ht="14.25" x14ac:dyDescent="0.45">
      <c r="B458" s="4"/>
      <c r="G458" s="44"/>
      <c r="I458" s="15"/>
      <c r="J458" s="230"/>
    </row>
    <row r="459" spans="2:10" s="1" customFormat="1" ht="14.25" x14ac:dyDescent="0.45">
      <c r="B459" s="4"/>
      <c r="G459" s="44"/>
      <c r="I459" s="15"/>
      <c r="J459" s="230"/>
    </row>
    <row r="460" spans="2:10" s="1" customFormat="1" ht="14.25" x14ac:dyDescent="0.45">
      <c r="B460" s="4"/>
      <c r="G460" s="44"/>
      <c r="I460" s="15"/>
      <c r="J460" s="230"/>
    </row>
    <row r="461" spans="2:10" s="1" customFormat="1" ht="14.25" x14ac:dyDescent="0.45">
      <c r="B461" s="4"/>
      <c r="G461" s="44"/>
      <c r="I461" s="15"/>
      <c r="J461" s="230"/>
    </row>
    <row r="462" spans="2:10" s="1" customFormat="1" ht="14.25" x14ac:dyDescent="0.45">
      <c r="B462" s="4"/>
      <c r="G462" s="44"/>
      <c r="I462" s="15"/>
      <c r="J462" s="230"/>
    </row>
    <row r="463" spans="2:10" s="1" customFormat="1" ht="14.25" x14ac:dyDescent="0.45">
      <c r="B463" s="4"/>
      <c r="G463" s="44"/>
      <c r="I463" s="15"/>
      <c r="J463" s="230"/>
    </row>
    <row r="464" spans="2:10" s="1" customFormat="1" ht="14.25" x14ac:dyDescent="0.45">
      <c r="B464" s="4"/>
      <c r="G464" s="44"/>
      <c r="I464" s="15"/>
      <c r="J464" s="230"/>
    </row>
    <row r="465" spans="1:14" s="1" customFormat="1" ht="14.25" x14ac:dyDescent="0.45">
      <c r="B465" s="4"/>
      <c r="G465" s="44"/>
      <c r="I465" s="15"/>
      <c r="J465" s="230"/>
    </row>
    <row r="466" spans="1:14" s="1" customFormat="1" ht="14.25" x14ac:dyDescent="0.45">
      <c r="B466" s="4"/>
      <c r="G466" s="44"/>
      <c r="I466" s="15"/>
      <c r="J466" s="230"/>
    </row>
    <row r="467" spans="1:14" s="1" customFormat="1" ht="14.25" x14ac:dyDescent="0.45">
      <c r="B467" s="4"/>
      <c r="G467" s="44"/>
      <c r="I467" s="15"/>
      <c r="J467" s="230"/>
    </row>
    <row r="468" spans="1:14" s="1" customFormat="1" ht="14.25" x14ac:dyDescent="0.45">
      <c r="B468" s="4"/>
      <c r="G468" s="44"/>
      <c r="I468" s="15"/>
      <c r="J468" s="230"/>
    </row>
    <row r="469" spans="1:14" s="1" customFormat="1" ht="14.25" x14ac:dyDescent="0.45">
      <c r="B469" s="4"/>
      <c r="G469" s="44"/>
      <c r="I469" s="15"/>
      <c r="J469" s="230"/>
    </row>
    <row r="470" spans="1:14" s="1" customFormat="1" ht="14.25" x14ac:dyDescent="0.45">
      <c r="B470" s="4"/>
      <c r="G470" s="44"/>
      <c r="I470" s="15"/>
      <c r="J470" s="230"/>
    </row>
    <row r="471" spans="1:14" s="1" customFormat="1" ht="14.25" x14ac:dyDescent="0.45">
      <c r="B471" s="4"/>
      <c r="G471" s="44"/>
      <c r="I471" s="15"/>
      <c r="J471" s="230"/>
    </row>
    <row r="472" spans="1:14" s="1" customFormat="1" ht="14.25" x14ac:dyDescent="0.45">
      <c r="B472" s="4"/>
      <c r="G472" s="44"/>
      <c r="I472" s="15"/>
      <c r="J472" s="230"/>
    </row>
    <row r="473" spans="1:14" s="1" customFormat="1" ht="14.25" x14ac:dyDescent="0.45">
      <c r="B473" s="4"/>
      <c r="G473" s="44"/>
      <c r="I473" s="15"/>
      <c r="J473" s="230"/>
    </row>
    <row r="474" spans="1:14" s="1" customFormat="1" ht="14.25" x14ac:dyDescent="0.45">
      <c r="B474" s="4"/>
      <c r="G474" s="44"/>
      <c r="I474" s="15"/>
      <c r="J474" s="230"/>
    </row>
    <row r="475" spans="1:14" s="1" customFormat="1" ht="14.25" x14ac:dyDescent="0.45">
      <c r="B475" s="4"/>
      <c r="G475" s="44"/>
      <c r="I475" s="15"/>
      <c r="J475" s="230"/>
    </row>
    <row r="476" spans="1:14" s="1" customFormat="1" ht="14.25" x14ac:dyDescent="0.45">
      <c r="B476" s="4"/>
      <c r="G476" s="44"/>
      <c r="I476" s="15"/>
      <c r="J476" s="230"/>
    </row>
    <row r="477" spans="1:14" s="1" customFormat="1" ht="14.25" x14ac:dyDescent="0.45">
      <c r="B477" s="4"/>
      <c r="G477" s="44"/>
      <c r="I477" s="15"/>
      <c r="J477" s="230"/>
    </row>
    <row r="478" spans="1:14" s="1" customFormat="1" ht="14.25" x14ac:dyDescent="0.45">
      <c r="B478" s="4"/>
      <c r="G478" s="44"/>
      <c r="I478" s="15"/>
      <c r="J478" s="230"/>
    </row>
    <row r="479" spans="1:14" ht="15.4" x14ac:dyDescent="0.45">
      <c r="A479" s="1"/>
      <c r="B479" s="4"/>
      <c r="C479" s="1"/>
      <c r="D479" s="1"/>
      <c r="E479" s="1"/>
      <c r="F479" s="1"/>
      <c r="G479" s="44"/>
      <c r="H479" s="1"/>
      <c r="I479" s="15"/>
      <c r="J479" s="230"/>
      <c r="K479" s="1"/>
      <c r="L479" s="1"/>
      <c r="M479" s="1"/>
      <c r="N479" s="1"/>
    </row>
    <row r="480" spans="1:14" ht="15.4" x14ac:dyDescent="0.45">
      <c r="A480" s="1"/>
      <c r="B480" s="4"/>
      <c r="C480" s="1"/>
      <c r="D480" s="1"/>
      <c r="E480" s="1"/>
      <c r="F480" s="1"/>
      <c r="G480" s="44"/>
      <c r="H480" s="1"/>
      <c r="I480" s="15"/>
      <c r="J480" s="230"/>
      <c r="K480" s="1"/>
      <c r="L480" s="1"/>
      <c r="M480" s="1"/>
      <c r="N480" s="1"/>
    </row>
    <row r="481" spans="1:14" ht="15.4" x14ac:dyDescent="0.45">
      <c r="A481" s="1"/>
      <c r="B481" s="4"/>
      <c r="C481" s="1"/>
      <c r="D481" s="1"/>
      <c r="E481" s="1"/>
      <c r="F481" s="1"/>
      <c r="G481" s="44"/>
      <c r="H481" s="1"/>
      <c r="I481" s="15"/>
      <c r="J481" s="230"/>
      <c r="K481" s="1"/>
      <c r="L481" s="1"/>
      <c r="M481" s="1"/>
      <c r="N481" s="1"/>
    </row>
    <row r="482" spans="1:14" ht="15.4" x14ac:dyDescent="0.45">
      <c r="A482" s="1"/>
      <c r="B482" s="4"/>
      <c r="C482" s="1"/>
      <c r="D482" s="1"/>
      <c r="E482" s="1"/>
      <c r="F482" s="1"/>
      <c r="G482" s="44"/>
      <c r="H482" s="1"/>
      <c r="I482" s="15"/>
      <c r="J482" s="230"/>
      <c r="K482" s="1"/>
      <c r="L482" s="1"/>
      <c r="M482" s="1"/>
      <c r="N482" s="1"/>
    </row>
    <row r="483" spans="1:14" ht="15.4" x14ac:dyDescent="0.45">
      <c r="A483" s="1"/>
      <c r="B483" s="4"/>
      <c r="C483" s="1"/>
      <c r="D483" s="1"/>
      <c r="E483" s="1"/>
      <c r="F483" s="1"/>
      <c r="G483" s="44"/>
      <c r="H483" s="1"/>
      <c r="I483" s="15"/>
      <c r="J483" s="230"/>
      <c r="K483" s="1"/>
      <c r="L483" s="1"/>
      <c r="M483" s="1"/>
      <c r="N483" s="1"/>
    </row>
    <row r="484" spans="1:14" ht="15.4" x14ac:dyDescent="0.45">
      <c r="A484" s="1"/>
      <c r="B484" s="4"/>
      <c r="C484" s="1"/>
      <c r="D484" s="1"/>
      <c r="E484" s="1"/>
      <c r="F484" s="1"/>
      <c r="G484" s="44"/>
      <c r="H484" s="1"/>
      <c r="I484" s="15"/>
      <c r="J484" s="230"/>
      <c r="K484" s="1"/>
      <c r="L484" s="1"/>
      <c r="M484" s="1"/>
      <c r="N484" s="1"/>
    </row>
    <row r="485" spans="1:14" ht="15.4" x14ac:dyDescent="0.45">
      <c r="A485" s="1"/>
      <c r="B485" s="4"/>
      <c r="C485" s="1"/>
      <c r="D485" s="1"/>
      <c r="E485" s="1"/>
      <c r="F485" s="1"/>
      <c r="G485" s="44"/>
      <c r="H485" s="1"/>
      <c r="I485" s="15"/>
      <c r="J485" s="230"/>
      <c r="K485" s="1"/>
      <c r="L485" s="1"/>
      <c r="M485" s="1"/>
      <c r="N485" s="1"/>
    </row>
    <row r="486" spans="1:14" ht="15.4" x14ac:dyDescent="0.45">
      <c r="A486" s="1"/>
      <c r="B486" s="4"/>
      <c r="C486" s="1"/>
      <c r="D486" s="1"/>
      <c r="E486" s="1"/>
      <c r="F486" s="1"/>
      <c r="G486" s="44"/>
      <c r="H486" s="1"/>
      <c r="I486" s="15"/>
      <c r="J486" s="230"/>
      <c r="K486" s="1"/>
      <c r="L486" s="1"/>
      <c r="M486" s="1"/>
      <c r="N486" s="1"/>
    </row>
    <row r="487" spans="1:14" ht="15.4" x14ac:dyDescent="0.45">
      <c r="A487" s="1"/>
      <c r="B487" s="4"/>
      <c r="C487" s="1"/>
      <c r="D487" s="1"/>
      <c r="E487" s="1"/>
      <c r="F487" s="1"/>
      <c r="G487" s="44"/>
      <c r="H487" s="1"/>
      <c r="I487" s="15"/>
      <c r="J487" s="230"/>
      <c r="K487" s="1"/>
      <c r="L487" s="1"/>
      <c r="M487" s="1"/>
      <c r="N487" s="1"/>
    </row>
    <row r="488" spans="1:14" ht="15.4" x14ac:dyDescent="0.45">
      <c r="A488" s="1"/>
      <c r="B488" s="4"/>
      <c r="C488" s="1"/>
      <c r="D488" s="1"/>
      <c r="E488" s="1"/>
      <c r="F488" s="1"/>
      <c r="G488" s="44"/>
      <c r="H488" s="1"/>
      <c r="I488" s="15"/>
      <c r="J488" s="230"/>
      <c r="K488" s="1"/>
      <c r="L488" s="1"/>
      <c r="M488" s="1"/>
      <c r="N488" s="1"/>
    </row>
    <row r="489" spans="1:14" ht="15.4" x14ac:dyDescent="0.45">
      <c r="A489" s="1"/>
      <c r="B489" s="4"/>
      <c r="C489" s="1"/>
      <c r="D489" s="1"/>
      <c r="E489" s="1"/>
      <c r="F489" s="1"/>
      <c r="G489" s="44"/>
      <c r="H489" s="1"/>
      <c r="I489" s="15"/>
      <c r="J489" s="230"/>
      <c r="K489" s="1"/>
      <c r="L489" s="1"/>
      <c r="M489" s="1"/>
      <c r="N489" s="1"/>
    </row>
    <row r="490" spans="1:14" ht="15.4" x14ac:dyDescent="0.45">
      <c r="A490" s="1"/>
      <c r="B490" s="4"/>
      <c r="C490" s="1"/>
      <c r="D490" s="1"/>
      <c r="E490" s="1"/>
      <c r="F490" s="1"/>
      <c r="G490" s="44"/>
      <c r="H490" s="1"/>
      <c r="I490" s="15"/>
      <c r="J490" s="230"/>
      <c r="K490" s="1"/>
      <c r="L490" s="1"/>
      <c r="M490" s="1"/>
      <c r="N490" s="1"/>
    </row>
    <row r="491" spans="1:14" ht="15.4" x14ac:dyDescent="0.45">
      <c r="A491" s="1"/>
      <c r="B491" s="4"/>
      <c r="C491" s="1"/>
      <c r="D491" s="1"/>
      <c r="E491" s="1"/>
      <c r="F491" s="1"/>
      <c r="G491" s="44"/>
      <c r="H491" s="1"/>
      <c r="I491" s="15"/>
      <c r="J491" s="230"/>
      <c r="K491" s="1"/>
      <c r="L491" s="1"/>
      <c r="M491" s="1"/>
      <c r="N491" s="1"/>
    </row>
  </sheetData>
  <mergeCells count="33">
    <mergeCell ref="A1:H1"/>
    <mergeCell ref="A2:H2"/>
    <mergeCell ref="B5:G5"/>
    <mergeCell ref="D104:E104"/>
    <mergeCell ref="E105:F105"/>
    <mergeCell ref="E59:F59"/>
    <mergeCell ref="D70:E70"/>
    <mergeCell ref="D82:E82"/>
    <mergeCell ref="E83:F83"/>
    <mergeCell ref="D93:E93"/>
    <mergeCell ref="D17:E17"/>
    <mergeCell ref="D31:E31"/>
    <mergeCell ref="E33:F33"/>
    <mergeCell ref="D45:E45"/>
    <mergeCell ref="D58:E58"/>
    <mergeCell ref="D114:E114"/>
    <mergeCell ref="D124:E124"/>
    <mergeCell ref="D191:E191"/>
    <mergeCell ref="D177:E177"/>
    <mergeCell ref="E178:F178"/>
    <mergeCell ref="D184:E184"/>
    <mergeCell ref="D169:E169"/>
    <mergeCell ref="E125:F125"/>
    <mergeCell ref="D133:E133"/>
    <mergeCell ref="E192:F192"/>
    <mergeCell ref="D197:E197"/>
    <mergeCell ref="D205:E205"/>
    <mergeCell ref="E206:F206"/>
    <mergeCell ref="D143:E143"/>
    <mergeCell ref="E144:F144"/>
    <mergeCell ref="D152:E152"/>
    <mergeCell ref="D161:E161"/>
    <mergeCell ref="E162:F162"/>
  </mergeCells>
  <printOptions horizontalCentered="1"/>
  <pageMargins left="0.7" right="0.7" top="1" bottom="0.75" header="0.3" footer="0.3"/>
  <pageSetup scale="63" fitToHeight="4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6ECB-1166-4A19-BAC2-1CAB016DEA29}">
  <sheetPr>
    <pageSetUpPr fitToPage="1"/>
  </sheetPr>
  <dimension ref="A1:M26"/>
  <sheetViews>
    <sheetView workbookViewId="0">
      <selection activeCell="N26" sqref="A1:N26"/>
    </sheetView>
  </sheetViews>
  <sheetFormatPr defaultRowHeight="15" x14ac:dyDescent="0.4"/>
  <sheetData>
    <row r="1" spans="1:13" ht="18" x14ac:dyDescent="0.45">
      <c r="A1" s="369" t="s">
        <v>293</v>
      </c>
      <c r="B1" s="369"/>
      <c r="C1" s="369"/>
      <c r="D1" s="369"/>
      <c r="E1" s="369"/>
      <c r="F1" s="369"/>
      <c r="G1" s="369"/>
      <c r="H1" s="50"/>
      <c r="I1" s="63"/>
      <c r="J1" s="64"/>
      <c r="K1" s="50"/>
      <c r="L1" s="5"/>
      <c r="M1" s="5"/>
    </row>
    <row r="2" spans="1:13" ht="15.4" x14ac:dyDescent="0.45">
      <c r="A2" s="59" t="s">
        <v>37</v>
      </c>
      <c r="B2" s="50"/>
      <c r="C2" s="50"/>
      <c r="D2" s="65"/>
      <c r="E2" s="50"/>
      <c r="F2" s="60"/>
      <c r="G2" s="5">
        <f>SAO!G45</f>
        <v>1834094.3636773825</v>
      </c>
      <c r="H2" s="50"/>
      <c r="I2" s="5"/>
      <c r="J2" s="50"/>
      <c r="K2" s="50"/>
      <c r="L2" s="5"/>
      <c r="M2" s="5"/>
    </row>
    <row r="3" spans="1:13" ht="15.4" x14ac:dyDescent="0.45">
      <c r="A3" s="50" t="s">
        <v>20</v>
      </c>
      <c r="B3" s="50"/>
      <c r="C3" s="50" t="s">
        <v>169</v>
      </c>
      <c r="D3" s="65"/>
      <c r="E3" s="50"/>
      <c r="F3" s="60" t="s">
        <v>287</v>
      </c>
      <c r="G3" s="5">
        <f>'Debt Service'!M22</f>
        <v>9600</v>
      </c>
      <c r="H3" s="50"/>
      <c r="I3" s="5" t="s">
        <v>249</v>
      </c>
      <c r="J3" s="50"/>
      <c r="K3" s="50"/>
      <c r="L3" s="5" t="s">
        <v>273</v>
      </c>
      <c r="M3" s="5"/>
    </row>
    <row r="4" spans="1:13" ht="17.649999999999999" x14ac:dyDescent="0.75">
      <c r="A4" s="50"/>
      <c r="B4" s="65"/>
      <c r="C4" s="65" t="s">
        <v>170</v>
      </c>
      <c r="D4" s="65"/>
      <c r="E4" s="50"/>
      <c r="F4" s="60" t="s">
        <v>281</v>
      </c>
      <c r="G4" s="233">
        <f>'Debt Service'!M24</f>
        <v>0</v>
      </c>
      <c r="H4" s="50"/>
      <c r="I4" s="5" t="s">
        <v>310</v>
      </c>
      <c r="J4" s="50"/>
      <c r="K4" s="50"/>
      <c r="L4" s="5" t="s">
        <v>274</v>
      </c>
      <c r="M4" s="5"/>
    </row>
    <row r="5" spans="1:13" ht="15.4" x14ac:dyDescent="0.45">
      <c r="A5" s="59" t="s">
        <v>63</v>
      </c>
      <c r="B5" s="50"/>
      <c r="C5" s="50"/>
      <c r="D5" s="65"/>
      <c r="E5" s="50"/>
      <c r="F5" s="60"/>
      <c r="G5" s="5">
        <f>G2+G3+G4</f>
        <v>1843694.3636773825</v>
      </c>
      <c r="H5" s="50"/>
      <c r="I5" s="5"/>
      <c r="J5" s="50"/>
      <c r="K5" s="50"/>
      <c r="L5" s="5"/>
      <c r="M5" s="5"/>
    </row>
    <row r="6" spans="1:13" ht="15.4" x14ac:dyDescent="0.45">
      <c r="A6" s="50" t="s">
        <v>21</v>
      </c>
      <c r="B6" s="50"/>
      <c r="C6" s="50" t="s">
        <v>22</v>
      </c>
      <c r="D6" s="65"/>
      <c r="E6" s="50"/>
      <c r="F6" s="60"/>
      <c r="G6" s="5">
        <f>SUM(SAO!G11:G13)</f>
        <v>105401</v>
      </c>
      <c r="H6" s="50"/>
      <c r="I6" s="5"/>
      <c r="J6" s="50"/>
      <c r="K6" s="50"/>
      <c r="L6" s="5"/>
      <c r="M6" s="5"/>
    </row>
    <row r="7" spans="1:13" ht="17.649999999999999" x14ac:dyDescent="0.75">
      <c r="A7" s="50"/>
      <c r="B7" s="50"/>
      <c r="C7" s="50" t="s">
        <v>206</v>
      </c>
      <c r="D7" s="65"/>
      <c r="E7" s="50"/>
      <c r="F7" s="60"/>
      <c r="G7" s="40">
        <v>1944</v>
      </c>
      <c r="H7" s="50"/>
      <c r="I7" s="27"/>
      <c r="J7" s="50"/>
      <c r="K7" s="50"/>
      <c r="L7" s="5"/>
      <c r="M7" s="5"/>
    </row>
    <row r="8" spans="1:13" ht="15.4" x14ac:dyDescent="0.45">
      <c r="A8" s="59" t="s">
        <v>61</v>
      </c>
      <c r="B8" s="50"/>
      <c r="C8" s="50"/>
      <c r="D8" s="65"/>
      <c r="E8" s="50"/>
      <c r="F8" s="60"/>
      <c r="G8" s="5">
        <f>G5-G6-G7</f>
        <v>1736349.3636773825</v>
      </c>
      <c r="H8" s="50"/>
      <c r="I8" s="5"/>
      <c r="J8" s="50"/>
      <c r="K8" s="50"/>
      <c r="L8" s="5"/>
      <c r="M8" s="5"/>
    </row>
    <row r="9" spans="1:13" ht="15.4" x14ac:dyDescent="0.45">
      <c r="A9" s="50" t="s">
        <v>21</v>
      </c>
      <c r="B9" s="50"/>
      <c r="C9" s="50" t="s">
        <v>62</v>
      </c>
      <c r="D9" s="65"/>
      <c r="E9" s="50"/>
      <c r="F9" s="60"/>
      <c r="G9" s="4">
        <f>SAO!G6</f>
        <v>1465108.78</v>
      </c>
      <c r="H9" s="50"/>
      <c r="I9" s="27"/>
      <c r="J9" s="50"/>
      <c r="K9" s="50"/>
      <c r="L9" s="5"/>
      <c r="M9" s="5"/>
    </row>
    <row r="10" spans="1:13" ht="17.649999999999999" x14ac:dyDescent="0.75">
      <c r="A10" s="50"/>
      <c r="B10" s="50"/>
      <c r="C10" s="50" t="s">
        <v>15</v>
      </c>
      <c r="D10" s="65"/>
      <c r="E10" s="50"/>
      <c r="F10" s="60"/>
      <c r="G10" s="40">
        <f>SAO!G8</f>
        <v>133364</v>
      </c>
      <c r="H10" s="50"/>
      <c r="I10" s="27"/>
      <c r="J10" s="50"/>
      <c r="K10" s="50"/>
      <c r="L10" s="5"/>
      <c r="M10" s="5"/>
    </row>
    <row r="11" spans="1:13" ht="15.4" x14ac:dyDescent="0.45">
      <c r="A11" s="59" t="s">
        <v>64</v>
      </c>
      <c r="B11" s="50"/>
      <c r="C11" s="50"/>
      <c r="D11" s="65"/>
      <c r="E11" s="50"/>
      <c r="F11" s="60"/>
      <c r="G11" s="50">
        <f>G8-G9-G10</f>
        <v>137876.58367738244</v>
      </c>
      <c r="H11" s="50"/>
      <c r="I11" s="50"/>
      <c r="J11" s="50"/>
      <c r="K11" s="50"/>
      <c r="L11" s="5"/>
      <c r="M11" s="5"/>
    </row>
    <row r="12" spans="1:13" ht="15.4" x14ac:dyDescent="0.45">
      <c r="A12" s="59" t="s">
        <v>65</v>
      </c>
      <c r="B12" s="50"/>
      <c r="C12" s="50"/>
      <c r="D12" s="65"/>
      <c r="E12" s="50"/>
      <c r="F12" s="60"/>
      <c r="G12" s="66">
        <f>ROUND(G11/G9,4)</f>
        <v>9.4100000000000003E-2</v>
      </c>
      <c r="H12" s="50"/>
      <c r="I12" s="50"/>
      <c r="J12" s="5"/>
      <c r="K12" s="50"/>
      <c r="L12" s="5"/>
      <c r="M12" s="5"/>
    </row>
    <row r="13" spans="1:13" ht="15.4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8" x14ac:dyDescent="0.45">
      <c r="A14" s="369" t="s">
        <v>294</v>
      </c>
      <c r="B14" s="369"/>
      <c r="C14" s="369"/>
      <c r="D14" s="369"/>
      <c r="E14" s="369"/>
      <c r="F14" s="369"/>
      <c r="G14" s="369"/>
      <c r="H14" s="5"/>
      <c r="I14" s="5"/>
      <c r="J14" s="5"/>
      <c r="K14" s="5"/>
      <c r="L14" s="5"/>
      <c r="M14" s="5"/>
    </row>
    <row r="15" spans="1:13" ht="15.4" x14ac:dyDescent="0.45">
      <c r="A15" s="342" t="s">
        <v>37</v>
      </c>
      <c r="B15" s="343"/>
      <c r="C15" s="343"/>
      <c r="D15" s="65"/>
      <c r="E15" s="50"/>
      <c r="F15" s="60"/>
      <c r="G15" s="5">
        <f>SAO!G45</f>
        <v>1834094.3636773825</v>
      </c>
      <c r="H15" s="5"/>
      <c r="I15" s="5"/>
      <c r="J15" s="5"/>
      <c r="K15" s="5"/>
      <c r="L15" s="5"/>
      <c r="M15" s="5"/>
    </row>
    <row r="16" spans="1:13" ht="15.4" x14ac:dyDescent="0.45">
      <c r="A16" s="343" t="s">
        <v>295</v>
      </c>
      <c r="B16" s="343"/>
      <c r="C16" s="343"/>
      <c r="D16" s="65"/>
      <c r="E16" s="50"/>
      <c r="F16" s="60"/>
      <c r="G16" s="215">
        <v>0.88</v>
      </c>
      <c r="H16" s="5"/>
      <c r="I16" s="5"/>
      <c r="J16" s="5"/>
      <c r="K16" s="5"/>
      <c r="L16" s="5"/>
      <c r="M16" s="5"/>
    </row>
    <row r="17" spans="1:13" ht="15.4" x14ac:dyDescent="0.45">
      <c r="A17" s="343" t="s">
        <v>296</v>
      </c>
      <c r="B17" s="131"/>
      <c r="C17" s="131"/>
      <c r="D17" s="65"/>
      <c r="E17" s="50"/>
      <c r="F17" s="60"/>
      <c r="G17" s="5">
        <f>G15/G16</f>
        <v>2084198.1405424802</v>
      </c>
      <c r="H17" s="5"/>
      <c r="I17" s="5"/>
      <c r="J17" s="5"/>
      <c r="K17" s="5"/>
      <c r="L17" s="5"/>
      <c r="M17" s="5"/>
    </row>
    <row r="18" spans="1:13" ht="17.649999999999999" x14ac:dyDescent="0.75">
      <c r="A18" s="343" t="s">
        <v>20</v>
      </c>
      <c r="B18" s="343"/>
      <c r="C18" s="343" t="s">
        <v>297</v>
      </c>
      <c r="D18" s="65"/>
      <c r="E18" s="50"/>
      <c r="F18" s="60" t="s">
        <v>313</v>
      </c>
      <c r="G18" s="233">
        <f>'Debt Service'!M29</f>
        <v>1594.4299999999998</v>
      </c>
      <c r="H18" s="5"/>
      <c r="I18" s="5" t="s">
        <v>309</v>
      </c>
      <c r="J18" s="50"/>
      <c r="K18" s="50"/>
      <c r="L18" s="5" t="s">
        <v>308</v>
      </c>
      <c r="M18" s="5"/>
    </row>
    <row r="19" spans="1:13" ht="15.4" x14ac:dyDescent="0.45">
      <c r="A19" s="342" t="s">
        <v>63</v>
      </c>
      <c r="B19" s="343"/>
      <c r="C19" s="343"/>
      <c r="D19" s="65"/>
      <c r="E19" s="50"/>
      <c r="F19" s="60"/>
      <c r="G19" s="5">
        <f>G17+G18</f>
        <v>2085792.5705424801</v>
      </c>
      <c r="H19" s="5"/>
      <c r="I19" s="5"/>
      <c r="J19" s="5"/>
      <c r="K19" s="5"/>
      <c r="L19" s="5"/>
      <c r="M19" s="5"/>
    </row>
    <row r="20" spans="1:13" ht="15.4" x14ac:dyDescent="0.45">
      <c r="A20" s="343" t="s">
        <v>21</v>
      </c>
      <c r="B20" s="343"/>
      <c r="C20" s="351" t="s">
        <v>22</v>
      </c>
      <c r="D20" s="65"/>
      <c r="E20" s="50"/>
      <c r="F20" s="60"/>
      <c r="G20" s="5">
        <f>SAO!G12</f>
        <v>105401</v>
      </c>
      <c r="H20" s="5"/>
      <c r="I20" s="5"/>
      <c r="J20" s="5"/>
      <c r="K20" s="5"/>
      <c r="L20" s="5"/>
      <c r="M20" s="5"/>
    </row>
    <row r="21" spans="1:13" ht="17.649999999999999" x14ac:dyDescent="0.75">
      <c r="A21" s="343"/>
      <c r="B21" s="343"/>
      <c r="C21" s="352" t="s">
        <v>206</v>
      </c>
      <c r="D21" s="65"/>
      <c r="E21" s="50"/>
      <c r="F21" s="60"/>
      <c r="G21" s="40">
        <v>1944</v>
      </c>
      <c r="H21" s="5"/>
      <c r="I21" s="5"/>
      <c r="J21" s="5"/>
      <c r="K21" s="5"/>
      <c r="L21" s="5"/>
      <c r="M21" s="5"/>
    </row>
    <row r="22" spans="1:13" ht="15.4" x14ac:dyDescent="0.45">
      <c r="A22" s="342" t="s">
        <v>61</v>
      </c>
      <c r="B22" s="343"/>
      <c r="C22" s="343"/>
      <c r="D22" s="65"/>
      <c r="E22" s="50"/>
      <c r="F22" s="60"/>
      <c r="G22" s="5">
        <f>G19-G20-G21</f>
        <v>1978447.5705424801</v>
      </c>
      <c r="H22" s="5"/>
      <c r="I22" s="5"/>
      <c r="J22" s="5"/>
      <c r="K22" s="5"/>
      <c r="L22" s="5"/>
      <c r="M22" s="5"/>
    </row>
    <row r="23" spans="1:13" ht="15.4" x14ac:dyDescent="0.45">
      <c r="A23" s="343" t="s">
        <v>21</v>
      </c>
      <c r="B23" s="343"/>
      <c r="C23" s="349" t="s">
        <v>62</v>
      </c>
      <c r="D23" s="65"/>
      <c r="E23" s="50"/>
      <c r="F23" s="60"/>
      <c r="G23" s="4">
        <f>SAO!G6</f>
        <v>1465108.78</v>
      </c>
      <c r="H23" s="5"/>
      <c r="I23" s="5"/>
      <c r="J23" s="5"/>
      <c r="K23" s="5"/>
      <c r="L23" s="5"/>
      <c r="M23" s="5"/>
    </row>
    <row r="24" spans="1:13" ht="17.649999999999999" x14ac:dyDescent="0.75">
      <c r="A24" s="343"/>
      <c r="B24" s="343"/>
      <c r="C24" s="350" t="s">
        <v>15</v>
      </c>
      <c r="D24" s="65"/>
      <c r="E24" s="50"/>
      <c r="F24" s="60"/>
      <c r="G24" s="40">
        <f>SAO!G8</f>
        <v>133364</v>
      </c>
      <c r="H24" s="5"/>
      <c r="I24" s="5"/>
      <c r="J24" s="5"/>
      <c r="K24" s="5"/>
      <c r="L24" s="5"/>
      <c r="M24" s="5"/>
    </row>
    <row r="25" spans="1:13" ht="15.4" x14ac:dyDescent="0.45">
      <c r="A25" s="342" t="s">
        <v>64</v>
      </c>
      <c r="B25" s="343"/>
      <c r="C25" s="343"/>
      <c r="D25" s="65"/>
      <c r="E25" s="50"/>
      <c r="F25" s="60"/>
      <c r="G25" s="4">
        <f>G22-G23</f>
        <v>513338.79054248007</v>
      </c>
      <c r="H25" s="5"/>
      <c r="I25" s="5"/>
      <c r="J25" s="5"/>
      <c r="K25" s="5"/>
      <c r="L25" s="5"/>
      <c r="M25" s="5"/>
    </row>
    <row r="26" spans="1:13" ht="15.4" x14ac:dyDescent="0.45">
      <c r="A26" s="342" t="s">
        <v>65</v>
      </c>
      <c r="B26" s="343"/>
      <c r="C26" s="343"/>
      <c r="D26" s="5"/>
      <c r="E26" s="5"/>
      <c r="F26" s="5"/>
      <c r="G26" s="66">
        <f>G25/G23</f>
        <v>0.35037588850056584</v>
      </c>
      <c r="H26" s="5"/>
      <c r="I26" s="215"/>
      <c r="J26" s="5"/>
      <c r="K26" s="5"/>
      <c r="L26" s="5"/>
      <c r="M26" s="5"/>
    </row>
  </sheetData>
  <mergeCells count="2">
    <mergeCell ref="A1:G1"/>
    <mergeCell ref="A14:G14"/>
  </mergeCells>
  <printOptions horizontalCentered="1" verticalCentered="1"/>
  <pageMargins left="0.7" right="0.7" top="0.75" bottom="0.75" header="0.3" footer="0.3"/>
  <pageSetup scale="8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3153-D18D-47C6-A731-B4659C25EE06}">
  <sheetPr>
    <pageSetUpPr fitToPage="1"/>
  </sheetPr>
  <dimension ref="A1:J38"/>
  <sheetViews>
    <sheetView topLeftCell="A23" workbookViewId="0">
      <selection activeCell="L38" sqref="A1:L38"/>
    </sheetView>
  </sheetViews>
  <sheetFormatPr defaultRowHeight="14.25" x14ac:dyDescent="0.45"/>
  <cols>
    <col min="1" max="1" width="3.27734375" style="1" customWidth="1"/>
    <col min="2" max="2" width="39.609375" style="1" customWidth="1"/>
    <col min="3" max="4" width="8.88671875" style="1"/>
    <col min="5" max="5" width="9.88671875" style="1" bestFit="1" customWidth="1"/>
    <col min="6" max="7" width="8.88671875" style="1"/>
    <col min="8" max="8" width="9.88671875" style="1" bestFit="1" customWidth="1"/>
    <col min="9" max="9" width="8.88671875" style="99"/>
    <col min="10" max="16384" width="8.88671875" style="1"/>
  </cols>
  <sheetData>
    <row r="1" spans="1:8" x14ac:dyDescent="0.45">
      <c r="B1" s="150" t="s">
        <v>89</v>
      </c>
    </row>
    <row r="2" spans="1:8" x14ac:dyDescent="0.45">
      <c r="H2" s="18" t="s">
        <v>12</v>
      </c>
    </row>
    <row r="3" spans="1:8" x14ac:dyDescent="0.45">
      <c r="C3" s="18" t="s">
        <v>90</v>
      </c>
      <c r="D3" s="18" t="s">
        <v>90</v>
      </c>
      <c r="E3" s="18" t="s">
        <v>91</v>
      </c>
      <c r="F3" s="18" t="s">
        <v>90</v>
      </c>
      <c r="G3" s="18" t="s">
        <v>90</v>
      </c>
      <c r="H3" s="18" t="s">
        <v>90</v>
      </c>
    </row>
    <row r="4" spans="1:8" x14ac:dyDescent="0.45">
      <c r="B4" s="19" t="s">
        <v>92</v>
      </c>
      <c r="C4" s="19" t="s">
        <v>93</v>
      </c>
      <c r="D4" s="19" t="s">
        <v>94</v>
      </c>
      <c r="E4" s="19" t="s">
        <v>95</v>
      </c>
      <c r="F4" s="19" t="s">
        <v>96</v>
      </c>
      <c r="G4" s="19" t="s">
        <v>97</v>
      </c>
      <c r="H4" s="19" t="s">
        <v>98</v>
      </c>
    </row>
    <row r="5" spans="1:8" x14ac:dyDescent="0.45">
      <c r="A5" s="123"/>
      <c r="B5" s="1" t="s">
        <v>227</v>
      </c>
      <c r="C5" s="353">
        <v>2080</v>
      </c>
      <c r="D5" s="346">
        <v>0</v>
      </c>
      <c r="E5" s="355">
        <v>19.809999999999999</v>
      </c>
      <c r="F5" s="356">
        <f>C5*E5</f>
        <v>41204.799999999996</v>
      </c>
      <c r="G5" s="356">
        <f>D5*E5*1.5</f>
        <v>0</v>
      </c>
      <c r="H5" s="356">
        <f t="shared" ref="H5" si="0">F5+G5</f>
        <v>41204.799999999996</v>
      </c>
    </row>
    <row r="6" spans="1:8" x14ac:dyDescent="0.45">
      <c r="A6" s="123"/>
      <c r="B6" s="1" t="s">
        <v>305</v>
      </c>
      <c r="C6" s="353">
        <f>816+208</f>
        <v>1024</v>
      </c>
      <c r="D6" s="346">
        <v>48</v>
      </c>
      <c r="E6" s="355">
        <v>21.02</v>
      </c>
      <c r="F6" s="356">
        <f>C6*E6</f>
        <v>21524.48</v>
      </c>
      <c r="G6" s="356">
        <f>D6*E6*1.5</f>
        <v>1513.44</v>
      </c>
      <c r="H6" s="356">
        <f t="shared" ref="H6:H12" si="1">F6+G6</f>
        <v>23037.919999999998</v>
      </c>
    </row>
    <row r="7" spans="1:8" x14ac:dyDescent="0.45">
      <c r="A7" s="123"/>
      <c r="B7" s="1" t="s">
        <v>232</v>
      </c>
      <c r="C7" s="353">
        <f>1668+164</f>
        <v>1832</v>
      </c>
      <c r="D7" s="346">
        <v>101</v>
      </c>
      <c r="E7" s="355">
        <v>15.98</v>
      </c>
      <c r="F7" s="356">
        <f>C7*E7</f>
        <v>29275.360000000001</v>
      </c>
      <c r="G7" s="356">
        <f>D7*E7*1.5</f>
        <v>2420.9700000000003</v>
      </c>
      <c r="H7" s="356">
        <f t="shared" si="1"/>
        <v>31696.33</v>
      </c>
    </row>
    <row r="8" spans="1:8" x14ac:dyDescent="0.45">
      <c r="A8" s="123"/>
      <c r="B8" s="1" t="s">
        <v>233</v>
      </c>
      <c r="C8" s="353">
        <f>1352+128</f>
        <v>1480</v>
      </c>
      <c r="D8" s="346">
        <v>74</v>
      </c>
      <c r="E8" s="355">
        <v>13.92</v>
      </c>
      <c r="F8" s="356">
        <f>C8*E8</f>
        <v>20601.599999999999</v>
      </c>
      <c r="G8" s="356">
        <f>D8*E8*1.5</f>
        <v>1545.12</v>
      </c>
      <c r="H8" s="356">
        <f t="shared" si="1"/>
        <v>22146.719999999998</v>
      </c>
    </row>
    <row r="9" spans="1:8" x14ac:dyDescent="0.45">
      <c r="A9" s="123"/>
      <c r="B9" s="1" t="s">
        <v>228</v>
      </c>
      <c r="C9" s="353">
        <f>1836+244</f>
        <v>2080</v>
      </c>
      <c r="D9" s="347">
        <v>123</v>
      </c>
      <c r="E9" s="355">
        <v>16.63</v>
      </c>
      <c r="F9" s="356">
        <f t="shared" ref="F9:F12" si="2">C9*E9</f>
        <v>34590.400000000001</v>
      </c>
      <c r="G9" s="357">
        <f t="shared" ref="G9:G12" si="3">D9*E9*1.5</f>
        <v>3068.2349999999997</v>
      </c>
      <c r="H9" s="357">
        <f t="shared" si="1"/>
        <v>37658.635000000002</v>
      </c>
    </row>
    <row r="10" spans="1:8" x14ac:dyDescent="0.45">
      <c r="A10" s="123"/>
      <c r="B10" s="1" t="s">
        <v>229</v>
      </c>
      <c r="C10" s="353">
        <v>2080</v>
      </c>
      <c r="D10" s="347">
        <v>0</v>
      </c>
      <c r="E10" s="355">
        <v>18.809999999999999</v>
      </c>
      <c r="F10" s="356">
        <f t="shared" si="2"/>
        <v>39124.799999999996</v>
      </c>
      <c r="G10" s="357">
        <f t="shared" si="3"/>
        <v>0</v>
      </c>
      <c r="H10" s="357">
        <f t="shared" si="1"/>
        <v>39124.799999999996</v>
      </c>
    </row>
    <row r="11" spans="1:8" x14ac:dyDescent="0.45">
      <c r="A11" s="123"/>
      <c r="B11" s="1" t="s">
        <v>306</v>
      </c>
      <c r="C11" s="353">
        <v>160</v>
      </c>
      <c r="D11" s="347">
        <v>0</v>
      </c>
      <c r="E11" s="355">
        <v>12</v>
      </c>
      <c r="F11" s="356">
        <f>C11*E11</f>
        <v>1920</v>
      </c>
      <c r="G11" s="357">
        <f t="shared" si="3"/>
        <v>0</v>
      </c>
      <c r="H11" s="356">
        <f t="shared" si="1"/>
        <v>1920</v>
      </c>
    </row>
    <row r="12" spans="1:8" ht="16.5" x14ac:dyDescent="0.75">
      <c r="A12" s="123"/>
      <c r="B12" s="1" t="s">
        <v>230</v>
      </c>
      <c r="C12" s="354">
        <v>2080</v>
      </c>
      <c r="D12" s="348">
        <v>0</v>
      </c>
      <c r="E12" s="358">
        <f>67247.57/C12</f>
        <v>32.330562500000006</v>
      </c>
      <c r="F12" s="359">
        <f t="shared" si="2"/>
        <v>67247.570000000007</v>
      </c>
      <c r="G12" s="359">
        <f t="shared" si="3"/>
        <v>0</v>
      </c>
      <c r="H12" s="359">
        <f t="shared" si="1"/>
        <v>67247.570000000007</v>
      </c>
    </row>
    <row r="13" spans="1:8" x14ac:dyDescent="0.45">
      <c r="A13" s="123"/>
      <c r="C13" s="20"/>
      <c r="D13" s="71"/>
      <c r="E13" s="88"/>
      <c r="F13" s="16"/>
      <c r="G13" s="20"/>
      <c r="H13" s="20"/>
    </row>
    <row r="14" spans="1:8" x14ac:dyDescent="0.45">
      <c r="B14" s="1" t="s">
        <v>175</v>
      </c>
      <c r="C14" s="20">
        <f>SUM(C5:C12)</f>
        <v>12816</v>
      </c>
      <c r="D14" s="20">
        <f>SUM(D5:D12)</f>
        <v>346</v>
      </c>
      <c r="E14" s="20"/>
      <c r="F14" s="20">
        <f>SUM(F5:F12)</f>
        <v>255489.00999999998</v>
      </c>
      <c r="G14" s="20">
        <f>SUM(G5:G12)</f>
        <v>8547.7649999999994</v>
      </c>
      <c r="H14" s="213">
        <f>SUM(H5:H12)</f>
        <v>264036.77500000002</v>
      </c>
    </row>
    <row r="15" spans="1:8" x14ac:dyDescent="0.45">
      <c r="C15" s="16"/>
      <c r="D15" s="16"/>
      <c r="E15" s="70"/>
      <c r="F15" s="20"/>
      <c r="G15" s="20"/>
      <c r="H15" s="20"/>
    </row>
    <row r="16" spans="1:8" x14ac:dyDescent="0.45">
      <c r="B16" s="1" t="s">
        <v>176</v>
      </c>
      <c r="C16" s="16"/>
      <c r="D16" s="16"/>
      <c r="E16" s="70"/>
      <c r="F16" s="20"/>
      <c r="G16" s="20"/>
      <c r="H16" s="214">
        <f>H14</f>
        <v>264036.77500000002</v>
      </c>
    </row>
    <row r="17" spans="2:10" x14ac:dyDescent="0.45">
      <c r="B17" s="16"/>
      <c r="C17" s="16"/>
      <c r="D17" s="16"/>
      <c r="H17" s="73"/>
    </row>
    <row r="18" spans="2:10" x14ac:dyDescent="0.45">
      <c r="B18" s="74"/>
      <c r="C18" s="16"/>
      <c r="D18" s="16"/>
      <c r="H18" s="73" t="s">
        <v>30</v>
      </c>
    </row>
    <row r="19" spans="2:10" x14ac:dyDescent="0.45">
      <c r="B19" s="16"/>
      <c r="C19" s="16"/>
      <c r="D19" s="16"/>
      <c r="E19" s="1" t="s">
        <v>99</v>
      </c>
      <c r="H19" s="75">
        <f>H14</f>
        <v>264036.77500000002</v>
      </c>
    </row>
    <row r="20" spans="2:10" ht="16.5" x14ac:dyDescent="0.75">
      <c r="B20" s="16"/>
      <c r="C20" s="16"/>
      <c r="D20" s="16"/>
      <c r="E20" s="1" t="s">
        <v>100</v>
      </c>
      <c r="H20" s="25">
        <f>-SAO!D18</f>
        <v>-243919</v>
      </c>
    </row>
    <row r="21" spans="2:10" ht="14.65" thickBot="1" x14ac:dyDescent="0.5">
      <c r="B21" s="16"/>
      <c r="C21" s="16"/>
      <c r="D21" s="16"/>
      <c r="E21" s="41" t="s">
        <v>101</v>
      </c>
      <c r="F21" s="41"/>
      <c r="G21" s="41"/>
      <c r="H21" s="76">
        <f>H19+H20</f>
        <v>20117.775000000023</v>
      </c>
      <c r="I21" s="18"/>
    </row>
    <row r="22" spans="2:10" ht="14.65" thickTop="1" x14ac:dyDescent="0.45">
      <c r="B22" s="16"/>
      <c r="C22" s="16"/>
      <c r="D22" s="16"/>
      <c r="H22" s="1" t="s">
        <v>102</v>
      </c>
      <c r="I22" s="18"/>
    </row>
    <row r="23" spans="2:10" x14ac:dyDescent="0.45">
      <c r="B23" s="16"/>
      <c r="C23" s="16"/>
      <c r="D23" s="16"/>
      <c r="E23" s="1" t="s">
        <v>103</v>
      </c>
      <c r="H23" s="26">
        <f>H14</f>
        <v>264036.77500000002</v>
      </c>
      <c r="I23" s="18"/>
    </row>
    <row r="24" spans="2:10" x14ac:dyDescent="0.45">
      <c r="B24" s="16"/>
      <c r="C24" s="16"/>
      <c r="D24" s="16"/>
      <c r="E24" s="1" t="s">
        <v>104</v>
      </c>
      <c r="H24" s="77">
        <v>7.6499999999999999E-2</v>
      </c>
      <c r="I24" s="18"/>
    </row>
    <row r="25" spans="2:10" x14ac:dyDescent="0.45">
      <c r="B25" s="16"/>
      <c r="C25" s="16"/>
      <c r="D25" s="16"/>
      <c r="E25" s="1" t="s">
        <v>105</v>
      </c>
      <c r="H25" s="16">
        <f>+H23*H24</f>
        <v>20198.813287500001</v>
      </c>
      <c r="I25" s="18"/>
    </row>
    <row r="26" spans="2:10" x14ac:dyDescent="0.45">
      <c r="B26" s="16"/>
      <c r="C26" s="16"/>
      <c r="D26" s="16"/>
      <c r="E26" s="1" t="s">
        <v>106</v>
      </c>
      <c r="H26" s="78">
        <f>-SAO!D44</f>
        <v>-21396</v>
      </c>
      <c r="I26" s="18"/>
    </row>
    <row r="27" spans="2:10" ht="14.65" thickBot="1" x14ac:dyDescent="0.5">
      <c r="B27" s="16"/>
      <c r="C27" s="16"/>
      <c r="D27" s="16"/>
      <c r="E27" s="41" t="s">
        <v>107</v>
      </c>
      <c r="F27" s="41"/>
      <c r="G27" s="41"/>
      <c r="H27" s="76">
        <f>H25+H26</f>
        <v>-1197.186712499999</v>
      </c>
      <c r="I27" s="18"/>
    </row>
    <row r="28" spans="2:10" ht="14.65" thickTop="1" x14ac:dyDescent="0.45">
      <c r="B28" s="16"/>
      <c r="C28" s="16"/>
      <c r="D28" s="16"/>
      <c r="I28" s="18"/>
    </row>
    <row r="29" spans="2:10" x14ac:dyDescent="0.45">
      <c r="B29" s="16"/>
      <c r="C29" s="16"/>
      <c r="D29" s="16"/>
      <c r="E29" s="1" t="s">
        <v>108</v>
      </c>
      <c r="H29" s="26">
        <f>H16</f>
        <v>264036.77500000002</v>
      </c>
      <c r="I29" s="18"/>
    </row>
    <row r="30" spans="2:10" x14ac:dyDescent="0.45">
      <c r="B30" s="16"/>
      <c r="C30" s="16"/>
      <c r="D30" s="16"/>
      <c r="E30" s="1" t="s">
        <v>109</v>
      </c>
      <c r="H30" s="77">
        <v>0.26950000000000002</v>
      </c>
      <c r="I30" s="18"/>
    </row>
    <row r="31" spans="2:10" x14ac:dyDescent="0.45">
      <c r="B31" s="16"/>
      <c r="C31" s="16"/>
      <c r="D31" s="16"/>
      <c r="E31" s="1" t="s">
        <v>110</v>
      </c>
      <c r="H31" s="16">
        <f>+H29*H30</f>
        <v>71157.910862500008</v>
      </c>
      <c r="I31" s="18"/>
    </row>
    <row r="32" spans="2:10" x14ac:dyDescent="0.45">
      <c r="B32" s="16"/>
      <c r="C32" s="16"/>
      <c r="D32" s="16"/>
      <c r="E32" s="1" t="s">
        <v>111</v>
      </c>
      <c r="H32" s="219">
        <v>-62841.22</v>
      </c>
      <c r="I32" s="18"/>
      <c r="J32" s="1" t="s">
        <v>300</v>
      </c>
    </row>
    <row r="33" spans="2:10" ht="14.65" thickBot="1" x14ac:dyDescent="0.5">
      <c r="B33" s="16"/>
      <c r="C33" s="16"/>
      <c r="D33" s="16"/>
      <c r="E33" s="123" t="s">
        <v>112</v>
      </c>
      <c r="F33" s="123"/>
      <c r="G33" s="123"/>
      <c r="H33" s="220">
        <f>+H31+H32</f>
        <v>8316.6908625000069</v>
      </c>
      <c r="I33" s="18"/>
    </row>
    <row r="34" spans="2:10" ht="14.65" thickTop="1" x14ac:dyDescent="0.45">
      <c r="B34" s="16"/>
      <c r="C34" s="16"/>
      <c r="D34" s="16"/>
      <c r="E34" s="123"/>
      <c r="F34" s="123"/>
      <c r="G34" s="123"/>
      <c r="H34" s="205"/>
      <c r="I34" s="18"/>
    </row>
    <row r="35" spans="2:10" x14ac:dyDescent="0.45">
      <c r="B35" s="16"/>
      <c r="C35" s="16"/>
      <c r="D35" s="16"/>
      <c r="E35" s="1" t="s">
        <v>254</v>
      </c>
      <c r="F35" s="123"/>
      <c r="G35" s="123"/>
      <c r="H35" s="38">
        <v>102227.06</v>
      </c>
      <c r="I35" s="18"/>
      <c r="J35" s="1" t="s">
        <v>302</v>
      </c>
    </row>
    <row r="36" spans="2:10" x14ac:dyDescent="0.45">
      <c r="B36" s="16"/>
      <c r="C36" s="16"/>
      <c r="D36" s="16"/>
      <c r="E36" s="1" t="s">
        <v>111</v>
      </c>
      <c r="F36" s="123"/>
      <c r="G36" s="123"/>
      <c r="H36" s="78">
        <f>H32</f>
        <v>-62841.22</v>
      </c>
      <c r="I36" s="18"/>
      <c r="J36" s="1" t="s">
        <v>301</v>
      </c>
    </row>
    <row r="37" spans="2:10" x14ac:dyDescent="0.45">
      <c r="B37" s="16"/>
      <c r="C37" s="16"/>
      <c r="D37" s="16"/>
      <c r="E37" s="1" t="s">
        <v>255</v>
      </c>
      <c r="F37" s="123"/>
      <c r="G37" s="123"/>
      <c r="H37" s="38">
        <f>H35+H36</f>
        <v>39385.839999999997</v>
      </c>
      <c r="I37" s="18"/>
    </row>
    <row r="38" spans="2:10" x14ac:dyDescent="0.45">
      <c r="E38" s="123" t="s">
        <v>245</v>
      </c>
      <c r="H38" s="326">
        <f>-H37</f>
        <v>-39385.839999999997</v>
      </c>
    </row>
  </sheetData>
  <sheetProtection algorithmName="SHA-512" hashValue="C2SNQokt6ZOcNigzc531APB+eOir+3DdsQki1BTF6YxRNlaqIGByzrwLoXB0Jrs94fiB9OPqFKIt54i3MSRfVA==" saltValue="r7EQ0TzCwECW/ZFES9TI0Q==" spinCount="100000" sheet="1" objects="1" scenarios="1"/>
  <pageMargins left="0.7" right="0.7" top="0.75" bottom="0.75" header="0.3" footer="0.3"/>
  <pageSetup scale="76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opLeftCell="A20" workbookViewId="0">
      <selection activeCell="I35" sqref="A1:I35"/>
    </sheetView>
  </sheetViews>
  <sheetFormatPr defaultColWidth="8.88671875" defaultRowHeight="14.25" x14ac:dyDescent="0.45"/>
  <cols>
    <col min="1" max="1" width="11.5546875" style="1" bestFit="1" customWidth="1"/>
    <col min="2" max="2" width="9.88671875" style="1" customWidth="1"/>
    <col min="3" max="3" width="12.44140625" style="1" customWidth="1"/>
    <col min="4" max="5" width="9.77734375" style="1" customWidth="1"/>
    <col min="6" max="6" width="10.6640625" style="1" customWidth="1"/>
    <col min="7" max="7" width="10.109375" style="210" customWidth="1"/>
    <col min="8" max="8" width="10.5546875" style="1" customWidth="1"/>
    <col min="9" max="10" width="8.88671875" style="1"/>
    <col min="11" max="11" width="10.109375" style="1" customWidth="1"/>
    <col min="12" max="12" width="9" style="1" bestFit="1" customWidth="1"/>
    <col min="13" max="13" width="9.77734375" style="1" bestFit="1" customWidth="1"/>
    <col min="14" max="16384" width="8.88671875" style="1"/>
  </cols>
  <sheetData>
    <row r="1" spans="1:11" x14ac:dyDescent="0.45">
      <c r="A1" s="123" t="s">
        <v>81</v>
      </c>
    </row>
    <row r="3" spans="1:11" x14ac:dyDescent="0.45">
      <c r="C3" s="18" t="s">
        <v>73</v>
      </c>
      <c r="F3" s="18" t="s">
        <v>171</v>
      </c>
      <c r="G3" s="210" t="s">
        <v>172</v>
      </c>
      <c r="H3" s="18" t="s">
        <v>172</v>
      </c>
      <c r="J3" s="21"/>
      <c r="K3" s="21"/>
    </row>
    <row r="4" spans="1:11" x14ac:dyDescent="0.45">
      <c r="B4" s="18" t="s">
        <v>73</v>
      </c>
      <c r="C4" s="18" t="s">
        <v>74</v>
      </c>
      <c r="D4" s="18" t="s">
        <v>74</v>
      </c>
      <c r="E4" s="18" t="s">
        <v>75</v>
      </c>
      <c r="F4" s="18" t="s">
        <v>77</v>
      </c>
      <c r="G4" s="210" t="s">
        <v>78</v>
      </c>
      <c r="H4" s="18" t="s">
        <v>78</v>
      </c>
    </row>
    <row r="5" spans="1:11" x14ac:dyDescent="0.45">
      <c r="A5" s="271" t="s">
        <v>237</v>
      </c>
      <c r="B5" s="19" t="s">
        <v>76</v>
      </c>
      <c r="C5" s="19" t="s">
        <v>82</v>
      </c>
      <c r="D5" s="19" t="s">
        <v>83</v>
      </c>
      <c r="E5" s="19" t="s">
        <v>83</v>
      </c>
      <c r="F5" s="42" t="s">
        <v>76</v>
      </c>
      <c r="G5" s="211" t="s">
        <v>79</v>
      </c>
      <c r="H5" s="42" t="s">
        <v>80</v>
      </c>
    </row>
    <row r="6" spans="1:11" x14ac:dyDescent="0.45">
      <c r="A6" s="1" t="s">
        <v>231</v>
      </c>
      <c r="B6" s="360">
        <v>998.22</v>
      </c>
      <c r="C6" s="360">
        <v>0</v>
      </c>
      <c r="D6" s="361">
        <f>IF(B6&gt;0,C6/B6,0)</f>
        <v>0</v>
      </c>
      <c r="E6" s="361">
        <f>1-D6</f>
        <v>1</v>
      </c>
      <c r="F6" s="44">
        <f>B6*E6*12</f>
        <v>11978.64</v>
      </c>
      <c r="G6" s="212">
        <v>0.66</v>
      </c>
      <c r="H6" s="44">
        <f>B6*G6*12</f>
        <v>7905.9023999999999</v>
      </c>
    </row>
    <row r="7" spans="1:11" x14ac:dyDescent="0.45">
      <c r="A7" s="1" t="s">
        <v>227</v>
      </c>
      <c r="B7" s="360">
        <v>0</v>
      </c>
      <c r="C7" s="360">
        <v>0</v>
      </c>
      <c r="D7" s="361">
        <f t="shared" ref="D7:D13" si="0">IF(B7&gt;0,C7/B7,0)</f>
        <v>0</v>
      </c>
      <c r="E7" s="361">
        <f t="shared" ref="E7:E14" si="1">1-D7</f>
        <v>1</v>
      </c>
      <c r="F7" s="44">
        <f t="shared" ref="F7:F14" si="2">B7*E7*12</f>
        <v>0</v>
      </c>
      <c r="G7" s="212">
        <v>0</v>
      </c>
      <c r="H7" s="44">
        <f t="shared" ref="H7:H14" si="3">B7*G7*12</f>
        <v>0</v>
      </c>
    </row>
    <row r="8" spans="1:11" x14ac:dyDescent="0.45">
      <c r="A8" s="1" t="s">
        <v>232</v>
      </c>
      <c r="B8" s="360">
        <v>1891.6</v>
      </c>
      <c r="C8" s="360">
        <v>0</v>
      </c>
      <c r="D8" s="361">
        <f t="shared" si="0"/>
        <v>0</v>
      </c>
      <c r="E8" s="361">
        <f t="shared" si="1"/>
        <v>1</v>
      </c>
      <c r="F8" s="44">
        <f t="shared" si="2"/>
        <v>22699.199999999997</v>
      </c>
      <c r="G8" s="212">
        <v>0.66</v>
      </c>
      <c r="H8" s="44">
        <f t="shared" si="3"/>
        <v>14981.471999999998</v>
      </c>
    </row>
    <row r="9" spans="1:11" x14ac:dyDescent="0.45">
      <c r="A9" s="1" t="s">
        <v>233</v>
      </c>
      <c r="B9" s="360">
        <v>1891.6</v>
      </c>
      <c r="C9" s="360">
        <v>0</v>
      </c>
      <c r="D9" s="361">
        <f t="shared" si="0"/>
        <v>0</v>
      </c>
      <c r="E9" s="361">
        <f t="shared" si="1"/>
        <v>1</v>
      </c>
      <c r="F9" s="44">
        <f t="shared" si="2"/>
        <v>22699.199999999997</v>
      </c>
      <c r="G9" s="212">
        <v>0.66</v>
      </c>
      <c r="H9" s="44">
        <f t="shared" si="3"/>
        <v>14981.471999999998</v>
      </c>
    </row>
    <row r="10" spans="1:11" x14ac:dyDescent="0.45">
      <c r="A10" s="1" t="s">
        <v>234</v>
      </c>
      <c r="B10" s="360">
        <v>1891.6</v>
      </c>
      <c r="C10" s="360">
        <v>0</v>
      </c>
      <c r="D10" s="361">
        <f t="shared" si="0"/>
        <v>0</v>
      </c>
      <c r="E10" s="361">
        <f t="shared" si="1"/>
        <v>1</v>
      </c>
      <c r="F10" s="44">
        <f t="shared" si="2"/>
        <v>22699.199999999997</v>
      </c>
      <c r="G10" s="212">
        <v>0.66</v>
      </c>
      <c r="H10" s="44">
        <f t="shared" si="3"/>
        <v>14981.471999999998</v>
      </c>
    </row>
    <row r="11" spans="1:11" x14ac:dyDescent="0.45">
      <c r="A11" s="1" t="s">
        <v>235</v>
      </c>
      <c r="B11" s="360">
        <v>328.11</v>
      </c>
      <c r="C11" s="360">
        <v>0</v>
      </c>
      <c r="D11" s="361">
        <f t="shared" si="0"/>
        <v>0</v>
      </c>
      <c r="E11" s="361">
        <f t="shared" si="1"/>
        <v>1</v>
      </c>
      <c r="F11" s="44">
        <f t="shared" si="2"/>
        <v>3937.32</v>
      </c>
      <c r="G11" s="212">
        <v>0.79</v>
      </c>
      <c r="H11" s="44">
        <f t="shared" si="3"/>
        <v>3110.4828000000002</v>
      </c>
    </row>
    <row r="12" spans="1:11" x14ac:dyDescent="0.45">
      <c r="A12" s="1" t="s">
        <v>236</v>
      </c>
      <c r="B12" s="360">
        <v>656.22</v>
      </c>
      <c r="C12" s="360">
        <v>0</v>
      </c>
      <c r="D12" s="361">
        <f t="shared" si="0"/>
        <v>0</v>
      </c>
      <c r="E12" s="361">
        <f t="shared" si="1"/>
        <v>1</v>
      </c>
      <c r="F12" s="44">
        <f t="shared" si="2"/>
        <v>7874.64</v>
      </c>
      <c r="G12" s="212">
        <v>0.66</v>
      </c>
      <c r="H12" s="44">
        <f t="shared" si="3"/>
        <v>5197.2624000000005</v>
      </c>
    </row>
    <row r="13" spans="1:11" x14ac:dyDescent="0.45">
      <c r="A13" s="1" t="s">
        <v>229</v>
      </c>
      <c r="B13" s="360">
        <v>0</v>
      </c>
      <c r="C13" s="360">
        <v>0</v>
      </c>
      <c r="D13" s="361">
        <f t="shared" si="0"/>
        <v>0</v>
      </c>
      <c r="E13" s="361">
        <f t="shared" si="1"/>
        <v>1</v>
      </c>
      <c r="F13" s="44">
        <f t="shared" si="2"/>
        <v>0</v>
      </c>
      <c r="G13" s="212">
        <v>0</v>
      </c>
      <c r="H13" s="44">
        <f t="shared" si="3"/>
        <v>0</v>
      </c>
    </row>
    <row r="14" spans="1:11" x14ac:dyDescent="0.45">
      <c r="A14" s="1" t="s">
        <v>230</v>
      </c>
      <c r="B14" s="362">
        <v>1699.64</v>
      </c>
      <c r="C14" s="363">
        <v>0</v>
      </c>
      <c r="D14" s="361">
        <f t="shared" ref="D14" si="4">C14/B14</f>
        <v>0</v>
      </c>
      <c r="E14" s="361">
        <f t="shared" si="1"/>
        <v>1</v>
      </c>
      <c r="F14" s="270">
        <f t="shared" si="2"/>
        <v>20395.68</v>
      </c>
      <c r="G14" s="212">
        <v>0.66</v>
      </c>
      <c r="H14" s="270">
        <f t="shared" si="3"/>
        <v>13461.148800000001</v>
      </c>
    </row>
    <row r="15" spans="1:11" x14ac:dyDescent="0.45">
      <c r="A15" s="1" t="s">
        <v>53</v>
      </c>
      <c r="B15" s="44">
        <f>SUM(B6:B14)</f>
        <v>9356.99</v>
      </c>
      <c r="C15" s="13"/>
      <c r="D15" s="43"/>
      <c r="E15" s="43"/>
      <c r="F15" s="44">
        <f>SUM(F6:F14)</f>
        <v>112283.88</v>
      </c>
      <c r="H15" s="44">
        <f>SUM(H6:H14)</f>
        <v>74619.212399999989</v>
      </c>
    </row>
    <row r="16" spans="1:11" x14ac:dyDescent="0.45">
      <c r="B16" s="44"/>
      <c r="C16" s="13"/>
      <c r="D16" s="43"/>
      <c r="E16" s="43"/>
      <c r="F16" s="44"/>
      <c r="H16" s="44"/>
    </row>
    <row r="17" spans="1:8" x14ac:dyDescent="0.45">
      <c r="C17" s="18" t="s">
        <v>73</v>
      </c>
      <c r="F17" s="18" t="s">
        <v>171</v>
      </c>
      <c r="G17" s="210" t="s">
        <v>172</v>
      </c>
      <c r="H17" s="18" t="s">
        <v>172</v>
      </c>
    </row>
    <row r="18" spans="1:8" x14ac:dyDescent="0.45">
      <c r="B18" s="18" t="s">
        <v>73</v>
      </c>
      <c r="C18" s="18" t="s">
        <v>74</v>
      </c>
      <c r="D18" s="18" t="s">
        <v>74</v>
      </c>
      <c r="E18" s="18" t="s">
        <v>75</v>
      </c>
      <c r="F18" s="18" t="s">
        <v>77</v>
      </c>
      <c r="G18" s="210" t="s">
        <v>78</v>
      </c>
      <c r="H18" s="18" t="s">
        <v>78</v>
      </c>
    </row>
    <row r="19" spans="1:8" x14ac:dyDescent="0.45">
      <c r="A19" s="123" t="s">
        <v>238</v>
      </c>
      <c r="B19" s="19" t="s">
        <v>76</v>
      </c>
      <c r="C19" s="19" t="s">
        <v>82</v>
      </c>
      <c r="D19" s="19" t="s">
        <v>83</v>
      </c>
      <c r="E19" s="19" t="s">
        <v>83</v>
      </c>
      <c r="F19" s="42" t="s">
        <v>76</v>
      </c>
      <c r="G19" s="211" t="s">
        <v>79</v>
      </c>
      <c r="H19" s="42" t="s">
        <v>80</v>
      </c>
    </row>
    <row r="20" spans="1:8" x14ac:dyDescent="0.45">
      <c r="A20" s="1" t="s">
        <v>231</v>
      </c>
      <c r="B20" s="360">
        <v>0</v>
      </c>
      <c r="C20" s="360">
        <v>0</v>
      </c>
      <c r="D20" s="361">
        <f>IF(B20&gt;0,C20/B20,0)</f>
        <v>0</v>
      </c>
      <c r="E20" s="361">
        <f>1-D20</f>
        <v>1</v>
      </c>
      <c r="F20" s="44">
        <f>B20*E20*12</f>
        <v>0</v>
      </c>
      <c r="G20" s="212">
        <v>0.6</v>
      </c>
      <c r="H20" s="44">
        <f>B20*G20*12</f>
        <v>0</v>
      </c>
    </row>
    <row r="21" spans="1:8" x14ac:dyDescent="0.45">
      <c r="A21" s="1" t="s">
        <v>227</v>
      </c>
      <c r="B21" s="360">
        <v>0</v>
      </c>
      <c r="C21" s="360">
        <v>0</v>
      </c>
      <c r="D21" s="361">
        <f t="shared" ref="D21:D27" si="5">IF(B21&gt;0,C21/B21,0)</f>
        <v>0</v>
      </c>
      <c r="E21" s="361">
        <f t="shared" ref="E21:E28" si="6">1-D21</f>
        <v>1</v>
      </c>
      <c r="F21" s="44">
        <f t="shared" ref="F21:F28" si="7">B21*E21*12</f>
        <v>0</v>
      </c>
      <c r="G21" s="212">
        <v>0.6</v>
      </c>
      <c r="H21" s="44">
        <f t="shared" ref="H21:H28" si="8">B21*G21*12</f>
        <v>0</v>
      </c>
    </row>
    <row r="22" spans="1:8" x14ac:dyDescent="0.45">
      <c r="A22" s="1" t="s">
        <v>232</v>
      </c>
      <c r="B22" s="360">
        <v>72.040000000000006</v>
      </c>
      <c r="C22" s="360">
        <v>0</v>
      </c>
      <c r="D22" s="361">
        <f t="shared" si="5"/>
        <v>0</v>
      </c>
      <c r="E22" s="361">
        <f t="shared" si="6"/>
        <v>1</v>
      </c>
      <c r="F22" s="44">
        <f t="shared" si="7"/>
        <v>864.48</v>
      </c>
      <c r="G22" s="212">
        <v>0.6</v>
      </c>
      <c r="H22" s="44">
        <f t="shared" si="8"/>
        <v>518.6880000000001</v>
      </c>
    </row>
    <row r="23" spans="1:8" x14ac:dyDescent="0.45">
      <c r="A23" s="1" t="s">
        <v>233</v>
      </c>
      <c r="B23" s="360">
        <v>46.04</v>
      </c>
      <c r="C23" s="360">
        <v>0</v>
      </c>
      <c r="D23" s="361">
        <f t="shared" si="5"/>
        <v>0</v>
      </c>
      <c r="E23" s="361">
        <f t="shared" si="6"/>
        <v>1</v>
      </c>
      <c r="F23" s="44">
        <f t="shared" si="7"/>
        <v>552.48</v>
      </c>
      <c r="G23" s="212">
        <v>0.6</v>
      </c>
      <c r="H23" s="44">
        <f t="shared" si="8"/>
        <v>331.488</v>
      </c>
    </row>
    <row r="24" spans="1:8" x14ac:dyDescent="0.45">
      <c r="A24" s="1" t="s">
        <v>234</v>
      </c>
      <c r="B24" s="360">
        <v>72.040000000000006</v>
      </c>
      <c r="C24" s="360">
        <v>0</v>
      </c>
      <c r="D24" s="361">
        <f t="shared" si="5"/>
        <v>0</v>
      </c>
      <c r="E24" s="361">
        <f t="shared" si="6"/>
        <v>1</v>
      </c>
      <c r="F24" s="44">
        <f t="shared" si="7"/>
        <v>864.48</v>
      </c>
      <c r="G24" s="212">
        <v>0.6</v>
      </c>
      <c r="H24" s="44">
        <f t="shared" si="8"/>
        <v>518.6880000000001</v>
      </c>
    </row>
    <row r="25" spans="1:8" x14ac:dyDescent="0.45">
      <c r="A25" s="1" t="s">
        <v>235</v>
      </c>
      <c r="B25" s="360">
        <v>0</v>
      </c>
      <c r="C25" s="360">
        <v>0</v>
      </c>
      <c r="D25" s="361">
        <f t="shared" si="5"/>
        <v>0</v>
      </c>
      <c r="E25" s="361">
        <f t="shared" si="6"/>
        <v>1</v>
      </c>
      <c r="F25" s="44">
        <f t="shared" si="7"/>
        <v>0</v>
      </c>
      <c r="G25" s="212">
        <v>0.6</v>
      </c>
      <c r="H25" s="44">
        <f t="shared" si="8"/>
        <v>0</v>
      </c>
    </row>
    <row r="26" spans="1:8" x14ac:dyDescent="0.45">
      <c r="A26" s="1" t="s">
        <v>236</v>
      </c>
      <c r="B26" s="360">
        <v>0</v>
      </c>
      <c r="C26" s="360">
        <v>0</v>
      </c>
      <c r="D26" s="361">
        <f t="shared" si="5"/>
        <v>0</v>
      </c>
      <c r="E26" s="361">
        <f t="shared" si="6"/>
        <v>1</v>
      </c>
      <c r="F26" s="44">
        <f t="shared" si="7"/>
        <v>0</v>
      </c>
      <c r="G26" s="212">
        <v>0.6</v>
      </c>
      <c r="H26" s="44">
        <f t="shared" si="8"/>
        <v>0</v>
      </c>
    </row>
    <row r="27" spans="1:8" x14ac:dyDescent="0.45">
      <c r="A27" s="1" t="s">
        <v>229</v>
      </c>
      <c r="B27" s="360">
        <v>0</v>
      </c>
      <c r="C27" s="360">
        <v>0</v>
      </c>
      <c r="D27" s="361">
        <f t="shared" si="5"/>
        <v>0</v>
      </c>
      <c r="E27" s="361">
        <f t="shared" si="6"/>
        <v>1</v>
      </c>
      <c r="F27" s="44">
        <f t="shared" si="7"/>
        <v>0</v>
      </c>
      <c r="G27" s="212">
        <v>0.6</v>
      </c>
      <c r="H27" s="44">
        <f t="shared" si="8"/>
        <v>0</v>
      </c>
    </row>
    <row r="28" spans="1:8" x14ac:dyDescent="0.45">
      <c r="A28" s="1" t="s">
        <v>230</v>
      </c>
      <c r="B28" s="362">
        <v>46.04</v>
      </c>
      <c r="C28" s="363">
        <v>0</v>
      </c>
      <c r="D28" s="361">
        <f t="shared" ref="D28" si="9">C28/B28</f>
        <v>0</v>
      </c>
      <c r="E28" s="361">
        <f t="shared" si="6"/>
        <v>1</v>
      </c>
      <c r="F28" s="270">
        <f t="shared" si="7"/>
        <v>552.48</v>
      </c>
      <c r="G28" s="212">
        <v>0.6</v>
      </c>
      <c r="H28" s="270">
        <f t="shared" si="8"/>
        <v>331.488</v>
      </c>
    </row>
    <row r="29" spans="1:8" x14ac:dyDescent="0.45">
      <c r="A29" s="1" t="s">
        <v>53</v>
      </c>
      <c r="B29" s="44">
        <f>SUM(B20:B28)</f>
        <v>236.16</v>
      </c>
      <c r="F29" s="44">
        <f>F20+F27+F28</f>
        <v>552.48</v>
      </c>
      <c r="H29" s="44">
        <f>H20+H27+H28</f>
        <v>331.488</v>
      </c>
    </row>
    <row r="30" spans="1:8" x14ac:dyDescent="0.45">
      <c r="F30" s="44"/>
      <c r="H30" s="44"/>
    </row>
    <row r="31" spans="1:8" x14ac:dyDescent="0.45">
      <c r="A31" s="123" t="s">
        <v>173</v>
      </c>
      <c r="F31" s="44">
        <f>F15+F29</f>
        <v>112836.36</v>
      </c>
      <c r="H31" s="44">
        <f>H15+H29</f>
        <v>74950.700399999987</v>
      </c>
    </row>
    <row r="32" spans="1:8" x14ac:dyDescent="0.45">
      <c r="H32" s="44"/>
    </row>
    <row r="33" spans="1:11" x14ac:dyDescent="0.45">
      <c r="A33" s="1" t="s">
        <v>174</v>
      </c>
      <c r="C33" s="223">
        <f>H31</f>
        <v>74950.700399999987</v>
      </c>
      <c r="H33" s="44"/>
    </row>
    <row r="34" spans="1:11" x14ac:dyDescent="0.45">
      <c r="A34" s="1" t="s">
        <v>239</v>
      </c>
      <c r="C34" s="323">
        <v>-83131</v>
      </c>
      <c r="D34" s="127"/>
      <c r="E34" s="127"/>
      <c r="G34" s="211"/>
      <c r="H34" s="42"/>
      <c r="J34" s="128"/>
      <c r="K34" s="128"/>
    </row>
    <row r="35" spans="1:11" x14ac:dyDescent="0.45">
      <c r="A35" s="1" t="s">
        <v>128</v>
      </c>
      <c r="C35" s="224">
        <f>C33+C34</f>
        <v>-8180.299600000013</v>
      </c>
      <c r="D35" s="129"/>
      <c r="E35" s="124"/>
      <c r="F35" s="98"/>
      <c r="G35" s="221"/>
      <c r="H35" s="124"/>
      <c r="J35" s="91"/>
    </row>
    <row r="36" spans="1:11" ht="17.649999999999999" x14ac:dyDescent="0.75">
      <c r="C36" s="126"/>
      <c r="D36" s="125"/>
      <c r="E36" s="125"/>
      <c r="F36" s="208"/>
      <c r="G36" s="222"/>
      <c r="H36" s="125"/>
    </row>
    <row r="37" spans="1:11" ht="15.4" x14ac:dyDescent="0.45">
      <c r="C37" s="126"/>
      <c r="D37" s="124"/>
      <c r="E37" s="124"/>
      <c r="F37" s="208"/>
      <c r="G37" s="221"/>
      <c r="H37" s="124"/>
    </row>
    <row r="42" spans="1:11" x14ac:dyDescent="0.45">
      <c r="G42" s="210" t="s">
        <v>181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4C12-8B08-4347-8810-FE79CDF4480C}">
  <sheetPr>
    <pageSetUpPr fitToPage="1"/>
  </sheetPr>
  <dimension ref="A1:N45"/>
  <sheetViews>
    <sheetView showGridLines="0" workbookViewId="0">
      <selection activeCell="M44" sqref="A1:M44"/>
    </sheetView>
  </sheetViews>
  <sheetFormatPr defaultRowHeight="15" x14ac:dyDescent="0.4"/>
  <cols>
    <col min="1" max="1" width="2" customWidth="1"/>
    <col min="2" max="2" width="1.88671875" customWidth="1"/>
    <col min="3" max="3" width="1.77734375" customWidth="1"/>
    <col min="4" max="4" width="27.44140625" customWidth="1"/>
    <col min="5" max="5" width="8.33203125" customWidth="1"/>
    <col min="6" max="6" width="11.71875" customWidth="1"/>
    <col min="7" max="7" width="6.109375" customWidth="1"/>
    <col min="8" max="8" width="9.33203125" customWidth="1"/>
    <col min="9" max="9" width="6.109375" customWidth="1"/>
    <col min="10" max="10" width="9.33203125" customWidth="1"/>
    <col min="11" max="11" width="10.6640625" customWidth="1"/>
    <col min="12" max="12" width="1.88671875" customWidth="1"/>
    <col min="13" max="13" width="2.44140625" customWidth="1"/>
  </cols>
  <sheetData>
    <row r="1" spans="1:13" ht="15.4" x14ac:dyDescent="0.45">
      <c r="A1" s="1"/>
      <c r="B1" s="1"/>
      <c r="C1" s="131"/>
      <c r="D1" s="131"/>
      <c r="E1" s="131"/>
      <c r="F1" s="131"/>
      <c r="G1" s="132"/>
      <c r="H1" s="131"/>
      <c r="I1" s="132"/>
      <c r="J1" s="131"/>
      <c r="K1" s="131"/>
      <c r="L1" s="131"/>
      <c r="M1" s="131"/>
    </row>
    <row r="2" spans="1:13" ht="15.4" x14ac:dyDescent="0.45">
      <c r="A2" s="1"/>
      <c r="B2" s="83"/>
      <c r="C2" s="133"/>
      <c r="D2" s="133"/>
      <c r="E2" s="133"/>
      <c r="F2" s="133"/>
      <c r="G2" s="134"/>
      <c r="H2" s="133"/>
      <c r="I2" s="134"/>
      <c r="J2" s="133"/>
      <c r="K2" s="133"/>
      <c r="L2" s="135"/>
      <c r="M2" s="136"/>
    </row>
    <row r="3" spans="1:13" ht="18" hidden="1" x14ac:dyDescent="0.55000000000000004">
      <c r="A3" s="1"/>
      <c r="B3" s="47"/>
      <c r="C3" s="370" t="s">
        <v>27</v>
      </c>
      <c r="D3" s="370"/>
      <c r="E3" s="370"/>
      <c r="F3" s="370"/>
      <c r="G3" s="370"/>
      <c r="H3" s="370"/>
      <c r="I3" s="370"/>
      <c r="J3" s="370"/>
      <c r="K3" s="370"/>
      <c r="L3" s="137"/>
      <c r="M3" s="136"/>
    </row>
    <row r="4" spans="1:13" ht="18" x14ac:dyDescent="0.55000000000000004">
      <c r="A4" s="1"/>
      <c r="B4" s="47"/>
      <c r="C4" s="371" t="s">
        <v>41</v>
      </c>
      <c r="D4" s="371"/>
      <c r="E4" s="371"/>
      <c r="F4" s="371"/>
      <c r="G4" s="371"/>
      <c r="H4" s="371"/>
      <c r="I4" s="371"/>
      <c r="J4" s="371"/>
      <c r="K4" s="371"/>
      <c r="L4" s="137"/>
      <c r="M4" s="136"/>
    </row>
    <row r="5" spans="1:13" ht="15.75" x14ac:dyDescent="0.45">
      <c r="A5" s="1"/>
      <c r="B5" s="47"/>
      <c r="C5" s="372" t="s">
        <v>207</v>
      </c>
      <c r="D5" s="372"/>
      <c r="E5" s="372"/>
      <c r="F5" s="372"/>
      <c r="G5" s="372"/>
      <c r="H5" s="372"/>
      <c r="I5" s="372"/>
      <c r="J5" s="372"/>
      <c r="K5" s="372"/>
      <c r="L5" s="137"/>
      <c r="M5" s="136"/>
    </row>
    <row r="6" spans="1:13" ht="15.4" x14ac:dyDescent="0.45">
      <c r="A6" s="1"/>
      <c r="B6" s="47"/>
      <c r="C6" s="131"/>
      <c r="D6" s="131"/>
      <c r="E6" s="131"/>
      <c r="F6" s="131"/>
      <c r="G6" s="138"/>
      <c r="H6" s="131"/>
      <c r="I6" s="138"/>
      <c r="J6" s="131"/>
      <c r="K6" s="139" t="s">
        <v>42</v>
      </c>
      <c r="L6" s="137"/>
      <c r="M6" s="136"/>
    </row>
    <row r="7" spans="1:13" ht="15.4" x14ac:dyDescent="0.45">
      <c r="A7" s="1"/>
      <c r="B7" s="47"/>
      <c r="C7" s="140"/>
      <c r="D7" s="140"/>
      <c r="E7" s="140" t="s">
        <v>43</v>
      </c>
      <c r="F7" s="140" t="s">
        <v>44</v>
      </c>
      <c r="G7" s="141" t="s">
        <v>129</v>
      </c>
      <c r="H7" s="142"/>
      <c r="I7" s="141" t="s">
        <v>32</v>
      </c>
      <c r="J7" s="142"/>
      <c r="K7" s="139" t="s">
        <v>45</v>
      </c>
      <c r="L7" s="137"/>
      <c r="M7" s="136"/>
    </row>
    <row r="8" spans="1:13" ht="17.649999999999999" x14ac:dyDescent="0.75">
      <c r="A8" s="1"/>
      <c r="B8" s="47"/>
      <c r="C8" s="139"/>
      <c r="D8" s="143" t="s">
        <v>130</v>
      </c>
      <c r="E8" s="139" t="s">
        <v>46</v>
      </c>
      <c r="F8" s="139" t="s">
        <v>131</v>
      </c>
      <c r="G8" s="23" t="s">
        <v>47</v>
      </c>
      <c r="H8" s="139" t="s">
        <v>48</v>
      </c>
      <c r="I8" s="23" t="s">
        <v>47</v>
      </c>
      <c r="J8" s="139" t="s">
        <v>48</v>
      </c>
      <c r="K8" s="139" t="s">
        <v>38</v>
      </c>
      <c r="L8" s="137"/>
      <c r="M8" s="136"/>
    </row>
    <row r="9" spans="1:13" ht="15.4" x14ac:dyDescent="0.45">
      <c r="A9" s="1"/>
      <c r="B9" s="47"/>
      <c r="C9" s="139"/>
      <c r="D9" s="139"/>
      <c r="E9" s="139"/>
      <c r="F9" s="139"/>
      <c r="G9" s="23"/>
      <c r="H9" s="139"/>
      <c r="I9" s="23"/>
      <c r="J9" s="139"/>
      <c r="K9" s="139"/>
      <c r="L9" s="137"/>
      <c r="M9" s="136"/>
    </row>
    <row r="10" spans="1:13" ht="15.4" x14ac:dyDescent="0.45">
      <c r="A10" s="1"/>
      <c r="B10" s="47"/>
      <c r="C10" s="144" t="s">
        <v>132</v>
      </c>
      <c r="D10" s="131"/>
      <c r="E10" s="145"/>
      <c r="F10" s="91"/>
      <c r="G10" s="138"/>
      <c r="H10" s="91"/>
      <c r="I10" s="138"/>
      <c r="J10" s="91"/>
      <c r="K10" s="91"/>
      <c r="L10" s="137"/>
      <c r="M10" s="136"/>
    </row>
    <row r="11" spans="1:13" ht="15.4" x14ac:dyDescent="0.45">
      <c r="A11" s="1"/>
      <c r="B11" s="47"/>
      <c r="C11" s="144"/>
      <c r="D11" s="131" t="s">
        <v>133</v>
      </c>
      <c r="E11" s="145" t="s">
        <v>66</v>
      </c>
      <c r="F11" s="20">
        <v>13464</v>
      </c>
      <c r="G11" s="67" t="s">
        <v>134</v>
      </c>
      <c r="H11" s="20">
        <v>538.55999999999995</v>
      </c>
      <c r="I11" s="138">
        <v>37.5</v>
      </c>
      <c r="J11" s="20">
        <f>F11/I11</f>
        <v>359.04</v>
      </c>
      <c r="K11" s="20">
        <f>J11-H11</f>
        <v>-179.51999999999992</v>
      </c>
      <c r="L11" s="137"/>
      <c r="M11" s="136"/>
    </row>
    <row r="12" spans="1:13" ht="15.4" x14ac:dyDescent="0.45">
      <c r="A12" s="1"/>
      <c r="B12" s="47"/>
      <c r="C12" s="144"/>
      <c r="D12" s="131" t="s">
        <v>135</v>
      </c>
      <c r="E12" s="145"/>
      <c r="F12" s="20"/>
      <c r="G12" s="67"/>
      <c r="H12" s="20"/>
      <c r="I12" s="138">
        <v>10</v>
      </c>
      <c r="J12" s="20">
        <f>F12/I12</f>
        <v>0</v>
      </c>
      <c r="K12" s="20">
        <f>J12-H12</f>
        <v>0</v>
      </c>
      <c r="L12" s="137"/>
      <c r="M12" s="136"/>
    </row>
    <row r="13" spans="1:13" ht="15.4" x14ac:dyDescent="0.45">
      <c r="A13" s="1"/>
      <c r="B13" s="47"/>
      <c r="C13" s="131"/>
      <c r="D13" s="131" t="s">
        <v>136</v>
      </c>
      <c r="E13" s="145" t="s">
        <v>66</v>
      </c>
      <c r="F13" s="20">
        <v>798</v>
      </c>
      <c r="G13" s="67" t="s">
        <v>134</v>
      </c>
      <c r="H13" s="20">
        <v>133</v>
      </c>
      <c r="I13" s="138">
        <v>22.5</v>
      </c>
      <c r="J13" s="20">
        <f>F13/I13</f>
        <v>35.466666666666669</v>
      </c>
      <c r="K13" s="20">
        <f>J13-H13</f>
        <v>-97.533333333333331</v>
      </c>
      <c r="L13" s="137"/>
      <c r="M13" s="136"/>
    </row>
    <row r="14" spans="1:13" ht="15.4" x14ac:dyDescent="0.45">
      <c r="A14" s="1"/>
      <c r="B14" s="47"/>
      <c r="C14" s="131"/>
      <c r="D14" s="131" t="s">
        <v>137</v>
      </c>
      <c r="E14" s="145"/>
      <c r="F14" s="20"/>
      <c r="G14" s="67"/>
      <c r="H14" s="20"/>
      <c r="I14" s="138">
        <v>12.5</v>
      </c>
      <c r="J14" s="20">
        <f t="shared" ref="J14:J16" si="0">F14/I14</f>
        <v>0</v>
      </c>
      <c r="K14" s="20">
        <f t="shared" ref="K14:K16" si="1">J14-H14</f>
        <v>0</v>
      </c>
      <c r="L14" s="137"/>
      <c r="M14" s="136"/>
    </row>
    <row r="15" spans="1:13" ht="15.4" x14ac:dyDescent="0.45">
      <c r="A15" s="1"/>
      <c r="B15" s="47"/>
      <c r="C15" s="131"/>
      <c r="D15" s="131" t="s">
        <v>138</v>
      </c>
      <c r="E15" s="145" t="s">
        <v>66</v>
      </c>
      <c r="F15" s="20">
        <v>55836.91</v>
      </c>
      <c r="G15" s="67" t="s">
        <v>134</v>
      </c>
      <c r="H15" s="20">
        <v>6139.4</v>
      </c>
      <c r="I15" s="138">
        <v>17.5</v>
      </c>
      <c r="J15" s="20">
        <f t="shared" si="0"/>
        <v>3190.6805714285715</v>
      </c>
      <c r="K15" s="20">
        <f t="shared" si="1"/>
        <v>-2948.7194285714281</v>
      </c>
      <c r="L15" s="137"/>
      <c r="M15" s="136"/>
    </row>
    <row r="16" spans="1:13" ht="15.4" x14ac:dyDescent="0.45">
      <c r="A16" s="1"/>
      <c r="B16" s="47"/>
      <c r="C16" s="131"/>
      <c r="D16" s="131" t="s">
        <v>139</v>
      </c>
      <c r="E16" s="145"/>
      <c r="F16" s="20"/>
      <c r="G16" s="67"/>
      <c r="H16" s="20"/>
      <c r="I16" s="138">
        <v>15</v>
      </c>
      <c r="J16" s="20">
        <f t="shared" si="0"/>
        <v>0</v>
      </c>
      <c r="K16" s="20">
        <f t="shared" si="1"/>
        <v>0</v>
      </c>
      <c r="L16" s="137"/>
      <c r="M16" s="136"/>
    </row>
    <row r="17" spans="1:13" ht="15.4" x14ac:dyDescent="0.45">
      <c r="A17" s="1"/>
      <c r="B17" s="47"/>
      <c r="C17" s="139"/>
      <c r="D17" s="139"/>
      <c r="E17" s="139"/>
      <c r="F17" s="139"/>
      <c r="G17" s="23"/>
      <c r="H17" s="139"/>
      <c r="I17" s="23"/>
      <c r="J17" s="139"/>
      <c r="K17" s="139"/>
      <c r="L17" s="137"/>
      <c r="M17" s="136"/>
    </row>
    <row r="18" spans="1:13" ht="15.4" x14ac:dyDescent="0.45">
      <c r="A18" s="1"/>
      <c r="B18" s="47"/>
      <c r="C18" s="144" t="s">
        <v>140</v>
      </c>
      <c r="D18" s="131"/>
      <c r="E18" s="145"/>
      <c r="F18" s="91"/>
      <c r="G18" s="146"/>
      <c r="H18" s="91"/>
      <c r="I18" s="146"/>
      <c r="J18" s="91"/>
      <c r="K18" s="91"/>
      <c r="L18" s="137"/>
      <c r="M18" s="136"/>
    </row>
    <row r="19" spans="1:13" ht="15.4" x14ac:dyDescent="0.45">
      <c r="A19" s="1"/>
      <c r="B19" s="47"/>
      <c r="C19" s="144"/>
      <c r="D19" s="131" t="s">
        <v>133</v>
      </c>
      <c r="E19" s="145"/>
      <c r="F19" s="20"/>
      <c r="G19" s="67"/>
      <c r="H19" s="20"/>
      <c r="I19" s="138">
        <v>37.5</v>
      </c>
      <c r="J19" s="20">
        <f>F19/I19</f>
        <v>0</v>
      </c>
      <c r="K19" s="20">
        <f>J19-H19</f>
        <v>0</v>
      </c>
      <c r="L19" s="137"/>
      <c r="M19" s="136"/>
    </row>
    <row r="20" spans="1:13" ht="15.4" x14ac:dyDescent="0.45">
      <c r="A20" s="1"/>
      <c r="B20" s="47"/>
      <c r="C20" s="131"/>
      <c r="D20" s="131" t="s">
        <v>141</v>
      </c>
      <c r="E20" s="145"/>
      <c r="F20" s="91"/>
      <c r="G20" s="67"/>
      <c r="H20" s="20"/>
      <c r="I20" s="138">
        <v>10</v>
      </c>
      <c r="J20" s="91">
        <f>F20/I20</f>
        <v>0</v>
      </c>
      <c r="K20" s="20">
        <f>J20-H20</f>
        <v>0</v>
      </c>
      <c r="L20" s="137"/>
      <c r="M20" s="136"/>
    </row>
    <row r="21" spans="1:13" ht="15.4" x14ac:dyDescent="0.45">
      <c r="A21" s="1"/>
      <c r="B21" s="47"/>
      <c r="C21" s="131"/>
      <c r="D21" s="131" t="s">
        <v>142</v>
      </c>
      <c r="E21" s="145"/>
      <c r="F21" s="91"/>
      <c r="G21" s="67"/>
      <c r="H21" s="20"/>
      <c r="I21" s="138">
        <v>20</v>
      </c>
      <c r="J21" s="91">
        <f>F21/I21</f>
        <v>0</v>
      </c>
      <c r="K21" s="20">
        <f>J21-H21</f>
        <v>0</v>
      </c>
      <c r="L21" s="137"/>
      <c r="M21" s="136"/>
    </row>
    <row r="22" spans="1:13" ht="15.4" x14ac:dyDescent="0.45">
      <c r="A22" s="1"/>
      <c r="B22" s="47"/>
      <c r="C22" s="139"/>
      <c r="D22" s="139"/>
      <c r="E22" s="139"/>
      <c r="F22" s="91"/>
      <c r="G22" s="146"/>
      <c r="H22" s="91"/>
      <c r="I22" s="146"/>
      <c r="J22" s="91"/>
      <c r="K22" s="91"/>
      <c r="L22" s="137"/>
      <c r="M22" s="136"/>
    </row>
    <row r="23" spans="1:13" ht="15.4" x14ac:dyDescent="0.45">
      <c r="A23" s="1"/>
      <c r="B23" s="47"/>
      <c r="C23" s="144" t="s">
        <v>143</v>
      </c>
      <c r="D23" s="131"/>
      <c r="E23" s="145"/>
      <c r="F23" s="91"/>
      <c r="G23" s="138"/>
      <c r="H23" s="91"/>
      <c r="I23" s="138"/>
      <c r="J23" s="91"/>
      <c r="K23" s="91"/>
      <c r="L23" s="137"/>
      <c r="M23" s="136"/>
    </row>
    <row r="24" spans="1:13" ht="15.4" x14ac:dyDescent="0.45">
      <c r="A24" s="1"/>
      <c r="B24" s="47"/>
      <c r="C24" s="144"/>
      <c r="D24" s="131" t="s">
        <v>144</v>
      </c>
      <c r="E24" s="145" t="s">
        <v>66</v>
      </c>
      <c r="F24" s="20">
        <v>364</v>
      </c>
      <c r="G24" s="67" t="s">
        <v>134</v>
      </c>
      <c r="H24" s="20">
        <v>12.13</v>
      </c>
      <c r="I24" s="138">
        <v>50</v>
      </c>
      <c r="J24" s="20">
        <f>H24</f>
        <v>12.13</v>
      </c>
      <c r="K24" s="20">
        <f>J24-H24</f>
        <v>0</v>
      </c>
      <c r="L24" s="137"/>
      <c r="M24" s="136"/>
    </row>
    <row r="25" spans="1:13" ht="15.4" x14ac:dyDescent="0.45">
      <c r="A25" s="1"/>
      <c r="B25" s="47"/>
      <c r="C25" s="144"/>
      <c r="D25" s="131" t="s">
        <v>145</v>
      </c>
      <c r="E25" s="145" t="s">
        <v>66</v>
      </c>
      <c r="F25" s="20">
        <v>2768600.15</v>
      </c>
      <c r="G25" s="67" t="s">
        <v>134</v>
      </c>
      <c r="H25" s="20">
        <v>55372.010000000017</v>
      </c>
      <c r="I25" s="138">
        <v>62.5</v>
      </c>
      <c r="J25" s="20">
        <f t="shared" ref="J25:J32" si="2">F25/I25</f>
        <v>44297.602399999996</v>
      </c>
      <c r="K25" s="20">
        <f t="shared" ref="K25:K32" si="3">J25-H25</f>
        <v>-11074.40760000002</v>
      </c>
      <c r="L25" s="137"/>
      <c r="M25" s="136"/>
    </row>
    <row r="26" spans="1:13" ht="15.4" x14ac:dyDescent="0.45">
      <c r="A26" s="1"/>
      <c r="B26" s="47"/>
      <c r="C26" s="144"/>
      <c r="D26" s="131" t="s">
        <v>146</v>
      </c>
      <c r="E26" s="145"/>
      <c r="F26" s="20"/>
      <c r="G26" s="67"/>
      <c r="H26" s="20"/>
      <c r="I26" s="138">
        <v>45</v>
      </c>
      <c r="J26" s="20">
        <f t="shared" si="2"/>
        <v>0</v>
      </c>
      <c r="K26" s="20">
        <f t="shared" si="3"/>
        <v>0</v>
      </c>
      <c r="L26" s="137"/>
      <c r="M26" s="136"/>
    </row>
    <row r="27" spans="1:13" ht="15.4" x14ac:dyDescent="0.45">
      <c r="A27" s="1"/>
      <c r="B27" s="47"/>
      <c r="C27" s="144"/>
      <c r="D27" s="131" t="s">
        <v>147</v>
      </c>
      <c r="E27" s="145" t="s">
        <v>66</v>
      </c>
      <c r="F27" s="20">
        <v>443149.69000000006</v>
      </c>
      <c r="G27" s="67" t="s">
        <v>134</v>
      </c>
      <c r="H27" s="20">
        <v>26622.82</v>
      </c>
      <c r="I27" s="138">
        <v>15</v>
      </c>
      <c r="J27" s="20">
        <f t="shared" si="2"/>
        <v>29543.312666666672</v>
      </c>
      <c r="K27" s="20">
        <f t="shared" si="3"/>
        <v>2920.4926666666724</v>
      </c>
      <c r="L27" s="137"/>
      <c r="M27" s="136"/>
    </row>
    <row r="28" spans="1:13" ht="15.4" x14ac:dyDescent="0.45">
      <c r="A28" s="1"/>
      <c r="B28" s="47"/>
      <c r="C28" s="144"/>
      <c r="D28" s="131" t="s">
        <v>148</v>
      </c>
      <c r="E28" s="145" t="s">
        <v>66</v>
      </c>
      <c r="F28" s="20">
        <v>899982.68</v>
      </c>
      <c r="G28" s="67" t="s">
        <v>134</v>
      </c>
      <c r="H28" s="20">
        <v>59669.109999999993</v>
      </c>
      <c r="I28" s="138">
        <v>20</v>
      </c>
      <c r="J28" s="20">
        <f t="shared" si="2"/>
        <v>44999.134000000005</v>
      </c>
      <c r="K28" s="20">
        <f t="shared" si="3"/>
        <v>-14669.975999999988</v>
      </c>
      <c r="L28" s="137"/>
      <c r="M28" s="136"/>
    </row>
    <row r="29" spans="1:13" ht="15.4" x14ac:dyDescent="0.45">
      <c r="A29" s="1"/>
      <c r="B29" s="47"/>
      <c r="C29" s="144"/>
      <c r="D29" s="131" t="s">
        <v>149</v>
      </c>
      <c r="E29" s="145"/>
      <c r="F29" s="20"/>
      <c r="G29" s="67"/>
      <c r="H29" s="20"/>
      <c r="I29" s="138">
        <v>37.5</v>
      </c>
      <c r="J29" s="20">
        <f t="shared" si="2"/>
        <v>0</v>
      </c>
      <c r="K29" s="20">
        <f t="shared" si="3"/>
        <v>0</v>
      </c>
      <c r="L29" s="137"/>
      <c r="M29" s="136"/>
    </row>
    <row r="30" spans="1:13" ht="15.4" x14ac:dyDescent="0.45">
      <c r="A30" s="1"/>
      <c r="B30" s="47"/>
      <c r="C30" s="144"/>
      <c r="D30" s="131" t="s">
        <v>150</v>
      </c>
      <c r="E30" s="145"/>
      <c r="F30" s="20"/>
      <c r="G30" s="67"/>
      <c r="H30" s="20"/>
      <c r="I30" s="138">
        <v>40</v>
      </c>
      <c r="J30" s="20">
        <f t="shared" si="2"/>
        <v>0</v>
      </c>
      <c r="K30" s="20">
        <f t="shared" si="3"/>
        <v>0</v>
      </c>
      <c r="L30" s="137"/>
      <c r="M30" s="136"/>
    </row>
    <row r="31" spans="1:13" ht="15.4" x14ac:dyDescent="0.45">
      <c r="A31" s="1"/>
      <c r="B31" s="47"/>
      <c r="C31" s="144"/>
      <c r="D31" s="131" t="s">
        <v>151</v>
      </c>
      <c r="E31" s="145" t="s">
        <v>66</v>
      </c>
      <c r="F31" s="20">
        <v>6941662.7700000005</v>
      </c>
      <c r="G31" s="67" t="s">
        <v>134</v>
      </c>
      <c r="H31" s="20">
        <v>138833.26999999999</v>
      </c>
      <c r="I31" s="138">
        <v>45</v>
      </c>
      <c r="J31" s="20">
        <f t="shared" si="2"/>
        <v>154259.17266666668</v>
      </c>
      <c r="K31" s="20">
        <f t="shared" si="3"/>
        <v>15425.90266666669</v>
      </c>
      <c r="L31" s="137"/>
      <c r="M31" s="136"/>
    </row>
    <row r="32" spans="1:13" ht="15.4" x14ac:dyDescent="0.45">
      <c r="A32" s="1"/>
      <c r="B32" s="47"/>
      <c r="C32" s="144"/>
      <c r="D32" s="131" t="s">
        <v>244</v>
      </c>
      <c r="E32" s="322" t="s">
        <v>243</v>
      </c>
      <c r="F32" s="20">
        <v>129509</v>
      </c>
      <c r="G32" s="67">
        <v>15</v>
      </c>
      <c r="H32" s="20">
        <v>0</v>
      </c>
      <c r="I32" s="138">
        <v>15</v>
      </c>
      <c r="J32" s="20">
        <f t="shared" si="2"/>
        <v>8633.9333333333325</v>
      </c>
      <c r="K32" s="20">
        <f t="shared" si="3"/>
        <v>8633.9333333333325</v>
      </c>
      <c r="L32" s="137"/>
      <c r="M32" s="136"/>
    </row>
    <row r="33" spans="1:14" ht="15.4" x14ac:dyDescent="0.45">
      <c r="A33" s="1"/>
      <c r="B33" s="47"/>
      <c r="C33" s="144"/>
      <c r="D33" s="1"/>
      <c r="E33" s="145"/>
      <c r="F33" s="91"/>
      <c r="G33" s="146"/>
      <c r="H33" s="91"/>
      <c r="I33" s="146"/>
      <c r="J33" s="91"/>
      <c r="K33" s="20"/>
      <c r="L33" s="137"/>
      <c r="M33" s="136"/>
    </row>
    <row r="34" spans="1:14" ht="15.4" x14ac:dyDescent="0.45">
      <c r="A34" s="1"/>
      <c r="B34" s="47"/>
      <c r="C34" s="144" t="s">
        <v>152</v>
      </c>
      <c r="D34" s="1"/>
      <c r="E34" s="145"/>
      <c r="F34" s="91"/>
      <c r="G34" s="138"/>
      <c r="H34" s="91"/>
      <c r="I34" s="147"/>
      <c r="J34" s="91"/>
      <c r="K34" s="91"/>
      <c r="L34" s="137"/>
      <c r="M34" s="136"/>
    </row>
    <row r="35" spans="1:14" ht="15.4" x14ac:dyDescent="0.45">
      <c r="A35" s="1"/>
      <c r="B35" s="47"/>
      <c r="C35" s="131"/>
      <c r="D35" s="1" t="s">
        <v>153</v>
      </c>
      <c r="E35" s="145"/>
      <c r="F35" s="91">
        <v>60356</v>
      </c>
      <c r="G35" s="138"/>
      <c r="H35" s="91">
        <v>12071.2</v>
      </c>
      <c r="I35" s="147">
        <v>7</v>
      </c>
      <c r="J35" s="91">
        <f>F35/I35</f>
        <v>8622.2857142857138</v>
      </c>
      <c r="K35" s="91">
        <f>J35-H35</f>
        <v>-3448.914285714287</v>
      </c>
      <c r="L35" s="137"/>
      <c r="M35" s="136"/>
    </row>
    <row r="36" spans="1:14" ht="15.4" x14ac:dyDescent="0.45">
      <c r="A36" s="1"/>
      <c r="B36" s="47"/>
      <c r="C36" s="139"/>
      <c r="D36" s="139"/>
      <c r="E36" s="139"/>
      <c r="F36" s="91"/>
      <c r="G36" s="146"/>
      <c r="H36" s="91"/>
      <c r="I36" s="146"/>
      <c r="J36" s="91"/>
      <c r="K36" s="91"/>
      <c r="L36" s="137"/>
      <c r="M36" s="136"/>
    </row>
    <row r="37" spans="1:14" ht="15.4" x14ac:dyDescent="0.45">
      <c r="A37" s="1"/>
      <c r="B37" s="47"/>
      <c r="C37" s="144" t="s">
        <v>154</v>
      </c>
      <c r="D37" s="131"/>
      <c r="E37" s="145"/>
      <c r="F37" s="91"/>
      <c r="G37" s="148"/>
      <c r="H37" s="91"/>
      <c r="I37" s="138"/>
      <c r="J37" s="91"/>
      <c r="K37" s="91"/>
      <c r="L37" s="137"/>
      <c r="M37" s="136"/>
    </row>
    <row r="38" spans="1:14" ht="15.4" x14ac:dyDescent="0.45">
      <c r="A38" s="1"/>
      <c r="B38" s="47"/>
      <c r="C38" s="144"/>
      <c r="D38" s="1" t="s">
        <v>145</v>
      </c>
      <c r="E38" s="145"/>
      <c r="F38" s="91"/>
      <c r="G38" s="138"/>
      <c r="H38" s="91"/>
      <c r="I38" s="147">
        <v>62.5</v>
      </c>
      <c r="J38" s="91">
        <f>F38/I38</f>
        <v>0</v>
      </c>
      <c r="K38" s="91">
        <f>J38-H38</f>
        <v>0</v>
      </c>
      <c r="L38" s="137"/>
      <c r="M38" s="136"/>
    </row>
    <row r="39" spans="1:14" ht="15.4" x14ac:dyDescent="0.45">
      <c r="A39" s="1"/>
      <c r="B39" s="47"/>
      <c r="C39" s="131"/>
      <c r="D39" s="131"/>
      <c r="E39" s="131"/>
      <c r="F39" s="145"/>
      <c r="G39" s="91"/>
      <c r="H39" s="149"/>
      <c r="I39" s="91"/>
      <c r="J39" s="138"/>
      <c r="K39" s="91"/>
      <c r="L39" s="137"/>
      <c r="M39" s="136"/>
    </row>
    <row r="40" spans="1:14" ht="15.4" x14ac:dyDescent="0.45">
      <c r="A40" s="1"/>
      <c r="B40" s="47"/>
      <c r="C40" s="150" t="s">
        <v>84</v>
      </c>
      <c r="D40" s="1"/>
      <c r="E40" s="1"/>
      <c r="F40" s="152">
        <f>SUM(F11:F39)</f>
        <v>11313723.200000001</v>
      </c>
      <c r="G40" s="151"/>
      <c r="H40" s="152">
        <f>SUM(H11:H39)</f>
        <v>299391.5</v>
      </c>
      <c r="I40" s="152"/>
      <c r="J40" s="152">
        <f>SUM(J11:J39)</f>
        <v>293952.75801904767</v>
      </c>
      <c r="K40" s="152">
        <f>SUM(K11:K39)</f>
        <v>-5438.7419809523617</v>
      </c>
      <c r="L40" s="137"/>
      <c r="M40" s="136"/>
      <c r="N40" s="18"/>
    </row>
    <row r="41" spans="1:14" ht="15.4" x14ac:dyDescent="0.45">
      <c r="A41" s="1"/>
      <c r="B41" s="85"/>
      <c r="C41" s="153"/>
      <c r="D41" s="153"/>
      <c r="E41" s="153"/>
      <c r="F41" s="153"/>
      <c r="G41" s="153"/>
      <c r="H41" s="154"/>
      <c r="I41" s="153"/>
      <c r="J41" s="154"/>
      <c r="K41" s="153"/>
      <c r="L41" s="155"/>
      <c r="M41" s="156"/>
    </row>
    <row r="42" spans="1:14" ht="15.4" x14ac:dyDescent="0.45">
      <c r="A42" s="1"/>
      <c r="B42" s="1"/>
      <c r="C42" s="131"/>
      <c r="D42" s="131"/>
      <c r="E42" s="131"/>
      <c r="F42" s="131"/>
      <c r="G42" s="131"/>
      <c r="H42" s="22"/>
      <c r="I42" s="131"/>
      <c r="J42" s="22"/>
      <c r="K42" s="131"/>
      <c r="L42" s="131"/>
      <c r="M42" s="131"/>
    </row>
    <row r="43" spans="1:14" ht="15.4" x14ac:dyDescent="0.45">
      <c r="D43" s="131" t="s">
        <v>155</v>
      </c>
    </row>
    <row r="44" spans="1:14" ht="15.4" x14ac:dyDescent="0.45">
      <c r="D44" s="131" t="s">
        <v>314</v>
      </c>
    </row>
    <row r="45" spans="1:14" ht="15.4" x14ac:dyDescent="0.45">
      <c r="D45" s="1"/>
    </row>
  </sheetData>
  <mergeCells count="3">
    <mergeCell ref="C3:K3"/>
    <mergeCell ref="C4:K4"/>
    <mergeCell ref="C5:K5"/>
  </mergeCells>
  <pageMargins left="0.7" right="0.7" top="0.75" bottom="0.75" header="0.3" footer="0.3"/>
  <pageSetup scale="76" orientation="portrait" horizontalDpi="4294967293" verticalDpi="0" r:id="rId1"/>
  <ignoredErrors>
    <ignoredError sqref="E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8E55-8DC2-4CD5-8872-149491EA390B}">
  <sheetPr>
    <pageSetUpPr fitToPage="1"/>
  </sheetPr>
  <dimension ref="B1:X35"/>
  <sheetViews>
    <sheetView showGridLines="0" workbookViewId="0">
      <selection activeCell="P29" sqref="A1:P29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24" ht="15.4" x14ac:dyDescent="0.4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24" ht="15.4" x14ac:dyDescent="0.45"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16"/>
      <c r="P2" s="16"/>
    </row>
    <row r="3" spans="2:24" ht="18" hidden="1" x14ac:dyDescent="0.55000000000000004">
      <c r="B3" s="160" t="s">
        <v>156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72"/>
      <c r="O3" s="16"/>
      <c r="P3" s="16"/>
    </row>
    <row r="4" spans="2:24" ht="18" x14ac:dyDescent="0.55000000000000004">
      <c r="B4" s="162" t="s">
        <v>157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72"/>
      <c r="O4" s="16"/>
      <c r="P4" s="16"/>
    </row>
    <row r="5" spans="2:24" ht="15.75" x14ac:dyDescent="0.45">
      <c r="B5" s="164" t="s">
        <v>207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72"/>
      <c r="O5" s="16"/>
      <c r="P5" s="16"/>
    </row>
    <row r="6" spans="2:24" ht="15.75" x14ac:dyDescent="0.5">
      <c r="B6" s="165" t="s">
        <v>158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72"/>
      <c r="O6" s="16"/>
      <c r="P6" s="16"/>
    </row>
    <row r="7" spans="2:24" ht="15.4" x14ac:dyDescent="0.45">
      <c r="B7" s="167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72"/>
      <c r="O7" s="16"/>
      <c r="P7" s="16"/>
    </row>
    <row r="8" spans="2:24" ht="15.4" x14ac:dyDescent="0.45">
      <c r="B8" s="168"/>
      <c r="C8" s="169"/>
      <c r="D8" s="170"/>
      <c r="E8" s="169"/>
      <c r="F8" s="171"/>
      <c r="G8" s="169"/>
      <c r="H8" s="171"/>
      <c r="I8" s="169"/>
      <c r="J8" s="171"/>
      <c r="K8" s="169"/>
      <c r="L8" s="171"/>
      <c r="M8" s="170"/>
      <c r="N8" s="159"/>
      <c r="O8" s="16"/>
      <c r="P8" s="16"/>
    </row>
    <row r="9" spans="2:24" ht="16.5" x14ac:dyDescent="0.45">
      <c r="B9" s="172"/>
      <c r="C9" s="373" t="s">
        <v>159</v>
      </c>
      <c r="D9" s="374"/>
      <c r="E9" s="373" t="s">
        <v>160</v>
      </c>
      <c r="F9" s="374"/>
      <c r="G9" s="373" t="s">
        <v>161</v>
      </c>
      <c r="H9" s="374"/>
      <c r="I9" s="373" t="s">
        <v>162</v>
      </c>
      <c r="J9" s="374"/>
      <c r="K9" s="373" t="s">
        <v>163</v>
      </c>
      <c r="L9" s="374"/>
      <c r="M9" s="16"/>
      <c r="N9" s="72"/>
      <c r="O9" s="16"/>
      <c r="P9" s="16"/>
    </row>
    <row r="10" spans="2:24" ht="16.5" x14ac:dyDescent="0.45">
      <c r="B10" s="172"/>
      <c r="C10" s="173"/>
      <c r="D10" s="174" t="s">
        <v>164</v>
      </c>
      <c r="E10" s="175"/>
      <c r="F10" s="174" t="s">
        <v>164</v>
      </c>
      <c r="G10" s="175"/>
      <c r="H10" s="174" t="s">
        <v>164</v>
      </c>
      <c r="I10" s="175"/>
      <c r="J10" s="174" t="s">
        <v>164</v>
      </c>
      <c r="K10" s="175"/>
      <c r="L10" s="174" t="s">
        <v>164</v>
      </c>
      <c r="M10" s="16"/>
      <c r="N10" s="72"/>
      <c r="O10" s="16"/>
      <c r="P10" s="16"/>
    </row>
    <row r="11" spans="2:24" ht="16.5" x14ac:dyDescent="0.45">
      <c r="B11" s="172"/>
      <c r="C11" s="173" t="s">
        <v>165</v>
      </c>
      <c r="D11" s="176" t="s">
        <v>166</v>
      </c>
      <c r="E11" s="173" t="s">
        <v>165</v>
      </c>
      <c r="F11" s="176" t="s">
        <v>166</v>
      </c>
      <c r="G11" s="173" t="s">
        <v>165</v>
      </c>
      <c r="H11" s="176" t="s">
        <v>166</v>
      </c>
      <c r="I11" s="173" t="s">
        <v>165</v>
      </c>
      <c r="J11" s="176" t="s">
        <v>166</v>
      </c>
      <c r="K11" s="173" t="s">
        <v>165</v>
      </c>
      <c r="L11" s="176" t="s">
        <v>166</v>
      </c>
      <c r="M11" s="177" t="s">
        <v>84</v>
      </c>
      <c r="N11" s="72"/>
      <c r="O11" s="16"/>
      <c r="P11" s="16"/>
    </row>
    <row r="12" spans="2:24" ht="15.4" x14ac:dyDescent="0.45">
      <c r="B12" s="178" t="s">
        <v>240</v>
      </c>
      <c r="C12" s="179">
        <v>7471.39</v>
      </c>
      <c r="D12" s="180">
        <v>2128.61</v>
      </c>
      <c r="E12" s="179">
        <v>7729.42</v>
      </c>
      <c r="F12" s="181">
        <v>1870.58</v>
      </c>
      <c r="G12" s="179">
        <v>7996.35</v>
      </c>
      <c r="H12" s="181">
        <v>1603.65</v>
      </c>
      <c r="I12" s="179">
        <v>8272.5</v>
      </c>
      <c r="J12" s="181">
        <v>1327.5</v>
      </c>
      <c r="K12" s="179">
        <v>8558.19</v>
      </c>
      <c r="L12" s="181">
        <v>1041.81</v>
      </c>
      <c r="M12" s="182">
        <f t="shared" ref="M12:M17" si="0">SUM(C12:L12)</f>
        <v>48000</v>
      </c>
      <c r="N12" s="72"/>
      <c r="O12" s="16"/>
      <c r="P12" s="16"/>
      <c r="R12" s="16"/>
      <c r="T12" s="16"/>
      <c r="V12" s="16"/>
      <c r="X12" s="16"/>
    </row>
    <row r="13" spans="2:24" ht="15.4" x14ac:dyDescent="0.45">
      <c r="B13" s="178"/>
      <c r="C13" s="179"/>
      <c r="D13" s="180"/>
      <c r="E13" s="179"/>
      <c r="F13" s="181"/>
      <c r="G13" s="179"/>
      <c r="H13" s="181"/>
      <c r="I13" s="179"/>
      <c r="J13" s="181"/>
      <c r="K13" s="179"/>
      <c r="L13" s="181"/>
      <c r="M13" s="183">
        <f t="shared" si="0"/>
        <v>0</v>
      </c>
      <c r="N13" s="72"/>
      <c r="O13" s="16"/>
      <c r="P13" s="16"/>
      <c r="R13" s="16"/>
      <c r="T13" s="16"/>
      <c r="V13" s="16"/>
      <c r="X13" s="16"/>
    </row>
    <row r="14" spans="2:24" ht="15.4" x14ac:dyDescent="0.45">
      <c r="B14" s="178"/>
      <c r="C14" s="179"/>
      <c r="D14" s="180"/>
      <c r="E14" s="179"/>
      <c r="F14" s="181"/>
      <c r="G14" s="179"/>
      <c r="H14" s="181"/>
      <c r="I14" s="179"/>
      <c r="J14" s="181"/>
      <c r="K14" s="179"/>
      <c r="L14" s="181"/>
      <c r="M14" s="183">
        <f t="shared" si="0"/>
        <v>0</v>
      </c>
      <c r="N14" s="72"/>
      <c r="O14" s="16"/>
      <c r="P14" s="16"/>
      <c r="R14" s="16"/>
      <c r="T14" s="16"/>
      <c r="V14" s="16"/>
      <c r="X14" s="16"/>
    </row>
    <row r="15" spans="2:24" ht="15.4" x14ac:dyDescent="0.45">
      <c r="B15" s="178"/>
      <c r="C15" s="179"/>
      <c r="D15" s="180"/>
      <c r="E15" s="179"/>
      <c r="F15" s="181"/>
      <c r="G15" s="179"/>
      <c r="H15" s="181"/>
      <c r="I15" s="179"/>
      <c r="J15" s="181"/>
      <c r="K15" s="179"/>
      <c r="L15" s="181"/>
      <c r="M15" s="183">
        <f t="shared" si="0"/>
        <v>0</v>
      </c>
      <c r="N15" s="72"/>
      <c r="O15" s="16"/>
      <c r="P15" s="16"/>
      <c r="R15" s="16"/>
      <c r="T15" s="16"/>
      <c r="V15" s="16"/>
      <c r="X15" s="16"/>
    </row>
    <row r="16" spans="2:24" ht="15.4" x14ac:dyDescent="0.45">
      <c r="B16" s="178"/>
      <c r="C16" s="179"/>
      <c r="D16" s="180"/>
      <c r="E16" s="179"/>
      <c r="F16" s="180"/>
      <c r="G16" s="179"/>
      <c r="H16" s="180"/>
      <c r="I16" s="179"/>
      <c r="J16" s="180"/>
      <c r="K16" s="179"/>
      <c r="L16" s="181"/>
      <c r="M16" s="183">
        <f t="shared" si="0"/>
        <v>0</v>
      </c>
      <c r="N16" s="72"/>
      <c r="O16" s="16"/>
      <c r="P16" s="16"/>
      <c r="R16" s="16"/>
      <c r="T16" s="16"/>
      <c r="V16" s="16"/>
      <c r="X16" s="16"/>
    </row>
    <row r="17" spans="2:24" ht="15.4" x14ac:dyDescent="0.45">
      <c r="B17" s="178"/>
      <c r="C17" s="179"/>
      <c r="D17" s="180"/>
      <c r="E17" s="179"/>
      <c r="F17" s="180"/>
      <c r="G17" s="179"/>
      <c r="H17" s="180"/>
      <c r="I17" s="179"/>
      <c r="J17" s="180"/>
      <c r="K17" s="179"/>
      <c r="L17" s="181"/>
      <c r="M17" s="183">
        <f t="shared" si="0"/>
        <v>0</v>
      </c>
      <c r="N17" s="72"/>
      <c r="O17" s="16"/>
      <c r="P17" s="16"/>
      <c r="R17" s="16"/>
      <c r="T17" s="16"/>
      <c r="V17" s="16"/>
      <c r="X17" s="16"/>
    </row>
    <row r="18" spans="2:24" ht="15.4" x14ac:dyDescent="0.45">
      <c r="B18" s="184"/>
      <c r="C18" s="185"/>
      <c r="D18" s="186"/>
      <c r="E18" s="185"/>
      <c r="F18" s="186"/>
      <c r="G18" s="185"/>
      <c r="H18" s="186"/>
      <c r="I18" s="185"/>
      <c r="J18" s="186"/>
      <c r="K18" s="185"/>
      <c r="L18" s="187"/>
      <c r="M18" s="183"/>
      <c r="N18" s="72"/>
      <c r="O18" s="16"/>
      <c r="P18" s="16"/>
    </row>
    <row r="19" spans="2:24" ht="15.4" x14ac:dyDescent="0.45">
      <c r="B19" s="130" t="s">
        <v>84</v>
      </c>
      <c r="C19" s="188">
        <f t="shared" ref="C19:M19" si="1">SUM(C12:C18)</f>
        <v>7471.39</v>
      </c>
      <c r="D19" s="189">
        <f t="shared" si="1"/>
        <v>2128.61</v>
      </c>
      <c r="E19" s="188">
        <f t="shared" si="1"/>
        <v>7729.42</v>
      </c>
      <c r="F19" s="190">
        <f t="shared" si="1"/>
        <v>1870.58</v>
      </c>
      <c r="G19" s="188">
        <f t="shared" si="1"/>
        <v>7996.35</v>
      </c>
      <c r="H19" s="190">
        <f t="shared" si="1"/>
        <v>1603.65</v>
      </c>
      <c r="I19" s="188">
        <f t="shared" si="1"/>
        <v>8272.5</v>
      </c>
      <c r="J19" s="190">
        <f t="shared" si="1"/>
        <v>1327.5</v>
      </c>
      <c r="K19" s="188">
        <f t="shared" si="1"/>
        <v>8558.19</v>
      </c>
      <c r="L19" s="190">
        <f t="shared" si="1"/>
        <v>1041.81</v>
      </c>
      <c r="M19" s="191">
        <f t="shared" si="1"/>
        <v>48000</v>
      </c>
      <c r="N19" s="72"/>
      <c r="O19" s="16"/>
      <c r="P19" s="16">
        <f>SUM(C19:L19)</f>
        <v>48000</v>
      </c>
    </row>
    <row r="20" spans="2:24" ht="15.4" x14ac:dyDescent="0.45">
      <c r="B20" s="192"/>
      <c r="C20" s="193"/>
      <c r="D20" s="194"/>
      <c r="E20" s="193"/>
      <c r="F20" s="195"/>
      <c r="G20" s="193"/>
      <c r="H20" s="195"/>
      <c r="I20" s="193"/>
      <c r="J20" s="196"/>
      <c r="K20" s="193"/>
      <c r="L20" s="195"/>
      <c r="M20" s="194"/>
      <c r="N20" s="197"/>
      <c r="O20" s="16"/>
      <c r="P20" s="16"/>
    </row>
    <row r="21" spans="2:24" ht="15.4" x14ac:dyDescent="0.45">
      <c r="B21" s="198"/>
      <c r="C21" s="199"/>
      <c r="D21" s="199"/>
      <c r="E21" s="199"/>
      <c r="F21" s="199"/>
      <c r="G21" s="199"/>
      <c r="H21" s="199"/>
      <c r="I21" s="199"/>
      <c r="J21" s="200"/>
      <c r="K21" s="200"/>
      <c r="L21" s="200"/>
      <c r="M21" s="199"/>
      <c r="N21" s="72"/>
      <c r="O21" s="16"/>
      <c r="P21" s="16"/>
    </row>
    <row r="22" spans="2:24" ht="15.4" x14ac:dyDescent="0.45">
      <c r="B22" s="201"/>
      <c r="C22" s="202"/>
      <c r="D22" s="203"/>
      <c r="E22" s="202"/>
      <c r="F22" s="202"/>
      <c r="G22" s="202"/>
      <c r="H22" s="202"/>
      <c r="I22" s="203" t="s">
        <v>167</v>
      </c>
      <c r="J22" s="16"/>
      <c r="K22" s="204"/>
      <c r="L22" s="205"/>
      <c r="M22" s="202">
        <f>M19/5</f>
        <v>9600</v>
      </c>
      <c r="N22" s="72"/>
      <c r="O22" s="16"/>
      <c r="P22" s="16"/>
    </row>
    <row r="23" spans="2:24" ht="15.4" x14ac:dyDescent="0.45">
      <c r="B23" s="17"/>
      <c r="C23" s="203"/>
      <c r="D23" s="16"/>
      <c r="E23" s="203"/>
      <c r="F23" s="203"/>
      <c r="G23" s="203"/>
      <c r="H23" s="203"/>
      <c r="I23" s="203"/>
      <c r="J23" s="16"/>
      <c r="K23" s="20"/>
      <c r="L23" s="204"/>
      <c r="M23" s="26"/>
      <c r="N23" s="72"/>
      <c r="O23" s="16"/>
      <c r="P23" s="16"/>
    </row>
    <row r="24" spans="2:24" ht="15.4" x14ac:dyDescent="0.45">
      <c r="B24" s="201"/>
      <c r="C24" s="203"/>
      <c r="D24" s="203"/>
      <c r="E24" s="203"/>
      <c r="F24" s="203"/>
      <c r="G24" s="203"/>
      <c r="H24" s="203"/>
      <c r="I24" s="203" t="s">
        <v>168</v>
      </c>
      <c r="J24" s="16"/>
      <c r="K24" s="204"/>
      <c r="L24" s="203"/>
      <c r="M24" s="202">
        <f>M22*0</f>
        <v>0</v>
      </c>
      <c r="N24" s="72"/>
      <c r="O24" s="16"/>
      <c r="P24" s="16">
        <f>M24+M22</f>
        <v>9600</v>
      </c>
    </row>
    <row r="25" spans="2:24" ht="15.4" x14ac:dyDescent="0.45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197"/>
      <c r="O25" s="16"/>
      <c r="P25" s="16"/>
    </row>
    <row r="26" spans="2:24" ht="15.4" x14ac:dyDescent="0.45"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2:24" ht="15.4" x14ac:dyDescent="0.45">
      <c r="B27" s="344"/>
      <c r="C27" s="344"/>
      <c r="D27" s="344"/>
      <c r="E27" s="344"/>
      <c r="F27" s="344"/>
      <c r="G27" s="344"/>
      <c r="H27" s="344"/>
      <c r="I27" s="344" t="s">
        <v>298</v>
      </c>
      <c r="J27" s="344"/>
      <c r="K27" s="344"/>
      <c r="L27" s="344"/>
      <c r="M27" s="345">
        <f>D12+F12+H12+J12+L12</f>
        <v>7972.15</v>
      </c>
      <c r="N27" s="344"/>
      <c r="O27" s="344"/>
      <c r="P27" s="344"/>
    </row>
    <row r="28" spans="2:24" ht="15.4" x14ac:dyDescent="0.45"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</row>
    <row r="29" spans="2:24" ht="15.4" x14ac:dyDescent="0.45">
      <c r="B29" s="344"/>
      <c r="C29" s="344"/>
      <c r="D29" s="344"/>
      <c r="E29" s="344"/>
      <c r="F29" s="344"/>
      <c r="G29" s="344"/>
      <c r="H29" s="344"/>
      <c r="I29" s="344" t="s">
        <v>299</v>
      </c>
      <c r="J29" s="344"/>
      <c r="K29" s="344"/>
      <c r="L29" s="344"/>
      <c r="M29" s="345">
        <f>M27/5</f>
        <v>1594.4299999999998</v>
      </c>
      <c r="N29" s="344"/>
      <c r="O29" s="344"/>
      <c r="P29" s="344"/>
    </row>
    <row r="30" spans="2:24" ht="15.4" x14ac:dyDescent="0.45"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2:24" ht="15.4" x14ac:dyDescent="0.45"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</row>
    <row r="32" spans="2:24" ht="15.4" x14ac:dyDescent="0.45"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</row>
    <row r="33" spans="2:16" ht="15.4" x14ac:dyDescent="0.45"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</row>
    <row r="34" spans="2:16" ht="15.4" x14ac:dyDescent="0.45"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</row>
    <row r="35" spans="2:16" ht="15.4" x14ac:dyDescent="0.45"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8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03B9-59C5-4DF9-BA7B-F1E3EC2BAAEC}">
  <dimension ref="A1:D6"/>
  <sheetViews>
    <sheetView workbookViewId="0">
      <selection activeCell="C3" sqref="C3"/>
    </sheetView>
  </sheetViews>
  <sheetFormatPr defaultRowHeight="14.25" x14ac:dyDescent="0.45"/>
  <cols>
    <col min="1" max="1" width="25.609375" style="1" customWidth="1"/>
    <col min="2" max="2" width="8.83203125" style="215" customWidth="1"/>
    <col min="3" max="3" width="14.5546875" style="216" customWidth="1"/>
    <col min="4" max="4" width="8.88671875" style="18"/>
    <col min="5" max="16384" width="8.88671875" style="1"/>
  </cols>
  <sheetData>
    <row r="1" spans="1:3" x14ac:dyDescent="0.45">
      <c r="A1" s="1" t="s">
        <v>177</v>
      </c>
    </row>
    <row r="3" spans="1:3" x14ac:dyDescent="0.45">
      <c r="A3" s="1" t="s">
        <v>178</v>
      </c>
      <c r="C3" s="216">
        <v>25643</v>
      </c>
    </row>
    <row r="5" spans="1:3" x14ac:dyDescent="0.45">
      <c r="A5" s="1" t="s">
        <v>179</v>
      </c>
      <c r="B5" s="215">
        <v>0.3</v>
      </c>
      <c r="C5" s="216">
        <f>C3*B5</f>
        <v>7692.9</v>
      </c>
    </row>
    <row r="6" spans="1:3" x14ac:dyDescent="0.45">
      <c r="A6" s="1" t="s">
        <v>180</v>
      </c>
      <c r="B6" s="215">
        <v>0.7</v>
      </c>
      <c r="C6" s="216">
        <f>C3*B6</f>
        <v>17950.099999999999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23B5-3C4F-4A66-BDCE-8C5FC4A546FE}">
  <dimension ref="A1:G59"/>
  <sheetViews>
    <sheetView tabSelected="1" topLeftCell="A16" workbookViewId="0">
      <selection activeCell="A29" sqref="A29"/>
    </sheetView>
  </sheetViews>
  <sheetFormatPr defaultRowHeight="14.25" x14ac:dyDescent="0.45"/>
  <cols>
    <col min="1" max="1" width="18.71875" style="1" customWidth="1"/>
    <col min="2" max="2" width="9.88671875" style="5" bestFit="1" customWidth="1"/>
    <col min="3" max="3" width="8.88671875" style="1"/>
    <col min="4" max="4" width="9.0546875" style="1" bestFit="1" customWidth="1"/>
    <col min="5" max="16384" width="8.88671875" style="1"/>
  </cols>
  <sheetData>
    <row r="1" spans="1:7" x14ac:dyDescent="0.45">
      <c r="A1" s="1" t="s">
        <v>182</v>
      </c>
    </row>
    <row r="2" spans="1:7" x14ac:dyDescent="0.45">
      <c r="A2" s="1" t="s">
        <v>183</v>
      </c>
      <c r="C2" s="5">
        <v>353792</v>
      </c>
    </row>
    <row r="3" spans="1:7" x14ac:dyDescent="0.45">
      <c r="A3" s="1" t="s">
        <v>184</v>
      </c>
      <c r="C3" s="5">
        <v>261981</v>
      </c>
    </row>
    <row r="4" spans="1:7" x14ac:dyDescent="0.45">
      <c r="A4" s="1" t="s">
        <v>185</v>
      </c>
    </row>
    <row r="5" spans="1:7" x14ac:dyDescent="0.45">
      <c r="A5" s="1" t="s">
        <v>186</v>
      </c>
      <c r="B5" s="5">
        <v>0</v>
      </c>
    </row>
    <row r="6" spans="1:7" x14ac:dyDescent="0.45">
      <c r="A6" s="1" t="s">
        <v>187</v>
      </c>
      <c r="B6" s="5">
        <v>23244</v>
      </c>
    </row>
    <row r="7" spans="1:7" x14ac:dyDescent="0.45">
      <c r="A7" s="1" t="s">
        <v>188</v>
      </c>
      <c r="B7" s="5">
        <v>0</v>
      </c>
    </row>
    <row r="8" spans="1:7" x14ac:dyDescent="0.45">
      <c r="A8" s="1" t="s">
        <v>189</v>
      </c>
      <c r="B8" s="5">
        <v>0</v>
      </c>
    </row>
    <row r="9" spans="1:7" x14ac:dyDescent="0.45">
      <c r="C9" s="131">
        <f>B5+B6+B7+B8</f>
        <v>23244</v>
      </c>
    </row>
    <row r="10" spans="1:7" x14ac:dyDescent="0.45">
      <c r="A10" s="1" t="s">
        <v>190</v>
      </c>
      <c r="B10" s="5">
        <v>0</v>
      </c>
    </row>
    <row r="11" spans="1:7" x14ac:dyDescent="0.45">
      <c r="A11" s="1" t="s">
        <v>191</v>
      </c>
      <c r="B11" s="5">
        <v>15462</v>
      </c>
    </row>
    <row r="12" spans="1:7" x14ac:dyDescent="0.45">
      <c r="A12" s="1" t="s">
        <v>192</v>
      </c>
      <c r="B12" s="5">
        <v>2952</v>
      </c>
    </row>
    <row r="13" spans="1:7" x14ac:dyDescent="0.45">
      <c r="A13" s="1" t="s">
        <v>196</v>
      </c>
      <c r="B13" s="5">
        <v>50153</v>
      </c>
    </row>
    <row r="14" spans="1:7" x14ac:dyDescent="0.45">
      <c r="C14" s="131">
        <f>B10+B11+B12+B13</f>
        <v>68567</v>
      </c>
      <c r="D14" s="218">
        <f>C14/C2</f>
        <v>0.19380596508683068</v>
      </c>
      <c r="E14" s="1" t="s">
        <v>193</v>
      </c>
    </row>
    <row r="15" spans="1:7" x14ac:dyDescent="0.45">
      <c r="C15" s="131"/>
      <c r="D15" s="218">
        <v>0.15</v>
      </c>
      <c r="E15" s="1" t="s">
        <v>194</v>
      </c>
    </row>
    <row r="16" spans="1:7" x14ac:dyDescent="0.45">
      <c r="D16" s="225">
        <f>IF(D14&gt;D15,D14-D15,0)</f>
        <v>4.3805965086830684E-2</v>
      </c>
      <c r="E16" s="1" t="s">
        <v>195</v>
      </c>
      <c r="G16" s="18"/>
    </row>
    <row r="18" spans="1:5" x14ac:dyDescent="0.45">
      <c r="A18" s="1" t="s">
        <v>288</v>
      </c>
      <c r="D18" s="1" t="s">
        <v>38</v>
      </c>
    </row>
    <row r="19" spans="1:5" x14ac:dyDescent="0.45">
      <c r="A19" s="1" t="s">
        <v>5</v>
      </c>
      <c r="B19" s="338">
        <f>SAO!D26</f>
        <v>902893</v>
      </c>
      <c r="D19" s="337">
        <f>D16*B19</f>
        <v>39552.099235143818</v>
      </c>
    </row>
    <row r="20" spans="1:5" x14ac:dyDescent="0.45">
      <c r="A20" s="1" t="s">
        <v>6</v>
      </c>
      <c r="B20" s="338">
        <f>SAO!D27+SAO!D28</f>
        <v>82590</v>
      </c>
      <c r="D20" s="337">
        <f>D16*B20</f>
        <v>3617.9346565213464</v>
      </c>
    </row>
    <row r="21" spans="1:5" x14ac:dyDescent="0.45">
      <c r="A21" s="1" t="s">
        <v>88</v>
      </c>
      <c r="B21" s="339">
        <f>SAO!D29</f>
        <v>0</v>
      </c>
      <c r="C21" s="340"/>
      <c r="D21" s="341">
        <f>D16*B21</f>
        <v>0</v>
      </c>
    </row>
    <row r="22" spans="1:5" x14ac:dyDescent="0.45">
      <c r="A22" s="1" t="s">
        <v>12</v>
      </c>
      <c r="B22" s="338">
        <f>SUM(B19:B21)</f>
        <v>985483</v>
      </c>
      <c r="D22" s="337">
        <f>SUM(D19:D21)</f>
        <v>43170.033891665167</v>
      </c>
    </row>
    <row r="24" spans="1:5" x14ac:dyDescent="0.45">
      <c r="A24" s="1" t="s">
        <v>289</v>
      </c>
    </row>
    <row r="25" spans="1:5" x14ac:dyDescent="0.45">
      <c r="A25" s="1" t="s">
        <v>290</v>
      </c>
      <c r="D25" s="216">
        <f>D22</f>
        <v>43170.033891665167</v>
      </c>
    </row>
    <row r="26" spans="1:5" x14ac:dyDescent="0.45">
      <c r="A26" s="1" t="s">
        <v>291</v>
      </c>
      <c r="D26" s="153">
        <v>37898</v>
      </c>
    </row>
    <row r="27" spans="1:5" x14ac:dyDescent="0.45">
      <c r="A27" s="1" t="s">
        <v>292</v>
      </c>
      <c r="D27" s="44">
        <f>D25/D26</f>
        <v>1.1391111375709844</v>
      </c>
    </row>
    <row r="28" spans="1:5" x14ac:dyDescent="0.45">
      <c r="D28" s="44"/>
    </row>
    <row r="29" spans="1:5" x14ac:dyDescent="0.45">
      <c r="A29" s="123" t="s">
        <v>316</v>
      </c>
      <c r="B29" s="364"/>
      <c r="C29" s="123"/>
      <c r="D29" s="365"/>
      <c r="E29" s="123"/>
    </row>
    <row r="30" spans="1:5" x14ac:dyDescent="0.45">
      <c r="A30" s="123"/>
      <c r="B30" s="364"/>
      <c r="C30" s="123"/>
      <c r="D30" s="365"/>
      <c r="E30" s="123"/>
    </row>
    <row r="31" spans="1:5" ht="15.75" x14ac:dyDescent="0.5">
      <c r="A31" s="366" t="s">
        <v>328</v>
      </c>
      <c r="B31" s="364"/>
      <c r="C31" s="123"/>
      <c r="D31" s="123"/>
      <c r="E31" s="123"/>
    </row>
    <row r="32" spans="1:5" ht="15.75" x14ac:dyDescent="0.5">
      <c r="A32" s="366" t="s">
        <v>317</v>
      </c>
      <c r="B32" s="364"/>
      <c r="C32" s="123"/>
      <c r="D32" s="123"/>
      <c r="E32" s="123"/>
    </row>
    <row r="33" spans="1:5" x14ac:dyDescent="0.45">
      <c r="A33" s="123"/>
      <c r="B33" s="364"/>
      <c r="C33" s="123"/>
      <c r="D33" s="123"/>
      <c r="E33" s="123"/>
    </row>
    <row r="34" spans="1:5" ht="15.75" x14ac:dyDescent="0.5">
      <c r="A34" s="366" t="s">
        <v>318</v>
      </c>
      <c r="B34" s="364"/>
      <c r="C34" s="123"/>
      <c r="D34" s="123"/>
      <c r="E34" s="123"/>
    </row>
    <row r="35" spans="1:5" ht="15.75" x14ac:dyDescent="0.5">
      <c r="A35" s="366" t="s">
        <v>319</v>
      </c>
      <c r="B35" s="364"/>
      <c r="C35" s="123"/>
      <c r="D35" s="123"/>
      <c r="E35" s="123"/>
    </row>
    <row r="36" spans="1:5" ht="15.75" x14ac:dyDescent="0.5">
      <c r="A36" s="366" t="s">
        <v>320</v>
      </c>
      <c r="B36" s="364"/>
      <c r="C36" s="123"/>
      <c r="D36" s="123"/>
      <c r="E36" s="123"/>
    </row>
    <row r="37" spans="1:5" ht="15.75" x14ac:dyDescent="0.5">
      <c r="A37" s="366" t="s">
        <v>321</v>
      </c>
      <c r="B37" s="364"/>
      <c r="C37" s="123"/>
      <c r="D37" s="123"/>
      <c r="E37" s="123"/>
    </row>
    <row r="38" spans="1:5" ht="15.75" x14ac:dyDescent="0.5">
      <c r="A38" s="366" t="s">
        <v>322</v>
      </c>
      <c r="B38" s="364"/>
      <c r="C38" s="123"/>
      <c r="D38" s="123"/>
      <c r="E38" s="123"/>
    </row>
    <row r="40" spans="1:5" x14ac:dyDescent="0.45">
      <c r="A40" s="1" t="s">
        <v>323</v>
      </c>
      <c r="D40" s="131">
        <f>C14</f>
        <v>68567</v>
      </c>
    </row>
    <row r="41" spans="1:5" x14ac:dyDescent="0.45">
      <c r="A41" s="1" t="s">
        <v>324</v>
      </c>
      <c r="D41" s="367">
        <v>0.15</v>
      </c>
    </row>
    <row r="42" spans="1:5" x14ac:dyDescent="0.45">
      <c r="A42" s="1" t="s">
        <v>325</v>
      </c>
      <c r="D42" s="5">
        <f>ROUND(D40*D41,0)</f>
        <v>10285</v>
      </c>
    </row>
    <row r="43" spans="1:5" x14ac:dyDescent="0.45">
      <c r="A43" s="1" t="s">
        <v>327</v>
      </c>
      <c r="D43" s="368">
        <v>2.6924000000000001</v>
      </c>
    </row>
    <row r="44" spans="1:5" x14ac:dyDescent="0.45">
      <c r="A44" s="1" t="s">
        <v>326</v>
      </c>
      <c r="D44" s="338">
        <f>ROUND(D42*D43,0)</f>
        <v>27691</v>
      </c>
    </row>
    <row r="46" spans="1:5" ht="15.75" x14ac:dyDescent="0.5">
      <c r="A46" s="366" t="s">
        <v>329</v>
      </c>
    </row>
    <row r="47" spans="1:5" ht="15.75" x14ac:dyDescent="0.5">
      <c r="A47" s="366" t="s">
        <v>330</v>
      </c>
    </row>
    <row r="48" spans="1:5" ht="15.75" x14ac:dyDescent="0.45">
      <c r="A48" s="388" t="s">
        <v>331</v>
      </c>
    </row>
    <row r="50" spans="1:4" x14ac:dyDescent="0.45">
      <c r="A50" s="1" t="s">
        <v>288</v>
      </c>
      <c r="D50" s="1" t="s">
        <v>38</v>
      </c>
    </row>
    <row r="51" spans="1:4" x14ac:dyDescent="0.45">
      <c r="A51" s="1" t="s">
        <v>5</v>
      </c>
      <c r="B51" s="338"/>
      <c r="D51" s="337">
        <f>D44</f>
        <v>27691</v>
      </c>
    </row>
    <row r="52" spans="1:4" x14ac:dyDescent="0.45">
      <c r="A52" s="1" t="s">
        <v>6</v>
      </c>
      <c r="B52" s="338">
        <f>SAO!D59+SAO!D60</f>
        <v>0</v>
      </c>
      <c r="D52" s="337">
        <f>D48*B52</f>
        <v>0</v>
      </c>
    </row>
    <row r="53" spans="1:4" x14ac:dyDescent="0.45">
      <c r="A53" s="1" t="s">
        <v>88</v>
      </c>
      <c r="B53" s="339">
        <f>SAO!D61</f>
        <v>0</v>
      </c>
      <c r="C53" s="340"/>
      <c r="D53" s="341">
        <f>D48*B53</f>
        <v>0</v>
      </c>
    </row>
    <row r="54" spans="1:4" x14ac:dyDescent="0.45">
      <c r="A54" s="1" t="s">
        <v>12</v>
      </c>
      <c r="B54" s="338">
        <f>SUM(B51:B53)</f>
        <v>0</v>
      </c>
      <c r="D54" s="337">
        <f>SUM(D51:D53)</f>
        <v>27691</v>
      </c>
    </row>
    <row r="56" spans="1:4" x14ac:dyDescent="0.45">
      <c r="A56" s="1" t="s">
        <v>289</v>
      </c>
    </row>
    <row r="57" spans="1:4" x14ac:dyDescent="0.45">
      <c r="A57" s="1" t="s">
        <v>290</v>
      </c>
      <c r="D57" s="216">
        <f>D54</f>
        <v>27691</v>
      </c>
    </row>
    <row r="58" spans="1:4" x14ac:dyDescent="0.45">
      <c r="A58" s="1" t="s">
        <v>291</v>
      </c>
      <c r="D58" s="153">
        <v>37898</v>
      </c>
    </row>
    <row r="59" spans="1:4" x14ac:dyDescent="0.45">
      <c r="A59" s="1" t="s">
        <v>292</v>
      </c>
      <c r="D59" s="44">
        <f>D57/D58</f>
        <v>0.73067180326138581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H74"/>
  <sheetViews>
    <sheetView showGridLines="0" topLeftCell="A55" workbookViewId="0">
      <selection activeCell="G81" sqref="G81"/>
    </sheetView>
  </sheetViews>
  <sheetFormatPr defaultColWidth="8.88671875" defaultRowHeight="14.25" x14ac:dyDescent="0.45"/>
  <cols>
    <col min="1" max="1" width="2.609375" style="15" customWidth="1"/>
    <col min="2" max="2" width="1.77734375" style="24" customWidth="1"/>
    <col min="3" max="3" width="4.609375" style="24" customWidth="1"/>
    <col min="4" max="4" width="7.609375" style="100" customWidth="1"/>
    <col min="5" max="5" width="10.609375" style="243" customWidth="1"/>
    <col min="6" max="6" width="10.609375" style="24" customWidth="1"/>
    <col min="7" max="7" width="12.609375" style="24" customWidth="1"/>
    <col min="8" max="8" width="10.609375" style="24" customWidth="1"/>
    <col min="9" max="9" width="12.609375" style="86" customWidth="1"/>
    <col min="10" max="10" width="10.609375" style="24" customWidth="1"/>
    <col min="11" max="11" width="6" style="237" customWidth="1"/>
    <col min="12" max="12" width="1.77734375" style="24" customWidth="1"/>
    <col min="13" max="190" width="9.6640625" style="24" customWidth="1"/>
    <col min="191" max="16384" width="8.88671875" style="15"/>
  </cols>
  <sheetData>
    <row r="1" spans="2:190" ht="14.65" thickBot="1" x14ac:dyDescent="0.5"/>
    <row r="2" spans="2:190" x14ac:dyDescent="0.45">
      <c r="B2" s="247"/>
      <c r="C2" s="248"/>
      <c r="D2" s="249"/>
      <c r="E2" s="263"/>
      <c r="F2" s="248"/>
      <c r="G2" s="248"/>
      <c r="H2" s="248"/>
      <c r="I2" s="250"/>
      <c r="J2" s="248"/>
      <c r="K2" s="251"/>
      <c r="L2" s="252"/>
    </row>
    <row r="3" spans="2:190" ht="18" hidden="1" x14ac:dyDescent="0.55000000000000004">
      <c r="B3" s="253"/>
      <c r="C3" s="376" t="s">
        <v>85</v>
      </c>
      <c r="D3" s="376"/>
      <c r="E3" s="376"/>
      <c r="F3" s="376"/>
      <c r="G3" s="376"/>
      <c r="H3" s="376"/>
      <c r="I3" s="376"/>
      <c r="J3" s="376"/>
      <c r="L3" s="254"/>
    </row>
    <row r="4" spans="2:190" ht="7.15" customHeight="1" x14ac:dyDescent="0.45">
      <c r="B4" s="253"/>
      <c r="L4" s="254"/>
    </row>
    <row r="5" spans="2:190" ht="18" x14ac:dyDescent="0.55000000000000004">
      <c r="B5" s="253"/>
      <c r="C5" s="371" t="s">
        <v>56</v>
      </c>
      <c r="D5" s="371"/>
      <c r="E5" s="371"/>
      <c r="F5" s="371"/>
      <c r="G5" s="371"/>
      <c r="H5" s="371"/>
      <c r="I5" s="371"/>
      <c r="J5" s="371"/>
      <c r="L5" s="254"/>
    </row>
    <row r="6" spans="2:190" ht="18" customHeight="1" x14ac:dyDescent="0.45">
      <c r="B6" s="253"/>
      <c r="C6" s="372" t="str">
        <f>SAO!A2</f>
        <v>UNION COUNTY WATER DISTRICT</v>
      </c>
      <c r="D6" s="372"/>
      <c r="E6" s="372"/>
      <c r="F6" s="372"/>
      <c r="G6" s="372"/>
      <c r="H6" s="372"/>
      <c r="I6" s="372"/>
      <c r="J6" s="372"/>
      <c r="L6" s="254"/>
    </row>
    <row r="7" spans="2:190" ht="6" customHeight="1" x14ac:dyDescent="0.45">
      <c r="B7" s="253"/>
      <c r="L7" s="254"/>
    </row>
    <row r="8" spans="2:190" ht="14.25" customHeight="1" x14ac:dyDescent="0.45">
      <c r="B8" s="253"/>
      <c r="C8" s="82" t="s">
        <v>208</v>
      </c>
      <c r="D8" s="242"/>
      <c r="E8" s="264"/>
      <c r="F8" s="375" t="s">
        <v>202</v>
      </c>
      <c r="G8" s="375"/>
      <c r="H8" s="375" t="s">
        <v>11</v>
      </c>
      <c r="I8" s="375"/>
      <c r="J8" s="375" t="s">
        <v>68</v>
      </c>
      <c r="K8" s="375"/>
      <c r="L8" s="255"/>
      <c r="GH8" s="15"/>
    </row>
    <row r="9" spans="2:190" ht="17.25" customHeight="1" x14ac:dyDescent="0.45">
      <c r="B9" s="253"/>
      <c r="C9" s="98" t="s">
        <v>211</v>
      </c>
      <c r="D9" s="4">
        <v>2000</v>
      </c>
      <c r="E9" s="99" t="s">
        <v>210</v>
      </c>
      <c r="F9" s="245">
        <v>13.79</v>
      </c>
      <c r="G9" s="46" t="s">
        <v>115</v>
      </c>
      <c r="H9" s="46">
        <f>ROUND(F9*(1+'Revenue Requirements'!$G$12),2)</f>
        <v>15.09</v>
      </c>
      <c r="I9" s="86" t="s">
        <v>115</v>
      </c>
      <c r="J9" s="46">
        <f>H9-F9</f>
        <v>1.3000000000000007</v>
      </c>
      <c r="K9" s="68">
        <f>J9/F9</f>
        <v>9.4271211022480109E-2</v>
      </c>
      <c r="L9" s="255"/>
      <c r="GH9" s="15"/>
    </row>
    <row r="10" spans="2:190" ht="14.25" customHeight="1" x14ac:dyDescent="0.45">
      <c r="B10" s="253"/>
      <c r="C10" s="98" t="s">
        <v>212</v>
      </c>
      <c r="D10" s="4">
        <v>3000</v>
      </c>
      <c r="E10" s="99" t="s">
        <v>210</v>
      </c>
      <c r="F10" s="246">
        <v>6.8900000000000003E-3</v>
      </c>
      <c r="G10" s="46" t="s">
        <v>209</v>
      </c>
      <c r="H10" s="241">
        <f>ROUND(F10*(1+'Revenue Requirements'!$G$12),5)</f>
        <v>7.5399999999999998E-3</v>
      </c>
      <c r="I10" s="86" t="s">
        <v>209</v>
      </c>
      <c r="J10" s="241">
        <f>H10-F10</f>
        <v>6.4999999999999954E-4</v>
      </c>
      <c r="K10" s="68">
        <f t="shared" ref="K10:K17" si="0">J10/F10</f>
        <v>9.4339622641509358E-2</v>
      </c>
      <c r="L10" s="255"/>
      <c r="GH10" s="15"/>
    </row>
    <row r="11" spans="2:190" ht="14.25" customHeight="1" x14ac:dyDescent="0.45">
      <c r="B11" s="256"/>
      <c r="C11" s="98" t="s">
        <v>212</v>
      </c>
      <c r="D11" s="4">
        <v>5000</v>
      </c>
      <c r="E11" s="99" t="s">
        <v>210</v>
      </c>
      <c r="F11" s="246">
        <v>6.4900000000000001E-3</v>
      </c>
      <c r="G11" s="46" t="s">
        <v>209</v>
      </c>
      <c r="H11" s="241">
        <f>ROUND(F11*(1+'Revenue Requirements'!$G$12),5)</f>
        <v>7.1000000000000004E-3</v>
      </c>
      <c r="I11" s="86" t="s">
        <v>209</v>
      </c>
      <c r="J11" s="241">
        <f t="shared" ref="J11:J17" si="1">H11-F11</f>
        <v>6.100000000000003E-4</v>
      </c>
      <c r="K11" s="68">
        <f t="shared" si="0"/>
        <v>9.3990755007704208E-2</v>
      </c>
      <c r="L11" s="255"/>
      <c r="GH11" s="15"/>
    </row>
    <row r="12" spans="2:190" ht="14.25" customHeight="1" x14ac:dyDescent="0.45">
      <c r="B12" s="256"/>
      <c r="C12" s="98" t="s">
        <v>212</v>
      </c>
      <c r="D12" s="4">
        <v>15000</v>
      </c>
      <c r="E12" s="99" t="s">
        <v>210</v>
      </c>
      <c r="F12" s="246">
        <v>6.1399999999999996E-3</v>
      </c>
      <c r="G12" s="46" t="s">
        <v>209</v>
      </c>
      <c r="H12" s="241">
        <f>ROUND(F12*(1+'Revenue Requirements'!$G$12),5)</f>
        <v>6.7200000000000003E-3</v>
      </c>
      <c r="I12" s="86" t="s">
        <v>209</v>
      </c>
      <c r="J12" s="241">
        <f t="shared" si="1"/>
        <v>5.8000000000000065E-4</v>
      </c>
      <c r="K12" s="68">
        <f t="shared" si="0"/>
        <v>9.4462540716612489E-2</v>
      </c>
      <c r="L12" s="255"/>
      <c r="GH12" s="15"/>
    </row>
    <row r="13" spans="2:190" ht="14.25" customHeight="1" x14ac:dyDescent="0.45">
      <c r="B13" s="256"/>
      <c r="C13" s="98" t="s">
        <v>212</v>
      </c>
      <c r="D13" s="4">
        <v>25000</v>
      </c>
      <c r="E13" s="99" t="s">
        <v>210</v>
      </c>
      <c r="F13" s="246">
        <v>5.8399999999999997E-3</v>
      </c>
      <c r="G13" s="46" t="s">
        <v>209</v>
      </c>
      <c r="H13" s="241">
        <f>ROUND(F13*(1+'Revenue Requirements'!$G$12),5)</f>
        <v>6.3899999999999998E-3</v>
      </c>
      <c r="I13" s="86" t="s">
        <v>209</v>
      </c>
      <c r="J13" s="241">
        <f t="shared" si="1"/>
        <v>5.5000000000000014E-4</v>
      </c>
      <c r="K13" s="68">
        <f t="shared" si="0"/>
        <v>9.4178082191780851E-2</v>
      </c>
      <c r="L13" s="255"/>
      <c r="GH13" s="15"/>
    </row>
    <row r="14" spans="2:190" ht="14.25" customHeight="1" x14ac:dyDescent="0.45">
      <c r="B14" s="256"/>
      <c r="C14" s="98" t="s">
        <v>212</v>
      </c>
      <c r="D14" s="4">
        <v>50000</v>
      </c>
      <c r="E14" s="99" t="s">
        <v>210</v>
      </c>
      <c r="F14" s="246">
        <v>5.4400000000000004E-3</v>
      </c>
      <c r="G14" s="46" t="s">
        <v>209</v>
      </c>
      <c r="H14" s="241">
        <f>ROUND(F14*(1+'Revenue Requirements'!$G$12),5)</f>
        <v>5.9500000000000004E-3</v>
      </c>
      <c r="I14" s="86" t="s">
        <v>209</v>
      </c>
      <c r="J14" s="241">
        <f t="shared" si="1"/>
        <v>5.1000000000000004E-4</v>
      </c>
      <c r="K14" s="68">
        <f t="shared" si="0"/>
        <v>9.375E-2</v>
      </c>
      <c r="L14" s="255"/>
      <c r="GH14" s="15"/>
    </row>
    <row r="15" spans="2:190" ht="14.25" customHeight="1" x14ac:dyDescent="0.45">
      <c r="B15" s="256"/>
      <c r="C15" s="98" t="s">
        <v>212</v>
      </c>
      <c r="D15" s="4">
        <v>100000</v>
      </c>
      <c r="E15" s="99" t="s">
        <v>210</v>
      </c>
      <c r="F15" s="246">
        <v>5.0400000000000002E-3</v>
      </c>
      <c r="G15" s="46" t="s">
        <v>209</v>
      </c>
      <c r="H15" s="241">
        <f>ROUND(F15*(1+'Revenue Requirements'!$G$12),5)</f>
        <v>5.5100000000000001E-3</v>
      </c>
      <c r="I15" s="86" t="s">
        <v>209</v>
      </c>
      <c r="J15" s="241">
        <f t="shared" si="1"/>
        <v>4.6999999999999993E-4</v>
      </c>
      <c r="K15" s="68">
        <f t="shared" si="0"/>
        <v>9.3253968253968242E-2</v>
      </c>
      <c r="L15" s="255"/>
      <c r="GH15" s="15"/>
    </row>
    <row r="16" spans="2:190" ht="15" customHeight="1" x14ac:dyDescent="0.45">
      <c r="B16" s="256"/>
      <c r="C16" s="98" t="s">
        <v>212</v>
      </c>
      <c r="D16" s="103">
        <v>100000</v>
      </c>
      <c r="E16" s="99" t="s">
        <v>210</v>
      </c>
      <c r="F16" s="246">
        <v>4.64E-3</v>
      </c>
      <c r="G16" s="46" t="s">
        <v>209</v>
      </c>
      <c r="H16" s="241">
        <f>ROUND(F16*(1+'Revenue Requirements'!$G$12),5)</f>
        <v>5.0800000000000003E-3</v>
      </c>
      <c r="I16" s="86" t="s">
        <v>209</v>
      </c>
      <c r="J16" s="241">
        <f t="shared" si="1"/>
        <v>4.4000000000000029E-4</v>
      </c>
      <c r="K16" s="68">
        <f t="shared" si="0"/>
        <v>9.4827586206896616E-2</v>
      </c>
      <c r="L16" s="255"/>
      <c r="GH16" s="15"/>
    </row>
    <row r="17" spans="2:190" ht="15" customHeight="1" x14ac:dyDescent="0.45">
      <c r="B17" s="253"/>
      <c r="C17" s="244" t="s">
        <v>213</v>
      </c>
      <c r="D17" s="103">
        <v>300000</v>
      </c>
      <c r="E17" s="243" t="s">
        <v>210</v>
      </c>
      <c r="F17" s="246">
        <v>4.2399999999999998E-3</v>
      </c>
      <c r="G17" s="46" t="s">
        <v>209</v>
      </c>
      <c r="H17" s="241">
        <f>ROUND(F17*(1+'Revenue Requirements'!$G$12),5)</f>
        <v>4.64E-3</v>
      </c>
      <c r="I17" s="86" t="s">
        <v>209</v>
      </c>
      <c r="J17" s="241">
        <f t="shared" si="1"/>
        <v>4.0000000000000018E-4</v>
      </c>
      <c r="K17" s="68">
        <f t="shared" si="0"/>
        <v>9.4339622641509482E-2</v>
      </c>
      <c r="L17" s="255"/>
      <c r="GH17" s="15"/>
    </row>
    <row r="18" spans="2:190" ht="15" customHeight="1" x14ac:dyDescent="0.45">
      <c r="B18" s="253"/>
      <c r="C18" s="79"/>
      <c r="D18" s="103"/>
      <c r="F18" s="80"/>
      <c r="G18" s="79"/>
      <c r="H18" s="46"/>
      <c r="I18" s="87"/>
      <c r="J18" s="46"/>
      <c r="K18" s="68"/>
      <c r="L18" s="255"/>
      <c r="GH18" s="15"/>
    </row>
    <row r="19" spans="2:190" ht="15" customHeight="1" x14ac:dyDescent="0.45">
      <c r="B19" s="253"/>
      <c r="C19" s="82" t="s">
        <v>214</v>
      </c>
      <c r="D19" s="242"/>
      <c r="E19" s="264"/>
      <c r="F19" s="375" t="s">
        <v>202</v>
      </c>
      <c r="G19" s="375"/>
      <c r="H19" s="375" t="s">
        <v>11</v>
      </c>
      <c r="I19" s="375"/>
      <c r="J19" s="375" t="s">
        <v>68</v>
      </c>
      <c r="K19" s="375"/>
      <c r="L19" s="255"/>
      <c r="GH19" s="15"/>
    </row>
    <row r="20" spans="2:190" ht="15" customHeight="1" x14ac:dyDescent="0.45">
      <c r="B20" s="253"/>
      <c r="C20" s="98" t="s">
        <v>211</v>
      </c>
      <c r="D20" s="4">
        <v>5000</v>
      </c>
      <c r="E20" s="99" t="s">
        <v>210</v>
      </c>
      <c r="F20" s="245">
        <v>34.450000000000003</v>
      </c>
      <c r="G20" s="46" t="s">
        <v>115</v>
      </c>
      <c r="H20" s="46">
        <f>ROUND(F20*(1+'Revenue Requirements'!$G$12),2)</f>
        <v>37.69</v>
      </c>
      <c r="I20" s="86" t="s">
        <v>115</v>
      </c>
      <c r="J20" s="46">
        <f>H20-F20</f>
        <v>3.2399999999999949</v>
      </c>
      <c r="K20" s="68">
        <f>J20/F20</f>
        <v>9.4049346879535409E-2</v>
      </c>
      <c r="L20" s="255"/>
      <c r="GH20" s="15"/>
    </row>
    <row r="21" spans="2:190" ht="15" customHeight="1" x14ac:dyDescent="0.45">
      <c r="B21" s="253"/>
      <c r="C21" s="98" t="s">
        <v>212</v>
      </c>
      <c r="D21" s="4">
        <v>5000</v>
      </c>
      <c r="E21" s="99" t="s">
        <v>210</v>
      </c>
      <c r="F21" s="246">
        <v>6.4900000000000001E-3</v>
      </c>
      <c r="G21" s="46" t="s">
        <v>209</v>
      </c>
      <c r="H21" s="241">
        <f>ROUND(F21*(1+'Revenue Requirements'!$G$12),5)</f>
        <v>7.1000000000000004E-3</v>
      </c>
      <c r="I21" s="86" t="s">
        <v>209</v>
      </c>
      <c r="J21" s="241">
        <f t="shared" ref="J21:J27" si="2">H21-F21</f>
        <v>6.100000000000003E-4</v>
      </c>
      <c r="K21" s="68">
        <f t="shared" ref="K21:K27" si="3">J21/F21</f>
        <v>9.3990755007704208E-2</v>
      </c>
      <c r="L21" s="255"/>
      <c r="GH21" s="15"/>
    </row>
    <row r="22" spans="2:190" ht="15" customHeight="1" x14ac:dyDescent="0.45">
      <c r="B22" s="253"/>
      <c r="C22" s="98" t="s">
        <v>212</v>
      </c>
      <c r="D22" s="4">
        <v>15000</v>
      </c>
      <c r="E22" s="99" t="s">
        <v>210</v>
      </c>
      <c r="F22" s="246">
        <v>6.1399999999999996E-3</v>
      </c>
      <c r="G22" s="46" t="s">
        <v>209</v>
      </c>
      <c r="H22" s="241">
        <f>ROUND(F22*(1+'Revenue Requirements'!$G$12),5)</f>
        <v>6.7200000000000003E-3</v>
      </c>
      <c r="I22" s="86" t="s">
        <v>209</v>
      </c>
      <c r="J22" s="241">
        <f t="shared" si="2"/>
        <v>5.8000000000000065E-4</v>
      </c>
      <c r="K22" s="68">
        <f t="shared" si="3"/>
        <v>9.4462540716612489E-2</v>
      </c>
      <c r="L22" s="255"/>
      <c r="GH22" s="15"/>
    </row>
    <row r="23" spans="2:190" ht="15" customHeight="1" x14ac:dyDescent="0.45">
      <c r="B23" s="253"/>
      <c r="C23" s="98" t="s">
        <v>212</v>
      </c>
      <c r="D23" s="4">
        <v>25000</v>
      </c>
      <c r="E23" s="99" t="s">
        <v>210</v>
      </c>
      <c r="F23" s="246">
        <v>5.8399999999999997E-3</v>
      </c>
      <c r="G23" s="46" t="s">
        <v>209</v>
      </c>
      <c r="H23" s="241">
        <f>ROUND(F23*(1+'Revenue Requirements'!$G$12),5)</f>
        <v>6.3899999999999998E-3</v>
      </c>
      <c r="I23" s="86" t="s">
        <v>209</v>
      </c>
      <c r="J23" s="241">
        <f t="shared" si="2"/>
        <v>5.5000000000000014E-4</v>
      </c>
      <c r="K23" s="68">
        <f t="shared" si="3"/>
        <v>9.4178082191780851E-2</v>
      </c>
      <c r="L23" s="254"/>
      <c r="GH23" s="15"/>
    </row>
    <row r="24" spans="2:190" ht="15" customHeight="1" x14ac:dyDescent="0.45">
      <c r="B24" s="253"/>
      <c r="C24" s="98" t="s">
        <v>212</v>
      </c>
      <c r="D24" s="4">
        <v>50000</v>
      </c>
      <c r="E24" s="99" t="s">
        <v>210</v>
      </c>
      <c r="F24" s="246">
        <v>5.4400000000000004E-3</v>
      </c>
      <c r="G24" s="46" t="s">
        <v>209</v>
      </c>
      <c r="H24" s="241">
        <f>ROUND(F24*(1+'Revenue Requirements'!$G$12),5)</f>
        <v>5.9500000000000004E-3</v>
      </c>
      <c r="I24" s="86" t="s">
        <v>209</v>
      </c>
      <c r="J24" s="241">
        <f t="shared" si="2"/>
        <v>5.1000000000000004E-4</v>
      </c>
      <c r="K24" s="68">
        <f t="shared" si="3"/>
        <v>9.375E-2</v>
      </c>
      <c r="L24" s="254"/>
      <c r="GH24" s="15"/>
    </row>
    <row r="25" spans="2:190" ht="15" customHeight="1" x14ac:dyDescent="0.45">
      <c r="B25" s="253"/>
      <c r="C25" s="98" t="s">
        <v>212</v>
      </c>
      <c r="D25" s="4">
        <v>100000</v>
      </c>
      <c r="E25" s="99" t="s">
        <v>210</v>
      </c>
      <c r="F25" s="246">
        <v>5.0400000000000002E-3</v>
      </c>
      <c r="G25" s="46" t="s">
        <v>209</v>
      </c>
      <c r="H25" s="241">
        <f>ROUND(F25*(1+'Revenue Requirements'!$G$12),5)</f>
        <v>5.5100000000000001E-3</v>
      </c>
      <c r="I25" s="86" t="s">
        <v>209</v>
      </c>
      <c r="J25" s="241">
        <f t="shared" si="2"/>
        <v>4.6999999999999993E-4</v>
      </c>
      <c r="K25" s="68">
        <f t="shared" si="3"/>
        <v>9.3253968253968242E-2</v>
      </c>
      <c r="L25" s="254"/>
      <c r="GH25" s="15"/>
    </row>
    <row r="26" spans="2:190" ht="14.25" customHeight="1" x14ac:dyDescent="0.45">
      <c r="B26" s="253"/>
      <c r="C26" s="98" t="s">
        <v>212</v>
      </c>
      <c r="D26" s="103">
        <v>100000</v>
      </c>
      <c r="E26" s="99" t="s">
        <v>210</v>
      </c>
      <c r="F26" s="246">
        <v>4.64E-3</v>
      </c>
      <c r="G26" s="46" t="s">
        <v>209</v>
      </c>
      <c r="H26" s="241">
        <f>ROUND(F26*(1+'Revenue Requirements'!$G$12),5)</f>
        <v>5.0800000000000003E-3</v>
      </c>
      <c r="I26" s="86" t="s">
        <v>209</v>
      </c>
      <c r="J26" s="241">
        <f t="shared" si="2"/>
        <v>4.4000000000000029E-4</v>
      </c>
      <c r="K26" s="68">
        <f t="shared" si="3"/>
        <v>9.4827586206896616E-2</v>
      </c>
      <c r="L26" s="254"/>
      <c r="GH26" s="15"/>
    </row>
    <row r="27" spans="2:190" ht="14.25" customHeight="1" x14ac:dyDescent="0.45">
      <c r="B27" s="253"/>
      <c r="C27" s="244" t="s">
        <v>213</v>
      </c>
      <c r="D27" s="103">
        <v>300000</v>
      </c>
      <c r="E27" s="243" t="s">
        <v>210</v>
      </c>
      <c r="F27" s="246">
        <v>4.2399999999999998E-3</v>
      </c>
      <c r="G27" s="46" t="s">
        <v>209</v>
      </c>
      <c r="H27" s="241">
        <f>ROUND(F27*(1+'Revenue Requirements'!$G$12),5)</f>
        <v>4.64E-3</v>
      </c>
      <c r="I27" s="86" t="s">
        <v>209</v>
      </c>
      <c r="J27" s="241">
        <f t="shared" si="2"/>
        <v>4.0000000000000018E-4</v>
      </c>
      <c r="K27" s="68">
        <f t="shared" si="3"/>
        <v>9.4339622641509482E-2</v>
      </c>
      <c r="L27" s="254"/>
      <c r="GH27" s="15"/>
    </row>
    <row r="28" spans="2:190" ht="14.25" customHeight="1" x14ac:dyDescent="0.45">
      <c r="B28" s="253"/>
      <c r="C28" s="82"/>
      <c r="D28" s="242"/>
      <c r="E28" s="264"/>
      <c r="F28" s="84"/>
      <c r="G28" s="1"/>
      <c r="H28" s="46"/>
      <c r="I28" s="1"/>
      <c r="J28" s="46"/>
      <c r="K28" s="68"/>
      <c r="L28" s="254"/>
      <c r="GH28" s="15"/>
    </row>
    <row r="29" spans="2:190" ht="14.25" customHeight="1" x14ac:dyDescent="0.45">
      <c r="B29" s="253"/>
      <c r="C29" s="82" t="s">
        <v>116</v>
      </c>
      <c r="D29" s="242"/>
      <c r="E29" s="264"/>
      <c r="F29" s="375" t="s">
        <v>202</v>
      </c>
      <c r="G29" s="375"/>
      <c r="H29" s="375" t="s">
        <v>11</v>
      </c>
      <c r="I29" s="375"/>
      <c r="J29" s="375" t="s">
        <v>68</v>
      </c>
      <c r="K29" s="375"/>
      <c r="L29" s="254"/>
      <c r="GH29" s="15"/>
    </row>
    <row r="30" spans="2:190" ht="14.25" customHeight="1" x14ac:dyDescent="0.45">
      <c r="B30" s="253"/>
      <c r="C30" s="98" t="s">
        <v>211</v>
      </c>
      <c r="D30" s="4">
        <v>10000</v>
      </c>
      <c r="E30" s="99" t="s">
        <v>210</v>
      </c>
      <c r="F30" s="245">
        <v>66.900000000000006</v>
      </c>
      <c r="G30" s="46" t="s">
        <v>115</v>
      </c>
      <c r="H30" s="46">
        <f>ROUND(F30*(1+'Revenue Requirements'!$G$12),2)</f>
        <v>73.2</v>
      </c>
      <c r="I30" s="86" t="s">
        <v>115</v>
      </c>
      <c r="J30" s="46">
        <f>H30-F30</f>
        <v>6.2999999999999972</v>
      </c>
      <c r="K30" s="68">
        <f>J30/F30</f>
        <v>9.4170403587443899E-2</v>
      </c>
      <c r="L30" s="254"/>
      <c r="GH30" s="15"/>
    </row>
    <row r="31" spans="2:190" ht="14.25" customHeight="1" x14ac:dyDescent="0.45">
      <c r="B31" s="253"/>
      <c r="C31" s="98" t="s">
        <v>212</v>
      </c>
      <c r="D31" s="4">
        <v>15000</v>
      </c>
      <c r="E31" s="99" t="s">
        <v>210</v>
      </c>
      <c r="F31" s="246">
        <v>6.1399999999999996E-3</v>
      </c>
      <c r="G31" s="46" t="s">
        <v>209</v>
      </c>
      <c r="H31" s="241">
        <f>ROUND(F31*(1+'Revenue Requirements'!$G$12),5)</f>
        <v>6.7200000000000003E-3</v>
      </c>
      <c r="I31" s="86" t="s">
        <v>209</v>
      </c>
      <c r="J31" s="241">
        <f t="shared" ref="J31:J36" si="4">H31-F31</f>
        <v>5.8000000000000065E-4</v>
      </c>
      <c r="K31" s="68">
        <f t="shared" ref="K31:K36" si="5">J31/F31</f>
        <v>9.4462540716612489E-2</v>
      </c>
      <c r="L31" s="254"/>
      <c r="GH31" s="15"/>
    </row>
    <row r="32" spans="2:190" ht="14.25" customHeight="1" x14ac:dyDescent="0.45">
      <c r="B32" s="253"/>
      <c r="C32" s="98" t="s">
        <v>212</v>
      </c>
      <c r="D32" s="4">
        <v>25000</v>
      </c>
      <c r="E32" s="99" t="s">
        <v>210</v>
      </c>
      <c r="F32" s="246">
        <v>5.8399999999999997E-3</v>
      </c>
      <c r="G32" s="46" t="s">
        <v>209</v>
      </c>
      <c r="H32" s="241">
        <f>ROUND(F32*(1+'Revenue Requirements'!$G$12),5)</f>
        <v>6.3899999999999998E-3</v>
      </c>
      <c r="I32" s="86" t="s">
        <v>209</v>
      </c>
      <c r="J32" s="241">
        <f t="shared" si="4"/>
        <v>5.5000000000000014E-4</v>
      </c>
      <c r="K32" s="68">
        <f t="shared" si="5"/>
        <v>9.4178082191780851E-2</v>
      </c>
      <c r="L32" s="254"/>
      <c r="GH32" s="15"/>
    </row>
    <row r="33" spans="2:190" ht="14.25" customHeight="1" x14ac:dyDescent="0.45">
      <c r="B33" s="253"/>
      <c r="C33" s="98" t="s">
        <v>212</v>
      </c>
      <c r="D33" s="4">
        <v>50000</v>
      </c>
      <c r="E33" s="99" t="s">
        <v>210</v>
      </c>
      <c r="F33" s="246">
        <v>5.4400000000000004E-3</v>
      </c>
      <c r="G33" s="46" t="s">
        <v>209</v>
      </c>
      <c r="H33" s="241">
        <f>ROUND(F33*(1+'Revenue Requirements'!$G$12),5)</f>
        <v>5.9500000000000004E-3</v>
      </c>
      <c r="I33" s="86" t="s">
        <v>209</v>
      </c>
      <c r="J33" s="241">
        <f t="shared" si="4"/>
        <v>5.1000000000000004E-4</v>
      </c>
      <c r="K33" s="68">
        <f t="shared" si="5"/>
        <v>9.375E-2</v>
      </c>
      <c r="L33" s="254"/>
      <c r="GH33" s="15"/>
    </row>
    <row r="34" spans="2:190" ht="14.25" customHeight="1" x14ac:dyDescent="0.45">
      <c r="B34" s="253"/>
      <c r="C34" s="98" t="s">
        <v>212</v>
      </c>
      <c r="D34" s="4">
        <v>100000</v>
      </c>
      <c r="E34" s="99" t="s">
        <v>210</v>
      </c>
      <c r="F34" s="246">
        <v>5.0400000000000002E-3</v>
      </c>
      <c r="G34" s="46" t="s">
        <v>209</v>
      </c>
      <c r="H34" s="241">
        <f>ROUND(F34*(1+'Revenue Requirements'!$G$12),5)</f>
        <v>5.5100000000000001E-3</v>
      </c>
      <c r="I34" s="86" t="s">
        <v>209</v>
      </c>
      <c r="J34" s="241">
        <f t="shared" si="4"/>
        <v>4.6999999999999993E-4</v>
      </c>
      <c r="K34" s="68">
        <f t="shared" si="5"/>
        <v>9.3253968253968242E-2</v>
      </c>
      <c r="L34" s="254"/>
      <c r="GH34" s="15"/>
    </row>
    <row r="35" spans="2:190" ht="14.25" customHeight="1" x14ac:dyDescent="0.45">
      <c r="B35" s="253"/>
      <c r="C35" s="98" t="s">
        <v>212</v>
      </c>
      <c r="D35" s="103">
        <v>100000</v>
      </c>
      <c r="E35" s="99" t="s">
        <v>210</v>
      </c>
      <c r="F35" s="246">
        <v>4.64E-3</v>
      </c>
      <c r="G35" s="46" t="s">
        <v>209</v>
      </c>
      <c r="H35" s="241">
        <f>ROUND(F35*(1+'Revenue Requirements'!$G$12),5)</f>
        <v>5.0800000000000003E-3</v>
      </c>
      <c r="I35" s="86" t="s">
        <v>209</v>
      </c>
      <c r="J35" s="241">
        <f t="shared" si="4"/>
        <v>4.4000000000000029E-4</v>
      </c>
      <c r="K35" s="68">
        <f t="shared" si="5"/>
        <v>9.4827586206896616E-2</v>
      </c>
      <c r="L35" s="254"/>
      <c r="GH35" s="15"/>
    </row>
    <row r="36" spans="2:190" x14ac:dyDescent="0.45">
      <c r="B36" s="253"/>
      <c r="C36" s="244" t="s">
        <v>213</v>
      </c>
      <c r="D36" s="103">
        <v>300000</v>
      </c>
      <c r="E36" s="243" t="s">
        <v>210</v>
      </c>
      <c r="F36" s="246">
        <v>4.2399999999999998E-3</v>
      </c>
      <c r="G36" s="46" t="s">
        <v>209</v>
      </c>
      <c r="H36" s="241">
        <f>ROUND(F36*(1+'Revenue Requirements'!$G$12),5)</f>
        <v>4.64E-3</v>
      </c>
      <c r="I36" s="86" t="s">
        <v>209</v>
      </c>
      <c r="J36" s="241">
        <f t="shared" si="4"/>
        <v>4.0000000000000018E-4</v>
      </c>
      <c r="K36" s="68">
        <f t="shared" si="5"/>
        <v>9.4339622641509482E-2</v>
      </c>
      <c r="L36" s="254"/>
    </row>
    <row r="37" spans="2:190" x14ac:dyDescent="0.45">
      <c r="B37" s="253"/>
      <c r="L37" s="254"/>
    </row>
    <row r="38" spans="2:190" x14ac:dyDescent="0.45">
      <c r="B38" s="253"/>
      <c r="C38" s="82" t="s">
        <v>117</v>
      </c>
      <c r="D38" s="242"/>
      <c r="E38" s="264"/>
      <c r="F38" s="375" t="s">
        <v>202</v>
      </c>
      <c r="G38" s="375"/>
      <c r="H38" s="375" t="s">
        <v>11</v>
      </c>
      <c r="I38" s="375"/>
      <c r="J38" s="375" t="s">
        <v>68</v>
      </c>
      <c r="K38" s="375"/>
      <c r="L38" s="254"/>
    </row>
    <row r="39" spans="2:190" x14ac:dyDescent="0.45">
      <c r="B39" s="253"/>
      <c r="C39" s="98" t="s">
        <v>211</v>
      </c>
      <c r="D39" s="4">
        <v>25000</v>
      </c>
      <c r="E39" s="99" t="s">
        <v>210</v>
      </c>
      <c r="F39" s="245">
        <v>159</v>
      </c>
      <c r="G39" s="46" t="s">
        <v>115</v>
      </c>
      <c r="H39" s="46">
        <f>ROUND(F39*(1+'Revenue Requirements'!$G$12),2)</f>
        <v>173.96</v>
      </c>
      <c r="I39" s="86" t="s">
        <v>115</v>
      </c>
      <c r="J39" s="46">
        <f>H39-F39</f>
        <v>14.960000000000008</v>
      </c>
      <c r="K39" s="68">
        <f>J39/F39</f>
        <v>9.408805031446546E-2</v>
      </c>
      <c r="L39" s="254"/>
    </row>
    <row r="40" spans="2:190" x14ac:dyDescent="0.45">
      <c r="B40" s="253"/>
      <c r="C40" s="98" t="s">
        <v>212</v>
      </c>
      <c r="D40" s="4">
        <v>25000</v>
      </c>
      <c r="E40" s="99" t="s">
        <v>210</v>
      </c>
      <c r="F40" s="246">
        <v>5.8399999999999997E-3</v>
      </c>
      <c r="G40" s="46" t="s">
        <v>209</v>
      </c>
      <c r="H40" s="241">
        <f>ROUND(F40*(1+'Revenue Requirements'!$G$12),5)</f>
        <v>6.3899999999999998E-3</v>
      </c>
      <c r="I40" s="86" t="s">
        <v>209</v>
      </c>
      <c r="J40" s="241">
        <f t="shared" ref="J40:J44" si="6">H40-F40</f>
        <v>5.5000000000000014E-4</v>
      </c>
      <c r="K40" s="68">
        <f t="shared" ref="K40:K44" si="7">J40/F40</f>
        <v>9.4178082191780851E-2</v>
      </c>
      <c r="L40" s="254"/>
    </row>
    <row r="41" spans="2:190" x14ac:dyDescent="0.45">
      <c r="B41" s="253"/>
      <c r="C41" s="98" t="s">
        <v>212</v>
      </c>
      <c r="D41" s="4">
        <v>50000</v>
      </c>
      <c r="E41" s="99" t="s">
        <v>210</v>
      </c>
      <c r="F41" s="246">
        <v>5.4400000000000004E-3</v>
      </c>
      <c r="G41" s="46" t="s">
        <v>209</v>
      </c>
      <c r="H41" s="241">
        <f>ROUND(F41*(1+'Revenue Requirements'!$G$12),5)</f>
        <v>5.9500000000000004E-3</v>
      </c>
      <c r="I41" s="86" t="s">
        <v>209</v>
      </c>
      <c r="J41" s="241">
        <f t="shared" si="6"/>
        <v>5.1000000000000004E-4</v>
      </c>
      <c r="K41" s="68">
        <f t="shared" si="7"/>
        <v>9.375E-2</v>
      </c>
      <c r="L41" s="254"/>
    </row>
    <row r="42" spans="2:190" x14ac:dyDescent="0.45">
      <c r="B42" s="253"/>
      <c r="C42" s="98" t="s">
        <v>212</v>
      </c>
      <c r="D42" s="4">
        <v>100000</v>
      </c>
      <c r="E42" s="99" t="s">
        <v>210</v>
      </c>
      <c r="F42" s="246">
        <v>5.0400000000000002E-3</v>
      </c>
      <c r="G42" s="46" t="s">
        <v>209</v>
      </c>
      <c r="H42" s="241">
        <f>ROUND(F42*(1+'Revenue Requirements'!$G$12),5)</f>
        <v>5.5100000000000001E-3</v>
      </c>
      <c r="I42" s="86" t="s">
        <v>209</v>
      </c>
      <c r="J42" s="241">
        <f t="shared" si="6"/>
        <v>4.6999999999999993E-4</v>
      </c>
      <c r="K42" s="68">
        <f t="shared" si="7"/>
        <v>9.3253968253968242E-2</v>
      </c>
      <c r="L42" s="254"/>
    </row>
    <row r="43" spans="2:190" x14ac:dyDescent="0.45">
      <c r="B43" s="253"/>
      <c r="C43" s="98" t="s">
        <v>212</v>
      </c>
      <c r="D43" s="103">
        <v>100000</v>
      </c>
      <c r="E43" s="99" t="s">
        <v>210</v>
      </c>
      <c r="F43" s="246">
        <v>4.64E-3</v>
      </c>
      <c r="G43" s="46" t="s">
        <v>209</v>
      </c>
      <c r="H43" s="241">
        <f>ROUND(F43*(1+'Revenue Requirements'!$G$12),5)</f>
        <v>5.0800000000000003E-3</v>
      </c>
      <c r="I43" s="86" t="s">
        <v>209</v>
      </c>
      <c r="J43" s="241">
        <f t="shared" si="6"/>
        <v>4.4000000000000029E-4</v>
      </c>
      <c r="K43" s="68">
        <f t="shared" si="7"/>
        <v>9.4827586206896616E-2</v>
      </c>
      <c r="L43" s="254"/>
    </row>
    <row r="44" spans="2:190" x14ac:dyDescent="0.45">
      <c r="B44" s="253"/>
      <c r="C44" s="244" t="s">
        <v>213</v>
      </c>
      <c r="D44" s="103">
        <v>300000</v>
      </c>
      <c r="E44" s="243" t="s">
        <v>210</v>
      </c>
      <c r="F44" s="246">
        <v>4.2399999999999998E-3</v>
      </c>
      <c r="G44" s="46" t="s">
        <v>209</v>
      </c>
      <c r="H44" s="241">
        <f>ROUND(F44*(1+'Revenue Requirements'!$G$12),5)</f>
        <v>4.64E-3</v>
      </c>
      <c r="I44" s="86" t="s">
        <v>209</v>
      </c>
      <c r="J44" s="241">
        <f t="shared" si="6"/>
        <v>4.0000000000000018E-4</v>
      </c>
      <c r="K44" s="68">
        <f t="shared" si="7"/>
        <v>9.4339622641509482E-2</v>
      </c>
      <c r="L44" s="254"/>
    </row>
    <row r="45" spans="2:190" x14ac:dyDescent="0.45">
      <c r="B45" s="253"/>
      <c r="L45" s="254"/>
    </row>
    <row r="46" spans="2:190" x14ac:dyDescent="0.45">
      <c r="B46" s="253"/>
      <c r="C46" s="82" t="s">
        <v>118</v>
      </c>
      <c r="D46" s="242"/>
      <c r="E46" s="264"/>
      <c r="F46" s="375" t="s">
        <v>202</v>
      </c>
      <c r="G46" s="375"/>
      <c r="H46" s="375" t="s">
        <v>11</v>
      </c>
      <c r="I46" s="375"/>
      <c r="J46" s="375" t="s">
        <v>68</v>
      </c>
      <c r="K46" s="375"/>
      <c r="L46" s="254"/>
    </row>
    <row r="47" spans="2:190" x14ac:dyDescent="0.45">
      <c r="B47" s="253"/>
      <c r="C47" s="98" t="s">
        <v>211</v>
      </c>
      <c r="D47" s="4">
        <v>50000</v>
      </c>
      <c r="E47" s="99" t="s">
        <v>210</v>
      </c>
      <c r="F47" s="245">
        <v>305</v>
      </c>
      <c r="G47" s="46" t="s">
        <v>115</v>
      </c>
      <c r="H47" s="46">
        <f>ROUND(F47*(1+'Revenue Requirements'!$G$12),2)</f>
        <v>333.7</v>
      </c>
      <c r="I47" s="86" t="s">
        <v>115</v>
      </c>
      <c r="J47" s="46">
        <f>H47-F47</f>
        <v>28.699999999999989</v>
      </c>
      <c r="K47" s="68">
        <f>J47/F47</f>
        <v>9.4098360655737665E-2</v>
      </c>
      <c r="L47" s="254"/>
    </row>
    <row r="48" spans="2:190" x14ac:dyDescent="0.45">
      <c r="B48" s="253"/>
      <c r="C48" s="98" t="s">
        <v>212</v>
      </c>
      <c r="D48" s="4">
        <v>50000</v>
      </c>
      <c r="E48" s="99" t="s">
        <v>210</v>
      </c>
      <c r="F48" s="246">
        <v>5.4400000000000004E-3</v>
      </c>
      <c r="G48" s="46" t="s">
        <v>209</v>
      </c>
      <c r="H48" s="241">
        <f>ROUND(F48*(1+'Revenue Requirements'!$G$12),5)</f>
        <v>5.9500000000000004E-3</v>
      </c>
      <c r="I48" s="86" t="s">
        <v>209</v>
      </c>
      <c r="J48" s="241">
        <f t="shared" ref="J48:J51" si="8">H48-F48</f>
        <v>5.1000000000000004E-4</v>
      </c>
      <c r="K48" s="68">
        <f t="shared" ref="K48:K51" si="9">J48/F48</f>
        <v>9.375E-2</v>
      </c>
      <c r="L48" s="254"/>
    </row>
    <row r="49" spans="2:12" x14ac:dyDescent="0.45">
      <c r="B49" s="253"/>
      <c r="C49" s="98" t="s">
        <v>212</v>
      </c>
      <c r="D49" s="4">
        <v>100000</v>
      </c>
      <c r="E49" s="99" t="s">
        <v>210</v>
      </c>
      <c r="F49" s="246">
        <v>5.0400000000000002E-3</v>
      </c>
      <c r="G49" s="46" t="s">
        <v>209</v>
      </c>
      <c r="H49" s="241">
        <f>ROUND(F49*(1+'Revenue Requirements'!$G$12),5)</f>
        <v>5.5100000000000001E-3</v>
      </c>
      <c r="I49" s="86" t="s">
        <v>209</v>
      </c>
      <c r="J49" s="241">
        <f t="shared" si="8"/>
        <v>4.6999999999999993E-4</v>
      </c>
      <c r="K49" s="68">
        <f t="shared" si="9"/>
        <v>9.3253968253968242E-2</v>
      </c>
      <c r="L49" s="254"/>
    </row>
    <row r="50" spans="2:12" x14ac:dyDescent="0.45">
      <c r="B50" s="253"/>
      <c r="C50" s="98" t="s">
        <v>212</v>
      </c>
      <c r="D50" s="103">
        <v>100000</v>
      </c>
      <c r="E50" s="99" t="s">
        <v>210</v>
      </c>
      <c r="F50" s="246">
        <v>4.64E-3</v>
      </c>
      <c r="G50" s="46" t="s">
        <v>209</v>
      </c>
      <c r="H50" s="241">
        <f>ROUND(F50*(1+'Revenue Requirements'!$G$12),5)</f>
        <v>5.0800000000000003E-3</v>
      </c>
      <c r="I50" s="86" t="s">
        <v>209</v>
      </c>
      <c r="J50" s="241">
        <f t="shared" si="8"/>
        <v>4.4000000000000029E-4</v>
      </c>
      <c r="K50" s="68">
        <f t="shared" si="9"/>
        <v>9.4827586206896616E-2</v>
      </c>
      <c r="L50" s="254"/>
    </row>
    <row r="51" spans="2:12" x14ac:dyDescent="0.45">
      <c r="B51" s="253"/>
      <c r="C51" s="244" t="s">
        <v>213</v>
      </c>
      <c r="D51" s="103">
        <v>300000</v>
      </c>
      <c r="E51" s="243" t="s">
        <v>210</v>
      </c>
      <c r="F51" s="246">
        <v>4.2399999999999998E-3</v>
      </c>
      <c r="G51" s="46" t="s">
        <v>209</v>
      </c>
      <c r="H51" s="241">
        <f>ROUND(F51*(1+'Revenue Requirements'!$G$12),5)</f>
        <v>4.64E-3</v>
      </c>
      <c r="I51" s="86" t="s">
        <v>209</v>
      </c>
      <c r="J51" s="241">
        <f t="shared" si="8"/>
        <v>4.0000000000000018E-4</v>
      </c>
      <c r="K51" s="68">
        <f t="shared" si="9"/>
        <v>9.4339622641509482E-2</v>
      </c>
      <c r="L51" s="254"/>
    </row>
    <row r="52" spans="2:12" x14ac:dyDescent="0.45">
      <c r="B52" s="253"/>
      <c r="L52" s="254"/>
    </row>
    <row r="53" spans="2:12" x14ac:dyDescent="0.45">
      <c r="B53" s="253"/>
      <c r="C53" s="82" t="s">
        <v>215</v>
      </c>
      <c r="D53" s="242"/>
      <c r="E53" s="264"/>
      <c r="F53" s="375" t="s">
        <v>202</v>
      </c>
      <c r="G53" s="375"/>
      <c r="H53" s="375" t="s">
        <v>11</v>
      </c>
      <c r="I53" s="375"/>
      <c r="J53" s="375" t="s">
        <v>68</v>
      </c>
      <c r="K53" s="375"/>
      <c r="L53" s="254"/>
    </row>
    <row r="54" spans="2:12" x14ac:dyDescent="0.45">
      <c r="B54" s="253"/>
      <c r="C54" s="98" t="s">
        <v>211</v>
      </c>
      <c r="D54" s="4">
        <v>75000</v>
      </c>
      <c r="E54" s="99" t="s">
        <v>210</v>
      </c>
      <c r="F54" s="245">
        <v>440.99</v>
      </c>
      <c r="G54" s="46" t="s">
        <v>115</v>
      </c>
      <c r="H54" s="46">
        <f>ROUND(F54*(1+'Revenue Requirements'!$G$12),2)</f>
        <v>482.49</v>
      </c>
      <c r="I54" s="86" t="s">
        <v>115</v>
      </c>
      <c r="J54" s="46">
        <f>H54-F54</f>
        <v>41.5</v>
      </c>
      <c r="K54" s="68">
        <f>J54/F54</f>
        <v>9.4106442322955161E-2</v>
      </c>
      <c r="L54" s="254"/>
    </row>
    <row r="55" spans="2:12" x14ac:dyDescent="0.45">
      <c r="B55" s="253"/>
      <c r="C55" s="98" t="s">
        <v>212</v>
      </c>
      <c r="D55" s="4">
        <v>25000</v>
      </c>
      <c r="E55" s="99" t="s">
        <v>210</v>
      </c>
      <c r="F55" s="246">
        <v>5.4400000000000004E-3</v>
      </c>
      <c r="G55" s="46" t="s">
        <v>209</v>
      </c>
      <c r="H55" s="241">
        <f>ROUND(F55*(1+'Revenue Requirements'!$G$12),5)</f>
        <v>5.9500000000000004E-3</v>
      </c>
      <c r="I55" s="86" t="s">
        <v>209</v>
      </c>
      <c r="J55" s="241">
        <f t="shared" ref="J55:J58" si="10">H55-F55</f>
        <v>5.1000000000000004E-4</v>
      </c>
      <c r="K55" s="68">
        <f t="shared" ref="K55:K58" si="11">J55/F55</f>
        <v>9.375E-2</v>
      </c>
      <c r="L55" s="254"/>
    </row>
    <row r="56" spans="2:12" x14ac:dyDescent="0.45">
      <c r="B56" s="253"/>
      <c r="C56" s="98" t="s">
        <v>212</v>
      </c>
      <c r="D56" s="4">
        <v>100000</v>
      </c>
      <c r="E56" s="99" t="s">
        <v>210</v>
      </c>
      <c r="F56" s="246">
        <v>5.0400000000000002E-3</v>
      </c>
      <c r="G56" s="46" t="s">
        <v>209</v>
      </c>
      <c r="H56" s="241">
        <f>ROUND(F56*(1+'Revenue Requirements'!$G$12),5)</f>
        <v>5.5100000000000001E-3</v>
      </c>
      <c r="I56" s="86" t="s">
        <v>209</v>
      </c>
      <c r="J56" s="241">
        <f t="shared" si="10"/>
        <v>4.6999999999999993E-4</v>
      </c>
      <c r="K56" s="68">
        <f t="shared" si="11"/>
        <v>9.3253968253968242E-2</v>
      </c>
      <c r="L56" s="254"/>
    </row>
    <row r="57" spans="2:12" x14ac:dyDescent="0.45">
      <c r="B57" s="253"/>
      <c r="C57" s="98" t="s">
        <v>212</v>
      </c>
      <c r="D57" s="103">
        <v>100000</v>
      </c>
      <c r="E57" s="99" t="s">
        <v>210</v>
      </c>
      <c r="F57" s="246">
        <v>4.64E-3</v>
      </c>
      <c r="G57" s="46" t="s">
        <v>209</v>
      </c>
      <c r="H57" s="241">
        <f>ROUND(F57*(1+'Revenue Requirements'!$G$12),5)</f>
        <v>5.0800000000000003E-3</v>
      </c>
      <c r="I57" s="86" t="s">
        <v>209</v>
      </c>
      <c r="J57" s="241">
        <f t="shared" si="10"/>
        <v>4.4000000000000029E-4</v>
      </c>
      <c r="K57" s="68">
        <f t="shared" si="11"/>
        <v>9.4827586206896616E-2</v>
      </c>
      <c r="L57" s="254"/>
    </row>
    <row r="58" spans="2:12" x14ac:dyDescent="0.45">
      <c r="B58" s="253"/>
      <c r="C58" s="244" t="s">
        <v>213</v>
      </c>
      <c r="D58" s="103">
        <v>300000</v>
      </c>
      <c r="E58" s="243" t="s">
        <v>210</v>
      </c>
      <c r="F58" s="246">
        <v>4.2399999999999998E-3</v>
      </c>
      <c r="G58" s="46" t="s">
        <v>209</v>
      </c>
      <c r="H58" s="241">
        <f>ROUND(F58*(1+'Revenue Requirements'!$G$12),5)</f>
        <v>4.64E-3</v>
      </c>
      <c r="I58" s="86" t="s">
        <v>209</v>
      </c>
      <c r="J58" s="241">
        <f t="shared" si="10"/>
        <v>4.0000000000000018E-4</v>
      </c>
      <c r="K58" s="68">
        <f t="shared" si="11"/>
        <v>9.4339622641509482E-2</v>
      </c>
      <c r="L58" s="254"/>
    </row>
    <row r="59" spans="2:12" x14ac:dyDescent="0.45">
      <c r="B59" s="253"/>
      <c r="L59" s="254"/>
    </row>
    <row r="60" spans="2:12" x14ac:dyDescent="0.45">
      <c r="B60" s="253"/>
      <c r="C60" s="82" t="s">
        <v>216</v>
      </c>
      <c r="D60" s="242"/>
      <c r="E60" s="264"/>
      <c r="F60" s="375" t="s">
        <v>202</v>
      </c>
      <c r="G60" s="375"/>
      <c r="H60" s="375" t="s">
        <v>11</v>
      </c>
      <c r="I60" s="375"/>
      <c r="J60" s="375" t="s">
        <v>68</v>
      </c>
      <c r="K60" s="375"/>
      <c r="L60" s="254"/>
    </row>
    <row r="61" spans="2:12" x14ac:dyDescent="0.45">
      <c r="B61" s="253"/>
      <c r="C61" s="98" t="s">
        <v>211</v>
      </c>
      <c r="D61" s="4">
        <v>100000</v>
      </c>
      <c r="E61" s="99" t="s">
        <v>210</v>
      </c>
      <c r="F61" s="245">
        <v>576.99</v>
      </c>
      <c r="G61" s="46" t="s">
        <v>115</v>
      </c>
      <c r="H61" s="46">
        <f>ROUND(F61*(1+'Revenue Requirements'!$G$12),2)</f>
        <v>631.28</v>
      </c>
      <c r="I61" s="86" t="s">
        <v>115</v>
      </c>
      <c r="J61" s="46">
        <f>H61-F61</f>
        <v>54.289999999999964</v>
      </c>
      <c r="K61" s="68">
        <f>J61/F61</f>
        <v>9.4091752023431882E-2</v>
      </c>
      <c r="L61" s="254"/>
    </row>
    <row r="62" spans="2:12" x14ac:dyDescent="0.45">
      <c r="B62" s="253"/>
      <c r="C62" s="98" t="s">
        <v>212</v>
      </c>
      <c r="D62" s="4">
        <v>100000</v>
      </c>
      <c r="E62" s="99" t="s">
        <v>210</v>
      </c>
      <c r="F62" s="246">
        <v>5.0400000000000002E-3</v>
      </c>
      <c r="G62" s="46" t="s">
        <v>209</v>
      </c>
      <c r="H62" s="241">
        <f>ROUND(F62*(1+'Revenue Requirements'!$G$12),5)</f>
        <v>5.5100000000000001E-3</v>
      </c>
      <c r="I62" s="86" t="s">
        <v>209</v>
      </c>
      <c r="J62" s="241">
        <f t="shared" ref="J62:J64" si="12">H62-F62</f>
        <v>4.6999999999999993E-4</v>
      </c>
      <c r="K62" s="68">
        <f t="shared" ref="K62:K64" si="13">J62/F62</f>
        <v>9.3253968253968242E-2</v>
      </c>
      <c r="L62" s="254"/>
    </row>
    <row r="63" spans="2:12" x14ac:dyDescent="0.45">
      <c r="B63" s="253"/>
      <c r="C63" s="98" t="s">
        <v>212</v>
      </c>
      <c r="D63" s="103">
        <v>100000</v>
      </c>
      <c r="E63" s="99" t="s">
        <v>210</v>
      </c>
      <c r="F63" s="246">
        <v>4.64E-3</v>
      </c>
      <c r="G63" s="46" t="s">
        <v>209</v>
      </c>
      <c r="H63" s="241">
        <f>ROUND(F63*(1+'Revenue Requirements'!$G$12),5)</f>
        <v>5.0800000000000003E-3</v>
      </c>
      <c r="I63" s="86" t="s">
        <v>209</v>
      </c>
      <c r="J63" s="241">
        <f t="shared" si="12"/>
        <v>4.4000000000000029E-4</v>
      </c>
      <c r="K63" s="68">
        <f t="shared" si="13"/>
        <v>9.4827586206896616E-2</v>
      </c>
      <c r="L63" s="254"/>
    </row>
    <row r="64" spans="2:12" x14ac:dyDescent="0.45">
      <c r="B64" s="253"/>
      <c r="C64" s="244" t="s">
        <v>213</v>
      </c>
      <c r="D64" s="103">
        <v>300000</v>
      </c>
      <c r="E64" s="243" t="s">
        <v>210</v>
      </c>
      <c r="F64" s="246">
        <v>4.2399999999999998E-3</v>
      </c>
      <c r="G64" s="46" t="s">
        <v>209</v>
      </c>
      <c r="H64" s="241">
        <f>ROUND(F64*(1+'Revenue Requirements'!$G$12),5)</f>
        <v>4.64E-3</v>
      </c>
      <c r="I64" s="86" t="s">
        <v>209</v>
      </c>
      <c r="J64" s="241">
        <f t="shared" si="12"/>
        <v>4.0000000000000018E-4</v>
      </c>
      <c r="K64" s="68">
        <f t="shared" si="13"/>
        <v>9.4339622641509482E-2</v>
      </c>
      <c r="L64" s="254"/>
    </row>
    <row r="65" spans="2:12" x14ac:dyDescent="0.45">
      <c r="B65" s="253"/>
      <c r="L65" s="254"/>
    </row>
    <row r="66" spans="2:12" x14ac:dyDescent="0.45">
      <c r="B66" s="253"/>
      <c r="C66" s="82" t="s">
        <v>119</v>
      </c>
      <c r="D66" s="242"/>
      <c r="E66" s="264"/>
      <c r="F66" s="375" t="s">
        <v>202</v>
      </c>
      <c r="G66" s="375"/>
      <c r="H66" s="375" t="s">
        <v>11</v>
      </c>
      <c r="I66" s="375"/>
      <c r="J66" s="375" t="s">
        <v>68</v>
      </c>
      <c r="K66" s="375"/>
      <c r="L66" s="254"/>
    </row>
    <row r="67" spans="2:12" x14ac:dyDescent="0.45">
      <c r="B67" s="253"/>
      <c r="C67" s="98" t="s">
        <v>211</v>
      </c>
      <c r="D67" s="4">
        <v>200000</v>
      </c>
      <c r="E67" s="99" t="s">
        <v>210</v>
      </c>
      <c r="F67" s="245">
        <v>1080.98</v>
      </c>
      <c r="G67" s="46" t="s">
        <v>115</v>
      </c>
      <c r="H67" s="46">
        <f>ROUND(F67*(1+'Revenue Requirements'!$G$12),2)</f>
        <v>1182.7</v>
      </c>
      <c r="I67" s="86" t="s">
        <v>115</v>
      </c>
      <c r="J67" s="46">
        <f>H67-F67</f>
        <v>101.72000000000003</v>
      </c>
      <c r="K67" s="68">
        <f>J67/F67</f>
        <v>9.4099798331143986E-2</v>
      </c>
      <c r="L67" s="254"/>
    </row>
    <row r="68" spans="2:12" x14ac:dyDescent="0.45">
      <c r="B68" s="253"/>
      <c r="C68" s="98" t="s">
        <v>212</v>
      </c>
      <c r="D68" s="103">
        <v>100000</v>
      </c>
      <c r="E68" s="99" t="s">
        <v>210</v>
      </c>
      <c r="F68" s="246">
        <v>4.64E-3</v>
      </c>
      <c r="G68" s="46" t="s">
        <v>209</v>
      </c>
      <c r="H68" s="241">
        <f>ROUND(F68*(1+'Revenue Requirements'!$G$12),5)</f>
        <v>5.0800000000000003E-3</v>
      </c>
      <c r="I68" s="86" t="s">
        <v>209</v>
      </c>
      <c r="J68" s="241">
        <f t="shared" ref="J68:J69" si="14">H68-F68</f>
        <v>4.4000000000000029E-4</v>
      </c>
      <c r="K68" s="68">
        <f t="shared" ref="K68:K69" si="15">J68/F68</f>
        <v>9.4827586206896616E-2</v>
      </c>
      <c r="L68" s="254"/>
    </row>
    <row r="69" spans="2:12" x14ac:dyDescent="0.45">
      <c r="B69" s="253"/>
      <c r="C69" s="244" t="s">
        <v>213</v>
      </c>
      <c r="D69" s="103">
        <v>300000</v>
      </c>
      <c r="E69" s="243" t="s">
        <v>210</v>
      </c>
      <c r="F69" s="246">
        <v>4.2399999999999998E-3</v>
      </c>
      <c r="G69" s="46" t="s">
        <v>209</v>
      </c>
      <c r="H69" s="241">
        <f>ROUND(F69*(1+'Revenue Requirements'!$G$12),5)</f>
        <v>4.64E-3</v>
      </c>
      <c r="I69" s="86" t="s">
        <v>209</v>
      </c>
      <c r="J69" s="241">
        <f t="shared" si="14"/>
        <v>4.0000000000000018E-4</v>
      </c>
      <c r="K69" s="68">
        <f t="shared" si="15"/>
        <v>9.4339622641509482E-2</v>
      </c>
      <c r="L69" s="254"/>
    </row>
    <row r="70" spans="2:12" x14ac:dyDescent="0.45">
      <c r="B70" s="253"/>
      <c r="L70" s="254"/>
    </row>
    <row r="71" spans="2:12" x14ac:dyDescent="0.45">
      <c r="B71" s="253"/>
      <c r="C71" s="82" t="s">
        <v>217</v>
      </c>
      <c r="D71" s="242"/>
      <c r="E71" s="264"/>
      <c r="F71" s="375" t="s">
        <v>202</v>
      </c>
      <c r="G71" s="375"/>
      <c r="H71" s="375" t="s">
        <v>11</v>
      </c>
      <c r="I71" s="375"/>
      <c r="J71" s="375" t="s">
        <v>68</v>
      </c>
      <c r="K71" s="375"/>
      <c r="L71" s="254"/>
    </row>
    <row r="72" spans="2:12" x14ac:dyDescent="0.45">
      <c r="B72" s="253"/>
      <c r="C72" s="98" t="s">
        <v>211</v>
      </c>
      <c r="D72" s="4">
        <v>300000</v>
      </c>
      <c r="E72" s="99" t="s">
        <v>210</v>
      </c>
      <c r="F72" s="245">
        <v>1544.97</v>
      </c>
      <c r="G72" s="46" t="s">
        <v>115</v>
      </c>
      <c r="H72" s="46">
        <f>ROUND(F72*(1+'Revenue Requirements'!$G$12),2)</f>
        <v>1690.35</v>
      </c>
      <c r="I72" s="86" t="s">
        <v>115</v>
      </c>
      <c r="J72" s="46">
        <f>H72-F72</f>
        <v>145.37999999999988</v>
      </c>
      <c r="K72" s="68">
        <f>J72/F72</f>
        <v>9.4098914542029857E-2</v>
      </c>
      <c r="L72" s="254"/>
    </row>
    <row r="73" spans="2:12" x14ac:dyDescent="0.45">
      <c r="B73" s="253"/>
      <c r="C73" s="244" t="s">
        <v>213</v>
      </c>
      <c r="D73" s="103">
        <v>300000</v>
      </c>
      <c r="E73" s="243" t="s">
        <v>210</v>
      </c>
      <c r="F73" s="246">
        <v>4.2399999999999998E-3</v>
      </c>
      <c r="G73" s="46" t="s">
        <v>209</v>
      </c>
      <c r="H73" s="241">
        <f>ROUND(F73*(1+'Revenue Requirements'!$G$12),5)</f>
        <v>4.64E-3</v>
      </c>
      <c r="I73" s="86" t="s">
        <v>209</v>
      </c>
      <c r="J73" s="241">
        <f t="shared" ref="J73" si="16">H73-F73</f>
        <v>4.0000000000000018E-4</v>
      </c>
      <c r="K73" s="68">
        <f t="shared" ref="K73" si="17">J73/F73</f>
        <v>9.4339622641509482E-2</v>
      </c>
      <c r="L73" s="254"/>
    </row>
    <row r="74" spans="2:12" ht="14.65" thickBot="1" x14ac:dyDescent="0.5">
      <c r="B74" s="257"/>
      <c r="C74" s="258"/>
      <c r="D74" s="259"/>
      <c r="E74" s="265"/>
      <c r="F74" s="258"/>
      <c r="G74" s="258"/>
      <c r="H74" s="258"/>
      <c r="I74" s="260"/>
      <c r="J74" s="258"/>
      <c r="K74" s="261"/>
      <c r="L74" s="262"/>
    </row>
  </sheetData>
  <mergeCells count="30">
    <mergeCell ref="C5:J5"/>
    <mergeCell ref="C6:J6"/>
    <mergeCell ref="C3:J3"/>
    <mergeCell ref="F8:G8"/>
    <mergeCell ref="H8:I8"/>
    <mergeCell ref="J8:K8"/>
    <mergeCell ref="F19:G19"/>
    <mergeCell ref="H19:I19"/>
    <mergeCell ref="J19:K19"/>
    <mergeCell ref="F29:G29"/>
    <mergeCell ref="H29:I29"/>
    <mergeCell ref="J29:K29"/>
    <mergeCell ref="F38:G38"/>
    <mergeCell ref="H38:I38"/>
    <mergeCell ref="J38:K38"/>
    <mergeCell ref="F46:G46"/>
    <mergeCell ref="H46:I46"/>
    <mergeCell ref="J46:K46"/>
    <mergeCell ref="F53:G53"/>
    <mergeCell ref="H53:I53"/>
    <mergeCell ref="J53:K53"/>
    <mergeCell ref="F60:G60"/>
    <mergeCell ref="H60:I60"/>
    <mergeCell ref="J60:K60"/>
    <mergeCell ref="F66:G66"/>
    <mergeCell ref="H66:I66"/>
    <mergeCell ref="J66:K66"/>
    <mergeCell ref="F71:G71"/>
    <mergeCell ref="H71:I71"/>
    <mergeCell ref="J71:K71"/>
  </mergeCells>
  <printOptions horizontalCentered="1" verticalCentered="1"/>
  <pageMargins left="0.5" right="0.5" top="0.75" bottom="0.75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SAO</vt:lpstr>
      <vt:lpstr>Revenue Requirements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ExBA</vt:lpstr>
      <vt:lpstr>PrBA</vt:lpstr>
      <vt:lpstr>Bills!Print_Area</vt:lpstr>
      <vt:lpstr>'Debt Service'!Print_Area</vt:lpstr>
      <vt:lpstr>ExBA!Print_Area</vt:lpstr>
      <vt:lpstr>Medical!Print_Area</vt:lpstr>
      <vt:lpstr>PrBA!Print_Area</vt:lpstr>
      <vt:lpstr>Rates!Print_Area</vt:lpstr>
      <vt:lpstr>'Revenue Requirements'!Print_Area</vt:lpstr>
      <vt:lpstr>SAO!Print_Area</vt:lpstr>
      <vt:lpstr>Wages!Print_Area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2022-08-05T19:47:25Z</cp:lastPrinted>
  <dcterms:created xsi:type="dcterms:W3CDTF">2016-05-18T14:12:06Z</dcterms:created>
  <dcterms:modified xsi:type="dcterms:W3CDTF">2022-09-06T16:30:31Z</dcterms:modified>
</cp:coreProperties>
</file>